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705" yWindow="90" windowWidth="9480" windowHeight="7500" tabRatio="953"/>
  </bookViews>
  <sheets>
    <sheet name="1402" sheetId="175" r:id="rId1"/>
    <sheet name="94" sheetId="99" state="hidden" r:id="rId2"/>
    <sheet name="95" sheetId="124" state="hidden" r:id="rId3"/>
    <sheet name="97" sheetId="158" state="hidden" r:id="rId4"/>
    <sheet name="98" sheetId="151" state="hidden" r:id="rId5"/>
    <sheet name="96" sheetId="154" state="hidden" r:id="rId6"/>
    <sheet name="سود و زیان" sheetId="160" r:id="rId7"/>
    <sheet name="وضعیت مالی" sheetId="161" r:id="rId8"/>
    <sheet name="صورت تغییرات در حقوق مالکانه" sheetId="164" r:id="rId9"/>
    <sheet name="صورت جریان نقدی" sheetId="162" r:id="rId10"/>
    <sheet name="1" sheetId="195" r:id="rId11"/>
    <sheet name="2" sheetId="67" state="hidden" r:id="rId12"/>
    <sheet name="3" sheetId="83" state="hidden" r:id="rId13"/>
    <sheet name="4" sheetId="82" state="hidden" r:id="rId14"/>
    <sheet name="11" sheetId="57" r:id="rId15"/>
    <sheet name="12" sheetId="58" r:id="rId16"/>
    <sheet name="13-14" sheetId="59" r:id="rId17"/>
    <sheet name="15" sheetId="44" r:id="rId18"/>
    <sheet name="14 قبلي" sheetId="167" state="hidden" r:id="rId19"/>
    <sheet name="16" sheetId="48" r:id="rId20"/>
    <sheet name="17" sheetId="49" r:id="rId21"/>
    <sheet name="18" sheetId="50" r:id="rId22"/>
    <sheet name="19" sheetId="106" r:id="rId23"/>
    <sheet name="20" sheetId="43" r:id="rId24"/>
    <sheet name="21" sheetId="79" r:id="rId25"/>
    <sheet name="22" sheetId="81" r:id="rId26"/>
    <sheet name="50" sheetId="125" state="hidden" r:id="rId27"/>
    <sheet name="23" sheetId="166" r:id="rId28"/>
    <sheet name="24" sheetId="51" r:id="rId29"/>
    <sheet name="25" sheetId="197" r:id="rId30"/>
    <sheet name="26" sheetId="201" r:id="rId31"/>
    <sheet name="27" sheetId="54" r:id="rId32"/>
    <sheet name="28" sheetId="129" r:id="rId33"/>
    <sheet name="29" sheetId="202" r:id="rId34"/>
    <sheet name="30" sheetId="174" r:id="rId35"/>
    <sheet name="31" sheetId="181" r:id="rId36"/>
    <sheet name="32" sheetId="149" r:id="rId37"/>
    <sheet name="33" sheetId="150" r:id="rId38"/>
    <sheet name="34" sheetId="203" r:id="rId39"/>
    <sheet name="35" sheetId="178" r:id="rId40"/>
    <sheet name="36" sheetId="187" r:id="rId41"/>
    <sheet name="37" sheetId="190" r:id="rId42"/>
    <sheet name="38" sheetId="191" r:id="rId43"/>
    <sheet name="39" sheetId="192" r:id="rId44"/>
    <sheet name="40" sheetId="193" r:id="rId45"/>
    <sheet name="41" sheetId="194" r:id="rId46"/>
    <sheet name="42-43" sheetId="65" r:id="rId47"/>
    <sheet name="نسبتها" sheetId="91" state="hidden" r:id="rId48"/>
    <sheet name="44" sheetId="182" r:id="rId49"/>
    <sheet name="مفروضات" sheetId="1" state="hidden" r:id="rId50"/>
    <sheet name="602086" sheetId="3" state="hidden" r:id="rId51"/>
    <sheet name="602085" sheetId="2" state="hidden" r:id="rId52"/>
    <sheet name="Sheet2" sheetId="163" state="hidden" r:id="rId53"/>
    <sheet name="Sheet2 (2)" sheetId="177" state="hidden" r:id="rId54"/>
    <sheet name="Sheet1" sheetId="179" state="hidden" r:id="rId55"/>
    <sheet name="Sheet2 (3)" sheetId="180" state="hidden" r:id="rId56"/>
    <sheet name="Sheet3" sheetId="196" state="hidden" r:id="rId57"/>
    <sheet name="mafrozat" sheetId="204" r:id="rId58"/>
  </sheets>
  <externalReferences>
    <externalReference r:id="rId59"/>
  </externalReferences>
  <definedNames>
    <definedName name="_xlnm._FilterDatabase" localSheetId="0" hidden="1">'1402'!$A$2:$AB$606</definedName>
    <definedName name="_xlnm._FilterDatabase" localSheetId="28" hidden="1">'24'!$A$26:$R$45</definedName>
    <definedName name="_xlnm._FilterDatabase" localSheetId="30" hidden="1">'26'!#REF!</definedName>
    <definedName name="_xlnm._FilterDatabase" localSheetId="35" hidden="1">'31'!$C$8:$Q$40</definedName>
    <definedName name="_xlnm._FilterDatabase" localSheetId="36" hidden="1">'32'!$D$23:$O$35</definedName>
    <definedName name="_xlnm._FilterDatabase" localSheetId="51" hidden="1">'602085'!$A$1:$W$242</definedName>
    <definedName name="_xlnm._FilterDatabase" localSheetId="50" hidden="1">'602086'!$A$3:$X$246</definedName>
    <definedName name="_xlnm._FilterDatabase" localSheetId="1" hidden="1">'94'!$A$1:$V$478</definedName>
    <definedName name="_xlnm._FilterDatabase" localSheetId="2" hidden="1">'95'!$A$2:$X$534</definedName>
    <definedName name="_xlnm._FilterDatabase" localSheetId="5" hidden="1">'96'!$A$2:$X$543</definedName>
    <definedName name="_xlnm._FilterDatabase" localSheetId="3" hidden="1">'97'!$A$1:$Z$558</definedName>
    <definedName name="_xlnm._FilterDatabase" localSheetId="4" hidden="1">'98'!$A$1:$Z$559</definedName>
    <definedName name="_xlnm.Print_Area" localSheetId="14">'11'!$A$1:$R$59</definedName>
    <definedName name="_xlnm.Print_Area" localSheetId="15">'12'!$A$1:$Z$34</definedName>
    <definedName name="_xlnm.Print_Area" localSheetId="16">'13-14'!$A$1:$K$116</definedName>
    <definedName name="_xlnm.Print_Area" localSheetId="18">'14 قبلي'!$A$1:$AF$27</definedName>
    <definedName name="_xlnm.Print_Area" localSheetId="0">'1402'!$A$150:$U$590</definedName>
    <definedName name="_xlnm.Print_Area" localSheetId="17">'15'!$A$1:$X$42</definedName>
    <definedName name="_xlnm.Print_Area" localSheetId="19">'16'!$C$1:$S$49</definedName>
    <definedName name="_xlnm.Print_Area" localSheetId="20">'17'!$A$1:$AA$33</definedName>
    <definedName name="_xlnm.Print_Area" localSheetId="21">'18'!$A$1:$P$60</definedName>
    <definedName name="_xlnm.Print_Area" localSheetId="22">'19'!$B$1:$O$37</definedName>
    <definedName name="_xlnm.Print_Area" localSheetId="11">'2'!$A$1:$P$31</definedName>
    <definedName name="_xlnm.Print_Area" localSheetId="23">'20'!$A$1:$L$80</definedName>
    <definedName name="_xlnm.Print_Area" localSheetId="24">'21'!$A$1:$U$52</definedName>
    <definedName name="_xlnm.Print_Area" localSheetId="25">'22'!$B$1:$K$42</definedName>
    <definedName name="_xlnm.Print_Area" localSheetId="27">'23'!$A$1:$L$45</definedName>
    <definedName name="_xlnm.Print_Area" localSheetId="28">'24'!$A$1:$R$60</definedName>
    <definedName name="_xlnm.Print_Area" localSheetId="29">'25'!$A$1:$AA$40</definedName>
    <definedName name="_xlnm.Print_Area" localSheetId="30">'26'!$A$1:$R$54</definedName>
    <definedName name="_xlnm.Print_Area" localSheetId="31">'27'!$A$1:$K$38</definedName>
    <definedName name="_xlnm.Print_Area" localSheetId="32">'28'!$A$2:$Y$51</definedName>
    <definedName name="_xlnm.Print_Area" localSheetId="33">'29'!$A$1:$P$51</definedName>
    <definedName name="_xlnm.Print_Area" localSheetId="12">'3'!$A$1:$I$35</definedName>
    <definedName name="_xlnm.Print_Area" localSheetId="34">'30'!$A$1:$M$42</definedName>
    <definedName name="_xlnm.Print_Area" localSheetId="35">'31'!$A$1:$Q$43</definedName>
    <definedName name="_xlnm.Print_Area" localSheetId="36">'32'!$A$1:$N$47</definedName>
    <definedName name="_xlnm.Print_Area" localSheetId="37">'33'!$A$1:$N$25</definedName>
    <definedName name="_xlnm.Print_Area" localSheetId="38">'34'!$A$1:$N$31</definedName>
    <definedName name="_xlnm.Print_Area" localSheetId="39">'35'!$A$1:$I$25</definedName>
    <definedName name="_xlnm.Print_Area" localSheetId="40">'36'!$A$1:$I$27</definedName>
    <definedName name="_xlnm.Print_Area" localSheetId="42">'38'!$A$1:$I$25</definedName>
    <definedName name="_xlnm.Print_Area" localSheetId="43">'39'!$A$1:$I$24</definedName>
    <definedName name="_xlnm.Print_Area" localSheetId="13">'4'!$A$1:$J$33</definedName>
    <definedName name="_xlnm.Print_Area" localSheetId="45">'41'!$A$1:$I$25</definedName>
    <definedName name="_xlnm.Print_Area" localSheetId="46">'42-43'!$C$2:$N$68</definedName>
    <definedName name="_xlnm.Print_Area" localSheetId="48">'44'!$A$1:$J$21</definedName>
    <definedName name="_xlnm.Print_Area" localSheetId="26">'50'!$A$1:$N$13</definedName>
    <definedName name="_xlnm.Print_Area" localSheetId="1">'94'!$C$467:$P$478</definedName>
    <definedName name="_xlnm.Print_Area" localSheetId="2">'95'!$B$1:$R$553</definedName>
    <definedName name="_xlnm.Print_Area" localSheetId="3">'97'!$D:$V</definedName>
    <definedName name="_xlnm.Print_Area" localSheetId="4">'98'!$A$1:$V$560</definedName>
    <definedName name="_xlnm.Print_Area" localSheetId="54">Sheet1!$A$1:$K$31</definedName>
    <definedName name="_xlnm.Print_Area" localSheetId="52">Sheet2!$A$1:$V$42</definedName>
    <definedName name="_xlnm.Print_Area" localSheetId="6">'سود و زیان'!$A$1:$I$33</definedName>
    <definedName name="_xlnm.Print_Area" localSheetId="8">'صورت تغییرات در حقوق مالکانه'!$A$1:$O$28</definedName>
    <definedName name="_xlnm.Print_Area" localSheetId="9">'صورت جریان نقدی'!$A$1:$J$33</definedName>
    <definedName name="_xlnm.Print_Area" localSheetId="47">نسبتها!$S$2:$W$4</definedName>
    <definedName name="_xlnm.Print_Titles" localSheetId="0">'1402'!$2:$3</definedName>
    <definedName name="_xlnm.Print_Titles" localSheetId="1">'94'!$1:$2</definedName>
    <definedName name="_xlnm.Print_Titles" localSheetId="2">'95'!$1:$2</definedName>
    <definedName name="_xlnm.Print_Titles" localSheetId="5">'96'!$1:$2</definedName>
    <definedName name="_xlnm.Print_Titles" localSheetId="3">'97'!$1:$2</definedName>
    <definedName name="_xlnm.Print_Titles" localSheetId="4">'98'!$1:$2</definedName>
  </definedNames>
  <calcPr calcId="145621"/>
  <fileRecoveryPr autoRecover="0"/>
</workbook>
</file>

<file path=xl/calcChain.xml><?xml version="1.0" encoding="utf-8"?>
<calcChain xmlns="http://schemas.openxmlformats.org/spreadsheetml/2006/main">
  <c r="P457" i="175" l="1"/>
  <c r="O9" i="164"/>
  <c r="O10" i="164"/>
  <c r="O11" i="164"/>
  <c r="T27" i="129" l="1"/>
  <c r="L12" i="164"/>
  <c r="J68" i="43"/>
  <c r="J42" i="161" l="1"/>
  <c r="J41" i="161"/>
  <c r="K40" i="161"/>
  <c r="K36" i="161"/>
  <c r="K31" i="161"/>
  <c r="J23" i="161"/>
  <c r="K22" i="161"/>
  <c r="K16" i="161"/>
  <c r="K41" i="161" l="1"/>
  <c r="K42" i="161" s="1"/>
  <c r="K23" i="161"/>
  <c r="I30" i="150"/>
  <c r="K30" i="150" s="1"/>
  <c r="K32" i="150" s="1"/>
  <c r="F31" i="150"/>
  <c r="F32" i="150"/>
  <c r="I32" i="150"/>
  <c r="J32" i="150"/>
  <c r="L32" i="150"/>
  <c r="M32" i="150"/>
  <c r="K33" i="150"/>
  <c r="I33" i="150" s="1"/>
  <c r="I38" i="150" s="1"/>
  <c r="J35" i="150"/>
  <c r="K36" i="150"/>
  <c r="I36" i="150" s="1"/>
  <c r="I37" i="150"/>
  <c r="K37" i="150"/>
  <c r="L38" i="150"/>
  <c r="M38" i="150"/>
  <c r="L40" i="150"/>
  <c r="M40" i="150"/>
  <c r="K40" i="150" l="1"/>
  <c r="K38" i="150"/>
  <c r="I40" i="150"/>
  <c r="I18" i="203"/>
  <c r="L36" i="43"/>
  <c r="N25" i="202"/>
  <c r="N30" i="202"/>
  <c r="H21" i="162"/>
  <c r="G20" i="44"/>
  <c r="Q18" i="44"/>
  <c r="G19" i="44"/>
  <c r="O19" i="44" s="1"/>
  <c r="T32" i="129" l="1"/>
  <c r="Q9" i="44" l="1"/>
  <c r="M23" i="48"/>
  <c r="L23" i="48"/>
  <c r="O334" i="175"/>
  <c r="P27" i="58" l="1"/>
  <c r="K34" i="197" l="1"/>
  <c r="G41" i="57" l="1"/>
  <c r="E24" i="164"/>
  <c r="L48" i="43" l="1"/>
  <c r="N24" i="202" l="1"/>
  <c r="N26" i="202"/>
  <c r="N29" i="202"/>
  <c r="N31" i="202"/>
  <c r="M33" i="197" l="1"/>
  <c r="O33" i="197" s="1"/>
  <c r="M26" i="197"/>
  <c r="M25" i="197"/>
  <c r="J14" i="166" l="1"/>
  <c r="U17" i="44"/>
  <c r="N20" i="50" l="1"/>
  <c r="J19" i="166" l="1"/>
  <c r="K26" i="197" l="1"/>
  <c r="H30" i="65" l="1"/>
  <c r="K18" i="48" l="1"/>
  <c r="Q16" i="44" l="1"/>
  <c r="M9" i="44"/>
  <c r="M16" i="44" s="1"/>
  <c r="G9" i="44"/>
  <c r="I9" i="44"/>
  <c r="K9" i="44"/>
  <c r="M31" i="44"/>
  <c r="M30" i="44"/>
  <c r="I30" i="44"/>
  <c r="G30" i="44"/>
  <c r="P43" i="201" l="1"/>
  <c r="J74" i="43" l="1"/>
  <c r="J32" i="129" l="1"/>
  <c r="J54" i="65" l="1"/>
  <c r="L29" i="65"/>
  <c r="J29" i="65"/>
  <c r="J11" i="65"/>
  <c r="G30" i="65" l="1"/>
  <c r="F30" i="65"/>
  <c r="L11" i="65"/>
  <c r="H19" i="65"/>
  <c r="F19" i="65"/>
  <c r="G19" i="65"/>
  <c r="H23" i="50" l="1"/>
  <c r="N17" i="50"/>
  <c r="N15" i="50"/>
  <c r="O29" i="197" l="1"/>
  <c r="O30" i="197"/>
  <c r="O31" i="197"/>
  <c r="O32" i="197"/>
  <c r="O34" i="197"/>
  <c r="O28" i="197"/>
  <c r="O27" i="197"/>
  <c r="O26" i="197"/>
  <c r="O25" i="197"/>
  <c r="O24" i="197"/>
  <c r="S17" i="44"/>
  <c r="U435" i="175"/>
  <c r="AA435" i="175" s="1"/>
  <c r="AB435" i="175" s="1"/>
  <c r="I12" i="81"/>
  <c r="U32" i="175"/>
  <c r="W32" i="175" s="1"/>
  <c r="W435" i="175" l="1"/>
  <c r="AA32" i="175"/>
  <c r="AB32" i="175" s="1"/>
  <c r="X79" i="175" l="1"/>
  <c r="X80" i="175"/>
  <c r="U80" i="175"/>
  <c r="AA80" i="175" s="1"/>
  <c r="AB80" i="175" s="1"/>
  <c r="U79" i="175"/>
  <c r="W79" i="175" s="1"/>
  <c r="W80" i="175" l="1"/>
  <c r="P41" i="51" s="1"/>
  <c r="AA79" i="175"/>
  <c r="AB79" i="175" s="1"/>
  <c r="N53" i="50" l="1"/>
  <c r="K16" i="44" l="1"/>
  <c r="I16" i="44"/>
  <c r="G16" i="44"/>
  <c r="K30" i="57" l="1"/>
  <c r="X418" i="175" l="1"/>
  <c r="U418" i="175"/>
  <c r="W418" i="175" s="1"/>
  <c r="AA418" i="175" l="1"/>
  <c r="AB418" i="175" s="1"/>
  <c r="K20" i="57" l="1"/>
  <c r="K19" i="57"/>
  <c r="K27" i="44" l="1"/>
  <c r="K30" i="44" s="1"/>
  <c r="C22" i="194" l="1"/>
  <c r="C23" i="194" s="1"/>
  <c r="C12" i="194"/>
  <c r="C17" i="193"/>
  <c r="C13" i="192"/>
  <c r="C12" i="192"/>
  <c r="C22" i="190"/>
  <c r="C16" i="191" s="1"/>
  <c r="C17" i="190"/>
  <c r="C9" i="190"/>
  <c r="C12" i="187"/>
  <c r="C19" i="178"/>
  <c r="C14" i="178"/>
  <c r="C17" i="192" l="1"/>
  <c r="C18" i="192" s="1"/>
  <c r="C15" i="187"/>
  <c r="C10" i="190" s="1"/>
  <c r="C11" i="190" s="1"/>
  <c r="C12" i="190" s="1"/>
  <c r="D12" i="187"/>
  <c r="C12" i="178"/>
  <c r="C13" i="178" s="1"/>
  <c r="C19" i="192" l="1"/>
  <c r="C20" i="192" s="1"/>
  <c r="C10" i="193" s="1"/>
  <c r="C13" i="193" s="1"/>
  <c r="G31" i="57" l="1"/>
  <c r="R31" i="57"/>
  <c r="N31" i="57"/>
  <c r="T29" i="58" l="1"/>
  <c r="J36" i="149" l="1"/>
  <c r="M28" i="201" l="1"/>
  <c r="N47" i="50" l="1"/>
  <c r="M39" i="48" l="1"/>
  <c r="I55" i="65" l="1"/>
  <c r="N28" i="50" l="1"/>
  <c r="X325" i="175" l="1"/>
  <c r="U325" i="175"/>
  <c r="W325" i="175" s="1"/>
  <c r="AA325" i="175" l="1"/>
  <c r="AB325" i="175" s="1"/>
  <c r="M27" i="49" l="1"/>
  <c r="K27" i="49"/>
  <c r="Q38" i="48"/>
  <c r="Q39" i="48" s="1"/>
  <c r="Q42" i="48"/>
  <c r="Q44" i="48"/>
  <c r="Q41" i="48"/>
  <c r="S22" i="44" l="1"/>
  <c r="E22" i="190" l="1"/>
  <c r="E12" i="187"/>
  <c r="E12" i="192"/>
  <c r="H18" i="182" l="1"/>
  <c r="E19" i="178"/>
  <c r="I455" i="175" l="1"/>
  <c r="U7" i="197" l="1"/>
  <c r="K40" i="79"/>
  <c r="V47" i="129" l="1"/>
  <c r="X46" i="129"/>
  <c r="T47" i="129"/>
  <c r="O20" i="164" l="1"/>
  <c r="O21" i="164"/>
  <c r="U136" i="175" l="1"/>
  <c r="AA136" i="175" s="1"/>
  <c r="AB136" i="175" s="1"/>
  <c r="U31" i="175"/>
  <c r="W31" i="175" s="1"/>
  <c r="J18" i="43" s="1"/>
  <c r="X244" i="175"/>
  <c r="U244" i="175"/>
  <c r="AA244" i="175" s="1"/>
  <c r="AB244" i="175" s="1"/>
  <c r="U128" i="175"/>
  <c r="W128" i="175" s="1"/>
  <c r="U152" i="175"/>
  <c r="AA152" i="175" s="1"/>
  <c r="AB152" i="175" s="1"/>
  <c r="U129" i="175"/>
  <c r="W129" i="175" s="1"/>
  <c r="W136" i="175" l="1"/>
  <c r="AA31" i="175"/>
  <c r="AB31" i="175" s="1"/>
  <c r="W244" i="175"/>
  <c r="AA128" i="175"/>
  <c r="AB128" i="175" s="1"/>
  <c r="W152" i="175"/>
  <c r="AA129" i="175"/>
  <c r="AB129" i="175" s="1"/>
  <c r="U213" i="175"/>
  <c r="E13" i="192" l="1"/>
  <c r="F16" i="192"/>
  <c r="G16" i="192" s="1"/>
  <c r="D12" i="192"/>
  <c r="F10" i="191"/>
  <c r="G10" i="191" s="1"/>
  <c r="D22" i="190"/>
  <c r="D19" i="178"/>
  <c r="F10" i="187"/>
  <c r="G10" i="187" s="1"/>
  <c r="F21" i="178"/>
  <c r="G21" i="178" s="1"/>
  <c r="H11" i="162" l="1"/>
  <c r="J19" i="59" l="1"/>
  <c r="K24" i="57"/>
  <c r="K16" i="57"/>
  <c r="K13" i="57"/>
  <c r="X569" i="175"/>
  <c r="U368" i="175"/>
  <c r="X506" i="175"/>
  <c r="X97" i="175"/>
  <c r="X45" i="175"/>
  <c r="X27" i="175"/>
  <c r="X199" i="175"/>
  <c r="X104" i="175"/>
  <c r="X105" i="175"/>
  <c r="X10" i="175"/>
  <c r="X11" i="175"/>
  <c r="M18" i="203"/>
  <c r="L18" i="203"/>
  <c r="AA31" i="197" l="1"/>
  <c r="AA26" i="197"/>
  <c r="AA25" i="197"/>
  <c r="I37" i="81"/>
  <c r="L74" i="43"/>
  <c r="N9" i="106"/>
  <c r="U16" i="44" l="1"/>
  <c r="O13" i="44"/>
  <c r="O14" i="44"/>
  <c r="O11" i="44"/>
  <c r="J24" i="44"/>
  <c r="H24" i="44"/>
  <c r="F24" i="44"/>
  <c r="G24" i="44"/>
  <c r="R17" i="57"/>
  <c r="B33" i="181"/>
  <c r="K33" i="174"/>
  <c r="F7" i="162"/>
  <c r="A3" i="182"/>
  <c r="C37" i="65"/>
  <c r="B3" i="194"/>
  <c r="B3" i="193"/>
  <c r="B3" i="192"/>
  <c r="B3" i="191"/>
  <c r="B3" i="190"/>
  <c r="B3" i="187"/>
  <c r="B3" i="178"/>
  <c r="A3" i="203"/>
  <c r="A3" i="150"/>
  <c r="A3" i="149"/>
  <c r="A3" i="181"/>
  <c r="A3" i="174"/>
  <c r="A3" i="202"/>
  <c r="A4" i="129"/>
  <c r="A3" i="54"/>
  <c r="A3" i="197"/>
  <c r="A3" i="51"/>
  <c r="A3" i="166"/>
  <c r="A3" i="81"/>
  <c r="A3" i="79"/>
  <c r="A3" i="43"/>
  <c r="A3" i="106"/>
  <c r="A3" i="50"/>
  <c r="A3" i="49"/>
  <c r="D3" i="48"/>
  <c r="A3" i="44"/>
  <c r="A3" i="59"/>
  <c r="A3" i="58"/>
  <c r="A3" i="57"/>
  <c r="C4" i="162"/>
  <c r="B3" i="164"/>
  <c r="A3" i="160"/>
  <c r="U5" i="175" l="1"/>
  <c r="W5" i="175" s="1"/>
  <c r="W606" i="175" l="1"/>
  <c r="I31" i="161"/>
  <c r="O8" i="164"/>
  <c r="O12" i="164" s="1"/>
  <c r="AA606" i="175" l="1"/>
  <c r="AB606" i="175" s="1"/>
  <c r="S21" i="44"/>
  <c r="P48" i="50"/>
  <c r="P53" i="50"/>
  <c r="U21" i="44" s="1"/>
  <c r="F20" i="187" l="1"/>
  <c r="F19" i="190"/>
  <c r="F20" i="191"/>
  <c r="F19" i="193"/>
  <c r="K11" i="57" l="1"/>
  <c r="G29" i="161" l="1"/>
  <c r="M16" i="150" l="1"/>
  <c r="L20" i="203" l="1"/>
  <c r="M20" i="203"/>
  <c r="L18" i="150"/>
  <c r="K18" i="150"/>
  <c r="L16" i="150"/>
  <c r="K16" i="150"/>
  <c r="L13" i="43"/>
  <c r="M21" i="203" l="1"/>
  <c r="L21" i="203"/>
  <c r="G14" i="54" l="1"/>
  <c r="G31" i="54"/>
  <c r="G33" i="54" s="1"/>
  <c r="E22" i="54" s="1"/>
  <c r="P25" i="201" l="1"/>
  <c r="S16" i="44" l="1"/>
  <c r="W13" i="44"/>
  <c r="P16" i="202"/>
  <c r="P11" i="202"/>
  <c r="N8" i="202" s="1"/>
  <c r="A2" i="202"/>
  <c r="F19" i="178" l="1"/>
  <c r="AA17" i="49" l="1"/>
  <c r="AA18" i="49" s="1"/>
  <c r="AA21" i="49"/>
  <c r="L29" i="50" l="1"/>
  <c r="L23" i="50"/>
  <c r="L30" i="50" l="1"/>
  <c r="Y27" i="49"/>
  <c r="Y18" i="49"/>
  <c r="Y28" i="49" l="1"/>
  <c r="F22" i="178"/>
  <c r="G22" i="178" s="1"/>
  <c r="F23" i="178"/>
  <c r="G23" i="178" s="1"/>
  <c r="F20" i="178"/>
  <c r="G20" i="178" s="1"/>
  <c r="F16" i="178"/>
  <c r="G16" i="178" s="1"/>
  <c r="F17" i="178"/>
  <c r="G17" i="178" s="1"/>
  <c r="F18" i="178"/>
  <c r="G18" i="178" s="1"/>
  <c r="F15" i="178"/>
  <c r="G15" i="178" s="1"/>
  <c r="F22" i="190"/>
  <c r="G22" i="190" s="1"/>
  <c r="F20" i="190"/>
  <c r="G20" i="190" s="1"/>
  <c r="F21" i="190"/>
  <c r="G21" i="190" s="1"/>
  <c r="F18" i="190"/>
  <c r="G18" i="190" s="1"/>
  <c r="F11" i="191"/>
  <c r="G11" i="191" s="1"/>
  <c r="F12" i="191"/>
  <c r="G12" i="191" s="1"/>
  <c r="F13" i="191"/>
  <c r="G13" i="191" s="1"/>
  <c r="F14" i="191"/>
  <c r="G14" i="191" s="1"/>
  <c r="F15" i="191"/>
  <c r="G15" i="191" s="1"/>
  <c r="F17" i="191"/>
  <c r="G17" i="191" s="1"/>
  <c r="F18" i="191"/>
  <c r="G18" i="191" s="1"/>
  <c r="F19" i="191"/>
  <c r="G19" i="191" s="1"/>
  <c r="G20" i="191"/>
  <c r="F21" i="191"/>
  <c r="G21" i="191" s="1"/>
  <c r="F22" i="191"/>
  <c r="G22" i="191" s="1"/>
  <c r="F23" i="191"/>
  <c r="G23" i="191" s="1"/>
  <c r="F9" i="191"/>
  <c r="G9" i="191" s="1"/>
  <c r="F9" i="192"/>
  <c r="G9" i="192" s="1"/>
  <c r="F10" i="192"/>
  <c r="G10" i="192" s="1"/>
  <c r="F11" i="192"/>
  <c r="G11" i="192" s="1"/>
  <c r="F14" i="192"/>
  <c r="G14" i="192" s="1"/>
  <c r="F15" i="192"/>
  <c r="G15" i="192" s="1"/>
  <c r="F21" i="192"/>
  <c r="F22" i="192"/>
  <c r="F8" i="192"/>
  <c r="G8" i="192" s="1"/>
  <c r="F14" i="193"/>
  <c r="F13" i="194"/>
  <c r="F16" i="194"/>
  <c r="G16" i="194" s="1"/>
  <c r="F20" i="194"/>
  <c r="G20" i="194" s="1"/>
  <c r="F21" i="194"/>
  <c r="G21" i="194" s="1"/>
  <c r="F9" i="194"/>
  <c r="G9" i="194" s="1"/>
  <c r="G19" i="190"/>
  <c r="F25" i="187"/>
  <c r="G25" i="187" s="1"/>
  <c r="F24" i="187"/>
  <c r="G24" i="187" s="1"/>
  <c r="F23" i="187"/>
  <c r="G23" i="187" s="1"/>
  <c r="F22" i="187"/>
  <c r="G22" i="187" s="1"/>
  <c r="F21" i="187"/>
  <c r="G21" i="187" s="1"/>
  <c r="G20" i="187"/>
  <c r="F19" i="187"/>
  <c r="G19" i="187" s="1"/>
  <c r="F18" i="187"/>
  <c r="G18" i="187" s="1"/>
  <c r="F17" i="187"/>
  <c r="G17" i="187" s="1"/>
  <c r="F16" i="187"/>
  <c r="G16" i="187" s="1"/>
  <c r="F13" i="187"/>
  <c r="F14" i="187"/>
  <c r="F11" i="187"/>
  <c r="G11" i="187" s="1"/>
  <c r="F9" i="187"/>
  <c r="G9" i="187" s="1"/>
  <c r="F12" i="187" l="1"/>
  <c r="U10" i="175"/>
  <c r="W10" i="175" s="1"/>
  <c r="O33" i="44" l="1"/>
  <c r="O34" i="44"/>
  <c r="W33" i="44" l="1"/>
  <c r="W34" i="44"/>
  <c r="J31" i="161" l="1"/>
  <c r="J40" i="161"/>
  <c r="W11" i="44" l="1"/>
  <c r="K29" i="57" l="1"/>
  <c r="K28" i="57"/>
  <c r="M18" i="49" l="1"/>
  <c r="M14" i="49"/>
  <c r="M28" i="49" l="1"/>
  <c r="K18" i="49"/>
  <c r="K14" i="49"/>
  <c r="K28" i="49" l="1"/>
  <c r="G55" i="65" l="1"/>
  <c r="I58" i="65" l="1"/>
  <c r="J58" i="65" s="1"/>
  <c r="AA24" i="197" l="1"/>
  <c r="AA34" i="197" l="1"/>
  <c r="AA35" i="197" s="1"/>
  <c r="S35" i="197"/>
  <c r="G35" i="197"/>
  <c r="W16" i="197" l="1"/>
  <c r="U6" i="197" s="1"/>
  <c r="J29" i="50" l="1"/>
  <c r="H29" i="50"/>
  <c r="X454" i="175" l="1"/>
  <c r="U454" i="175"/>
  <c r="W454" i="175" s="1"/>
  <c r="N26" i="201" s="1"/>
  <c r="E12" i="54" s="1"/>
  <c r="AA454" i="175" l="1"/>
  <c r="AB454" i="175" s="1"/>
  <c r="U560" i="175"/>
  <c r="W560" i="175" s="1"/>
  <c r="X560" i="175"/>
  <c r="AA560" i="175" l="1"/>
  <c r="AB560" i="175" s="1"/>
  <c r="A1" i="197"/>
  <c r="A2" i="197"/>
  <c r="R52" i="201" l="1"/>
  <c r="P52" i="201"/>
  <c r="R26" i="201"/>
  <c r="R28" i="201" s="1"/>
  <c r="L26" i="201"/>
  <c r="P24" i="201"/>
  <c r="S22" i="201"/>
  <c r="R14" i="201"/>
  <c r="N14" i="201"/>
  <c r="L14" i="201"/>
  <c r="J14" i="201"/>
  <c r="P13" i="201"/>
  <c r="P12" i="201"/>
  <c r="P11" i="201"/>
  <c r="P10" i="201"/>
  <c r="P9" i="201"/>
  <c r="S24" i="201"/>
  <c r="N28" i="201" l="1"/>
  <c r="P23" i="201"/>
  <c r="P26" i="201" s="1"/>
  <c r="G68" i="51"/>
  <c r="G69" i="51"/>
  <c r="G70" i="51"/>
  <c r="G71" i="51"/>
  <c r="G72" i="51"/>
  <c r="G73" i="51"/>
  <c r="G74" i="51"/>
  <c r="G75" i="51"/>
  <c r="A64" i="51"/>
  <c r="W35" i="197"/>
  <c r="U35" i="197"/>
  <c r="Q35" i="197"/>
  <c r="M35" i="197"/>
  <c r="E35" i="197"/>
  <c r="I35" i="197"/>
  <c r="K35" i="197"/>
  <c r="Y35" i="197" l="1"/>
  <c r="Q76" i="51"/>
  <c r="P118" i="51" l="1"/>
  <c r="P117" i="51"/>
  <c r="P105" i="51"/>
  <c r="P103" i="51"/>
  <c r="P107" i="51"/>
  <c r="P104" i="51"/>
  <c r="N108" i="51"/>
  <c r="R56" i="51"/>
  <c r="P75" i="51" l="1"/>
  <c r="R75" i="51" s="1"/>
  <c r="R69" i="51"/>
  <c r="R70" i="51"/>
  <c r="R71" i="51"/>
  <c r="R72" i="51"/>
  <c r="R73" i="51"/>
  <c r="R74" i="51"/>
  <c r="R68" i="51"/>
  <c r="L76" i="51"/>
  <c r="N76" i="51"/>
  <c r="J76" i="51"/>
  <c r="E68" i="51"/>
  <c r="P76" i="51" l="1"/>
  <c r="R76" i="51"/>
  <c r="L108" i="51"/>
  <c r="L119" i="51"/>
  <c r="L121" i="51" s="1"/>
  <c r="N119" i="51"/>
  <c r="N46" i="51" l="1"/>
  <c r="N47" i="51" s="1"/>
  <c r="E69" i="51"/>
  <c r="E76" i="51" l="1"/>
  <c r="I139" i="51"/>
  <c r="Q45" i="48" l="1"/>
  <c r="Q46" i="48"/>
  <c r="J107" i="59"/>
  <c r="I33" i="79" l="1"/>
  <c r="G33" i="79"/>
  <c r="K33" i="79" l="1"/>
  <c r="R94" i="51"/>
  <c r="X213" i="175" l="1"/>
  <c r="W213" i="175"/>
  <c r="AA213" i="175" l="1"/>
  <c r="AB213" i="175" s="1"/>
  <c r="L61" i="43" l="1"/>
  <c r="H29" i="58" l="1"/>
  <c r="D28" i="58"/>
  <c r="F28" i="58"/>
  <c r="A2" i="79" l="1"/>
  <c r="A1" i="79"/>
  <c r="M42" i="79" l="1"/>
  <c r="O42" i="79"/>
  <c r="K34" i="79"/>
  <c r="K35" i="79"/>
  <c r="K36" i="79"/>
  <c r="K37" i="79"/>
  <c r="K38" i="79"/>
  <c r="K39" i="79"/>
  <c r="K41" i="79"/>
  <c r="G42" i="79"/>
  <c r="I42" i="79"/>
  <c r="E42" i="79"/>
  <c r="K42" i="79" l="1"/>
  <c r="Q38" i="79"/>
  <c r="S38" i="79" s="1"/>
  <c r="Q39" i="79"/>
  <c r="Q34" i="79"/>
  <c r="S34" i="79" s="1"/>
  <c r="Q35" i="79"/>
  <c r="S35" i="79" s="1"/>
  <c r="Q36" i="79"/>
  <c r="S36" i="79" s="1"/>
  <c r="Q33" i="79"/>
  <c r="S33" i="79" s="1"/>
  <c r="Q37" i="79"/>
  <c r="S37" i="79" s="1"/>
  <c r="S42" i="79" l="1"/>
  <c r="Q42" i="79"/>
  <c r="S30" i="79"/>
  <c r="Q26" i="79" s="1"/>
  <c r="S20" i="79" l="1"/>
  <c r="V18" i="129"/>
  <c r="V20" i="129" l="1"/>
  <c r="T13" i="129"/>
  <c r="L27" i="43"/>
  <c r="P29" i="50" l="1"/>
  <c r="K39" i="48" l="1"/>
  <c r="H55" i="65"/>
  <c r="J55" i="65" s="1"/>
  <c r="L55" i="65" s="1"/>
  <c r="L58" i="65"/>
  <c r="L54" i="65"/>
  <c r="L10" i="149" l="1"/>
  <c r="L11" i="149" s="1"/>
  <c r="L12" i="149" s="1"/>
  <c r="J10" i="149"/>
  <c r="J8" i="149"/>
  <c r="J11" i="149" l="1"/>
  <c r="J12" i="149" s="1"/>
  <c r="H30" i="50"/>
  <c r="J23" i="50"/>
  <c r="J30" i="50" s="1"/>
  <c r="N14" i="50"/>
  <c r="N16" i="50"/>
  <c r="N18" i="50"/>
  <c r="N19" i="50"/>
  <c r="N21" i="50"/>
  <c r="N22" i="50"/>
  <c r="N13" i="50"/>
  <c r="N12" i="50"/>
  <c r="N10" i="50" l="1"/>
  <c r="AA26" i="49" l="1"/>
  <c r="AA25" i="49"/>
  <c r="AA22" i="49"/>
  <c r="AA20" i="49"/>
  <c r="U14" i="49"/>
  <c r="AA12" i="49"/>
  <c r="I27" i="49"/>
  <c r="I18" i="49"/>
  <c r="I14" i="49"/>
  <c r="I28" i="49" l="1"/>
  <c r="AA23" i="49"/>
  <c r="AA27" i="49" s="1"/>
  <c r="AA24" i="49"/>
  <c r="AA13" i="49"/>
  <c r="AA14" i="49" s="1"/>
  <c r="U27" i="49"/>
  <c r="U28" i="49" s="1"/>
  <c r="S27" i="49"/>
  <c r="S18" i="49"/>
  <c r="S14" i="49"/>
  <c r="Q27" i="49"/>
  <c r="Q18" i="49"/>
  <c r="Q14" i="49"/>
  <c r="O27" i="49"/>
  <c r="O18" i="49"/>
  <c r="O14" i="49"/>
  <c r="G27" i="49"/>
  <c r="G18" i="49"/>
  <c r="G14" i="49"/>
  <c r="S28" i="49" l="1"/>
  <c r="Q28" i="49"/>
  <c r="O28" i="49"/>
  <c r="G28" i="49"/>
  <c r="AA28" i="49" l="1"/>
  <c r="H16" i="182"/>
  <c r="H15" i="182"/>
  <c r="F8" i="182"/>
  <c r="O14" i="164" l="1"/>
  <c r="O17" i="164" s="1"/>
  <c r="K27" i="57"/>
  <c r="K25" i="57"/>
  <c r="R46" i="48" l="1"/>
  <c r="X45" i="129" l="1"/>
  <c r="X47" i="129" s="1"/>
  <c r="G9" i="182" l="1"/>
  <c r="G37" i="81" l="1"/>
  <c r="U4" i="175" l="1"/>
  <c r="U11" i="175"/>
  <c r="W11" i="175" s="1"/>
  <c r="AA11" i="175" l="1"/>
  <c r="AB11" i="175" s="1"/>
  <c r="F12" i="192" l="1"/>
  <c r="T27" i="58"/>
  <c r="B30" i="162" l="1"/>
  <c r="U97" i="175" l="1"/>
  <c r="AA97" i="175" s="1"/>
  <c r="AB97" i="175" s="1"/>
  <c r="W97" i="175" l="1"/>
  <c r="E15" i="194" l="1"/>
  <c r="F15" i="194" s="1"/>
  <c r="G15" i="194" s="1"/>
  <c r="E19" i="194"/>
  <c r="E18" i="194"/>
  <c r="F18" i="194" s="1"/>
  <c r="G18" i="194" s="1"/>
  <c r="E17" i="194"/>
  <c r="F17" i="194" s="1"/>
  <c r="G17" i="194" s="1"/>
  <c r="E14" i="194"/>
  <c r="F14" i="194" l="1"/>
  <c r="G14" i="194" s="1"/>
  <c r="E22" i="194"/>
  <c r="E23" i="194" s="1"/>
  <c r="F19" i="194"/>
  <c r="G19" i="194" s="1"/>
  <c r="G16" i="182" l="1"/>
  <c r="F17" i="182"/>
  <c r="G17" i="182" s="1"/>
  <c r="H17" i="182" s="1"/>
  <c r="F18" i="182"/>
  <c r="G18" i="182" s="1"/>
  <c r="G15" i="182"/>
  <c r="N8" i="106" l="1"/>
  <c r="N7" i="106"/>
  <c r="P36" i="48" l="1"/>
  <c r="E9" i="190" l="1"/>
  <c r="D9" i="190"/>
  <c r="F9" i="190" l="1"/>
  <c r="G9" i="190" s="1"/>
  <c r="C19" i="196"/>
  <c r="C24" i="196" l="1"/>
  <c r="B24" i="196"/>
  <c r="C23" i="196"/>
  <c r="B23" i="196"/>
  <c r="C22" i="196"/>
  <c r="B22" i="196"/>
  <c r="C18" i="196"/>
  <c r="C17" i="196"/>
  <c r="C16" i="196"/>
  <c r="C14" i="196"/>
  <c r="C11" i="196"/>
  <c r="C10" i="196"/>
  <c r="C7" i="196"/>
  <c r="E30" i="196"/>
  <c r="G29" i="196"/>
  <c r="I29" i="196" s="1"/>
  <c r="G28" i="196"/>
  <c r="K28" i="196" s="1"/>
  <c r="K30" i="196" s="1"/>
  <c r="G27" i="196"/>
  <c r="G26" i="196"/>
  <c r="G25" i="196"/>
  <c r="I25" i="196" s="1"/>
  <c r="C21" i="196"/>
  <c r="B21" i="196"/>
  <c r="C20" i="196"/>
  <c r="B20" i="196"/>
  <c r="J15" i="196"/>
  <c r="J14" i="196"/>
  <c r="F30" i="196"/>
  <c r="D24" i="196" l="1"/>
  <c r="G24" i="196" s="1"/>
  <c r="D21" i="196"/>
  <c r="G21" i="196" s="1"/>
  <c r="I21" i="196" s="1"/>
  <c r="D22" i="196"/>
  <c r="G22" i="196" s="1"/>
  <c r="D23" i="196"/>
  <c r="G23" i="196" s="1"/>
  <c r="D20" i="196"/>
  <c r="G20" i="196" s="1"/>
  <c r="I20" i="196" s="1"/>
  <c r="V33" i="129"/>
  <c r="U104" i="175" l="1"/>
  <c r="AA104" i="175" s="1"/>
  <c r="AB104" i="175" s="1"/>
  <c r="U105" i="175"/>
  <c r="AA105" i="175" s="1"/>
  <c r="AB105" i="175" s="1"/>
  <c r="U108" i="175"/>
  <c r="W108" i="175" s="1"/>
  <c r="X553" i="175"/>
  <c r="U553" i="175"/>
  <c r="W553" i="175" s="1"/>
  <c r="U506" i="175"/>
  <c r="W506" i="175" s="1"/>
  <c r="W104" i="175" l="1"/>
  <c r="W105" i="175"/>
  <c r="AA108" i="175"/>
  <c r="AB108" i="175" s="1"/>
  <c r="AA553" i="175"/>
  <c r="AB553" i="175" s="1"/>
  <c r="AA506" i="175"/>
  <c r="AB506" i="175" s="1"/>
  <c r="U264" i="175"/>
  <c r="AA264" i="175" s="1"/>
  <c r="AB264" i="175" s="1"/>
  <c r="U45" i="175"/>
  <c r="AA45" i="175" s="1"/>
  <c r="AB45" i="175" s="1"/>
  <c r="U27" i="175"/>
  <c r="AA27" i="175" s="1"/>
  <c r="AB27" i="175" s="1"/>
  <c r="W264" i="175" l="1"/>
  <c r="W45" i="175"/>
  <c r="W27" i="175"/>
  <c r="D22" i="194"/>
  <c r="D23" i="194" s="1"/>
  <c r="F23" i="194" s="1"/>
  <c r="G23" i="194" s="1"/>
  <c r="D12" i="194"/>
  <c r="D17" i="193"/>
  <c r="D13" i="192"/>
  <c r="F13" i="192" s="1"/>
  <c r="G13" i="192" s="1"/>
  <c r="E17" i="190"/>
  <c r="D17" i="190"/>
  <c r="D16" i="191" s="1"/>
  <c r="N51" i="50"/>
  <c r="D17" i="192" l="1"/>
  <c r="E16" i="191"/>
  <c r="E17" i="192" s="1"/>
  <c r="E18" i="192" s="1"/>
  <c r="F17" i="190"/>
  <c r="G17" i="190" s="1"/>
  <c r="F22" i="194"/>
  <c r="G22" i="194" s="1"/>
  <c r="F16" i="191" l="1"/>
  <c r="G16" i="191" s="1"/>
  <c r="D18" i="192"/>
  <c r="F17" i="192" l="1"/>
  <c r="F18" i="192"/>
  <c r="G18" i="192" s="1"/>
  <c r="W37" i="44"/>
  <c r="C12" i="196" s="1"/>
  <c r="K15" i="57" l="1"/>
  <c r="X147" i="175" l="1"/>
  <c r="U590" i="175"/>
  <c r="W590" i="175" s="1"/>
  <c r="P101" i="51" l="1"/>
  <c r="P102" i="51"/>
  <c r="P100" i="51"/>
  <c r="J108" i="51"/>
  <c r="R119" i="51"/>
  <c r="P116" i="51" s="1"/>
  <c r="P119" i="51" s="1"/>
  <c r="R121" i="51" l="1"/>
  <c r="G19" i="178" l="1"/>
  <c r="E14" i="178" l="1"/>
  <c r="E15" i="187" s="1"/>
  <c r="D14" i="178"/>
  <c r="D15" i="187" s="1"/>
  <c r="D12" i="178"/>
  <c r="D13" i="178" s="1"/>
  <c r="E10" i="190" l="1"/>
  <c r="E11" i="190" s="1"/>
  <c r="E19" i="192" s="1"/>
  <c r="F14" i="178"/>
  <c r="G14" i="178" s="1"/>
  <c r="G12" i="192"/>
  <c r="A57" i="59"/>
  <c r="F15" i="187" l="1"/>
  <c r="G15" i="187" s="1"/>
  <c r="D10" i="190"/>
  <c r="G17" i="192"/>
  <c r="D11" i="190" l="1"/>
  <c r="F10" i="190"/>
  <c r="G10" i="190" s="1"/>
  <c r="D12" i="190" l="1"/>
  <c r="D19" i="192"/>
  <c r="F11" i="190"/>
  <c r="G11" i="190" s="1"/>
  <c r="P85" i="51"/>
  <c r="F19" i="192" l="1"/>
  <c r="G19" i="192" s="1"/>
  <c r="D20" i="192"/>
  <c r="D10" i="193" s="1"/>
  <c r="D13" i="193" s="1"/>
  <c r="O32" i="44" l="1"/>
  <c r="O31" i="44"/>
  <c r="O10" i="44"/>
  <c r="W10" i="44" s="1"/>
  <c r="O12" i="44"/>
  <c r="W12" i="44" s="1"/>
  <c r="W14" i="44"/>
  <c r="O15" i="44"/>
  <c r="W15" i="44" s="1"/>
  <c r="O9" i="44"/>
  <c r="M24" i="44"/>
  <c r="K24" i="44"/>
  <c r="I24" i="44"/>
  <c r="M35" i="44"/>
  <c r="K35" i="44"/>
  <c r="I35" i="44"/>
  <c r="G35" i="44"/>
  <c r="O27" i="44"/>
  <c r="W27" i="44" s="1"/>
  <c r="O28" i="44"/>
  <c r="W28" i="44" s="1"/>
  <c r="O29" i="44"/>
  <c r="W29" i="44" s="1"/>
  <c r="O26" i="44"/>
  <c r="O16" i="44" l="1"/>
  <c r="E10" i="194"/>
  <c r="E11" i="194" s="1"/>
  <c r="F11" i="194" s="1"/>
  <c r="G11" i="194" s="1"/>
  <c r="O30" i="44"/>
  <c r="O35" i="44" s="1"/>
  <c r="W26" i="44"/>
  <c r="W30" i="44" s="1"/>
  <c r="W9" i="44"/>
  <c r="H27" i="58"/>
  <c r="E12" i="194" l="1"/>
  <c r="F12" i="194" s="1"/>
  <c r="G12" i="194" s="1"/>
  <c r="F10" i="194"/>
  <c r="G10" i="194" s="1"/>
  <c r="F10" i="182"/>
  <c r="E10" i="182"/>
  <c r="H9" i="182"/>
  <c r="I9" i="182" s="1"/>
  <c r="P18" i="58" l="1"/>
  <c r="V18" i="58"/>
  <c r="Y18" i="58"/>
  <c r="L20" i="166" l="1"/>
  <c r="K20" i="166"/>
  <c r="J20" i="166" l="1"/>
  <c r="O23" i="164" l="1"/>
  <c r="P140" i="51" l="1"/>
  <c r="R140" i="51"/>
  <c r="V34" i="129" l="1"/>
  <c r="T21" i="58" l="1"/>
  <c r="L36" i="149" l="1"/>
  <c r="K593" i="175" l="1"/>
  <c r="U147" i="175" l="1"/>
  <c r="W147" i="175" s="1"/>
  <c r="X76" i="175"/>
  <c r="U76" i="175"/>
  <c r="AA76" i="175" s="1"/>
  <c r="AB76" i="175" s="1"/>
  <c r="U237" i="175"/>
  <c r="W76" i="175" l="1"/>
  <c r="J23" i="43" s="1"/>
  <c r="M31" i="161" l="1"/>
  <c r="L36" i="48" l="1"/>
  <c r="K12" i="57" l="1"/>
  <c r="K14" i="57"/>
  <c r="K10" i="57"/>
  <c r="G42" i="57" l="1"/>
  <c r="U381" i="175"/>
  <c r="X240" i="175" l="1"/>
  <c r="X243" i="175"/>
  <c r="X245" i="175"/>
  <c r="X246" i="175"/>
  <c r="X247" i="175"/>
  <c r="X249" i="175"/>
  <c r="X254" i="175"/>
  <c r="X256" i="175"/>
  <c r="X261" i="175"/>
  <c r="X250" i="175"/>
  <c r="X263" i="175"/>
  <c r="X267" i="175"/>
  <c r="X269" i="175"/>
  <c r="X251" i="175"/>
  <c r="X252" i="175"/>
  <c r="X253" i="175"/>
  <c r="X270" i="175"/>
  <c r="X458" i="175"/>
  <c r="X30" i="175"/>
  <c r="X255" i="175"/>
  <c r="X257" i="175"/>
  <c r="X258" i="175"/>
  <c r="X259" i="175"/>
  <c r="X260" i="175"/>
  <c r="X262" i="175"/>
  <c r="X265" i="175"/>
  <c r="X266" i="175"/>
  <c r="X268" i="175"/>
  <c r="X272" i="175"/>
  <c r="X271" i="175"/>
  <c r="X273" i="175"/>
  <c r="X275" i="175"/>
  <c r="X274" i="175"/>
  <c r="X276" i="175"/>
  <c r="X277" i="175"/>
  <c r="X279" i="175"/>
  <c r="X278" i="175"/>
  <c r="X280" i="175"/>
  <c r="X281" i="175"/>
  <c r="X282" i="175"/>
  <c r="X294" i="175"/>
  <c r="X283" i="175"/>
  <c r="X295" i="175"/>
  <c r="X305" i="175"/>
  <c r="X284" i="175"/>
  <c r="X311" i="175"/>
  <c r="X317" i="175"/>
  <c r="X318" i="175"/>
  <c r="X367" i="175"/>
  <c r="X285" i="175"/>
  <c r="X370" i="175"/>
  <c r="X55" i="175"/>
  <c r="X422" i="175"/>
  <c r="X423" i="175"/>
  <c r="X431" i="175"/>
  <c r="X434" i="175"/>
  <c r="X439" i="175"/>
  <c r="X441" i="175"/>
  <c r="X236" i="175"/>
  <c r="X286" i="175"/>
  <c r="X287" i="175"/>
  <c r="X442" i="175"/>
  <c r="X288" i="175"/>
  <c r="X552" i="175"/>
  <c r="X289" i="175"/>
  <c r="X290" i="175"/>
  <c r="X443" i="175"/>
  <c r="X291" i="175"/>
  <c r="X444" i="175"/>
  <c r="X449" i="175"/>
  <c r="X450" i="175"/>
  <c r="X459" i="175"/>
  <c r="X461" i="175"/>
  <c r="X292" i="175"/>
  <c r="X452" i="175"/>
  <c r="X460" i="175"/>
  <c r="X139" i="175"/>
  <c r="X472" i="175"/>
  <c r="X95" i="175"/>
  <c r="X293" i="175"/>
  <c r="X296" i="175"/>
  <c r="X297" i="175"/>
  <c r="X473" i="175"/>
  <c r="X298" i="175"/>
  <c r="X299" i="175"/>
  <c r="X462" i="175"/>
  <c r="X300" i="175"/>
  <c r="X301" i="175"/>
  <c r="X302" i="175"/>
  <c r="X303" i="175"/>
  <c r="X304" i="175"/>
  <c r="X475" i="175"/>
  <c r="X480" i="175"/>
  <c r="X306" i="175"/>
  <c r="X307" i="175"/>
  <c r="X170" i="175"/>
  <c r="X173" i="175"/>
  <c r="X482" i="175"/>
  <c r="X308" i="175"/>
  <c r="X483" i="175"/>
  <c r="X484" i="175"/>
  <c r="X485" i="175"/>
  <c r="X309" i="175"/>
  <c r="X486" i="175"/>
  <c r="X310" i="175"/>
  <c r="X312" i="175"/>
  <c r="X487" i="175"/>
  <c r="X491" i="175"/>
  <c r="X313" i="175"/>
  <c r="X314" i="175"/>
  <c r="X511" i="175"/>
  <c r="X544" i="175"/>
  <c r="X242" i="175"/>
  <c r="X66" i="175"/>
  <c r="X238" i="175"/>
  <c r="X87" i="175"/>
  <c r="X241" i="175"/>
  <c r="X464" i="175"/>
  <c r="X315" i="175"/>
  <c r="X146" i="175"/>
  <c r="X163" i="175"/>
  <c r="X39" i="175"/>
  <c r="X68" i="175"/>
  <c r="X69" i="175"/>
  <c r="X70" i="175"/>
  <c r="X24" i="175"/>
  <c r="X25" i="175"/>
  <c r="X26" i="175"/>
  <c r="X174" i="175"/>
  <c r="X42" i="175"/>
  <c r="X44" i="175"/>
  <c r="X116" i="175"/>
  <c r="X120" i="175"/>
  <c r="X175" i="175"/>
  <c r="X36" i="175"/>
  <c r="X91" i="175"/>
  <c r="X465" i="175"/>
  <c r="X122" i="175"/>
  <c r="X176" i="175"/>
  <c r="X138" i="175"/>
  <c r="X177" i="175"/>
  <c r="X157" i="175"/>
  <c r="X133" i="175"/>
  <c r="X73" i="175"/>
  <c r="X100" i="175"/>
  <c r="X137" i="175"/>
  <c r="X466" i="175"/>
  <c r="X35" i="175"/>
  <c r="X165" i="175"/>
  <c r="X166" i="175"/>
  <c r="X178" i="175"/>
  <c r="X60" i="175"/>
  <c r="X179" i="175"/>
  <c r="X94" i="175"/>
  <c r="X140" i="175"/>
  <c r="X467" i="175"/>
  <c r="X135" i="175"/>
  <c r="X468" i="175"/>
  <c r="X162" i="175"/>
  <c r="X469" i="175"/>
  <c r="X181" i="175"/>
  <c r="X183" i="175"/>
  <c r="X158" i="175"/>
  <c r="X470" i="175"/>
  <c r="X185" i="175"/>
  <c r="X186" i="175"/>
  <c r="X38" i="175"/>
  <c r="X118" i="175"/>
  <c r="X37" i="175"/>
  <c r="X34" i="175"/>
  <c r="X187" i="175"/>
  <c r="X117" i="175"/>
  <c r="X189" i="175"/>
  <c r="X471" i="175"/>
  <c r="X477" i="175"/>
  <c r="X83" i="175"/>
  <c r="X190" i="175"/>
  <c r="X586" i="175"/>
  <c r="X62" i="175"/>
  <c r="X453" i="175"/>
  <c r="X50" i="175"/>
  <c r="X451" i="175"/>
  <c r="X49" i="175"/>
  <c r="X583" i="175"/>
  <c r="X61" i="175"/>
  <c r="X19" i="175"/>
  <c r="X21" i="175"/>
  <c r="X40" i="175"/>
  <c r="X41" i="175"/>
  <c r="X456" i="175"/>
  <c r="X53" i="175"/>
  <c r="X51" i="175"/>
  <c r="X58" i="175"/>
  <c r="X478" i="175"/>
  <c r="X192" i="175"/>
  <c r="X127" i="175"/>
  <c r="X153" i="175"/>
  <c r="X195" i="175"/>
  <c r="X196" i="175"/>
  <c r="X479" i="175"/>
  <c r="X481" i="175"/>
  <c r="X488" i="175"/>
  <c r="X197" i="175"/>
  <c r="X489" i="175"/>
  <c r="X200" i="175"/>
  <c r="X201" i="175"/>
  <c r="X490" i="175"/>
  <c r="X124" i="175"/>
  <c r="X203" i="175"/>
  <c r="X143" i="175"/>
  <c r="X205" i="175"/>
  <c r="X207" i="175"/>
  <c r="X209" i="175"/>
  <c r="X492" i="175"/>
  <c r="X493" i="175"/>
  <c r="X210" i="175"/>
  <c r="X130" i="175"/>
  <c r="X494" i="175"/>
  <c r="X495" i="175"/>
  <c r="X496" i="175"/>
  <c r="X497" i="175"/>
  <c r="X167" i="175"/>
  <c r="X33" i="175"/>
  <c r="X498" i="175"/>
  <c r="X499" i="175"/>
  <c r="X500" i="175"/>
  <c r="X501" i="175"/>
  <c r="X134" i="175"/>
  <c r="X99" i="175"/>
  <c r="X211" i="175"/>
  <c r="X502" i="175"/>
  <c r="X503" i="175"/>
  <c r="X504" i="175"/>
  <c r="X505" i="175"/>
  <c r="X216" i="175"/>
  <c r="X507" i="175"/>
  <c r="X112" i="175"/>
  <c r="X508" i="175"/>
  <c r="X509" i="175"/>
  <c r="X218" i="175"/>
  <c r="X510" i="175"/>
  <c r="X220" i="175"/>
  <c r="X221" i="175"/>
  <c r="X57" i="175"/>
  <c r="X512" i="175"/>
  <c r="X513" i="175"/>
  <c r="X514" i="175"/>
  <c r="X554" i="175"/>
  <c r="X222" i="175"/>
  <c r="X223" i="175"/>
  <c r="X515" i="175"/>
  <c r="X224" i="175"/>
  <c r="X516" i="175"/>
  <c r="X228" i="175"/>
  <c r="X92" i="175"/>
  <c r="X101" i="175"/>
  <c r="X517" i="175"/>
  <c r="X518" i="175"/>
  <c r="X519" i="175"/>
  <c r="X102" i="175"/>
  <c r="X103" i="175"/>
  <c r="X106" i="175"/>
  <c r="X107" i="175"/>
  <c r="X109" i="175"/>
  <c r="X110" i="175"/>
  <c r="X111" i="175"/>
  <c r="X549" i="175"/>
  <c r="X551" i="175"/>
  <c r="X82" i="175"/>
  <c r="X523" i="175"/>
  <c r="X539" i="175"/>
  <c r="X545" i="175"/>
  <c r="X550" i="175"/>
  <c r="X566" i="175"/>
  <c r="X567" i="175"/>
  <c r="X568" i="175"/>
  <c r="X169" i="175"/>
  <c r="X114" i="175"/>
  <c r="X115" i="175"/>
  <c r="X182" i="175"/>
  <c r="X119" i="175"/>
  <c r="X123" i="175"/>
  <c r="X230" i="175"/>
  <c r="X125" i="175"/>
  <c r="X89" i="175"/>
  <c r="X582" i="175"/>
  <c r="X126" i="175"/>
  <c r="X131" i="175"/>
  <c r="X164" i="175"/>
  <c r="X85" i="175"/>
  <c r="X64" i="175"/>
  <c r="X90" i="175"/>
  <c r="X81" i="175"/>
  <c r="X59" i="175"/>
  <c r="X56" i="175"/>
  <c r="X132" i="175"/>
  <c r="X75" i="175"/>
  <c r="X327" i="175"/>
  <c r="X141" i="175"/>
  <c r="X329" i="175"/>
  <c r="X330" i="175"/>
  <c r="X331" i="175"/>
  <c r="X332" i="175"/>
  <c r="X333" i="175"/>
  <c r="X334" i="175"/>
  <c r="X335" i="175"/>
  <c r="X336" i="175"/>
  <c r="X337" i="175"/>
  <c r="X142" i="175"/>
  <c r="X339" i="175"/>
  <c r="X340" i="175"/>
  <c r="X341" i="175"/>
  <c r="X342" i="175"/>
  <c r="X343" i="175"/>
  <c r="X344" i="175"/>
  <c r="X345" i="175"/>
  <c r="X84" i="175"/>
  <c r="X347" i="175"/>
  <c r="X348" i="175"/>
  <c r="X349" i="175"/>
  <c r="X350" i="175"/>
  <c r="X145" i="175"/>
  <c r="X352" i="175"/>
  <c r="X353" i="175"/>
  <c r="X354" i="175"/>
  <c r="X355" i="175"/>
  <c r="X356" i="175"/>
  <c r="X357" i="175"/>
  <c r="X358" i="175"/>
  <c r="X359" i="175"/>
  <c r="X360" i="175"/>
  <c r="X361" i="175"/>
  <c r="X362" i="175"/>
  <c r="X363" i="175"/>
  <c r="X364" i="175"/>
  <c r="X365" i="175"/>
  <c r="X366" i="175"/>
  <c r="X6" i="175"/>
  <c r="X368" i="175"/>
  <c r="X369" i="175"/>
  <c r="X231" i="175"/>
  <c r="X371" i="175"/>
  <c r="X372" i="175"/>
  <c r="X373" i="175"/>
  <c r="X374" i="175"/>
  <c r="X375" i="175"/>
  <c r="X376" i="175"/>
  <c r="X377" i="175"/>
  <c r="X378" i="175"/>
  <c r="X379" i="175"/>
  <c r="X380" i="175"/>
  <c r="X381" i="175"/>
  <c r="X382" i="175"/>
  <c r="X383" i="175"/>
  <c r="X384" i="175"/>
  <c r="X385" i="175"/>
  <c r="X386" i="175"/>
  <c r="X387" i="175"/>
  <c r="X388" i="175"/>
  <c r="X389" i="175"/>
  <c r="X390" i="175"/>
  <c r="X391" i="175"/>
  <c r="X392" i="175"/>
  <c r="X393" i="175"/>
  <c r="X394" i="175"/>
  <c r="X395" i="175"/>
  <c r="X396" i="175"/>
  <c r="X397" i="175"/>
  <c r="X398" i="175"/>
  <c r="X399" i="175"/>
  <c r="X400" i="175"/>
  <c r="X401" i="175"/>
  <c r="X402" i="175"/>
  <c r="X403" i="175"/>
  <c r="X404" i="175"/>
  <c r="X405" i="175"/>
  <c r="X406" i="175"/>
  <c r="X407" i="175"/>
  <c r="X408" i="175"/>
  <c r="X409" i="175"/>
  <c r="X410" i="175"/>
  <c r="X411" i="175"/>
  <c r="X412" i="175"/>
  <c r="X413" i="175"/>
  <c r="X414" i="175"/>
  <c r="X415" i="175"/>
  <c r="X416" i="175"/>
  <c r="X417" i="175"/>
  <c r="X419" i="175"/>
  <c r="X420" i="175"/>
  <c r="X421" i="175"/>
  <c r="X54" i="175"/>
  <c r="X65" i="175"/>
  <c r="X77" i="175"/>
  <c r="X425" i="175"/>
  <c r="X426" i="175"/>
  <c r="X47" i="175"/>
  <c r="X428" i="175"/>
  <c r="X429" i="175"/>
  <c r="X430" i="175"/>
  <c r="X86" i="175"/>
  <c r="X432" i="175"/>
  <c r="X433" i="175"/>
  <c r="X121" i="175"/>
  <c r="X436" i="175"/>
  <c r="X437" i="175"/>
  <c r="X438" i="175"/>
  <c r="X72" i="175"/>
  <c r="X440" i="175"/>
  <c r="X93" i="175"/>
  <c r="X144" i="175"/>
  <c r="X63" i="175"/>
  <c r="X67" i="175"/>
  <c r="X445" i="175"/>
  <c r="X446" i="175"/>
  <c r="X447" i="175"/>
  <c r="X448" i="175"/>
  <c r="X160" i="175"/>
  <c r="X193" i="175"/>
  <c r="X233" i="175"/>
  <c r="X194" i="175"/>
  <c r="X198" i="175"/>
  <c r="X457" i="175"/>
  <c r="X202" i="175"/>
  <c r="X204" i="175"/>
  <c r="X234" i="175"/>
  <c r="X4" i="175"/>
  <c r="X88" i="175"/>
  <c r="X98" i="175"/>
  <c r="X74" i="175"/>
  <c r="X149" i="175"/>
  <c r="X214" i="175"/>
  <c r="X5" i="175"/>
  <c r="X7" i="175"/>
  <c r="X8" i="175"/>
  <c r="X9" i="175"/>
  <c r="X237" i="175"/>
  <c r="X474" i="175"/>
  <c r="X235" i="175"/>
  <c r="X476" i="175"/>
  <c r="X455" i="175"/>
  <c r="X52" i="175"/>
  <c r="X150" i="175"/>
  <c r="X17" i="175"/>
  <c r="X463" i="175"/>
  <c r="X22" i="175"/>
  <c r="X23" i="175"/>
  <c r="X28" i="175"/>
  <c r="X43" i="175"/>
  <c r="X46" i="175"/>
  <c r="X48" i="175"/>
  <c r="X12" i="175"/>
  <c r="X13" i="175"/>
  <c r="X14" i="175"/>
  <c r="X18" i="175"/>
  <c r="X15" i="175"/>
  <c r="X16" i="175"/>
  <c r="X20" i="175"/>
  <c r="X215" i="175"/>
  <c r="X217" i="175"/>
  <c r="X206" i="175"/>
  <c r="X208" i="175"/>
  <c r="X322" i="175"/>
  <c r="X323" i="175"/>
  <c r="X324" i="175"/>
  <c r="X316" i="175"/>
  <c r="X319" i="175"/>
  <c r="X320" i="175"/>
  <c r="X321" i="175"/>
  <c r="X326" i="175"/>
  <c r="X328" i="175"/>
  <c r="X338" i="175"/>
  <c r="X96" i="175"/>
  <c r="X78" i="175"/>
  <c r="X188" i="175"/>
  <c r="X346" i="175"/>
  <c r="X351" i="175"/>
  <c r="X225" i="175"/>
  <c r="X226" i="175"/>
  <c r="X424" i="175"/>
  <c r="X427" i="175"/>
  <c r="X191" i="175"/>
  <c r="X520" i="175"/>
  <c r="X521" i="175"/>
  <c r="X522" i="175"/>
  <c r="X151" i="175"/>
  <c r="X524" i="175"/>
  <c r="X525" i="175"/>
  <c r="X526" i="175"/>
  <c r="X527" i="175"/>
  <c r="X528" i="175"/>
  <c r="X529" i="175"/>
  <c r="X530" i="175"/>
  <c r="X531" i="175"/>
  <c r="X532" i="175"/>
  <c r="X533" i="175"/>
  <c r="X534" i="175"/>
  <c r="X535" i="175"/>
  <c r="X536" i="175"/>
  <c r="X537" i="175"/>
  <c r="X538" i="175"/>
  <c r="X29" i="175"/>
  <c r="X540" i="175"/>
  <c r="X541" i="175"/>
  <c r="X542" i="175"/>
  <c r="X543" i="175"/>
  <c r="X71" i="175"/>
  <c r="X219" i="175"/>
  <c r="X546" i="175"/>
  <c r="X547" i="175"/>
  <c r="X548" i="175"/>
  <c r="X113" i="175"/>
  <c r="X184" i="175"/>
  <c r="X168" i="175"/>
  <c r="X148" i="175"/>
  <c r="X156" i="175"/>
  <c r="X555" i="175"/>
  <c r="X556" i="175"/>
  <c r="X557" i="175"/>
  <c r="X558" i="175"/>
  <c r="X559" i="175"/>
  <c r="X561" i="175"/>
  <c r="X562" i="175"/>
  <c r="X563" i="175"/>
  <c r="X564" i="175"/>
  <c r="X565" i="175"/>
  <c r="X154" i="175"/>
  <c r="X155" i="175"/>
  <c r="X159" i="175"/>
  <c r="X161" i="175"/>
  <c r="X570" i="175"/>
  <c r="X571" i="175"/>
  <c r="X572" i="175"/>
  <c r="X573" i="175"/>
  <c r="X574" i="175"/>
  <c r="X575" i="175"/>
  <c r="X576" i="175"/>
  <c r="X577" i="175"/>
  <c r="X578" i="175"/>
  <c r="X579" i="175"/>
  <c r="X580" i="175"/>
  <c r="X581" i="175"/>
  <c r="X171" i="175"/>
  <c r="X172" i="175"/>
  <c r="X584" i="175"/>
  <c r="X585" i="175"/>
  <c r="X180" i="175"/>
  <c r="X587" i="175"/>
  <c r="X588" i="175"/>
  <c r="X589" i="175"/>
  <c r="X590" i="175"/>
  <c r="X592" i="175"/>
  <c r="X227" i="175"/>
  <c r="X248" i="175"/>
  <c r="X229" i="175"/>
  <c r="X232" i="175"/>
  <c r="X239" i="175"/>
  <c r="U189" i="175" l="1"/>
  <c r="U70" i="175"/>
  <c r="W70" i="175" s="1"/>
  <c r="U373" i="175"/>
  <c r="W373" i="175" s="1"/>
  <c r="AA189" i="175" l="1"/>
  <c r="AB189" i="175" s="1"/>
  <c r="W189" i="175"/>
  <c r="AA373" i="175"/>
  <c r="AB373" i="175" s="1"/>
  <c r="U496" i="175"/>
  <c r="W496" i="175" s="1"/>
  <c r="AA70" i="175"/>
  <c r="AB70" i="175" s="1"/>
  <c r="U480" i="175"/>
  <c r="U282" i="175"/>
  <c r="W282" i="175" s="1"/>
  <c r="U472" i="175"/>
  <c r="W472" i="175" s="1"/>
  <c r="AA480" i="175" l="1"/>
  <c r="AB480" i="175" s="1"/>
  <c r="W480" i="175"/>
  <c r="AA282" i="175"/>
  <c r="AB282" i="175" s="1"/>
  <c r="AA381" i="175" l="1"/>
  <c r="AB381" i="175" s="1"/>
  <c r="W381" i="175"/>
  <c r="Q11" i="48"/>
  <c r="Q12" i="48"/>
  <c r="Q13" i="48"/>
  <c r="Q14" i="48"/>
  <c r="Q15" i="48"/>
  <c r="Q16" i="48"/>
  <c r="Q17" i="48"/>
  <c r="A63" i="51" l="1"/>
  <c r="R32" i="51" l="1"/>
  <c r="M37" i="174" l="1"/>
  <c r="M39" i="174" s="1"/>
  <c r="R4" i="181" l="1"/>
  <c r="Q20" i="174" l="1"/>
  <c r="A2" i="43" l="1"/>
  <c r="A2" i="51" l="1"/>
  <c r="C19" i="180" l="1"/>
  <c r="F13" i="180"/>
  <c r="E6" i="180"/>
  <c r="B6" i="180"/>
  <c r="B13" i="180" s="1"/>
  <c r="B15" i="180" s="1"/>
  <c r="D34" i="179"/>
  <c r="C34" i="179"/>
  <c r="B34" i="179"/>
  <c r="G29" i="179"/>
  <c r="I29" i="179" s="1"/>
  <c r="G28" i="179"/>
  <c r="K28" i="179" s="1"/>
  <c r="K30" i="179" s="1"/>
  <c r="G27" i="179"/>
  <c r="G26" i="179"/>
  <c r="G25" i="179"/>
  <c r="I25" i="179" s="1"/>
  <c r="D25" i="179"/>
  <c r="D24" i="179"/>
  <c r="G24" i="179" s="1"/>
  <c r="G23" i="179"/>
  <c r="D23" i="179"/>
  <c r="D22" i="179"/>
  <c r="G22" i="179" s="1"/>
  <c r="E21" i="179"/>
  <c r="E30" i="179" s="1"/>
  <c r="D21" i="179"/>
  <c r="D20" i="179"/>
  <c r="G20" i="179" s="1"/>
  <c r="I20" i="179" s="1"/>
  <c r="C19" i="179"/>
  <c r="B19" i="179"/>
  <c r="D19" i="179" s="1"/>
  <c r="G19" i="179" s="1"/>
  <c r="I19" i="179" s="1"/>
  <c r="C18" i="179"/>
  <c r="D17" i="179"/>
  <c r="G17" i="179" s="1"/>
  <c r="G16" i="179"/>
  <c r="I16" i="179" s="1"/>
  <c r="D16" i="179"/>
  <c r="J15" i="179"/>
  <c r="J14" i="179"/>
  <c r="D14" i="179"/>
  <c r="F13" i="179"/>
  <c r="F30" i="179" s="1"/>
  <c r="D12" i="179"/>
  <c r="G12" i="179" s="1"/>
  <c r="J12" i="179" s="1"/>
  <c r="J30" i="179" s="1"/>
  <c r="D11" i="179"/>
  <c r="G11" i="179" s="1"/>
  <c r="I11" i="179" s="1"/>
  <c r="D10" i="179"/>
  <c r="G10" i="179" s="1"/>
  <c r="D9" i="179"/>
  <c r="G9" i="179" s="1"/>
  <c r="G8" i="179"/>
  <c r="I8" i="179" s="1"/>
  <c r="D8" i="179"/>
  <c r="D7" i="179"/>
  <c r="G7" i="179" s="1"/>
  <c r="B18" i="179" l="1"/>
  <c r="D18" i="179" s="1"/>
  <c r="G18" i="179" s="1"/>
  <c r="G30" i="179" s="1"/>
  <c r="I9" i="179"/>
  <c r="C21" i="180"/>
  <c r="G21" i="179"/>
  <c r="I21" i="179" s="1"/>
  <c r="C35" i="179"/>
  <c r="D35" i="179" s="1"/>
  <c r="F14" i="180"/>
  <c r="I7" i="179"/>
  <c r="I17" i="179"/>
  <c r="D30" i="179" l="1"/>
  <c r="I30" i="179"/>
  <c r="I31" i="179" s="1"/>
  <c r="C19" i="177" l="1"/>
  <c r="B6" i="177"/>
  <c r="B13" i="177" s="1"/>
  <c r="B15" i="177" s="1"/>
  <c r="C21" i="177" l="1"/>
  <c r="T31" i="129" l="1"/>
  <c r="T33" i="129" s="1"/>
  <c r="T35" i="129" s="1"/>
  <c r="L16" i="164" l="1"/>
  <c r="O16" i="164" l="1"/>
  <c r="L43" i="161" l="1"/>
  <c r="N12" i="106"/>
  <c r="H16" i="162" s="1"/>
  <c r="N11" i="106"/>
  <c r="O20" i="44" l="1"/>
  <c r="W20" i="44" s="1"/>
  <c r="O21" i="44"/>
  <c r="W21" i="44" s="1"/>
  <c r="O23" i="44"/>
  <c r="W23" i="44" s="1"/>
  <c r="O17" i="44"/>
  <c r="H15" i="162" l="1"/>
  <c r="O24" i="44"/>
  <c r="O36" i="44" s="1"/>
  <c r="P36" i="50"/>
  <c r="U154" i="175"/>
  <c r="W154" i="175" s="1"/>
  <c r="U155" i="175"/>
  <c r="W155" i="175" s="1"/>
  <c r="U159" i="175"/>
  <c r="W159" i="175" s="1"/>
  <c r="U161" i="175"/>
  <c r="W161" i="175" s="1"/>
  <c r="U570" i="175"/>
  <c r="W570" i="175" s="1"/>
  <c r="U571" i="175"/>
  <c r="W571" i="175" s="1"/>
  <c r="U572" i="175"/>
  <c r="W572" i="175" s="1"/>
  <c r="U573" i="175"/>
  <c r="W573" i="175" s="1"/>
  <c r="U574" i="175"/>
  <c r="W574" i="175" s="1"/>
  <c r="U575" i="175"/>
  <c r="W575" i="175" s="1"/>
  <c r="U576" i="175"/>
  <c r="W576" i="175" s="1"/>
  <c r="U577" i="175"/>
  <c r="W577" i="175" s="1"/>
  <c r="U578" i="175"/>
  <c r="W578" i="175" s="1"/>
  <c r="U579" i="175"/>
  <c r="W579" i="175" s="1"/>
  <c r="U580" i="175"/>
  <c r="W580" i="175" s="1"/>
  <c r="U581" i="175"/>
  <c r="W581" i="175" s="1"/>
  <c r="U171" i="175"/>
  <c r="W171" i="175" s="1"/>
  <c r="U172" i="175"/>
  <c r="W172" i="175" s="1"/>
  <c r="U584" i="175"/>
  <c r="W584" i="175" s="1"/>
  <c r="U585" i="175"/>
  <c r="W585" i="175" s="1"/>
  <c r="U180" i="175"/>
  <c r="W180" i="175" s="1"/>
  <c r="U587" i="175"/>
  <c r="W587" i="175" s="1"/>
  <c r="U588" i="175"/>
  <c r="W588" i="175" s="1"/>
  <c r="U589" i="175"/>
  <c r="W589" i="175" s="1"/>
  <c r="U591" i="175"/>
  <c r="U592" i="175"/>
  <c r="W592" i="175" s="1"/>
  <c r="U559" i="175"/>
  <c r="W559" i="175" s="1"/>
  <c r="U561" i="175"/>
  <c r="W561" i="175" s="1"/>
  <c r="U562" i="175"/>
  <c r="W562" i="175" s="1"/>
  <c r="U563" i="175"/>
  <c r="W563" i="175" s="1"/>
  <c r="U564" i="175"/>
  <c r="W564" i="175" s="1"/>
  <c r="U565" i="175"/>
  <c r="W565" i="175" s="1"/>
  <c r="F43" i="44" l="1"/>
  <c r="H43" i="44"/>
  <c r="N43" i="44"/>
  <c r="P43" i="44"/>
  <c r="R43" i="44"/>
  <c r="V43" i="44"/>
  <c r="G50" i="65"/>
  <c r="A2" i="81" l="1"/>
  <c r="O47" i="48" l="1"/>
  <c r="R45" i="48"/>
  <c r="Q35" i="48"/>
  <c r="Q34" i="48"/>
  <c r="Q33" i="48"/>
  <c r="Q32" i="48"/>
  <c r="Q31" i="48"/>
  <c r="Q30" i="48"/>
  <c r="Q27" i="48"/>
  <c r="Q26" i="48"/>
  <c r="Q25" i="48"/>
  <c r="Q24" i="48"/>
  <c r="Q22" i="48"/>
  <c r="Q20" i="48"/>
  <c r="Q23" i="48"/>
  <c r="M28" i="48" l="1"/>
  <c r="Q21" i="48"/>
  <c r="G17" i="57" l="1"/>
  <c r="G8" i="182" s="1"/>
  <c r="G10" i="182" s="1"/>
  <c r="H8" i="182" l="1"/>
  <c r="I8" i="182" s="1"/>
  <c r="T20" i="58"/>
  <c r="H19" i="182" l="1"/>
  <c r="U227" i="175"/>
  <c r="W227" i="175" s="1"/>
  <c r="U248" i="175"/>
  <c r="W248" i="175" s="1"/>
  <c r="U229" i="175"/>
  <c r="W229" i="175" s="1"/>
  <c r="U232" i="175"/>
  <c r="W232" i="175" s="1"/>
  <c r="U239" i="175"/>
  <c r="W239" i="175" s="1"/>
  <c r="U240" i="175"/>
  <c r="W240" i="175" s="1"/>
  <c r="U243" i="175"/>
  <c r="W243" i="175" s="1"/>
  <c r="U245" i="175"/>
  <c r="W245" i="175" s="1"/>
  <c r="U246" i="175"/>
  <c r="W246" i="175" s="1"/>
  <c r="U247" i="175"/>
  <c r="W247" i="175" s="1"/>
  <c r="U249" i="175"/>
  <c r="W249" i="175" s="1"/>
  <c r="U254" i="175"/>
  <c r="W254" i="175" s="1"/>
  <c r="U256" i="175"/>
  <c r="W256" i="175" s="1"/>
  <c r="U261" i="175"/>
  <c r="W261" i="175" s="1"/>
  <c r="U250" i="175"/>
  <c r="W250" i="175" s="1"/>
  <c r="U263" i="175"/>
  <c r="W263" i="175" s="1"/>
  <c r="U267" i="175"/>
  <c r="W267" i="175" s="1"/>
  <c r="U269" i="175"/>
  <c r="W269" i="175" s="1"/>
  <c r="U251" i="175"/>
  <c r="W251" i="175" s="1"/>
  <c r="U252" i="175"/>
  <c r="W252" i="175" s="1"/>
  <c r="U253" i="175"/>
  <c r="W253" i="175" s="1"/>
  <c r="U270" i="175"/>
  <c r="W270" i="175" s="1"/>
  <c r="U458" i="175"/>
  <c r="W458" i="175" s="1"/>
  <c r="U30" i="175"/>
  <c r="W30" i="175" s="1"/>
  <c r="U255" i="175"/>
  <c r="W255" i="175" s="1"/>
  <c r="U257" i="175"/>
  <c r="W257" i="175" s="1"/>
  <c r="U258" i="175"/>
  <c r="W258" i="175" s="1"/>
  <c r="U259" i="175"/>
  <c r="W259" i="175" s="1"/>
  <c r="U260" i="175"/>
  <c r="W260" i="175" s="1"/>
  <c r="U262" i="175"/>
  <c r="W262" i="175" s="1"/>
  <c r="U265" i="175"/>
  <c r="W265" i="175" s="1"/>
  <c r="U266" i="175"/>
  <c r="W266" i="175" s="1"/>
  <c r="U268" i="175"/>
  <c r="W268" i="175" s="1"/>
  <c r="U272" i="175"/>
  <c r="W272" i="175" s="1"/>
  <c r="U271" i="175"/>
  <c r="W271" i="175" s="1"/>
  <c r="U273" i="175"/>
  <c r="W273" i="175" s="1"/>
  <c r="U275" i="175"/>
  <c r="W275" i="175" s="1"/>
  <c r="U274" i="175"/>
  <c r="W274" i="175" s="1"/>
  <c r="U276" i="175"/>
  <c r="W276" i="175" s="1"/>
  <c r="U277" i="175"/>
  <c r="W277" i="175" s="1"/>
  <c r="U279" i="175"/>
  <c r="W279" i="175" s="1"/>
  <c r="U278" i="175"/>
  <c r="W278" i="175" s="1"/>
  <c r="U280" i="175"/>
  <c r="W280" i="175" s="1"/>
  <c r="U281" i="175"/>
  <c r="W281" i="175" s="1"/>
  <c r="U294" i="175"/>
  <c r="W294" i="175" s="1"/>
  <c r="U283" i="175"/>
  <c r="W283" i="175" s="1"/>
  <c r="U295" i="175"/>
  <c r="W295" i="175" s="1"/>
  <c r="U305" i="175"/>
  <c r="W305" i="175" s="1"/>
  <c r="U284" i="175"/>
  <c r="W284" i="175" s="1"/>
  <c r="U311" i="175"/>
  <c r="W311" i="175" s="1"/>
  <c r="U317" i="175"/>
  <c r="W317" i="175" s="1"/>
  <c r="U318" i="175"/>
  <c r="W318" i="175" s="1"/>
  <c r="U367" i="175"/>
  <c r="W367" i="175" s="1"/>
  <c r="U285" i="175"/>
  <c r="W285" i="175" s="1"/>
  <c r="U370" i="175"/>
  <c r="W370" i="175" s="1"/>
  <c r="U55" i="175"/>
  <c r="W55" i="175" s="1"/>
  <c r="G10" i="81" s="1"/>
  <c r="U422" i="175"/>
  <c r="W422" i="175" s="1"/>
  <c r="U423" i="175"/>
  <c r="W423" i="175" s="1"/>
  <c r="U431" i="175"/>
  <c r="W431" i="175" s="1"/>
  <c r="U434" i="175"/>
  <c r="W434" i="175" s="1"/>
  <c r="J19" i="43" s="1"/>
  <c r="U439" i="175"/>
  <c r="W439" i="175" s="1"/>
  <c r="U441" i="175"/>
  <c r="W441" i="175" s="1"/>
  <c r="U236" i="175"/>
  <c r="W236" i="175" s="1"/>
  <c r="U286" i="175"/>
  <c r="W286" i="175" s="1"/>
  <c r="U287" i="175"/>
  <c r="W287" i="175" s="1"/>
  <c r="U442" i="175"/>
  <c r="W442" i="175" s="1"/>
  <c r="U288" i="175"/>
  <c r="W288" i="175" s="1"/>
  <c r="U552" i="175"/>
  <c r="W552" i="175" s="1"/>
  <c r="J24" i="43" s="1"/>
  <c r="U289" i="175"/>
  <c r="W289" i="175" s="1"/>
  <c r="U290" i="175"/>
  <c r="W290" i="175" s="1"/>
  <c r="U443" i="175"/>
  <c r="W443" i="175" s="1"/>
  <c r="U291" i="175"/>
  <c r="W291" i="175" s="1"/>
  <c r="U444" i="175"/>
  <c r="W444" i="175" s="1"/>
  <c r="U449" i="175"/>
  <c r="W449" i="175" s="1"/>
  <c r="U450" i="175"/>
  <c r="W450" i="175" s="1"/>
  <c r="U459" i="175"/>
  <c r="W459" i="175" s="1"/>
  <c r="U461" i="175"/>
  <c r="W461" i="175" s="1"/>
  <c r="U292" i="175"/>
  <c r="W292" i="175" s="1"/>
  <c r="U452" i="175"/>
  <c r="W452" i="175" s="1"/>
  <c r="U460" i="175"/>
  <c r="W460" i="175" s="1"/>
  <c r="U139" i="175"/>
  <c r="W139" i="175" s="1"/>
  <c r="U95" i="175"/>
  <c r="W95" i="175" s="1"/>
  <c r="U293" i="175"/>
  <c r="W293" i="175" s="1"/>
  <c r="U296" i="175"/>
  <c r="W296" i="175" s="1"/>
  <c r="U297" i="175"/>
  <c r="W297" i="175" s="1"/>
  <c r="U473" i="175"/>
  <c r="W473" i="175" s="1"/>
  <c r="J17" i="43" s="1"/>
  <c r="U298" i="175"/>
  <c r="W298" i="175" s="1"/>
  <c r="U299" i="175"/>
  <c r="W299" i="175" s="1"/>
  <c r="U462" i="175"/>
  <c r="W462" i="175" s="1"/>
  <c r="U300" i="175"/>
  <c r="W300" i="175" s="1"/>
  <c r="U301" i="175"/>
  <c r="W301" i="175" s="1"/>
  <c r="U302" i="175"/>
  <c r="W302" i="175" s="1"/>
  <c r="U303" i="175"/>
  <c r="W303" i="175" s="1"/>
  <c r="U304" i="175"/>
  <c r="W304" i="175" s="1"/>
  <c r="U475" i="175"/>
  <c r="W475" i="175" s="1"/>
  <c r="U306" i="175"/>
  <c r="W306" i="175" s="1"/>
  <c r="U307" i="175"/>
  <c r="W307" i="175" s="1"/>
  <c r="U170" i="175"/>
  <c r="W170" i="175" s="1"/>
  <c r="U173" i="175"/>
  <c r="W173" i="175" s="1"/>
  <c r="U482" i="175"/>
  <c r="W482" i="175" s="1"/>
  <c r="U308" i="175"/>
  <c r="W308" i="175" s="1"/>
  <c r="U483" i="175"/>
  <c r="W483" i="175" s="1"/>
  <c r="U484" i="175"/>
  <c r="W484" i="175" s="1"/>
  <c r="U485" i="175"/>
  <c r="W485" i="175" s="1"/>
  <c r="U309" i="175"/>
  <c r="W309" i="175" s="1"/>
  <c r="U486" i="175"/>
  <c r="W486" i="175" s="1"/>
  <c r="U310" i="175"/>
  <c r="W310" i="175" s="1"/>
  <c r="U312" i="175"/>
  <c r="W312" i="175" s="1"/>
  <c r="U487" i="175"/>
  <c r="W487" i="175" s="1"/>
  <c r="U491" i="175"/>
  <c r="W491" i="175" s="1"/>
  <c r="U313" i="175"/>
  <c r="W313" i="175" s="1"/>
  <c r="U314" i="175"/>
  <c r="W314" i="175" s="1"/>
  <c r="U511" i="175"/>
  <c r="W511" i="175" s="1"/>
  <c r="U544" i="175"/>
  <c r="W544" i="175" s="1"/>
  <c r="U242" i="175"/>
  <c r="W242" i="175" s="1"/>
  <c r="Q17" i="79" s="1"/>
  <c r="U66" i="175"/>
  <c r="W66" i="175" s="1"/>
  <c r="U238" i="175"/>
  <c r="W238" i="175" s="1"/>
  <c r="J54" i="43" s="1"/>
  <c r="F14" i="181" s="1"/>
  <c r="J14" i="181" s="1"/>
  <c r="U87" i="175"/>
  <c r="W87" i="175" s="1"/>
  <c r="U241" i="175"/>
  <c r="W241" i="175" s="1"/>
  <c r="U464" i="175"/>
  <c r="W464" i="175" s="1"/>
  <c r="U315" i="175"/>
  <c r="W315" i="175" s="1"/>
  <c r="U146" i="175"/>
  <c r="W146" i="175" s="1"/>
  <c r="U163" i="175"/>
  <c r="W163" i="175" s="1"/>
  <c r="U39" i="175"/>
  <c r="W39" i="175" s="1"/>
  <c r="P54" i="51" s="1"/>
  <c r="U68" i="175"/>
  <c r="W68" i="175" s="1"/>
  <c r="U69" i="175"/>
  <c r="W69" i="175" s="1"/>
  <c r="U24" i="175"/>
  <c r="W24" i="175" s="1"/>
  <c r="U25" i="175"/>
  <c r="W25" i="175" s="1"/>
  <c r="U26" i="175"/>
  <c r="W26" i="175" s="1"/>
  <c r="U174" i="175"/>
  <c r="W174" i="175" s="1"/>
  <c r="U42" i="175"/>
  <c r="W42" i="175" s="1"/>
  <c r="U44" i="175"/>
  <c r="W44" i="175" s="1"/>
  <c r="U116" i="175"/>
  <c r="W116" i="175" s="1"/>
  <c r="U120" i="175"/>
  <c r="W120" i="175" s="1"/>
  <c r="U175" i="175"/>
  <c r="W175" i="175" s="1"/>
  <c r="U36" i="175"/>
  <c r="W36" i="175" s="1"/>
  <c r="U91" i="175"/>
  <c r="W91" i="175" s="1"/>
  <c r="U465" i="175"/>
  <c r="W465" i="175" s="1"/>
  <c r="U122" i="175"/>
  <c r="W122" i="175" s="1"/>
  <c r="U176" i="175"/>
  <c r="W176" i="175" s="1"/>
  <c r="U138" i="175"/>
  <c r="W138" i="175" s="1"/>
  <c r="U177" i="175"/>
  <c r="W177" i="175" s="1"/>
  <c r="U157" i="175"/>
  <c r="W157" i="175" s="1"/>
  <c r="U133" i="175"/>
  <c r="W133" i="175" s="1"/>
  <c r="U73" i="175"/>
  <c r="W73" i="175" s="1"/>
  <c r="J46" i="43" s="1"/>
  <c r="F21" i="181" s="1"/>
  <c r="U100" i="175"/>
  <c r="W100" i="175" s="1"/>
  <c r="U137" i="175"/>
  <c r="W137" i="175" s="1"/>
  <c r="J57" i="43" s="1"/>
  <c r="U466" i="175"/>
  <c r="W466" i="175" s="1"/>
  <c r="U35" i="175"/>
  <c r="W35" i="175" s="1"/>
  <c r="U165" i="175"/>
  <c r="W165" i="175" s="1"/>
  <c r="U166" i="175"/>
  <c r="W166" i="175" s="1"/>
  <c r="U178" i="175"/>
  <c r="W178" i="175" s="1"/>
  <c r="U60" i="175"/>
  <c r="W60" i="175" s="1"/>
  <c r="J45" i="43" s="1"/>
  <c r="F20" i="181" s="1"/>
  <c r="U179" i="175"/>
  <c r="W179" i="175" s="1"/>
  <c r="U94" i="175"/>
  <c r="W94" i="175" s="1"/>
  <c r="U140" i="175"/>
  <c r="W140" i="175" s="1"/>
  <c r="U467" i="175"/>
  <c r="W467" i="175" s="1"/>
  <c r="U135" i="175"/>
  <c r="W135" i="175" s="1"/>
  <c r="U468" i="175"/>
  <c r="W468" i="175" s="1"/>
  <c r="U162" i="175"/>
  <c r="W162" i="175" s="1"/>
  <c r="U469" i="175"/>
  <c r="W469" i="175" s="1"/>
  <c r="U181" i="175"/>
  <c r="W181" i="175" s="1"/>
  <c r="U183" i="175"/>
  <c r="W183" i="175" s="1"/>
  <c r="U158" i="175"/>
  <c r="W158" i="175" s="1"/>
  <c r="U470" i="175"/>
  <c r="W470" i="175" s="1"/>
  <c r="U185" i="175"/>
  <c r="W185" i="175" s="1"/>
  <c r="U186" i="175"/>
  <c r="W186" i="175" s="1"/>
  <c r="U38" i="175"/>
  <c r="W38" i="175" s="1"/>
  <c r="U118" i="175"/>
  <c r="W118" i="175" s="1"/>
  <c r="U37" i="175"/>
  <c r="W37" i="175" s="1"/>
  <c r="P51" i="51" s="1"/>
  <c r="U34" i="175"/>
  <c r="W34" i="175" s="1"/>
  <c r="J55" i="43" s="1"/>
  <c r="U187" i="175"/>
  <c r="W187" i="175" s="1"/>
  <c r="U117" i="175"/>
  <c r="W117" i="175" s="1"/>
  <c r="U471" i="175"/>
  <c r="W471" i="175" s="1"/>
  <c r="U477" i="175"/>
  <c r="W477" i="175" s="1"/>
  <c r="U83" i="175"/>
  <c r="W83" i="175" s="1"/>
  <c r="J47" i="43" s="1"/>
  <c r="U190" i="175"/>
  <c r="W190" i="175" s="1"/>
  <c r="U586" i="175"/>
  <c r="W586" i="175" s="1"/>
  <c r="U62" i="175"/>
  <c r="W62" i="175" s="1"/>
  <c r="J42" i="43" s="1"/>
  <c r="F16" i="181" s="1"/>
  <c r="U453" i="175"/>
  <c r="W453" i="175" s="1"/>
  <c r="U50" i="175"/>
  <c r="W50" i="175" s="1"/>
  <c r="U451" i="175"/>
  <c r="W451" i="175" s="1"/>
  <c r="U49" i="175"/>
  <c r="W49" i="175" s="1"/>
  <c r="J41" i="43" s="1"/>
  <c r="F15" i="181" s="1"/>
  <c r="U583" i="175"/>
  <c r="W583" i="175" s="1"/>
  <c r="U61" i="175"/>
  <c r="W61" i="175" s="1"/>
  <c r="U19" i="175"/>
  <c r="W19" i="175" s="1"/>
  <c r="U21" i="175"/>
  <c r="W21" i="175" s="1"/>
  <c r="U40" i="175"/>
  <c r="W40" i="175" s="1"/>
  <c r="U41" i="175"/>
  <c r="W41" i="175" s="1"/>
  <c r="U456" i="175"/>
  <c r="W456" i="175" s="1"/>
  <c r="U53" i="175"/>
  <c r="W53" i="175" s="1"/>
  <c r="U51" i="175"/>
  <c r="W51" i="175" s="1"/>
  <c r="P52" i="51" s="1"/>
  <c r="U58" i="175"/>
  <c r="W58" i="175" s="1"/>
  <c r="J59" i="43" s="1"/>
  <c r="F25" i="181" s="1"/>
  <c r="U478" i="175"/>
  <c r="W478" i="175" s="1"/>
  <c r="U192" i="175"/>
  <c r="W192" i="175" s="1"/>
  <c r="U127" i="175"/>
  <c r="W127" i="175" s="1"/>
  <c r="U153" i="175"/>
  <c r="W153" i="175" s="1"/>
  <c r="U195" i="175"/>
  <c r="W195" i="175" s="1"/>
  <c r="U196" i="175"/>
  <c r="W196" i="175" s="1"/>
  <c r="U479" i="175"/>
  <c r="W479" i="175" s="1"/>
  <c r="U481" i="175"/>
  <c r="W481" i="175" s="1"/>
  <c r="U488" i="175"/>
  <c r="W488" i="175" s="1"/>
  <c r="U197" i="175"/>
  <c r="W197" i="175" s="1"/>
  <c r="U489" i="175"/>
  <c r="W489" i="175" s="1"/>
  <c r="U200" i="175"/>
  <c r="W200" i="175" s="1"/>
  <c r="U201" i="175"/>
  <c r="W201" i="175" s="1"/>
  <c r="U490" i="175"/>
  <c r="W490" i="175" s="1"/>
  <c r="U124" i="175"/>
  <c r="W124" i="175" s="1"/>
  <c r="U203" i="175"/>
  <c r="W203" i="175" s="1"/>
  <c r="U143" i="175"/>
  <c r="W143" i="175" s="1"/>
  <c r="U205" i="175"/>
  <c r="W205" i="175" s="1"/>
  <c r="U207" i="175"/>
  <c r="W207" i="175" s="1"/>
  <c r="U209" i="175"/>
  <c r="W209" i="175" s="1"/>
  <c r="U492" i="175"/>
  <c r="W492" i="175" s="1"/>
  <c r="U493" i="175"/>
  <c r="W493" i="175" s="1"/>
  <c r="U210" i="175"/>
  <c r="W210" i="175" s="1"/>
  <c r="U130" i="175"/>
  <c r="W130" i="175" s="1"/>
  <c r="U494" i="175"/>
  <c r="W494" i="175" s="1"/>
  <c r="U495" i="175"/>
  <c r="W495" i="175" s="1"/>
  <c r="U497" i="175"/>
  <c r="W497" i="175" s="1"/>
  <c r="U167" i="175"/>
  <c r="W167" i="175" s="1"/>
  <c r="U33" i="175"/>
  <c r="W33" i="175" s="1"/>
  <c r="U498" i="175"/>
  <c r="W498" i="175" s="1"/>
  <c r="U499" i="175"/>
  <c r="W499" i="175" s="1"/>
  <c r="U500" i="175"/>
  <c r="W500" i="175" s="1"/>
  <c r="U501" i="175"/>
  <c r="W501" i="175" s="1"/>
  <c r="U134" i="175"/>
  <c r="W134" i="175" s="1"/>
  <c r="U99" i="175"/>
  <c r="W99" i="175" s="1"/>
  <c r="U211" i="175"/>
  <c r="W211" i="175" s="1"/>
  <c r="U502" i="175"/>
  <c r="W502" i="175" s="1"/>
  <c r="U503" i="175"/>
  <c r="W503" i="175" s="1"/>
  <c r="U504" i="175"/>
  <c r="W504" i="175" s="1"/>
  <c r="U505" i="175"/>
  <c r="W505" i="175" s="1"/>
  <c r="U216" i="175"/>
  <c r="W216" i="175" s="1"/>
  <c r="U507" i="175"/>
  <c r="W507" i="175" s="1"/>
  <c r="U112" i="175"/>
  <c r="W112" i="175" s="1"/>
  <c r="U508" i="175"/>
  <c r="W508" i="175" s="1"/>
  <c r="U509" i="175"/>
  <c r="W509" i="175" s="1"/>
  <c r="U218" i="175"/>
  <c r="W218" i="175" s="1"/>
  <c r="U510" i="175"/>
  <c r="W510" i="175" s="1"/>
  <c r="U220" i="175"/>
  <c r="W220" i="175" s="1"/>
  <c r="U221" i="175"/>
  <c r="W221" i="175" s="1"/>
  <c r="U57" i="175"/>
  <c r="W57" i="175" s="1"/>
  <c r="J58" i="43" s="1"/>
  <c r="U512" i="175"/>
  <c r="W512" i="175" s="1"/>
  <c r="U513" i="175"/>
  <c r="W513" i="175" s="1"/>
  <c r="U514" i="175"/>
  <c r="W514" i="175" s="1"/>
  <c r="U554" i="175"/>
  <c r="W554" i="175" s="1"/>
  <c r="U222" i="175"/>
  <c r="W222" i="175" s="1"/>
  <c r="U223" i="175"/>
  <c r="W223" i="175" s="1"/>
  <c r="U515" i="175"/>
  <c r="W515" i="175" s="1"/>
  <c r="U224" i="175"/>
  <c r="W224" i="175" s="1"/>
  <c r="U516" i="175"/>
  <c r="W516" i="175" s="1"/>
  <c r="U228" i="175"/>
  <c r="W228" i="175" s="1"/>
  <c r="U92" i="175"/>
  <c r="W92" i="175" s="1"/>
  <c r="U101" i="175"/>
  <c r="W101" i="175" s="1"/>
  <c r="U517" i="175"/>
  <c r="W517" i="175" s="1"/>
  <c r="U518" i="175"/>
  <c r="W518" i="175" s="1"/>
  <c r="U519" i="175"/>
  <c r="W519" i="175" s="1"/>
  <c r="U102" i="175"/>
  <c r="W102" i="175" s="1"/>
  <c r="U103" i="175"/>
  <c r="W103" i="175" s="1"/>
  <c r="U106" i="175"/>
  <c r="U107" i="175"/>
  <c r="W107" i="175" s="1"/>
  <c r="U109" i="175"/>
  <c r="W109" i="175" s="1"/>
  <c r="U110" i="175"/>
  <c r="W110" i="175" s="1"/>
  <c r="U111" i="175"/>
  <c r="W111" i="175" s="1"/>
  <c r="U549" i="175"/>
  <c r="W549" i="175" s="1"/>
  <c r="U551" i="175"/>
  <c r="W551" i="175" s="1"/>
  <c r="U82" i="175"/>
  <c r="W82" i="175" s="1"/>
  <c r="U523" i="175"/>
  <c r="W523" i="175" s="1"/>
  <c r="U539" i="175"/>
  <c r="W539" i="175" s="1"/>
  <c r="U545" i="175"/>
  <c r="W545" i="175" s="1"/>
  <c r="U550" i="175"/>
  <c r="W550" i="175" s="1"/>
  <c r="U566" i="175"/>
  <c r="W566" i="175" s="1"/>
  <c r="U567" i="175"/>
  <c r="W567" i="175" s="1"/>
  <c r="U568" i="175"/>
  <c r="W568" i="175" s="1"/>
  <c r="U569" i="175"/>
  <c r="W569" i="175" s="1"/>
  <c r="U169" i="175"/>
  <c r="W169" i="175" s="1"/>
  <c r="U114" i="175"/>
  <c r="W114" i="175" s="1"/>
  <c r="U115" i="175"/>
  <c r="W115" i="175" s="1"/>
  <c r="U182" i="175"/>
  <c r="W182" i="175" s="1"/>
  <c r="U119" i="175"/>
  <c r="W119" i="175" s="1"/>
  <c r="U123" i="175"/>
  <c r="W123" i="175" s="1"/>
  <c r="U230" i="175"/>
  <c r="W230" i="175" s="1"/>
  <c r="U125" i="175"/>
  <c r="W125" i="175" s="1"/>
  <c r="U89" i="175"/>
  <c r="W89" i="175" s="1"/>
  <c r="U582" i="175"/>
  <c r="W582" i="175" s="1"/>
  <c r="U126" i="175"/>
  <c r="W126" i="175" s="1"/>
  <c r="U131" i="175"/>
  <c r="W131" i="175" s="1"/>
  <c r="U164" i="175"/>
  <c r="W164" i="175" s="1"/>
  <c r="U85" i="175"/>
  <c r="W85" i="175" s="1"/>
  <c r="U64" i="175"/>
  <c r="W64" i="175" s="1"/>
  <c r="U90" i="175"/>
  <c r="W90" i="175" s="1"/>
  <c r="U81" i="175"/>
  <c r="U59" i="175"/>
  <c r="W59" i="175" s="1"/>
  <c r="U56" i="175"/>
  <c r="W56" i="175" s="1"/>
  <c r="U132" i="175"/>
  <c r="W132" i="175" s="1"/>
  <c r="U75" i="175"/>
  <c r="W75" i="175" s="1"/>
  <c r="U327" i="175"/>
  <c r="W327" i="175" s="1"/>
  <c r="U141" i="175"/>
  <c r="W141" i="175" s="1"/>
  <c r="U329" i="175"/>
  <c r="W329" i="175" s="1"/>
  <c r="U330" i="175"/>
  <c r="W330" i="175" s="1"/>
  <c r="U331" i="175"/>
  <c r="W331" i="175" s="1"/>
  <c r="U332" i="175"/>
  <c r="W332" i="175" s="1"/>
  <c r="U333" i="175"/>
  <c r="W333" i="175" s="1"/>
  <c r="U334" i="175"/>
  <c r="W334" i="175" s="1"/>
  <c r="U335" i="175"/>
  <c r="W335" i="175" s="1"/>
  <c r="U336" i="175"/>
  <c r="W336" i="175" s="1"/>
  <c r="U337" i="175"/>
  <c r="W337" i="175" s="1"/>
  <c r="U142" i="175"/>
  <c r="W142" i="175" s="1"/>
  <c r="U339" i="175"/>
  <c r="W339" i="175" s="1"/>
  <c r="U340" i="175"/>
  <c r="W340" i="175" s="1"/>
  <c r="U341" i="175"/>
  <c r="W341" i="175" s="1"/>
  <c r="U342" i="175"/>
  <c r="W342" i="175" s="1"/>
  <c r="U343" i="175"/>
  <c r="W343" i="175" s="1"/>
  <c r="U344" i="175"/>
  <c r="W344" i="175" s="1"/>
  <c r="U345" i="175"/>
  <c r="W345" i="175" s="1"/>
  <c r="U84" i="175"/>
  <c r="W84" i="175" s="1"/>
  <c r="U347" i="175"/>
  <c r="W347" i="175" s="1"/>
  <c r="U348" i="175"/>
  <c r="W348" i="175" s="1"/>
  <c r="U349" i="175"/>
  <c r="W349" i="175" s="1"/>
  <c r="U350" i="175"/>
  <c r="W350" i="175" s="1"/>
  <c r="U145" i="175"/>
  <c r="W145" i="175" s="1"/>
  <c r="U352" i="175"/>
  <c r="W352" i="175" s="1"/>
  <c r="U353" i="175"/>
  <c r="W353" i="175" s="1"/>
  <c r="U354" i="175"/>
  <c r="W354" i="175" s="1"/>
  <c r="U355" i="175"/>
  <c r="W355" i="175" s="1"/>
  <c r="U356" i="175"/>
  <c r="W356" i="175" s="1"/>
  <c r="U357" i="175"/>
  <c r="W357" i="175" s="1"/>
  <c r="U358" i="175"/>
  <c r="W358" i="175" s="1"/>
  <c r="U359" i="175"/>
  <c r="W359" i="175" s="1"/>
  <c r="U360" i="175"/>
  <c r="W360" i="175" s="1"/>
  <c r="U361" i="175"/>
  <c r="W361" i="175" s="1"/>
  <c r="U362" i="175"/>
  <c r="W362" i="175" s="1"/>
  <c r="U363" i="175"/>
  <c r="W363" i="175" s="1"/>
  <c r="U364" i="175"/>
  <c r="W364" i="175" s="1"/>
  <c r="U365" i="175"/>
  <c r="W365" i="175" s="1"/>
  <c r="U366" i="175"/>
  <c r="W366" i="175" s="1"/>
  <c r="U6" i="175"/>
  <c r="W6" i="175" s="1"/>
  <c r="W368" i="175"/>
  <c r="U369" i="175"/>
  <c r="W369" i="175" s="1"/>
  <c r="U231" i="175"/>
  <c r="W231" i="175" s="1"/>
  <c r="U371" i="175"/>
  <c r="W371" i="175" s="1"/>
  <c r="U372" i="175"/>
  <c r="W372" i="175" s="1"/>
  <c r="U374" i="175"/>
  <c r="W374" i="175" s="1"/>
  <c r="U375" i="175"/>
  <c r="W375" i="175" s="1"/>
  <c r="U376" i="175"/>
  <c r="W376" i="175" s="1"/>
  <c r="U377" i="175"/>
  <c r="W377" i="175" s="1"/>
  <c r="U378" i="175"/>
  <c r="W378" i="175" s="1"/>
  <c r="U379" i="175"/>
  <c r="W379" i="175" s="1"/>
  <c r="U380" i="175"/>
  <c r="W380" i="175" s="1"/>
  <c r="U382" i="175"/>
  <c r="W382" i="175" s="1"/>
  <c r="U383" i="175"/>
  <c r="W383" i="175" s="1"/>
  <c r="U384" i="175"/>
  <c r="W384" i="175" s="1"/>
  <c r="U385" i="175"/>
  <c r="W385" i="175" s="1"/>
  <c r="U386" i="175"/>
  <c r="W386" i="175" s="1"/>
  <c r="U387" i="175"/>
  <c r="W387" i="175" s="1"/>
  <c r="U388" i="175"/>
  <c r="W388" i="175" s="1"/>
  <c r="U389" i="175"/>
  <c r="W389" i="175" s="1"/>
  <c r="U390" i="175"/>
  <c r="W390" i="175" s="1"/>
  <c r="U391" i="175"/>
  <c r="W391" i="175" s="1"/>
  <c r="U392" i="175"/>
  <c r="W392" i="175" s="1"/>
  <c r="U393" i="175"/>
  <c r="W393" i="175" s="1"/>
  <c r="U394" i="175"/>
  <c r="W394" i="175" s="1"/>
  <c r="U395" i="175"/>
  <c r="W395" i="175" s="1"/>
  <c r="U396" i="175"/>
  <c r="W396" i="175" s="1"/>
  <c r="U397" i="175"/>
  <c r="W397" i="175" s="1"/>
  <c r="U398" i="175"/>
  <c r="W398" i="175" s="1"/>
  <c r="U399" i="175"/>
  <c r="W399" i="175" s="1"/>
  <c r="U400" i="175"/>
  <c r="W400" i="175" s="1"/>
  <c r="U401" i="175"/>
  <c r="W401" i="175" s="1"/>
  <c r="U402" i="175"/>
  <c r="W402" i="175" s="1"/>
  <c r="U403" i="175"/>
  <c r="W403" i="175" s="1"/>
  <c r="U404" i="175"/>
  <c r="W404" i="175" s="1"/>
  <c r="U405" i="175"/>
  <c r="W405" i="175" s="1"/>
  <c r="U406" i="175"/>
  <c r="W406" i="175" s="1"/>
  <c r="U407" i="175"/>
  <c r="W407" i="175" s="1"/>
  <c r="U408" i="175"/>
  <c r="W408" i="175" s="1"/>
  <c r="U409" i="175"/>
  <c r="W409" i="175" s="1"/>
  <c r="U410" i="175"/>
  <c r="W410" i="175" s="1"/>
  <c r="U411" i="175"/>
  <c r="W411" i="175" s="1"/>
  <c r="U412" i="175"/>
  <c r="W412" i="175" s="1"/>
  <c r="U413" i="175"/>
  <c r="W413" i="175" s="1"/>
  <c r="U414" i="175"/>
  <c r="W414" i="175" s="1"/>
  <c r="U415" i="175"/>
  <c r="W415" i="175" s="1"/>
  <c r="U416" i="175"/>
  <c r="W416" i="175" s="1"/>
  <c r="U417" i="175"/>
  <c r="W417" i="175" s="1"/>
  <c r="U419" i="175"/>
  <c r="W419" i="175" s="1"/>
  <c r="U420" i="175"/>
  <c r="W420" i="175" s="1"/>
  <c r="U421" i="175"/>
  <c r="W421" i="175" s="1"/>
  <c r="U54" i="175"/>
  <c r="W54" i="175" s="1"/>
  <c r="G11" i="81" s="1"/>
  <c r="U65" i="175"/>
  <c r="W65" i="175" s="1"/>
  <c r="U77" i="175"/>
  <c r="W77" i="175" s="1"/>
  <c r="Q18" i="79" s="1"/>
  <c r="U425" i="175"/>
  <c r="W425" i="175" s="1"/>
  <c r="U426" i="175"/>
  <c r="W426" i="175" s="1"/>
  <c r="U47" i="175"/>
  <c r="W47" i="175" s="1"/>
  <c r="U428" i="175"/>
  <c r="W428" i="175" s="1"/>
  <c r="J12" i="166" s="1"/>
  <c r="U429" i="175"/>
  <c r="W429" i="175" s="1"/>
  <c r="U430" i="175"/>
  <c r="W430" i="175" s="1"/>
  <c r="U86" i="175"/>
  <c r="W86" i="175" s="1"/>
  <c r="U432" i="175"/>
  <c r="W432" i="175" s="1"/>
  <c r="U433" i="175"/>
  <c r="W433" i="175" s="1"/>
  <c r="G26" i="81" s="1"/>
  <c r="U121" i="175"/>
  <c r="W121" i="175" s="1"/>
  <c r="U436" i="175"/>
  <c r="W436" i="175" s="1"/>
  <c r="U437" i="175"/>
  <c r="W437" i="175" s="1"/>
  <c r="N26" i="50" s="1"/>
  <c r="U438" i="175"/>
  <c r="W438" i="175" s="1"/>
  <c r="U72" i="175"/>
  <c r="W72" i="175" s="1"/>
  <c r="U440" i="175"/>
  <c r="W440" i="175" s="1"/>
  <c r="G38" i="81" s="1"/>
  <c r="U93" i="175"/>
  <c r="W93" i="175" s="1"/>
  <c r="U144" i="175"/>
  <c r="W144" i="175" s="1"/>
  <c r="U63" i="175"/>
  <c r="W63" i="175" s="1"/>
  <c r="U67" i="175"/>
  <c r="W67" i="175" s="1"/>
  <c r="U445" i="175"/>
  <c r="W445" i="175" s="1"/>
  <c r="U446" i="175"/>
  <c r="W446" i="175" s="1"/>
  <c r="U447" i="175"/>
  <c r="W447" i="175" s="1"/>
  <c r="U448" i="175"/>
  <c r="W448" i="175" s="1"/>
  <c r="U160" i="175"/>
  <c r="W160" i="175" s="1"/>
  <c r="U193" i="175"/>
  <c r="W193" i="175" s="1"/>
  <c r="U233" i="175"/>
  <c r="W233" i="175" s="1"/>
  <c r="U194" i="175"/>
  <c r="W194" i="175" s="1"/>
  <c r="U198" i="175"/>
  <c r="W198" i="175" s="1"/>
  <c r="U199" i="175"/>
  <c r="W199" i="175" s="1"/>
  <c r="U457" i="175"/>
  <c r="W457" i="175" s="1"/>
  <c r="U202" i="175"/>
  <c r="W202" i="175" s="1"/>
  <c r="U204" i="175"/>
  <c r="W204" i="175" s="1"/>
  <c r="U234" i="175"/>
  <c r="W234" i="175" s="1"/>
  <c r="W4" i="175"/>
  <c r="U88" i="175"/>
  <c r="W88" i="175" s="1"/>
  <c r="U98" i="175"/>
  <c r="W98" i="175" s="1"/>
  <c r="U74" i="175"/>
  <c r="W74" i="175" s="1"/>
  <c r="U149" i="175"/>
  <c r="W149" i="175" s="1"/>
  <c r="U214" i="175"/>
  <c r="W214" i="175" s="1"/>
  <c r="W237" i="175"/>
  <c r="J22" i="43" s="1"/>
  <c r="U474" i="175"/>
  <c r="W474" i="175" s="1"/>
  <c r="U235" i="175"/>
  <c r="W235" i="175" s="1"/>
  <c r="U476" i="175"/>
  <c r="W476" i="175" s="1"/>
  <c r="U455" i="175"/>
  <c r="W455" i="175" s="1"/>
  <c r="L27" i="201" s="1"/>
  <c r="U52" i="175"/>
  <c r="W52" i="175" s="1"/>
  <c r="U150" i="175"/>
  <c r="W150" i="175" s="1"/>
  <c r="U17" i="175"/>
  <c r="W17" i="175" s="1"/>
  <c r="U463" i="175"/>
  <c r="W463" i="175" s="1"/>
  <c r="U22" i="175"/>
  <c r="W22" i="175" s="1"/>
  <c r="U23" i="175"/>
  <c r="W23" i="175" s="1"/>
  <c r="U28" i="175"/>
  <c r="W28" i="175" s="1"/>
  <c r="U43" i="175"/>
  <c r="W43" i="175" s="1"/>
  <c r="U46" i="175"/>
  <c r="W46" i="175" s="1"/>
  <c r="U48" i="175"/>
  <c r="W48" i="175" s="1"/>
  <c r="U12" i="175"/>
  <c r="W12" i="175" s="1"/>
  <c r="U13" i="175"/>
  <c r="W13" i="175" s="1"/>
  <c r="U14" i="175"/>
  <c r="W14" i="175" s="1"/>
  <c r="U18" i="175"/>
  <c r="W18" i="175" s="1"/>
  <c r="U15" i="175"/>
  <c r="W15" i="175" s="1"/>
  <c r="U16" i="175"/>
  <c r="W16" i="175" s="1"/>
  <c r="U20" i="175"/>
  <c r="W20" i="175" s="1"/>
  <c r="U215" i="175"/>
  <c r="W215" i="175" s="1"/>
  <c r="U217" i="175"/>
  <c r="W217" i="175" s="1"/>
  <c r="U206" i="175"/>
  <c r="W206" i="175" s="1"/>
  <c r="U208" i="175"/>
  <c r="W208" i="175" s="1"/>
  <c r="U322" i="175"/>
  <c r="W322" i="175" s="1"/>
  <c r="U323" i="175"/>
  <c r="W323" i="175" s="1"/>
  <c r="U324" i="175"/>
  <c r="W324" i="175" s="1"/>
  <c r="U316" i="175"/>
  <c r="W316" i="175" s="1"/>
  <c r="U319" i="175"/>
  <c r="W319" i="175" s="1"/>
  <c r="U320" i="175"/>
  <c r="W320" i="175" s="1"/>
  <c r="U321" i="175"/>
  <c r="W321" i="175" s="1"/>
  <c r="U326" i="175"/>
  <c r="W326" i="175" s="1"/>
  <c r="U328" i="175"/>
  <c r="W328" i="175" s="1"/>
  <c r="U338" i="175"/>
  <c r="W338" i="175" s="1"/>
  <c r="U96" i="175"/>
  <c r="W96" i="175" s="1"/>
  <c r="U78" i="175"/>
  <c r="W78" i="175" s="1"/>
  <c r="U188" i="175"/>
  <c r="W188" i="175" s="1"/>
  <c r="U346" i="175"/>
  <c r="W346" i="175" s="1"/>
  <c r="U351" i="175"/>
  <c r="W351" i="175" s="1"/>
  <c r="U225" i="175"/>
  <c r="W225" i="175" s="1"/>
  <c r="U226" i="175"/>
  <c r="W226" i="175" s="1"/>
  <c r="U424" i="175"/>
  <c r="W424" i="175" s="1"/>
  <c r="U427" i="175"/>
  <c r="W427" i="175" s="1"/>
  <c r="U191" i="175"/>
  <c r="W191" i="175" s="1"/>
  <c r="U520" i="175"/>
  <c r="W520" i="175" s="1"/>
  <c r="U521" i="175"/>
  <c r="W521" i="175" s="1"/>
  <c r="U522" i="175"/>
  <c r="W522" i="175" s="1"/>
  <c r="J32" i="166" s="1"/>
  <c r="U151" i="175"/>
  <c r="W151" i="175" s="1"/>
  <c r="U524" i="175"/>
  <c r="W524" i="175" s="1"/>
  <c r="U525" i="175"/>
  <c r="W525" i="175" s="1"/>
  <c r="U526" i="175"/>
  <c r="W526" i="175" s="1"/>
  <c r="U527" i="175"/>
  <c r="W527" i="175" s="1"/>
  <c r="U528" i="175"/>
  <c r="W528" i="175" s="1"/>
  <c r="U529" i="175"/>
  <c r="W529" i="175" s="1"/>
  <c r="U530" i="175"/>
  <c r="W530" i="175" s="1"/>
  <c r="U531" i="175"/>
  <c r="W531" i="175" s="1"/>
  <c r="U532" i="175"/>
  <c r="W532" i="175" s="1"/>
  <c r="U533" i="175"/>
  <c r="W533" i="175" s="1"/>
  <c r="U534" i="175"/>
  <c r="W534" i="175" s="1"/>
  <c r="U535" i="175"/>
  <c r="W535" i="175" s="1"/>
  <c r="U536" i="175"/>
  <c r="W536" i="175" s="1"/>
  <c r="U537" i="175"/>
  <c r="W537" i="175" s="1"/>
  <c r="U538" i="175"/>
  <c r="W538" i="175" s="1"/>
  <c r="U29" i="175"/>
  <c r="W29" i="175" s="1"/>
  <c r="U540" i="175"/>
  <c r="W540" i="175" s="1"/>
  <c r="U541" i="175"/>
  <c r="W541" i="175" s="1"/>
  <c r="K17" i="57" s="1"/>
  <c r="I15" i="182" s="1"/>
  <c r="U542" i="175"/>
  <c r="W542" i="175" s="1"/>
  <c r="K31" i="57" s="1"/>
  <c r="U543" i="175"/>
  <c r="W543" i="175" s="1"/>
  <c r="U71" i="175"/>
  <c r="W71" i="175" s="1"/>
  <c r="U219" i="175"/>
  <c r="W219" i="175" s="1"/>
  <c r="U546" i="175"/>
  <c r="W546" i="175" s="1"/>
  <c r="U547" i="175"/>
  <c r="W547" i="175" s="1"/>
  <c r="U548" i="175"/>
  <c r="W548" i="175" s="1"/>
  <c r="U113" i="175"/>
  <c r="W113" i="175" s="1"/>
  <c r="U184" i="175"/>
  <c r="W184" i="175" s="1"/>
  <c r="U168" i="175"/>
  <c r="W168" i="175" s="1"/>
  <c r="U148" i="175"/>
  <c r="W148" i="175" s="1"/>
  <c r="U156" i="175"/>
  <c r="W156" i="175" s="1"/>
  <c r="U555" i="175"/>
  <c r="W555" i="175" s="1"/>
  <c r="U556" i="175"/>
  <c r="W556" i="175" s="1"/>
  <c r="U557" i="175"/>
  <c r="W557" i="175" s="1"/>
  <c r="U558" i="175"/>
  <c r="W558" i="175" s="1"/>
  <c r="P40" i="51" l="1"/>
  <c r="H34" i="150"/>
  <c r="H17" i="203"/>
  <c r="H18" i="203" s="1"/>
  <c r="J43" i="43"/>
  <c r="F17" i="181" s="1"/>
  <c r="J44" i="43"/>
  <c r="F18" i="181" s="1"/>
  <c r="J9" i="166"/>
  <c r="G9" i="81"/>
  <c r="M36" i="51"/>
  <c r="W81" i="175"/>
  <c r="G76" i="51" s="1"/>
  <c r="AA81" i="175"/>
  <c r="T18" i="129"/>
  <c r="T20" i="129" s="1"/>
  <c r="Q16" i="79"/>
  <c r="F19" i="181"/>
  <c r="J19" i="181" s="1"/>
  <c r="P53" i="51"/>
  <c r="H107" i="59"/>
  <c r="E11" i="178" s="1"/>
  <c r="F11" i="178" s="1"/>
  <c r="G11" i="178" s="1"/>
  <c r="F27" i="181"/>
  <c r="J27" i="181" s="1"/>
  <c r="P35" i="51"/>
  <c r="H20" i="203"/>
  <c r="H21" i="203" s="1"/>
  <c r="N29" i="50"/>
  <c r="P38" i="51"/>
  <c r="E13" i="54"/>
  <c r="P27" i="201"/>
  <c r="P28" i="201" s="1"/>
  <c r="L28" i="201"/>
  <c r="J32" i="43"/>
  <c r="J30" i="166"/>
  <c r="J20" i="181"/>
  <c r="J21" i="181"/>
  <c r="P55" i="51"/>
  <c r="Q19" i="79"/>
  <c r="N11" i="202"/>
  <c r="U16" i="197"/>
  <c r="P120" i="51"/>
  <c r="P121" i="51" s="1"/>
  <c r="J25" i="43"/>
  <c r="P94" i="51"/>
  <c r="P93" i="51" s="1"/>
  <c r="J60" i="43"/>
  <c r="J56" i="43"/>
  <c r="F39" i="150" s="1"/>
  <c r="J16" i="43"/>
  <c r="J53" i="43"/>
  <c r="Q30" i="79"/>
  <c r="J21" i="43"/>
  <c r="J20" i="43"/>
  <c r="P36" i="51"/>
  <c r="J34" i="43"/>
  <c r="J35" i="43"/>
  <c r="J33" i="43"/>
  <c r="F33" i="150" s="1"/>
  <c r="Q38" i="44"/>
  <c r="J15" i="160"/>
  <c r="W106" i="175"/>
  <c r="AA106" i="175"/>
  <c r="P42" i="51"/>
  <c r="P39" i="51"/>
  <c r="F593" i="175"/>
  <c r="G593" i="175"/>
  <c r="J33" i="150" l="1"/>
  <c r="F34" i="150"/>
  <c r="F38" i="150" s="1"/>
  <c r="F40" i="150" s="1"/>
  <c r="F17" i="203"/>
  <c r="J39" i="150"/>
  <c r="F15" i="203"/>
  <c r="J15" i="203" s="1"/>
  <c r="J36" i="43"/>
  <c r="F16" i="203"/>
  <c r="J16" i="203" s="1"/>
  <c r="F36" i="150"/>
  <c r="J36" i="150" s="1"/>
  <c r="F28" i="181"/>
  <c r="J48" i="43"/>
  <c r="J12" i="43" s="1"/>
  <c r="O35" i="197"/>
  <c r="P37" i="51" s="1"/>
  <c r="G12" i="81"/>
  <c r="G15" i="161" s="1"/>
  <c r="J28" i="181"/>
  <c r="G39" i="161"/>
  <c r="F37" i="181"/>
  <c r="K20" i="203"/>
  <c r="J16" i="181"/>
  <c r="J17" i="181"/>
  <c r="J18" i="181"/>
  <c r="J15" i="181"/>
  <c r="P30" i="51"/>
  <c r="I11" i="203" s="1"/>
  <c r="U15" i="197"/>
  <c r="G15" i="160"/>
  <c r="I18" i="182"/>
  <c r="I20" i="203"/>
  <c r="F24" i="181"/>
  <c r="J24" i="181" s="1"/>
  <c r="P56" i="51"/>
  <c r="N9" i="202"/>
  <c r="G35" i="161"/>
  <c r="B16" i="196" s="1"/>
  <c r="D16" i="196" s="1"/>
  <c r="G16" i="196" s="1"/>
  <c r="I16" i="196" s="1"/>
  <c r="K13" i="174"/>
  <c r="F13" i="181"/>
  <c r="J61" i="43"/>
  <c r="J15" i="43" s="1"/>
  <c r="F19" i="203"/>
  <c r="J19" i="203" s="1"/>
  <c r="J25" i="181"/>
  <c r="F22" i="181"/>
  <c r="J22" i="181" s="1"/>
  <c r="F14" i="203"/>
  <c r="F26" i="181"/>
  <c r="J26" i="181" s="1"/>
  <c r="F23" i="181"/>
  <c r="J23" i="181" s="1"/>
  <c r="Q20" i="79"/>
  <c r="J26" i="43" s="1"/>
  <c r="O9" i="150"/>
  <c r="J28" i="166"/>
  <c r="F18" i="203" l="1"/>
  <c r="J13" i="181"/>
  <c r="F29" i="181"/>
  <c r="J29" i="181" s="1"/>
  <c r="J27" i="43"/>
  <c r="P31" i="51"/>
  <c r="L31" i="51"/>
  <c r="F20" i="203"/>
  <c r="L30" i="51"/>
  <c r="J14" i="203"/>
  <c r="F21" i="203" l="1"/>
  <c r="L32" i="51"/>
  <c r="M9" i="150"/>
  <c r="K11" i="203"/>
  <c r="Q20" i="203"/>
  <c r="Q19" i="174"/>
  <c r="H593" i="175" l="1"/>
  <c r="J593" i="175"/>
  <c r="L593" i="175"/>
  <c r="N593" i="175"/>
  <c r="O593" i="175"/>
  <c r="P593" i="175"/>
  <c r="Q593" i="175"/>
  <c r="R593" i="175"/>
  <c r="T593" i="175" l="1"/>
  <c r="X212" i="175" l="1"/>
  <c r="O36" i="48" l="1"/>
  <c r="N36" i="48"/>
  <c r="M36" i="48"/>
  <c r="M40" i="48" s="1"/>
  <c r="M43" i="48" s="1"/>
  <c r="Q17" i="44" s="1"/>
  <c r="K36" i="48"/>
  <c r="R36" i="48"/>
  <c r="P28" i="48"/>
  <c r="O28" i="48"/>
  <c r="N28" i="48"/>
  <c r="L28" i="48"/>
  <c r="L40" i="48" s="1"/>
  <c r="K28" i="48"/>
  <c r="V27" i="48"/>
  <c r="V26" i="48"/>
  <c r="V25" i="48"/>
  <c r="V24" i="48"/>
  <c r="V23" i="48"/>
  <c r="V22" i="48"/>
  <c r="V21" i="48"/>
  <c r="V20" i="48"/>
  <c r="P18" i="48"/>
  <c r="O18" i="48"/>
  <c r="N18" i="48"/>
  <c r="M18" i="48"/>
  <c r="L18" i="48"/>
  <c r="V17" i="48"/>
  <c r="V16" i="48"/>
  <c r="V15" i="48"/>
  <c r="V14" i="48"/>
  <c r="V13" i="48"/>
  <c r="V12" i="48"/>
  <c r="V11" i="48"/>
  <c r="L43" i="48" l="1"/>
  <c r="K40" i="48"/>
  <c r="N40" i="48"/>
  <c r="P40" i="48"/>
  <c r="P43" i="48" s="1"/>
  <c r="P48" i="48" s="1"/>
  <c r="O40" i="48"/>
  <c r="Q36" i="48"/>
  <c r="Q28" i="48"/>
  <c r="V28" i="48"/>
  <c r="V36" i="48" s="1"/>
  <c r="Q18" i="48"/>
  <c r="V18" i="48"/>
  <c r="R18" i="48"/>
  <c r="R28" i="48"/>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5" i="2"/>
  <c r="H4" i="2"/>
  <c r="X247" i="3"/>
  <c r="F247" i="3"/>
  <c r="W246" i="3"/>
  <c r="V246" i="3"/>
  <c r="U246" i="3"/>
  <c r="T246" i="3"/>
  <c r="S246" i="3"/>
  <c r="R246" i="3"/>
  <c r="Q246" i="3"/>
  <c r="P246" i="3"/>
  <c r="O246" i="3"/>
  <c r="N246" i="3"/>
  <c r="M246" i="3"/>
  <c r="L246" i="3"/>
  <c r="K246" i="3"/>
  <c r="J246" i="3"/>
  <c r="I246" i="3"/>
  <c r="H246" i="3"/>
  <c r="G246" i="3"/>
  <c r="W245" i="3"/>
  <c r="V245" i="3"/>
  <c r="U245" i="3"/>
  <c r="T245" i="3"/>
  <c r="S245" i="3"/>
  <c r="R245" i="3"/>
  <c r="Q245" i="3"/>
  <c r="P245" i="3"/>
  <c r="O245" i="3"/>
  <c r="N245" i="3"/>
  <c r="M245" i="3"/>
  <c r="L245" i="3"/>
  <c r="K245" i="3"/>
  <c r="J245" i="3"/>
  <c r="I245" i="3"/>
  <c r="H245" i="3"/>
  <c r="G245" i="3"/>
  <c r="W244" i="3"/>
  <c r="V244" i="3"/>
  <c r="U244" i="3"/>
  <c r="T244" i="3"/>
  <c r="S244" i="3"/>
  <c r="R244" i="3"/>
  <c r="Q244" i="3"/>
  <c r="P244" i="3"/>
  <c r="O244" i="3"/>
  <c r="N244" i="3"/>
  <c r="M244" i="3"/>
  <c r="L244" i="3"/>
  <c r="K244" i="3"/>
  <c r="J244" i="3"/>
  <c r="I244" i="3"/>
  <c r="H244" i="3"/>
  <c r="G244" i="3"/>
  <c r="W243" i="3"/>
  <c r="V243" i="3"/>
  <c r="U243" i="3"/>
  <c r="T243" i="3"/>
  <c r="S243" i="3"/>
  <c r="R243" i="3"/>
  <c r="Q243" i="3"/>
  <c r="P243" i="3"/>
  <c r="O243" i="3"/>
  <c r="N243" i="3"/>
  <c r="M243" i="3"/>
  <c r="L243" i="3"/>
  <c r="K243" i="3"/>
  <c r="J243" i="3"/>
  <c r="I243" i="3"/>
  <c r="H243" i="3"/>
  <c r="G243" i="3"/>
  <c r="W242" i="3"/>
  <c r="V242" i="3"/>
  <c r="U242" i="3"/>
  <c r="T242" i="3"/>
  <c r="S242" i="3"/>
  <c r="R242" i="3"/>
  <c r="Q242" i="3"/>
  <c r="P242" i="3"/>
  <c r="O242" i="3"/>
  <c r="N242" i="3"/>
  <c r="M242" i="3"/>
  <c r="L242" i="3"/>
  <c r="K242" i="3"/>
  <c r="J242" i="3"/>
  <c r="I242" i="3"/>
  <c r="H242" i="3"/>
  <c r="G242" i="3"/>
  <c r="W241" i="3"/>
  <c r="V241" i="3"/>
  <c r="U241" i="3"/>
  <c r="T241" i="3"/>
  <c r="S241" i="3"/>
  <c r="R241" i="3"/>
  <c r="Q241" i="3"/>
  <c r="P241" i="3"/>
  <c r="O241" i="3"/>
  <c r="N241" i="3"/>
  <c r="M241" i="3"/>
  <c r="L241" i="3"/>
  <c r="K241" i="3"/>
  <c r="J241" i="3"/>
  <c r="I241" i="3"/>
  <c r="H241" i="3"/>
  <c r="G241" i="3"/>
  <c r="W240" i="3"/>
  <c r="V240" i="3"/>
  <c r="U240" i="3"/>
  <c r="T240" i="3"/>
  <c r="S240" i="3"/>
  <c r="R240" i="3"/>
  <c r="Q240" i="3"/>
  <c r="P240" i="3"/>
  <c r="O240" i="3"/>
  <c r="N240" i="3"/>
  <c r="M240" i="3"/>
  <c r="L240" i="3"/>
  <c r="K240" i="3"/>
  <c r="J240" i="3"/>
  <c r="I240" i="3"/>
  <c r="H240" i="3"/>
  <c r="G240" i="3"/>
  <c r="W239" i="3"/>
  <c r="V239" i="3"/>
  <c r="U239" i="3"/>
  <c r="T239" i="3"/>
  <c r="S239" i="3"/>
  <c r="R239" i="3"/>
  <c r="Q239" i="3"/>
  <c r="P239" i="3"/>
  <c r="O239" i="3"/>
  <c r="N239" i="3"/>
  <c r="M239" i="3"/>
  <c r="L239" i="3"/>
  <c r="K239" i="3"/>
  <c r="J239" i="3"/>
  <c r="I239" i="3"/>
  <c r="H239" i="3"/>
  <c r="G239" i="3"/>
  <c r="W238" i="3"/>
  <c r="V238" i="3"/>
  <c r="U238" i="3"/>
  <c r="T238" i="3"/>
  <c r="S238" i="3"/>
  <c r="R238" i="3"/>
  <c r="Q238" i="3"/>
  <c r="P238" i="3"/>
  <c r="O238" i="3"/>
  <c r="N238" i="3"/>
  <c r="M238" i="3"/>
  <c r="L238" i="3"/>
  <c r="K238" i="3"/>
  <c r="J238" i="3"/>
  <c r="I238" i="3"/>
  <c r="H238" i="3"/>
  <c r="G238" i="3"/>
  <c r="W237" i="3"/>
  <c r="V237" i="3"/>
  <c r="U237" i="3"/>
  <c r="T237" i="3"/>
  <c r="S237" i="3"/>
  <c r="R237" i="3"/>
  <c r="Q237" i="3"/>
  <c r="P237" i="3"/>
  <c r="O237" i="3"/>
  <c r="N237" i="3"/>
  <c r="M237" i="3"/>
  <c r="L237" i="3"/>
  <c r="K237" i="3"/>
  <c r="J237" i="3"/>
  <c r="I237" i="3"/>
  <c r="H237" i="3"/>
  <c r="G237" i="3"/>
  <c r="W236" i="3"/>
  <c r="V236" i="3"/>
  <c r="U236" i="3"/>
  <c r="T236" i="3"/>
  <c r="S236" i="3"/>
  <c r="R236" i="3"/>
  <c r="Q236" i="3"/>
  <c r="P236" i="3"/>
  <c r="O236" i="3"/>
  <c r="N236" i="3"/>
  <c r="M236" i="3"/>
  <c r="L236" i="3"/>
  <c r="K236" i="3"/>
  <c r="J236" i="3"/>
  <c r="I236" i="3"/>
  <c r="H236" i="3"/>
  <c r="G236" i="3"/>
  <c r="W235" i="3"/>
  <c r="V235" i="3"/>
  <c r="U235" i="3"/>
  <c r="T235" i="3"/>
  <c r="S235" i="3"/>
  <c r="R235" i="3"/>
  <c r="Q235" i="3"/>
  <c r="P235" i="3"/>
  <c r="O235" i="3"/>
  <c r="N235" i="3"/>
  <c r="M235" i="3"/>
  <c r="L235" i="3"/>
  <c r="K235" i="3"/>
  <c r="J235" i="3"/>
  <c r="I235" i="3"/>
  <c r="H235" i="3"/>
  <c r="G235" i="3"/>
  <c r="W234" i="3"/>
  <c r="V234" i="3"/>
  <c r="U234" i="3"/>
  <c r="T234" i="3"/>
  <c r="S234" i="3"/>
  <c r="R234" i="3"/>
  <c r="Q234" i="3"/>
  <c r="P234" i="3"/>
  <c r="O234" i="3"/>
  <c r="N234" i="3"/>
  <c r="M234" i="3"/>
  <c r="L234" i="3"/>
  <c r="K234" i="3"/>
  <c r="J234" i="3"/>
  <c r="I234" i="3"/>
  <c r="H234" i="3"/>
  <c r="G234" i="3"/>
  <c r="W233" i="3"/>
  <c r="V233" i="3"/>
  <c r="U233" i="3"/>
  <c r="T233" i="3"/>
  <c r="S233" i="3"/>
  <c r="R233" i="3"/>
  <c r="Q233" i="3"/>
  <c r="P233" i="3"/>
  <c r="O233" i="3"/>
  <c r="N233" i="3"/>
  <c r="M233" i="3"/>
  <c r="L233" i="3"/>
  <c r="K233" i="3"/>
  <c r="J233" i="3"/>
  <c r="I233" i="3"/>
  <c r="H233" i="3"/>
  <c r="G233" i="3"/>
  <c r="W232" i="3"/>
  <c r="V232" i="3"/>
  <c r="U232" i="3"/>
  <c r="T232" i="3"/>
  <c r="S232" i="3"/>
  <c r="R232" i="3"/>
  <c r="Q232" i="3"/>
  <c r="P232" i="3"/>
  <c r="O232" i="3"/>
  <c r="N232" i="3"/>
  <c r="M232" i="3"/>
  <c r="L232" i="3"/>
  <c r="K232" i="3"/>
  <c r="J232" i="3"/>
  <c r="I232" i="3"/>
  <c r="H232" i="3"/>
  <c r="G232" i="3"/>
  <c r="W231" i="3"/>
  <c r="V231" i="3"/>
  <c r="U231" i="3"/>
  <c r="T231" i="3"/>
  <c r="S231" i="3"/>
  <c r="R231" i="3"/>
  <c r="Q231" i="3"/>
  <c r="P231" i="3"/>
  <c r="O231" i="3"/>
  <c r="N231" i="3"/>
  <c r="M231" i="3"/>
  <c r="L231" i="3"/>
  <c r="K231" i="3"/>
  <c r="J231" i="3"/>
  <c r="I231" i="3"/>
  <c r="H231" i="3"/>
  <c r="G231" i="3"/>
  <c r="W230" i="3"/>
  <c r="V230" i="3"/>
  <c r="U230" i="3"/>
  <c r="T230" i="3"/>
  <c r="S230" i="3"/>
  <c r="R230" i="3"/>
  <c r="Q230" i="3"/>
  <c r="P230" i="3"/>
  <c r="O230" i="3"/>
  <c r="N230" i="3"/>
  <c r="M230" i="3"/>
  <c r="L230" i="3"/>
  <c r="K230" i="3"/>
  <c r="J230" i="3"/>
  <c r="I230" i="3"/>
  <c r="H230" i="3"/>
  <c r="G230" i="3"/>
  <c r="W229" i="3"/>
  <c r="V229" i="3"/>
  <c r="U229" i="3"/>
  <c r="T229" i="3"/>
  <c r="S229" i="3"/>
  <c r="R229" i="3"/>
  <c r="Q229" i="3"/>
  <c r="P229" i="3"/>
  <c r="O229" i="3"/>
  <c r="N229" i="3"/>
  <c r="M229" i="3"/>
  <c r="L229" i="3"/>
  <c r="K229" i="3"/>
  <c r="J229" i="3"/>
  <c r="I229" i="3"/>
  <c r="H229" i="3"/>
  <c r="G229" i="3"/>
  <c r="W228" i="3"/>
  <c r="V228" i="3"/>
  <c r="U228" i="3"/>
  <c r="T228" i="3"/>
  <c r="S228" i="3"/>
  <c r="R228" i="3"/>
  <c r="Q228" i="3"/>
  <c r="P228" i="3"/>
  <c r="O228" i="3"/>
  <c r="N228" i="3"/>
  <c r="M228" i="3"/>
  <c r="L228" i="3"/>
  <c r="K228" i="3"/>
  <c r="J228" i="3"/>
  <c r="I228" i="3"/>
  <c r="H228" i="3"/>
  <c r="G228" i="3"/>
  <c r="W227" i="3"/>
  <c r="V227" i="3"/>
  <c r="U227" i="3"/>
  <c r="T227" i="3"/>
  <c r="S227" i="3"/>
  <c r="R227" i="3"/>
  <c r="Q227" i="3"/>
  <c r="P227" i="3"/>
  <c r="O227" i="3"/>
  <c r="N227" i="3"/>
  <c r="M227" i="3"/>
  <c r="L227" i="3"/>
  <c r="K227" i="3"/>
  <c r="J227" i="3"/>
  <c r="I227" i="3"/>
  <c r="H227" i="3"/>
  <c r="G227" i="3"/>
  <c r="W226" i="3"/>
  <c r="V226" i="3"/>
  <c r="U226" i="3"/>
  <c r="T226" i="3"/>
  <c r="S226" i="3"/>
  <c r="R226" i="3"/>
  <c r="Q226" i="3"/>
  <c r="P226" i="3"/>
  <c r="O226" i="3"/>
  <c r="N226" i="3"/>
  <c r="M226" i="3"/>
  <c r="L226" i="3"/>
  <c r="K226" i="3"/>
  <c r="J226" i="3"/>
  <c r="I226" i="3"/>
  <c r="H226" i="3"/>
  <c r="G226" i="3"/>
  <c r="W225" i="3"/>
  <c r="V225" i="3"/>
  <c r="U225" i="3"/>
  <c r="T225" i="3"/>
  <c r="S225" i="3"/>
  <c r="R225" i="3"/>
  <c r="Q225" i="3"/>
  <c r="P225" i="3"/>
  <c r="O225" i="3"/>
  <c r="N225" i="3"/>
  <c r="M225" i="3"/>
  <c r="L225" i="3"/>
  <c r="K225" i="3"/>
  <c r="J225" i="3"/>
  <c r="I225" i="3"/>
  <c r="H225" i="3"/>
  <c r="G225" i="3"/>
  <c r="W224" i="3"/>
  <c r="V224" i="3"/>
  <c r="U224" i="3"/>
  <c r="T224" i="3"/>
  <c r="S224" i="3"/>
  <c r="R224" i="3"/>
  <c r="Q224" i="3"/>
  <c r="P224" i="3"/>
  <c r="O224" i="3"/>
  <c r="N224" i="3"/>
  <c r="M224" i="3"/>
  <c r="L224" i="3"/>
  <c r="K224" i="3"/>
  <c r="J224" i="3"/>
  <c r="I224" i="3"/>
  <c r="H224" i="3"/>
  <c r="G224" i="3"/>
  <c r="W223" i="3"/>
  <c r="V223" i="3"/>
  <c r="U223" i="3"/>
  <c r="T223" i="3"/>
  <c r="S223" i="3"/>
  <c r="R223" i="3"/>
  <c r="Q223" i="3"/>
  <c r="P223" i="3"/>
  <c r="O223" i="3"/>
  <c r="N223" i="3"/>
  <c r="M223" i="3"/>
  <c r="L223" i="3"/>
  <c r="K223" i="3"/>
  <c r="J223" i="3"/>
  <c r="I223" i="3"/>
  <c r="H223" i="3"/>
  <c r="G223" i="3"/>
  <c r="W222" i="3"/>
  <c r="V222" i="3"/>
  <c r="U222" i="3"/>
  <c r="T222" i="3"/>
  <c r="S222" i="3"/>
  <c r="R222" i="3"/>
  <c r="Q222" i="3"/>
  <c r="P222" i="3"/>
  <c r="O222" i="3"/>
  <c r="N222" i="3"/>
  <c r="M222" i="3"/>
  <c r="L222" i="3"/>
  <c r="K222" i="3"/>
  <c r="J222" i="3"/>
  <c r="I222" i="3"/>
  <c r="H222" i="3"/>
  <c r="G222" i="3"/>
  <c r="W221" i="3"/>
  <c r="V221" i="3"/>
  <c r="U221" i="3"/>
  <c r="T221" i="3"/>
  <c r="S221" i="3"/>
  <c r="R221" i="3"/>
  <c r="Q221" i="3"/>
  <c r="P221" i="3"/>
  <c r="O221" i="3"/>
  <c r="N221" i="3"/>
  <c r="M221" i="3"/>
  <c r="L221" i="3"/>
  <c r="K221" i="3"/>
  <c r="J221" i="3"/>
  <c r="I221" i="3"/>
  <c r="H221" i="3"/>
  <c r="G221" i="3"/>
  <c r="W220" i="3"/>
  <c r="V220" i="3"/>
  <c r="U220" i="3"/>
  <c r="T220" i="3"/>
  <c r="S220" i="3"/>
  <c r="R220" i="3"/>
  <c r="Q220" i="3"/>
  <c r="P220" i="3"/>
  <c r="O220" i="3"/>
  <c r="N220" i="3"/>
  <c r="M220" i="3"/>
  <c r="L220" i="3"/>
  <c r="K220" i="3"/>
  <c r="J220" i="3"/>
  <c r="I220" i="3"/>
  <c r="H220" i="3"/>
  <c r="G220" i="3"/>
  <c r="W219" i="3"/>
  <c r="V219" i="3"/>
  <c r="U219" i="3"/>
  <c r="T219" i="3"/>
  <c r="S219" i="3"/>
  <c r="R219" i="3"/>
  <c r="Q219" i="3"/>
  <c r="P219" i="3"/>
  <c r="O219" i="3"/>
  <c r="N219" i="3"/>
  <c r="M219" i="3"/>
  <c r="L219" i="3"/>
  <c r="K219" i="3"/>
  <c r="J219" i="3"/>
  <c r="I219" i="3"/>
  <c r="H219" i="3"/>
  <c r="G219" i="3"/>
  <c r="W218" i="3"/>
  <c r="V218" i="3"/>
  <c r="U218" i="3"/>
  <c r="T218" i="3"/>
  <c r="S218" i="3"/>
  <c r="R218" i="3"/>
  <c r="Q218" i="3"/>
  <c r="P218" i="3"/>
  <c r="O218" i="3"/>
  <c r="N218" i="3"/>
  <c r="M218" i="3"/>
  <c r="L218" i="3"/>
  <c r="K218" i="3"/>
  <c r="J218" i="3"/>
  <c r="I218" i="3"/>
  <c r="H218" i="3"/>
  <c r="G218" i="3"/>
  <c r="W217" i="3"/>
  <c r="V217" i="3"/>
  <c r="U217" i="3"/>
  <c r="T217" i="3"/>
  <c r="S217" i="3"/>
  <c r="R217" i="3"/>
  <c r="Q217" i="3"/>
  <c r="P217" i="3"/>
  <c r="O217" i="3"/>
  <c r="N217" i="3"/>
  <c r="M217" i="3"/>
  <c r="L217" i="3"/>
  <c r="K217" i="3"/>
  <c r="J217" i="3"/>
  <c r="I217" i="3"/>
  <c r="H217" i="3"/>
  <c r="G217" i="3"/>
  <c r="W216" i="3"/>
  <c r="V216" i="3"/>
  <c r="U216" i="3"/>
  <c r="T216" i="3"/>
  <c r="S216" i="3"/>
  <c r="R216" i="3"/>
  <c r="Q216" i="3"/>
  <c r="P216" i="3"/>
  <c r="O216" i="3"/>
  <c r="N216" i="3"/>
  <c r="M216" i="3"/>
  <c r="L216" i="3"/>
  <c r="K216" i="3"/>
  <c r="J216" i="3"/>
  <c r="I216" i="3"/>
  <c r="H216" i="3"/>
  <c r="G216" i="3"/>
  <c r="W215" i="3"/>
  <c r="V215" i="3"/>
  <c r="U215" i="3"/>
  <c r="T215" i="3"/>
  <c r="S215" i="3"/>
  <c r="R215" i="3"/>
  <c r="Q215" i="3"/>
  <c r="P215" i="3"/>
  <c r="O215" i="3"/>
  <c r="N215" i="3"/>
  <c r="M215" i="3"/>
  <c r="L215" i="3"/>
  <c r="K215" i="3"/>
  <c r="J215" i="3"/>
  <c r="I215" i="3"/>
  <c r="H215" i="3"/>
  <c r="G215" i="3"/>
  <c r="W214" i="3"/>
  <c r="V214" i="3"/>
  <c r="U214" i="3"/>
  <c r="T214" i="3"/>
  <c r="S214" i="3"/>
  <c r="R214" i="3"/>
  <c r="Q214" i="3"/>
  <c r="P214" i="3"/>
  <c r="O214" i="3"/>
  <c r="N214" i="3"/>
  <c r="M214" i="3"/>
  <c r="L214" i="3"/>
  <c r="K214" i="3"/>
  <c r="J214" i="3"/>
  <c r="I214" i="3"/>
  <c r="H214" i="3"/>
  <c r="G214" i="3"/>
  <c r="W213" i="3"/>
  <c r="V213" i="3"/>
  <c r="U213" i="3"/>
  <c r="T213" i="3"/>
  <c r="S213" i="3"/>
  <c r="R213" i="3"/>
  <c r="Q213" i="3"/>
  <c r="P213" i="3"/>
  <c r="O213" i="3"/>
  <c r="N213" i="3"/>
  <c r="M213" i="3"/>
  <c r="L213" i="3"/>
  <c r="K213" i="3"/>
  <c r="J213" i="3"/>
  <c r="I213" i="3"/>
  <c r="H213" i="3"/>
  <c r="G213" i="3"/>
  <c r="W212" i="3"/>
  <c r="V212" i="3"/>
  <c r="U212" i="3"/>
  <c r="T212" i="3"/>
  <c r="S212" i="3"/>
  <c r="R212" i="3"/>
  <c r="Q212" i="3"/>
  <c r="P212" i="3"/>
  <c r="O212" i="3"/>
  <c r="N212" i="3"/>
  <c r="M212" i="3"/>
  <c r="L212" i="3"/>
  <c r="K212" i="3"/>
  <c r="J212" i="3"/>
  <c r="I212" i="3"/>
  <c r="H212" i="3"/>
  <c r="G212" i="3"/>
  <c r="W211" i="3"/>
  <c r="V211" i="3"/>
  <c r="U211" i="3"/>
  <c r="T211" i="3"/>
  <c r="S211" i="3"/>
  <c r="R211" i="3"/>
  <c r="Q211" i="3"/>
  <c r="P211" i="3"/>
  <c r="O211" i="3"/>
  <c r="N211" i="3"/>
  <c r="M211" i="3"/>
  <c r="L211" i="3"/>
  <c r="K211" i="3"/>
  <c r="J211" i="3"/>
  <c r="I211" i="3"/>
  <c r="H211" i="3"/>
  <c r="G211" i="3"/>
  <c r="W210" i="3"/>
  <c r="V210" i="3"/>
  <c r="U210" i="3"/>
  <c r="T210" i="3"/>
  <c r="S210" i="3"/>
  <c r="R210" i="3"/>
  <c r="Q210" i="3"/>
  <c r="P210" i="3"/>
  <c r="O210" i="3"/>
  <c r="N210" i="3"/>
  <c r="M210" i="3"/>
  <c r="L210" i="3"/>
  <c r="K210" i="3"/>
  <c r="J210" i="3"/>
  <c r="I210" i="3"/>
  <c r="H210" i="3"/>
  <c r="G210" i="3"/>
  <c r="W209" i="3"/>
  <c r="V209" i="3"/>
  <c r="U209" i="3"/>
  <c r="T209" i="3"/>
  <c r="S209" i="3"/>
  <c r="R209" i="3"/>
  <c r="Q209" i="3"/>
  <c r="P209" i="3"/>
  <c r="O209" i="3"/>
  <c r="N209" i="3"/>
  <c r="M209" i="3"/>
  <c r="L209" i="3"/>
  <c r="K209" i="3"/>
  <c r="J209" i="3"/>
  <c r="I209" i="3"/>
  <c r="H209" i="3"/>
  <c r="G209" i="3"/>
  <c r="W208" i="3"/>
  <c r="V208" i="3"/>
  <c r="U208" i="3"/>
  <c r="T208" i="3"/>
  <c r="S208" i="3"/>
  <c r="R208" i="3"/>
  <c r="Q208" i="3"/>
  <c r="P208" i="3"/>
  <c r="O208" i="3"/>
  <c r="N208" i="3"/>
  <c r="M208" i="3"/>
  <c r="L208" i="3"/>
  <c r="K208" i="3"/>
  <c r="J208" i="3"/>
  <c r="I208" i="3"/>
  <c r="H208" i="3"/>
  <c r="G208" i="3"/>
  <c r="W207" i="3"/>
  <c r="V207" i="3"/>
  <c r="U207" i="3"/>
  <c r="T207" i="3"/>
  <c r="S207" i="3"/>
  <c r="R207" i="3"/>
  <c r="Q207" i="3"/>
  <c r="P207" i="3"/>
  <c r="O207" i="3"/>
  <c r="N207" i="3"/>
  <c r="M207" i="3"/>
  <c r="L207" i="3"/>
  <c r="K207" i="3"/>
  <c r="J207" i="3"/>
  <c r="I207" i="3"/>
  <c r="H207" i="3"/>
  <c r="G207" i="3"/>
  <c r="W206" i="3"/>
  <c r="V206" i="3"/>
  <c r="U206" i="3"/>
  <c r="T206" i="3"/>
  <c r="S206" i="3"/>
  <c r="R206" i="3"/>
  <c r="Q206" i="3"/>
  <c r="P206" i="3"/>
  <c r="O206" i="3"/>
  <c r="N206" i="3"/>
  <c r="M206" i="3"/>
  <c r="L206" i="3"/>
  <c r="K206" i="3"/>
  <c r="J206" i="3"/>
  <c r="I206" i="3"/>
  <c r="H206" i="3"/>
  <c r="G206" i="3"/>
  <c r="W205" i="3"/>
  <c r="V205" i="3"/>
  <c r="U205" i="3"/>
  <c r="T205" i="3"/>
  <c r="S205" i="3"/>
  <c r="R205" i="3"/>
  <c r="Q205" i="3"/>
  <c r="P205" i="3"/>
  <c r="O205" i="3"/>
  <c r="N205" i="3"/>
  <c r="M205" i="3"/>
  <c r="L205" i="3"/>
  <c r="K205" i="3"/>
  <c r="J205" i="3"/>
  <c r="I205" i="3"/>
  <c r="H205" i="3"/>
  <c r="G205" i="3"/>
  <c r="W204" i="3"/>
  <c r="V204" i="3"/>
  <c r="U204" i="3"/>
  <c r="T204" i="3"/>
  <c r="S204" i="3"/>
  <c r="R204" i="3"/>
  <c r="Q204" i="3"/>
  <c r="P204" i="3"/>
  <c r="O204" i="3"/>
  <c r="N204" i="3"/>
  <c r="M204" i="3"/>
  <c r="L204" i="3"/>
  <c r="K204" i="3"/>
  <c r="J204" i="3"/>
  <c r="I204" i="3"/>
  <c r="H204" i="3"/>
  <c r="G204" i="3"/>
  <c r="W203" i="3"/>
  <c r="V203" i="3"/>
  <c r="U203" i="3"/>
  <c r="T203" i="3"/>
  <c r="S203" i="3"/>
  <c r="R203" i="3"/>
  <c r="Q203" i="3"/>
  <c r="P203" i="3"/>
  <c r="O203" i="3"/>
  <c r="N203" i="3"/>
  <c r="M203" i="3"/>
  <c r="L203" i="3"/>
  <c r="K203" i="3"/>
  <c r="J203" i="3"/>
  <c r="I203" i="3"/>
  <c r="H203" i="3"/>
  <c r="G203" i="3"/>
  <c r="W202" i="3"/>
  <c r="V202" i="3"/>
  <c r="U202" i="3"/>
  <c r="T202" i="3"/>
  <c r="S202" i="3"/>
  <c r="R202" i="3"/>
  <c r="Q202" i="3"/>
  <c r="P202" i="3"/>
  <c r="O202" i="3"/>
  <c r="N202" i="3"/>
  <c r="M202" i="3"/>
  <c r="L202" i="3"/>
  <c r="K202" i="3"/>
  <c r="J202" i="3"/>
  <c r="I202" i="3"/>
  <c r="H202" i="3"/>
  <c r="G202" i="3"/>
  <c r="W201" i="3"/>
  <c r="V201" i="3"/>
  <c r="U201" i="3"/>
  <c r="T201" i="3"/>
  <c r="S201" i="3"/>
  <c r="R201" i="3"/>
  <c r="Q201" i="3"/>
  <c r="P201" i="3"/>
  <c r="O201" i="3"/>
  <c r="N201" i="3"/>
  <c r="M201" i="3"/>
  <c r="L201" i="3"/>
  <c r="K201" i="3"/>
  <c r="J201" i="3"/>
  <c r="I201" i="3"/>
  <c r="H201" i="3"/>
  <c r="G201" i="3"/>
  <c r="W200" i="3"/>
  <c r="V200" i="3"/>
  <c r="U200" i="3"/>
  <c r="T200" i="3"/>
  <c r="S200" i="3"/>
  <c r="R200" i="3"/>
  <c r="Q200" i="3"/>
  <c r="P200" i="3"/>
  <c r="O200" i="3"/>
  <c r="N200" i="3"/>
  <c r="M200" i="3"/>
  <c r="L200" i="3"/>
  <c r="K200" i="3"/>
  <c r="J200" i="3"/>
  <c r="I200" i="3"/>
  <c r="H200" i="3"/>
  <c r="G200" i="3"/>
  <c r="W199" i="3"/>
  <c r="V199" i="3"/>
  <c r="U199" i="3"/>
  <c r="T199" i="3"/>
  <c r="S199" i="3"/>
  <c r="R199" i="3"/>
  <c r="Q199" i="3"/>
  <c r="P199" i="3"/>
  <c r="O199" i="3"/>
  <c r="N199" i="3"/>
  <c r="M199" i="3"/>
  <c r="L199" i="3"/>
  <c r="K199" i="3"/>
  <c r="J199" i="3"/>
  <c r="I199" i="3"/>
  <c r="H199" i="3"/>
  <c r="G199" i="3"/>
  <c r="W198" i="3"/>
  <c r="V198" i="3"/>
  <c r="U198" i="3"/>
  <c r="T198" i="3"/>
  <c r="S198" i="3"/>
  <c r="R198" i="3"/>
  <c r="Q198" i="3"/>
  <c r="P198" i="3"/>
  <c r="O198" i="3"/>
  <c r="N198" i="3"/>
  <c r="M198" i="3"/>
  <c r="L198" i="3"/>
  <c r="K198" i="3"/>
  <c r="J198" i="3"/>
  <c r="I198" i="3"/>
  <c r="H198" i="3"/>
  <c r="G198" i="3"/>
  <c r="W197" i="3"/>
  <c r="V197" i="3"/>
  <c r="U197" i="3"/>
  <c r="T197" i="3"/>
  <c r="S197" i="3"/>
  <c r="R197" i="3"/>
  <c r="Q197" i="3"/>
  <c r="P197" i="3"/>
  <c r="O197" i="3"/>
  <c r="N197" i="3"/>
  <c r="M197" i="3"/>
  <c r="L197" i="3"/>
  <c r="K197" i="3"/>
  <c r="J197" i="3"/>
  <c r="I197" i="3"/>
  <c r="H197" i="3"/>
  <c r="G197" i="3"/>
  <c r="W196" i="3"/>
  <c r="V196" i="3"/>
  <c r="U196" i="3"/>
  <c r="T196" i="3"/>
  <c r="S196" i="3"/>
  <c r="R196" i="3"/>
  <c r="Q196" i="3"/>
  <c r="P196" i="3"/>
  <c r="O196" i="3"/>
  <c r="N196" i="3"/>
  <c r="M196" i="3"/>
  <c r="L196" i="3"/>
  <c r="K196" i="3"/>
  <c r="J196" i="3"/>
  <c r="I196" i="3"/>
  <c r="H196" i="3"/>
  <c r="G196" i="3"/>
  <c r="W195" i="3"/>
  <c r="V195" i="3"/>
  <c r="U195" i="3"/>
  <c r="T195" i="3"/>
  <c r="S195" i="3"/>
  <c r="R195" i="3"/>
  <c r="Q195" i="3"/>
  <c r="P195" i="3"/>
  <c r="O195" i="3"/>
  <c r="N195" i="3"/>
  <c r="M195" i="3"/>
  <c r="L195" i="3"/>
  <c r="K195" i="3"/>
  <c r="J195" i="3"/>
  <c r="I195" i="3"/>
  <c r="H195" i="3"/>
  <c r="G195" i="3"/>
  <c r="W194" i="3"/>
  <c r="V194" i="3"/>
  <c r="U194" i="3"/>
  <c r="T194" i="3"/>
  <c r="S194" i="3"/>
  <c r="R194" i="3"/>
  <c r="Q194" i="3"/>
  <c r="P194" i="3"/>
  <c r="O194" i="3"/>
  <c r="N194" i="3"/>
  <c r="M194" i="3"/>
  <c r="L194" i="3"/>
  <c r="K194" i="3"/>
  <c r="J194" i="3"/>
  <c r="I194" i="3"/>
  <c r="H194" i="3"/>
  <c r="G194" i="3"/>
  <c r="W193" i="3"/>
  <c r="V193" i="3"/>
  <c r="U193" i="3"/>
  <c r="T193" i="3"/>
  <c r="S193" i="3"/>
  <c r="R193" i="3"/>
  <c r="Q193" i="3"/>
  <c r="P193" i="3"/>
  <c r="O193" i="3"/>
  <c r="N193" i="3"/>
  <c r="M193" i="3"/>
  <c r="L193" i="3"/>
  <c r="K193" i="3"/>
  <c r="J193" i="3"/>
  <c r="I193" i="3"/>
  <c r="H193" i="3"/>
  <c r="G193" i="3"/>
  <c r="W192" i="3"/>
  <c r="V192" i="3"/>
  <c r="U192" i="3"/>
  <c r="T192" i="3"/>
  <c r="S192" i="3"/>
  <c r="R192" i="3"/>
  <c r="Q192" i="3"/>
  <c r="P192" i="3"/>
  <c r="O192" i="3"/>
  <c r="N192" i="3"/>
  <c r="M192" i="3"/>
  <c r="L192" i="3"/>
  <c r="K192" i="3"/>
  <c r="J192" i="3"/>
  <c r="I192" i="3"/>
  <c r="H192" i="3"/>
  <c r="G192" i="3"/>
  <c r="W191" i="3"/>
  <c r="V191" i="3"/>
  <c r="U191" i="3"/>
  <c r="T191" i="3"/>
  <c r="S191" i="3"/>
  <c r="R191" i="3"/>
  <c r="Q191" i="3"/>
  <c r="P191" i="3"/>
  <c r="O191" i="3"/>
  <c r="N191" i="3"/>
  <c r="M191" i="3"/>
  <c r="L191" i="3"/>
  <c r="K191" i="3"/>
  <c r="J191" i="3"/>
  <c r="I191" i="3"/>
  <c r="H191" i="3"/>
  <c r="G191" i="3"/>
  <c r="W190" i="3"/>
  <c r="V190" i="3"/>
  <c r="U190" i="3"/>
  <c r="T190" i="3"/>
  <c r="S190" i="3"/>
  <c r="R190" i="3"/>
  <c r="Q190" i="3"/>
  <c r="P190" i="3"/>
  <c r="O190" i="3"/>
  <c r="N190" i="3"/>
  <c r="M190" i="3"/>
  <c r="L190" i="3"/>
  <c r="K190" i="3"/>
  <c r="J190" i="3"/>
  <c r="I190" i="3"/>
  <c r="H190" i="3"/>
  <c r="G190" i="3"/>
  <c r="W189" i="3"/>
  <c r="V189" i="3"/>
  <c r="U189" i="3"/>
  <c r="T189" i="3"/>
  <c r="S189" i="3"/>
  <c r="R189" i="3"/>
  <c r="Q189" i="3"/>
  <c r="P189" i="3"/>
  <c r="O189" i="3"/>
  <c r="N189" i="3"/>
  <c r="M189" i="3"/>
  <c r="L189" i="3"/>
  <c r="K189" i="3"/>
  <c r="J189" i="3"/>
  <c r="I189" i="3"/>
  <c r="H189" i="3"/>
  <c r="G189" i="3"/>
  <c r="W188" i="3"/>
  <c r="V188" i="3"/>
  <c r="U188" i="3"/>
  <c r="T188" i="3"/>
  <c r="S188" i="3"/>
  <c r="R188" i="3"/>
  <c r="Q188" i="3"/>
  <c r="P188" i="3"/>
  <c r="O188" i="3"/>
  <c r="N188" i="3"/>
  <c r="M188" i="3"/>
  <c r="L188" i="3"/>
  <c r="K188" i="3"/>
  <c r="J188" i="3"/>
  <c r="I188" i="3"/>
  <c r="H188" i="3"/>
  <c r="G188" i="3"/>
  <c r="W187" i="3"/>
  <c r="V187" i="3"/>
  <c r="U187" i="3"/>
  <c r="T187" i="3"/>
  <c r="S187" i="3"/>
  <c r="R187" i="3"/>
  <c r="Q187" i="3"/>
  <c r="P187" i="3"/>
  <c r="O187" i="3"/>
  <c r="N187" i="3"/>
  <c r="M187" i="3"/>
  <c r="L187" i="3"/>
  <c r="K187" i="3"/>
  <c r="J187" i="3"/>
  <c r="I187" i="3"/>
  <c r="H187" i="3"/>
  <c r="G187" i="3"/>
  <c r="W186" i="3"/>
  <c r="V186" i="3"/>
  <c r="U186" i="3"/>
  <c r="T186" i="3"/>
  <c r="S186" i="3"/>
  <c r="R186" i="3"/>
  <c r="Q186" i="3"/>
  <c r="P186" i="3"/>
  <c r="O186" i="3"/>
  <c r="N186" i="3"/>
  <c r="M186" i="3"/>
  <c r="L186" i="3"/>
  <c r="K186" i="3"/>
  <c r="J186" i="3"/>
  <c r="I186" i="3"/>
  <c r="H186" i="3"/>
  <c r="G186" i="3"/>
  <c r="W185" i="3"/>
  <c r="V185" i="3"/>
  <c r="U185" i="3"/>
  <c r="T185" i="3"/>
  <c r="S185" i="3"/>
  <c r="R185" i="3"/>
  <c r="Q185" i="3"/>
  <c r="P185" i="3"/>
  <c r="O185" i="3"/>
  <c r="N185" i="3"/>
  <c r="M185" i="3"/>
  <c r="L185" i="3"/>
  <c r="K185" i="3"/>
  <c r="J185" i="3"/>
  <c r="I185" i="3"/>
  <c r="H185" i="3"/>
  <c r="G185" i="3"/>
  <c r="W184" i="3"/>
  <c r="V184" i="3"/>
  <c r="U184" i="3"/>
  <c r="T184" i="3"/>
  <c r="S184" i="3"/>
  <c r="R184" i="3"/>
  <c r="Q184" i="3"/>
  <c r="P184" i="3"/>
  <c r="O184" i="3"/>
  <c r="N184" i="3"/>
  <c r="M184" i="3"/>
  <c r="L184" i="3"/>
  <c r="K184" i="3"/>
  <c r="J184" i="3"/>
  <c r="I184" i="3"/>
  <c r="H184" i="3"/>
  <c r="G184" i="3"/>
  <c r="W183" i="3"/>
  <c r="V183" i="3"/>
  <c r="U183" i="3"/>
  <c r="T183" i="3"/>
  <c r="S183" i="3"/>
  <c r="R183" i="3"/>
  <c r="Q183" i="3"/>
  <c r="P183" i="3"/>
  <c r="O183" i="3"/>
  <c r="N183" i="3"/>
  <c r="M183" i="3"/>
  <c r="L183" i="3"/>
  <c r="K183" i="3"/>
  <c r="J183" i="3"/>
  <c r="I183" i="3"/>
  <c r="H183" i="3"/>
  <c r="G183" i="3"/>
  <c r="W182" i="3"/>
  <c r="V182" i="3"/>
  <c r="U182" i="3"/>
  <c r="T182" i="3"/>
  <c r="S182" i="3"/>
  <c r="R182" i="3"/>
  <c r="Q182" i="3"/>
  <c r="P182" i="3"/>
  <c r="O182" i="3"/>
  <c r="N182" i="3"/>
  <c r="M182" i="3"/>
  <c r="L182" i="3"/>
  <c r="K182" i="3"/>
  <c r="J182" i="3"/>
  <c r="I182" i="3"/>
  <c r="H182" i="3"/>
  <c r="G182" i="3"/>
  <c r="W181" i="3"/>
  <c r="V181" i="3"/>
  <c r="U181" i="3"/>
  <c r="T181" i="3"/>
  <c r="S181" i="3"/>
  <c r="R181" i="3"/>
  <c r="Q181" i="3"/>
  <c r="P181" i="3"/>
  <c r="O181" i="3"/>
  <c r="N181" i="3"/>
  <c r="M181" i="3"/>
  <c r="L181" i="3"/>
  <c r="K181" i="3"/>
  <c r="J181" i="3"/>
  <c r="I181" i="3"/>
  <c r="H181" i="3"/>
  <c r="G181" i="3"/>
  <c r="W180" i="3"/>
  <c r="V180" i="3"/>
  <c r="U180" i="3"/>
  <c r="T180" i="3"/>
  <c r="S180" i="3"/>
  <c r="R180" i="3"/>
  <c r="Q180" i="3"/>
  <c r="P180" i="3"/>
  <c r="O180" i="3"/>
  <c r="N180" i="3"/>
  <c r="M180" i="3"/>
  <c r="L180" i="3"/>
  <c r="K180" i="3"/>
  <c r="J180" i="3"/>
  <c r="I180" i="3"/>
  <c r="H180" i="3"/>
  <c r="G180" i="3"/>
  <c r="W179" i="3"/>
  <c r="V179" i="3"/>
  <c r="U179" i="3"/>
  <c r="T179" i="3"/>
  <c r="S179" i="3"/>
  <c r="R179" i="3"/>
  <c r="Q179" i="3"/>
  <c r="P179" i="3"/>
  <c r="O179" i="3"/>
  <c r="N179" i="3"/>
  <c r="M179" i="3"/>
  <c r="L179" i="3"/>
  <c r="K179" i="3"/>
  <c r="J179" i="3"/>
  <c r="I179" i="3"/>
  <c r="H179" i="3"/>
  <c r="G179" i="3"/>
  <c r="W178" i="3"/>
  <c r="V178" i="3"/>
  <c r="U178" i="3"/>
  <c r="T178" i="3"/>
  <c r="S178" i="3"/>
  <c r="R178" i="3"/>
  <c r="Q178" i="3"/>
  <c r="P178" i="3"/>
  <c r="O178" i="3"/>
  <c r="N178" i="3"/>
  <c r="M178" i="3"/>
  <c r="L178" i="3"/>
  <c r="K178" i="3"/>
  <c r="J178" i="3"/>
  <c r="I178" i="3"/>
  <c r="H178" i="3"/>
  <c r="G178" i="3"/>
  <c r="W177" i="3"/>
  <c r="V177" i="3"/>
  <c r="U177" i="3"/>
  <c r="T177" i="3"/>
  <c r="S177" i="3"/>
  <c r="R177" i="3"/>
  <c r="Q177" i="3"/>
  <c r="P177" i="3"/>
  <c r="O177" i="3"/>
  <c r="N177" i="3"/>
  <c r="M177" i="3"/>
  <c r="L177" i="3"/>
  <c r="K177" i="3"/>
  <c r="J177" i="3"/>
  <c r="I177" i="3"/>
  <c r="H177" i="3"/>
  <c r="G177" i="3"/>
  <c r="W176" i="3"/>
  <c r="V176" i="3"/>
  <c r="U176" i="3"/>
  <c r="T176" i="3"/>
  <c r="S176" i="3"/>
  <c r="R176" i="3"/>
  <c r="Q176" i="3"/>
  <c r="P176" i="3"/>
  <c r="O176" i="3"/>
  <c r="N176" i="3"/>
  <c r="M176" i="3"/>
  <c r="L176" i="3"/>
  <c r="K176" i="3"/>
  <c r="J176" i="3"/>
  <c r="I176" i="3"/>
  <c r="H176" i="3"/>
  <c r="G176" i="3"/>
  <c r="W175" i="3"/>
  <c r="V175" i="3"/>
  <c r="U175" i="3"/>
  <c r="T175" i="3"/>
  <c r="S175" i="3"/>
  <c r="R175" i="3"/>
  <c r="Q175" i="3"/>
  <c r="P175" i="3"/>
  <c r="O175" i="3"/>
  <c r="N175" i="3"/>
  <c r="M175" i="3"/>
  <c r="L175" i="3"/>
  <c r="K175" i="3"/>
  <c r="J175" i="3"/>
  <c r="I175" i="3"/>
  <c r="H175" i="3"/>
  <c r="G175" i="3"/>
  <c r="W174" i="3"/>
  <c r="V174" i="3"/>
  <c r="U174" i="3"/>
  <c r="T174" i="3"/>
  <c r="S174" i="3"/>
  <c r="R174" i="3"/>
  <c r="Q174" i="3"/>
  <c r="P174" i="3"/>
  <c r="O174" i="3"/>
  <c r="N174" i="3"/>
  <c r="M174" i="3"/>
  <c r="L174" i="3"/>
  <c r="K174" i="3"/>
  <c r="J174" i="3"/>
  <c r="I174" i="3"/>
  <c r="H174" i="3"/>
  <c r="G174" i="3"/>
  <c r="W173" i="3"/>
  <c r="V173" i="3"/>
  <c r="U173" i="3"/>
  <c r="T173" i="3"/>
  <c r="S173" i="3"/>
  <c r="R173" i="3"/>
  <c r="Q173" i="3"/>
  <c r="P173" i="3"/>
  <c r="O173" i="3"/>
  <c r="N173" i="3"/>
  <c r="M173" i="3"/>
  <c r="L173" i="3"/>
  <c r="K173" i="3"/>
  <c r="J173" i="3"/>
  <c r="I173" i="3"/>
  <c r="H173" i="3"/>
  <c r="G173" i="3"/>
  <c r="W172" i="3"/>
  <c r="V172" i="3"/>
  <c r="U172" i="3"/>
  <c r="T172" i="3"/>
  <c r="S172" i="3"/>
  <c r="R172" i="3"/>
  <c r="Q172" i="3"/>
  <c r="P172" i="3"/>
  <c r="O172" i="3"/>
  <c r="N172" i="3"/>
  <c r="M172" i="3"/>
  <c r="L172" i="3"/>
  <c r="K172" i="3"/>
  <c r="J172" i="3"/>
  <c r="I172" i="3"/>
  <c r="H172" i="3"/>
  <c r="G172" i="3"/>
  <c r="W171" i="3"/>
  <c r="V171" i="3"/>
  <c r="U171" i="3"/>
  <c r="T171" i="3"/>
  <c r="S171" i="3"/>
  <c r="R171" i="3"/>
  <c r="Q171" i="3"/>
  <c r="P171" i="3"/>
  <c r="O171" i="3"/>
  <c r="N171" i="3"/>
  <c r="M171" i="3"/>
  <c r="L171" i="3"/>
  <c r="K171" i="3"/>
  <c r="J171" i="3"/>
  <c r="I171" i="3"/>
  <c r="H171" i="3"/>
  <c r="G171" i="3"/>
  <c r="W170" i="3"/>
  <c r="V170" i="3"/>
  <c r="U170" i="3"/>
  <c r="T170" i="3"/>
  <c r="S170" i="3"/>
  <c r="R170" i="3"/>
  <c r="Q170" i="3"/>
  <c r="P170" i="3"/>
  <c r="O170" i="3"/>
  <c r="N170" i="3"/>
  <c r="M170" i="3"/>
  <c r="L170" i="3"/>
  <c r="K170" i="3"/>
  <c r="J170" i="3"/>
  <c r="I170" i="3"/>
  <c r="H170" i="3"/>
  <c r="G170" i="3"/>
  <c r="W169" i="3"/>
  <c r="V169" i="3"/>
  <c r="U169" i="3"/>
  <c r="T169" i="3"/>
  <c r="S169" i="3"/>
  <c r="R169" i="3"/>
  <c r="Q169" i="3"/>
  <c r="P169" i="3"/>
  <c r="O169" i="3"/>
  <c r="N169" i="3"/>
  <c r="M169" i="3"/>
  <c r="L169" i="3"/>
  <c r="K169" i="3"/>
  <c r="J169" i="3"/>
  <c r="I169" i="3"/>
  <c r="H169" i="3"/>
  <c r="G169" i="3"/>
  <c r="W168" i="3"/>
  <c r="V168" i="3"/>
  <c r="U168" i="3"/>
  <c r="T168" i="3"/>
  <c r="S168" i="3"/>
  <c r="R168" i="3"/>
  <c r="Q168" i="3"/>
  <c r="P168" i="3"/>
  <c r="O168" i="3"/>
  <c r="N168" i="3"/>
  <c r="M168" i="3"/>
  <c r="L168" i="3"/>
  <c r="K168" i="3"/>
  <c r="J168" i="3"/>
  <c r="I168" i="3"/>
  <c r="H168" i="3"/>
  <c r="G168" i="3"/>
  <c r="W167" i="3"/>
  <c r="V167" i="3"/>
  <c r="U167" i="3"/>
  <c r="T167" i="3"/>
  <c r="S167" i="3"/>
  <c r="R167" i="3"/>
  <c r="Q167" i="3"/>
  <c r="P167" i="3"/>
  <c r="O167" i="3"/>
  <c r="N167" i="3"/>
  <c r="M167" i="3"/>
  <c r="L167" i="3"/>
  <c r="K167" i="3"/>
  <c r="J167" i="3"/>
  <c r="I167" i="3"/>
  <c r="H167" i="3"/>
  <c r="G167" i="3"/>
  <c r="W166" i="3"/>
  <c r="V166" i="3"/>
  <c r="U166" i="3"/>
  <c r="T166" i="3"/>
  <c r="S166" i="3"/>
  <c r="R166" i="3"/>
  <c r="Q166" i="3"/>
  <c r="P166" i="3"/>
  <c r="O166" i="3"/>
  <c r="N166" i="3"/>
  <c r="M166" i="3"/>
  <c r="L166" i="3"/>
  <c r="K166" i="3"/>
  <c r="J166" i="3"/>
  <c r="I166" i="3"/>
  <c r="H166" i="3"/>
  <c r="G166" i="3"/>
  <c r="W165" i="3"/>
  <c r="V165" i="3"/>
  <c r="U165" i="3"/>
  <c r="T165" i="3"/>
  <c r="S165" i="3"/>
  <c r="R165" i="3"/>
  <c r="Q165" i="3"/>
  <c r="P165" i="3"/>
  <c r="O165" i="3"/>
  <c r="N165" i="3"/>
  <c r="M165" i="3"/>
  <c r="L165" i="3"/>
  <c r="K165" i="3"/>
  <c r="J165" i="3"/>
  <c r="I165" i="3"/>
  <c r="H165" i="3"/>
  <c r="G165" i="3"/>
  <c r="W164" i="3"/>
  <c r="V164" i="3"/>
  <c r="U164" i="3"/>
  <c r="T164" i="3"/>
  <c r="S164" i="3"/>
  <c r="R164" i="3"/>
  <c r="Q164" i="3"/>
  <c r="P164" i="3"/>
  <c r="O164" i="3"/>
  <c r="N164" i="3"/>
  <c r="M164" i="3"/>
  <c r="L164" i="3"/>
  <c r="K164" i="3"/>
  <c r="J164" i="3"/>
  <c r="I164" i="3"/>
  <c r="H164" i="3"/>
  <c r="G164" i="3"/>
  <c r="W163" i="3"/>
  <c r="V163" i="3"/>
  <c r="U163" i="3"/>
  <c r="T163" i="3"/>
  <c r="S163" i="3"/>
  <c r="R163" i="3"/>
  <c r="Q163" i="3"/>
  <c r="P163" i="3"/>
  <c r="O163" i="3"/>
  <c r="N163" i="3"/>
  <c r="M163" i="3"/>
  <c r="L163" i="3"/>
  <c r="K163" i="3"/>
  <c r="J163" i="3"/>
  <c r="I163" i="3"/>
  <c r="H163" i="3"/>
  <c r="G163" i="3"/>
  <c r="W162" i="3"/>
  <c r="V162" i="3"/>
  <c r="U162" i="3"/>
  <c r="T162" i="3"/>
  <c r="S162" i="3"/>
  <c r="R162" i="3"/>
  <c r="Q162" i="3"/>
  <c r="P162" i="3"/>
  <c r="O162" i="3"/>
  <c r="N162" i="3"/>
  <c r="M162" i="3"/>
  <c r="L162" i="3"/>
  <c r="K162" i="3"/>
  <c r="J162" i="3"/>
  <c r="I162" i="3"/>
  <c r="H162" i="3"/>
  <c r="G162" i="3"/>
  <c r="W161" i="3"/>
  <c r="V161" i="3"/>
  <c r="U161" i="3"/>
  <c r="T161" i="3"/>
  <c r="S161" i="3"/>
  <c r="R161" i="3"/>
  <c r="Q161" i="3"/>
  <c r="P161" i="3"/>
  <c r="O161" i="3"/>
  <c r="N161" i="3"/>
  <c r="M161" i="3"/>
  <c r="L161" i="3"/>
  <c r="K161" i="3"/>
  <c r="J161" i="3"/>
  <c r="I161" i="3"/>
  <c r="H161" i="3"/>
  <c r="G161" i="3"/>
  <c r="W160" i="3"/>
  <c r="V160" i="3"/>
  <c r="U160" i="3"/>
  <c r="T160" i="3"/>
  <c r="S160" i="3"/>
  <c r="R160" i="3"/>
  <c r="Q160" i="3"/>
  <c r="P160" i="3"/>
  <c r="O160" i="3"/>
  <c r="N160" i="3"/>
  <c r="M160" i="3"/>
  <c r="L160" i="3"/>
  <c r="K160" i="3"/>
  <c r="J160" i="3"/>
  <c r="I160" i="3"/>
  <c r="H160" i="3"/>
  <c r="G160" i="3"/>
  <c r="W159" i="3"/>
  <c r="V159" i="3"/>
  <c r="U159" i="3"/>
  <c r="T159" i="3"/>
  <c r="S159" i="3"/>
  <c r="R159" i="3"/>
  <c r="Q159" i="3"/>
  <c r="P159" i="3"/>
  <c r="O159" i="3"/>
  <c r="N159" i="3"/>
  <c r="M159" i="3"/>
  <c r="L159" i="3"/>
  <c r="K159" i="3"/>
  <c r="J159" i="3"/>
  <c r="I159" i="3"/>
  <c r="H159" i="3"/>
  <c r="G159" i="3"/>
  <c r="W158" i="3"/>
  <c r="V158" i="3"/>
  <c r="U158" i="3"/>
  <c r="T158" i="3"/>
  <c r="S158" i="3"/>
  <c r="R158" i="3"/>
  <c r="Q158" i="3"/>
  <c r="P158" i="3"/>
  <c r="O158" i="3"/>
  <c r="N158" i="3"/>
  <c r="M158" i="3"/>
  <c r="L158" i="3"/>
  <c r="K158" i="3"/>
  <c r="J158" i="3"/>
  <c r="I158" i="3"/>
  <c r="H158" i="3"/>
  <c r="G158" i="3"/>
  <c r="W157" i="3"/>
  <c r="V157" i="3"/>
  <c r="U157" i="3"/>
  <c r="T157" i="3"/>
  <c r="S157" i="3"/>
  <c r="R157" i="3"/>
  <c r="Q157" i="3"/>
  <c r="P157" i="3"/>
  <c r="O157" i="3"/>
  <c r="N157" i="3"/>
  <c r="M157" i="3"/>
  <c r="L157" i="3"/>
  <c r="K157" i="3"/>
  <c r="J157" i="3"/>
  <c r="I157" i="3"/>
  <c r="H157" i="3"/>
  <c r="G157" i="3"/>
  <c r="W156" i="3"/>
  <c r="V156" i="3"/>
  <c r="U156" i="3"/>
  <c r="T156" i="3"/>
  <c r="S156" i="3"/>
  <c r="R156" i="3"/>
  <c r="Q156" i="3"/>
  <c r="P156" i="3"/>
  <c r="O156" i="3"/>
  <c r="N156" i="3"/>
  <c r="M156" i="3"/>
  <c r="L156" i="3"/>
  <c r="K156" i="3"/>
  <c r="J156" i="3"/>
  <c r="I156" i="3"/>
  <c r="H156" i="3"/>
  <c r="G156" i="3"/>
  <c r="W155" i="3"/>
  <c r="V155" i="3"/>
  <c r="U155" i="3"/>
  <c r="T155" i="3"/>
  <c r="S155" i="3"/>
  <c r="R155" i="3"/>
  <c r="Q155" i="3"/>
  <c r="P155" i="3"/>
  <c r="O155" i="3"/>
  <c r="N155" i="3"/>
  <c r="M155" i="3"/>
  <c r="L155" i="3"/>
  <c r="K155" i="3"/>
  <c r="J155" i="3"/>
  <c r="I155" i="3"/>
  <c r="H155" i="3"/>
  <c r="G155" i="3"/>
  <c r="W154" i="3"/>
  <c r="V154" i="3"/>
  <c r="U154" i="3"/>
  <c r="T154" i="3"/>
  <c r="S154" i="3"/>
  <c r="R154" i="3"/>
  <c r="Q154" i="3"/>
  <c r="P154" i="3"/>
  <c r="O154" i="3"/>
  <c r="N154" i="3"/>
  <c r="M154" i="3"/>
  <c r="L154" i="3"/>
  <c r="K154" i="3"/>
  <c r="J154" i="3"/>
  <c r="I154" i="3"/>
  <c r="H154" i="3"/>
  <c r="G154" i="3"/>
  <c r="W153" i="3"/>
  <c r="V153" i="3"/>
  <c r="U153" i="3"/>
  <c r="T153" i="3"/>
  <c r="S153" i="3"/>
  <c r="R153" i="3"/>
  <c r="Q153" i="3"/>
  <c r="P153" i="3"/>
  <c r="O153" i="3"/>
  <c r="N153" i="3"/>
  <c r="M153" i="3"/>
  <c r="L153" i="3"/>
  <c r="K153" i="3"/>
  <c r="J153" i="3"/>
  <c r="I153" i="3"/>
  <c r="H153" i="3"/>
  <c r="G153" i="3"/>
  <c r="W152" i="3"/>
  <c r="V152" i="3"/>
  <c r="U152" i="3"/>
  <c r="T152" i="3"/>
  <c r="S152" i="3"/>
  <c r="R152" i="3"/>
  <c r="Q152" i="3"/>
  <c r="P152" i="3"/>
  <c r="O152" i="3"/>
  <c r="N152" i="3"/>
  <c r="M152" i="3"/>
  <c r="L152" i="3"/>
  <c r="K152" i="3"/>
  <c r="J152" i="3"/>
  <c r="I152" i="3"/>
  <c r="H152" i="3"/>
  <c r="G152" i="3"/>
  <c r="W151" i="3"/>
  <c r="V151" i="3"/>
  <c r="U151" i="3"/>
  <c r="T151" i="3"/>
  <c r="S151" i="3"/>
  <c r="R151" i="3"/>
  <c r="Q151" i="3"/>
  <c r="P151" i="3"/>
  <c r="O151" i="3"/>
  <c r="N151" i="3"/>
  <c r="M151" i="3"/>
  <c r="L151" i="3"/>
  <c r="K151" i="3"/>
  <c r="J151" i="3"/>
  <c r="I151" i="3"/>
  <c r="H151" i="3"/>
  <c r="G151" i="3"/>
  <c r="W150" i="3"/>
  <c r="V150" i="3"/>
  <c r="U150" i="3"/>
  <c r="T150" i="3"/>
  <c r="S150" i="3"/>
  <c r="R150" i="3"/>
  <c r="Q150" i="3"/>
  <c r="P150" i="3"/>
  <c r="O150" i="3"/>
  <c r="N150" i="3"/>
  <c r="M150" i="3"/>
  <c r="L150" i="3"/>
  <c r="K150" i="3"/>
  <c r="J150" i="3"/>
  <c r="I150" i="3"/>
  <c r="H150" i="3"/>
  <c r="G150" i="3"/>
  <c r="W149" i="3"/>
  <c r="V149" i="3"/>
  <c r="U149" i="3"/>
  <c r="T149" i="3"/>
  <c r="S149" i="3"/>
  <c r="R149" i="3"/>
  <c r="Q149" i="3"/>
  <c r="P149" i="3"/>
  <c r="O149" i="3"/>
  <c r="N149" i="3"/>
  <c r="M149" i="3"/>
  <c r="L149" i="3"/>
  <c r="K149" i="3"/>
  <c r="J149" i="3"/>
  <c r="I149" i="3"/>
  <c r="H149" i="3"/>
  <c r="G149" i="3"/>
  <c r="W148" i="3"/>
  <c r="V148" i="3"/>
  <c r="U148" i="3"/>
  <c r="T148" i="3"/>
  <c r="S148" i="3"/>
  <c r="R148" i="3"/>
  <c r="Q148" i="3"/>
  <c r="P148" i="3"/>
  <c r="O148" i="3"/>
  <c r="N148" i="3"/>
  <c r="M148" i="3"/>
  <c r="L148" i="3"/>
  <c r="K148" i="3"/>
  <c r="J148" i="3"/>
  <c r="I148" i="3"/>
  <c r="H148" i="3"/>
  <c r="G148" i="3"/>
  <c r="W147" i="3"/>
  <c r="V147" i="3"/>
  <c r="U147" i="3"/>
  <c r="T147" i="3"/>
  <c r="S147" i="3"/>
  <c r="R147" i="3"/>
  <c r="Q147" i="3"/>
  <c r="P147" i="3"/>
  <c r="O147" i="3"/>
  <c r="N147" i="3"/>
  <c r="M147" i="3"/>
  <c r="L147" i="3"/>
  <c r="K147" i="3"/>
  <c r="J147" i="3"/>
  <c r="I147" i="3"/>
  <c r="H147" i="3"/>
  <c r="G147" i="3"/>
  <c r="W146" i="3"/>
  <c r="V146" i="3"/>
  <c r="U146" i="3"/>
  <c r="T146" i="3"/>
  <c r="S146" i="3"/>
  <c r="R146" i="3"/>
  <c r="Q146" i="3"/>
  <c r="P146" i="3"/>
  <c r="O146" i="3"/>
  <c r="N146" i="3"/>
  <c r="M146" i="3"/>
  <c r="L146" i="3"/>
  <c r="K146" i="3"/>
  <c r="J146" i="3"/>
  <c r="I146" i="3"/>
  <c r="H146" i="3"/>
  <c r="G146" i="3"/>
  <c r="W145" i="3"/>
  <c r="V145" i="3"/>
  <c r="U145" i="3"/>
  <c r="T145" i="3"/>
  <c r="S145" i="3"/>
  <c r="R145" i="3"/>
  <c r="Q145" i="3"/>
  <c r="P145" i="3"/>
  <c r="O145" i="3"/>
  <c r="N145" i="3"/>
  <c r="M145" i="3"/>
  <c r="L145" i="3"/>
  <c r="K145" i="3"/>
  <c r="J145" i="3"/>
  <c r="I145" i="3"/>
  <c r="H145" i="3"/>
  <c r="G145" i="3"/>
  <c r="W144" i="3"/>
  <c r="V144" i="3"/>
  <c r="U144" i="3"/>
  <c r="T144" i="3"/>
  <c r="S144" i="3"/>
  <c r="R144" i="3"/>
  <c r="Q144" i="3"/>
  <c r="P144" i="3"/>
  <c r="O144" i="3"/>
  <c r="N144" i="3"/>
  <c r="M144" i="3"/>
  <c r="L144" i="3"/>
  <c r="K144" i="3"/>
  <c r="J144" i="3"/>
  <c r="I144" i="3"/>
  <c r="H144" i="3"/>
  <c r="G144" i="3"/>
  <c r="W143" i="3"/>
  <c r="V143" i="3"/>
  <c r="U143" i="3"/>
  <c r="T143" i="3"/>
  <c r="S143" i="3"/>
  <c r="R143" i="3"/>
  <c r="Q143" i="3"/>
  <c r="P143" i="3"/>
  <c r="O143" i="3"/>
  <c r="N143" i="3"/>
  <c r="M143" i="3"/>
  <c r="L143" i="3"/>
  <c r="K143" i="3"/>
  <c r="J143" i="3"/>
  <c r="I143" i="3"/>
  <c r="H143" i="3"/>
  <c r="G143" i="3"/>
  <c r="W142" i="3"/>
  <c r="V142" i="3"/>
  <c r="U142" i="3"/>
  <c r="T142" i="3"/>
  <c r="S142" i="3"/>
  <c r="R142" i="3"/>
  <c r="Q142" i="3"/>
  <c r="P142" i="3"/>
  <c r="O142" i="3"/>
  <c r="N142" i="3"/>
  <c r="M142" i="3"/>
  <c r="L142" i="3"/>
  <c r="K142" i="3"/>
  <c r="J142" i="3"/>
  <c r="I142" i="3"/>
  <c r="H142" i="3"/>
  <c r="G142" i="3"/>
  <c r="W141" i="3"/>
  <c r="V141" i="3"/>
  <c r="U141" i="3"/>
  <c r="T141" i="3"/>
  <c r="S141" i="3"/>
  <c r="R141" i="3"/>
  <c r="Q141" i="3"/>
  <c r="P141" i="3"/>
  <c r="O141" i="3"/>
  <c r="N141" i="3"/>
  <c r="M141" i="3"/>
  <c r="L141" i="3"/>
  <c r="K141" i="3"/>
  <c r="J141" i="3"/>
  <c r="I141" i="3"/>
  <c r="H141" i="3"/>
  <c r="G141" i="3"/>
  <c r="W140" i="3"/>
  <c r="V140" i="3"/>
  <c r="U140" i="3"/>
  <c r="T140" i="3"/>
  <c r="S140" i="3"/>
  <c r="R140" i="3"/>
  <c r="Q140" i="3"/>
  <c r="P140" i="3"/>
  <c r="O140" i="3"/>
  <c r="N140" i="3"/>
  <c r="M140" i="3"/>
  <c r="L140" i="3"/>
  <c r="K140" i="3"/>
  <c r="J140" i="3"/>
  <c r="I140" i="3"/>
  <c r="H140" i="3"/>
  <c r="G140" i="3"/>
  <c r="W139" i="3"/>
  <c r="V139" i="3"/>
  <c r="U139" i="3"/>
  <c r="T139" i="3"/>
  <c r="S139" i="3"/>
  <c r="R139" i="3"/>
  <c r="Q139" i="3"/>
  <c r="P139" i="3"/>
  <c r="O139" i="3"/>
  <c r="N139" i="3"/>
  <c r="M139" i="3"/>
  <c r="L139" i="3"/>
  <c r="K139" i="3"/>
  <c r="J139" i="3"/>
  <c r="I139" i="3"/>
  <c r="H139" i="3"/>
  <c r="G139" i="3"/>
  <c r="W138" i="3"/>
  <c r="V138" i="3"/>
  <c r="U138" i="3"/>
  <c r="T138" i="3"/>
  <c r="S138" i="3"/>
  <c r="R138" i="3"/>
  <c r="Q138" i="3"/>
  <c r="P138" i="3"/>
  <c r="O138" i="3"/>
  <c r="N138" i="3"/>
  <c r="M138" i="3"/>
  <c r="L138" i="3"/>
  <c r="K138" i="3"/>
  <c r="J138" i="3"/>
  <c r="I138" i="3"/>
  <c r="H138" i="3"/>
  <c r="G138" i="3"/>
  <c r="W137" i="3"/>
  <c r="V137" i="3"/>
  <c r="U137" i="3"/>
  <c r="T137" i="3"/>
  <c r="S137" i="3"/>
  <c r="R137" i="3"/>
  <c r="Q137" i="3"/>
  <c r="P137" i="3"/>
  <c r="O137" i="3"/>
  <c r="N137" i="3"/>
  <c r="M137" i="3"/>
  <c r="L137" i="3"/>
  <c r="K137" i="3"/>
  <c r="J137" i="3"/>
  <c r="I137" i="3"/>
  <c r="H137" i="3"/>
  <c r="G137" i="3"/>
  <c r="W136" i="3"/>
  <c r="V136" i="3"/>
  <c r="U136" i="3"/>
  <c r="T136" i="3"/>
  <c r="S136" i="3"/>
  <c r="R136" i="3"/>
  <c r="Q136" i="3"/>
  <c r="P136" i="3"/>
  <c r="O136" i="3"/>
  <c r="N136" i="3"/>
  <c r="M136" i="3"/>
  <c r="L136" i="3"/>
  <c r="K136" i="3"/>
  <c r="J136" i="3"/>
  <c r="I136" i="3"/>
  <c r="H136" i="3"/>
  <c r="G136" i="3"/>
  <c r="W135" i="3"/>
  <c r="V135" i="3"/>
  <c r="U135" i="3"/>
  <c r="T135" i="3"/>
  <c r="S135" i="3"/>
  <c r="R135" i="3"/>
  <c r="Q135" i="3"/>
  <c r="P135" i="3"/>
  <c r="O135" i="3"/>
  <c r="N135" i="3"/>
  <c r="M135" i="3"/>
  <c r="L135" i="3"/>
  <c r="K135" i="3"/>
  <c r="J135" i="3"/>
  <c r="I135" i="3"/>
  <c r="H135" i="3"/>
  <c r="G135" i="3"/>
  <c r="W134" i="3"/>
  <c r="V134" i="3"/>
  <c r="U134" i="3"/>
  <c r="T134" i="3"/>
  <c r="S134" i="3"/>
  <c r="R134" i="3"/>
  <c r="Q134" i="3"/>
  <c r="P134" i="3"/>
  <c r="O134" i="3"/>
  <c r="N134" i="3"/>
  <c r="M134" i="3"/>
  <c r="L134" i="3"/>
  <c r="K134" i="3"/>
  <c r="J134" i="3"/>
  <c r="I134" i="3"/>
  <c r="H134" i="3"/>
  <c r="G134" i="3"/>
  <c r="W133" i="3"/>
  <c r="V133" i="3"/>
  <c r="U133" i="3"/>
  <c r="T133" i="3"/>
  <c r="S133" i="3"/>
  <c r="R133" i="3"/>
  <c r="Q133" i="3"/>
  <c r="P133" i="3"/>
  <c r="O133" i="3"/>
  <c r="N133" i="3"/>
  <c r="M133" i="3"/>
  <c r="L133" i="3"/>
  <c r="K133" i="3"/>
  <c r="J133" i="3"/>
  <c r="I133" i="3"/>
  <c r="H133" i="3"/>
  <c r="G133" i="3"/>
  <c r="W132" i="3"/>
  <c r="V132" i="3"/>
  <c r="U132" i="3"/>
  <c r="T132" i="3"/>
  <c r="S132" i="3"/>
  <c r="R132" i="3"/>
  <c r="Q132" i="3"/>
  <c r="P132" i="3"/>
  <c r="O132" i="3"/>
  <c r="N132" i="3"/>
  <c r="M132" i="3"/>
  <c r="L132" i="3"/>
  <c r="K132" i="3"/>
  <c r="J132" i="3"/>
  <c r="I132" i="3"/>
  <c r="H132" i="3"/>
  <c r="G132" i="3"/>
  <c r="W131" i="3"/>
  <c r="V131" i="3"/>
  <c r="U131" i="3"/>
  <c r="T131" i="3"/>
  <c r="S131" i="3"/>
  <c r="R131" i="3"/>
  <c r="Q131" i="3"/>
  <c r="P131" i="3"/>
  <c r="O131" i="3"/>
  <c r="N131" i="3"/>
  <c r="M131" i="3"/>
  <c r="L131" i="3"/>
  <c r="K131" i="3"/>
  <c r="J131" i="3"/>
  <c r="I131" i="3"/>
  <c r="H131" i="3"/>
  <c r="G131" i="3"/>
  <c r="W130" i="3"/>
  <c r="V130" i="3"/>
  <c r="U130" i="3"/>
  <c r="T130" i="3"/>
  <c r="S130" i="3"/>
  <c r="R130" i="3"/>
  <c r="Q130" i="3"/>
  <c r="P130" i="3"/>
  <c r="O130" i="3"/>
  <c r="N130" i="3"/>
  <c r="M130" i="3"/>
  <c r="L130" i="3"/>
  <c r="K130" i="3"/>
  <c r="J130" i="3"/>
  <c r="I130" i="3"/>
  <c r="H130" i="3"/>
  <c r="G130" i="3"/>
  <c r="W129" i="3"/>
  <c r="V129" i="3"/>
  <c r="U129" i="3"/>
  <c r="T129" i="3"/>
  <c r="S129" i="3"/>
  <c r="R129" i="3"/>
  <c r="Q129" i="3"/>
  <c r="P129" i="3"/>
  <c r="O129" i="3"/>
  <c r="N129" i="3"/>
  <c r="M129" i="3"/>
  <c r="L129" i="3"/>
  <c r="K129" i="3"/>
  <c r="J129" i="3"/>
  <c r="I129" i="3"/>
  <c r="H129" i="3"/>
  <c r="G129" i="3"/>
  <c r="W128" i="3"/>
  <c r="V128" i="3"/>
  <c r="U128" i="3"/>
  <c r="T128" i="3"/>
  <c r="S128" i="3"/>
  <c r="R128" i="3"/>
  <c r="Q128" i="3"/>
  <c r="P128" i="3"/>
  <c r="O128" i="3"/>
  <c r="N128" i="3"/>
  <c r="M128" i="3"/>
  <c r="L128" i="3"/>
  <c r="K128" i="3"/>
  <c r="J128" i="3"/>
  <c r="I128" i="3"/>
  <c r="H128" i="3"/>
  <c r="G128" i="3"/>
  <c r="W127" i="3"/>
  <c r="V127" i="3"/>
  <c r="U127" i="3"/>
  <c r="T127" i="3"/>
  <c r="S127" i="3"/>
  <c r="R127" i="3"/>
  <c r="Q127" i="3"/>
  <c r="P127" i="3"/>
  <c r="O127" i="3"/>
  <c r="N127" i="3"/>
  <c r="M127" i="3"/>
  <c r="L127" i="3"/>
  <c r="K127" i="3"/>
  <c r="J127" i="3"/>
  <c r="I127" i="3"/>
  <c r="H127" i="3"/>
  <c r="G127" i="3"/>
  <c r="W126" i="3"/>
  <c r="V126" i="3"/>
  <c r="U126" i="3"/>
  <c r="T126" i="3"/>
  <c r="S126" i="3"/>
  <c r="R126" i="3"/>
  <c r="Q126" i="3"/>
  <c r="P126" i="3"/>
  <c r="O126" i="3"/>
  <c r="N126" i="3"/>
  <c r="M126" i="3"/>
  <c r="L126" i="3"/>
  <c r="K126" i="3"/>
  <c r="J126" i="3"/>
  <c r="I126" i="3"/>
  <c r="H126" i="3"/>
  <c r="G126" i="3"/>
  <c r="W125" i="3"/>
  <c r="V125" i="3"/>
  <c r="U125" i="3"/>
  <c r="T125" i="3"/>
  <c r="S125" i="3"/>
  <c r="R125" i="3"/>
  <c r="Q125" i="3"/>
  <c r="P125" i="3"/>
  <c r="O125" i="3"/>
  <c r="N125" i="3"/>
  <c r="M125" i="3"/>
  <c r="L125" i="3"/>
  <c r="K125" i="3"/>
  <c r="J125" i="3"/>
  <c r="I125" i="3"/>
  <c r="H125" i="3"/>
  <c r="G125" i="3"/>
  <c r="W124" i="3"/>
  <c r="V124" i="3"/>
  <c r="U124" i="3"/>
  <c r="T124" i="3"/>
  <c r="S124" i="3"/>
  <c r="R124" i="3"/>
  <c r="Q124" i="3"/>
  <c r="P124" i="3"/>
  <c r="O124" i="3"/>
  <c r="N124" i="3"/>
  <c r="M124" i="3"/>
  <c r="L124" i="3"/>
  <c r="K124" i="3"/>
  <c r="J124" i="3"/>
  <c r="I124" i="3"/>
  <c r="H124" i="3"/>
  <c r="G124" i="3"/>
  <c r="W123" i="3"/>
  <c r="V123" i="3"/>
  <c r="U123" i="3"/>
  <c r="T123" i="3"/>
  <c r="S123" i="3"/>
  <c r="R123" i="3"/>
  <c r="Q123" i="3"/>
  <c r="P123" i="3"/>
  <c r="O123" i="3"/>
  <c r="N123" i="3"/>
  <c r="M123" i="3"/>
  <c r="L123" i="3"/>
  <c r="K123" i="3"/>
  <c r="J123" i="3"/>
  <c r="I123" i="3"/>
  <c r="H123" i="3"/>
  <c r="G123" i="3"/>
  <c r="W122" i="3"/>
  <c r="V122" i="3"/>
  <c r="U122" i="3"/>
  <c r="T122" i="3"/>
  <c r="S122" i="3"/>
  <c r="R122" i="3"/>
  <c r="Q122" i="3"/>
  <c r="P122" i="3"/>
  <c r="O122" i="3"/>
  <c r="N122" i="3"/>
  <c r="M122" i="3"/>
  <c r="L122" i="3"/>
  <c r="K122" i="3"/>
  <c r="J122" i="3"/>
  <c r="I122" i="3"/>
  <c r="H122" i="3"/>
  <c r="G122" i="3"/>
  <c r="W121" i="3"/>
  <c r="V121" i="3"/>
  <c r="U121" i="3"/>
  <c r="T121" i="3"/>
  <c r="S121" i="3"/>
  <c r="R121" i="3"/>
  <c r="Q121" i="3"/>
  <c r="P121" i="3"/>
  <c r="O121" i="3"/>
  <c r="N121" i="3"/>
  <c r="M121" i="3"/>
  <c r="L121" i="3"/>
  <c r="K121" i="3"/>
  <c r="J121" i="3"/>
  <c r="I121" i="3"/>
  <c r="H121" i="3"/>
  <c r="G121" i="3"/>
  <c r="W120" i="3"/>
  <c r="V120" i="3"/>
  <c r="U120" i="3"/>
  <c r="T120" i="3"/>
  <c r="S120" i="3"/>
  <c r="R120" i="3"/>
  <c r="Q120" i="3"/>
  <c r="P120" i="3"/>
  <c r="O120" i="3"/>
  <c r="N120" i="3"/>
  <c r="M120" i="3"/>
  <c r="L120" i="3"/>
  <c r="K120" i="3"/>
  <c r="J120" i="3"/>
  <c r="I120" i="3"/>
  <c r="H120" i="3"/>
  <c r="G120" i="3"/>
  <c r="W119" i="3"/>
  <c r="V119" i="3"/>
  <c r="U119" i="3"/>
  <c r="T119" i="3"/>
  <c r="S119" i="3"/>
  <c r="R119" i="3"/>
  <c r="Q119" i="3"/>
  <c r="P119" i="3"/>
  <c r="O119" i="3"/>
  <c r="N119" i="3"/>
  <c r="M119" i="3"/>
  <c r="L119" i="3"/>
  <c r="K119" i="3"/>
  <c r="J119" i="3"/>
  <c r="I119" i="3"/>
  <c r="H119" i="3"/>
  <c r="G119" i="3"/>
  <c r="W118" i="3"/>
  <c r="V118" i="3"/>
  <c r="U118" i="3"/>
  <c r="T118" i="3"/>
  <c r="S118" i="3"/>
  <c r="R118" i="3"/>
  <c r="Q118" i="3"/>
  <c r="P118" i="3"/>
  <c r="O118" i="3"/>
  <c r="N118" i="3"/>
  <c r="M118" i="3"/>
  <c r="L118" i="3"/>
  <c r="K118" i="3"/>
  <c r="J118" i="3"/>
  <c r="I118" i="3"/>
  <c r="H118" i="3"/>
  <c r="G118" i="3"/>
  <c r="W117" i="3"/>
  <c r="V117" i="3"/>
  <c r="U117" i="3"/>
  <c r="T117" i="3"/>
  <c r="S117" i="3"/>
  <c r="R117" i="3"/>
  <c r="Q117" i="3"/>
  <c r="P117" i="3"/>
  <c r="O117" i="3"/>
  <c r="N117" i="3"/>
  <c r="M117" i="3"/>
  <c r="L117" i="3"/>
  <c r="K117" i="3"/>
  <c r="J117" i="3"/>
  <c r="I117" i="3"/>
  <c r="H117" i="3"/>
  <c r="G117" i="3"/>
  <c r="W116" i="3"/>
  <c r="V116" i="3"/>
  <c r="U116" i="3"/>
  <c r="T116" i="3"/>
  <c r="S116" i="3"/>
  <c r="R116" i="3"/>
  <c r="Q116" i="3"/>
  <c r="P116" i="3"/>
  <c r="O116" i="3"/>
  <c r="N116" i="3"/>
  <c r="M116" i="3"/>
  <c r="L116" i="3"/>
  <c r="K116" i="3"/>
  <c r="J116" i="3"/>
  <c r="I116" i="3"/>
  <c r="H116" i="3"/>
  <c r="G116" i="3"/>
  <c r="W115" i="3"/>
  <c r="V115" i="3"/>
  <c r="U115" i="3"/>
  <c r="T115" i="3"/>
  <c r="S115" i="3"/>
  <c r="R115" i="3"/>
  <c r="Q115" i="3"/>
  <c r="P115" i="3"/>
  <c r="O115" i="3"/>
  <c r="N115" i="3"/>
  <c r="M115" i="3"/>
  <c r="L115" i="3"/>
  <c r="K115" i="3"/>
  <c r="J115" i="3"/>
  <c r="I115" i="3"/>
  <c r="H115" i="3"/>
  <c r="G115" i="3"/>
  <c r="W114" i="3"/>
  <c r="V114" i="3"/>
  <c r="U114" i="3"/>
  <c r="T114" i="3"/>
  <c r="S114" i="3"/>
  <c r="R114" i="3"/>
  <c r="Q114" i="3"/>
  <c r="P114" i="3"/>
  <c r="O114" i="3"/>
  <c r="N114" i="3"/>
  <c r="M114" i="3"/>
  <c r="L114" i="3"/>
  <c r="K114" i="3"/>
  <c r="J114" i="3"/>
  <c r="I114" i="3"/>
  <c r="H114" i="3"/>
  <c r="G114" i="3"/>
  <c r="W113" i="3"/>
  <c r="V113" i="3"/>
  <c r="U113" i="3"/>
  <c r="T113" i="3"/>
  <c r="S113" i="3"/>
  <c r="R113" i="3"/>
  <c r="Q113" i="3"/>
  <c r="P113" i="3"/>
  <c r="O113" i="3"/>
  <c r="N113" i="3"/>
  <c r="M113" i="3"/>
  <c r="L113" i="3"/>
  <c r="K113" i="3"/>
  <c r="J113" i="3"/>
  <c r="I113" i="3"/>
  <c r="H113" i="3"/>
  <c r="G113" i="3"/>
  <c r="W112" i="3"/>
  <c r="V112" i="3"/>
  <c r="U112" i="3"/>
  <c r="T112" i="3"/>
  <c r="S112" i="3"/>
  <c r="R112" i="3"/>
  <c r="Q112" i="3"/>
  <c r="P112" i="3"/>
  <c r="O112" i="3"/>
  <c r="N112" i="3"/>
  <c r="M112" i="3"/>
  <c r="L112" i="3"/>
  <c r="K112" i="3"/>
  <c r="J112" i="3"/>
  <c r="I112" i="3"/>
  <c r="H112" i="3"/>
  <c r="G112" i="3"/>
  <c r="W111" i="3"/>
  <c r="V111" i="3"/>
  <c r="U111" i="3"/>
  <c r="T111" i="3"/>
  <c r="S111" i="3"/>
  <c r="R111" i="3"/>
  <c r="Q111" i="3"/>
  <c r="P111" i="3"/>
  <c r="O111" i="3"/>
  <c r="N111" i="3"/>
  <c r="M111" i="3"/>
  <c r="L111" i="3"/>
  <c r="K111" i="3"/>
  <c r="J111" i="3"/>
  <c r="I111" i="3"/>
  <c r="H111" i="3"/>
  <c r="G111" i="3"/>
  <c r="W110" i="3"/>
  <c r="V110" i="3"/>
  <c r="U110" i="3"/>
  <c r="T110" i="3"/>
  <c r="S110" i="3"/>
  <c r="R110" i="3"/>
  <c r="Q110" i="3"/>
  <c r="P110" i="3"/>
  <c r="O110" i="3"/>
  <c r="N110" i="3"/>
  <c r="M110" i="3"/>
  <c r="L110" i="3"/>
  <c r="K110" i="3"/>
  <c r="J110" i="3"/>
  <c r="I110" i="3"/>
  <c r="H110" i="3"/>
  <c r="G110" i="3"/>
  <c r="W109" i="3"/>
  <c r="V109" i="3"/>
  <c r="U109" i="3"/>
  <c r="T109" i="3"/>
  <c r="S109" i="3"/>
  <c r="R109" i="3"/>
  <c r="Q109" i="3"/>
  <c r="P109" i="3"/>
  <c r="O109" i="3"/>
  <c r="N109" i="3"/>
  <c r="M109" i="3"/>
  <c r="L109" i="3"/>
  <c r="K109" i="3"/>
  <c r="J109" i="3"/>
  <c r="I109" i="3"/>
  <c r="H109" i="3"/>
  <c r="G109" i="3"/>
  <c r="W108" i="3"/>
  <c r="V108" i="3"/>
  <c r="U108" i="3"/>
  <c r="T108" i="3"/>
  <c r="S108" i="3"/>
  <c r="R108" i="3"/>
  <c r="Q108" i="3"/>
  <c r="P108" i="3"/>
  <c r="O108" i="3"/>
  <c r="N108" i="3"/>
  <c r="M108" i="3"/>
  <c r="L108" i="3"/>
  <c r="K108" i="3"/>
  <c r="J108" i="3"/>
  <c r="I108" i="3"/>
  <c r="H108" i="3"/>
  <c r="G108" i="3"/>
  <c r="W107" i="3"/>
  <c r="V107" i="3"/>
  <c r="U107" i="3"/>
  <c r="T107" i="3"/>
  <c r="S107" i="3"/>
  <c r="R107" i="3"/>
  <c r="Q107" i="3"/>
  <c r="P107" i="3"/>
  <c r="O107" i="3"/>
  <c r="N107" i="3"/>
  <c r="M107" i="3"/>
  <c r="L107" i="3"/>
  <c r="K107" i="3"/>
  <c r="J107" i="3"/>
  <c r="I107" i="3"/>
  <c r="H107" i="3"/>
  <c r="G107" i="3"/>
  <c r="W106" i="3"/>
  <c r="V106" i="3"/>
  <c r="U106" i="3"/>
  <c r="T106" i="3"/>
  <c r="S106" i="3"/>
  <c r="R106" i="3"/>
  <c r="Q106" i="3"/>
  <c r="P106" i="3"/>
  <c r="O106" i="3"/>
  <c r="N106" i="3"/>
  <c r="M106" i="3"/>
  <c r="L106" i="3"/>
  <c r="K106" i="3"/>
  <c r="J106" i="3"/>
  <c r="I106" i="3"/>
  <c r="H106" i="3"/>
  <c r="G106" i="3"/>
  <c r="W105" i="3"/>
  <c r="V105" i="3"/>
  <c r="U105" i="3"/>
  <c r="T105" i="3"/>
  <c r="S105" i="3"/>
  <c r="R105" i="3"/>
  <c r="Q105" i="3"/>
  <c r="P105" i="3"/>
  <c r="O105" i="3"/>
  <c r="N105" i="3"/>
  <c r="M105" i="3"/>
  <c r="L105" i="3"/>
  <c r="K105" i="3"/>
  <c r="J105" i="3"/>
  <c r="I105" i="3"/>
  <c r="H105" i="3"/>
  <c r="G105" i="3"/>
  <c r="W104" i="3"/>
  <c r="V104" i="3"/>
  <c r="U104" i="3"/>
  <c r="T104" i="3"/>
  <c r="S104" i="3"/>
  <c r="R104" i="3"/>
  <c r="Q104" i="3"/>
  <c r="P104" i="3"/>
  <c r="O104" i="3"/>
  <c r="N104" i="3"/>
  <c r="M104" i="3"/>
  <c r="L104" i="3"/>
  <c r="K104" i="3"/>
  <c r="J104" i="3"/>
  <c r="I104" i="3"/>
  <c r="H104" i="3"/>
  <c r="G104" i="3"/>
  <c r="W103" i="3"/>
  <c r="V103" i="3"/>
  <c r="U103" i="3"/>
  <c r="T103" i="3"/>
  <c r="S103" i="3"/>
  <c r="R103" i="3"/>
  <c r="Q103" i="3"/>
  <c r="P103" i="3"/>
  <c r="O103" i="3"/>
  <c r="N103" i="3"/>
  <c r="M103" i="3"/>
  <c r="L103" i="3"/>
  <c r="K103" i="3"/>
  <c r="J103" i="3"/>
  <c r="I103" i="3"/>
  <c r="H103" i="3"/>
  <c r="G103" i="3"/>
  <c r="W102" i="3"/>
  <c r="V102" i="3"/>
  <c r="U102" i="3"/>
  <c r="T102" i="3"/>
  <c r="S102" i="3"/>
  <c r="R102" i="3"/>
  <c r="Q102" i="3"/>
  <c r="P102" i="3"/>
  <c r="O102" i="3"/>
  <c r="N102" i="3"/>
  <c r="M102" i="3"/>
  <c r="L102" i="3"/>
  <c r="K102" i="3"/>
  <c r="J102" i="3"/>
  <c r="I102" i="3"/>
  <c r="H102" i="3"/>
  <c r="G102" i="3"/>
  <c r="W101" i="3"/>
  <c r="V101" i="3"/>
  <c r="U101" i="3"/>
  <c r="T101" i="3"/>
  <c r="S101" i="3"/>
  <c r="R101" i="3"/>
  <c r="Q101" i="3"/>
  <c r="P101" i="3"/>
  <c r="O101" i="3"/>
  <c r="N101" i="3"/>
  <c r="M101" i="3"/>
  <c r="L101" i="3"/>
  <c r="K101" i="3"/>
  <c r="J101" i="3"/>
  <c r="I101" i="3"/>
  <c r="H101" i="3"/>
  <c r="G101" i="3"/>
  <c r="W100" i="3"/>
  <c r="V100" i="3"/>
  <c r="U100" i="3"/>
  <c r="T100" i="3"/>
  <c r="S100" i="3"/>
  <c r="R100" i="3"/>
  <c r="Q100" i="3"/>
  <c r="P100" i="3"/>
  <c r="O100" i="3"/>
  <c r="N100" i="3"/>
  <c r="M100" i="3"/>
  <c r="L100" i="3"/>
  <c r="K100" i="3"/>
  <c r="J100" i="3"/>
  <c r="I100" i="3"/>
  <c r="H100" i="3"/>
  <c r="G100" i="3"/>
  <c r="W99" i="3"/>
  <c r="V99" i="3"/>
  <c r="U99" i="3"/>
  <c r="T99" i="3"/>
  <c r="S99" i="3"/>
  <c r="R99" i="3"/>
  <c r="Q99" i="3"/>
  <c r="P99" i="3"/>
  <c r="O99" i="3"/>
  <c r="N99" i="3"/>
  <c r="M99" i="3"/>
  <c r="L99" i="3"/>
  <c r="K99" i="3"/>
  <c r="J99" i="3"/>
  <c r="I99" i="3"/>
  <c r="H99" i="3"/>
  <c r="G99" i="3"/>
  <c r="W98" i="3"/>
  <c r="V98" i="3"/>
  <c r="U98" i="3"/>
  <c r="T98" i="3"/>
  <c r="S98" i="3"/>
  <c r="R98" i="3"/>
  <c r="Q98" i="3"/>
  <c r="P98" i="3"/>
  <c r="O98" i="3"/>
  <c r="N98" i="3"/>
  <c r="M98" i="3"/>
  <c r="L98" i="3"/>
  <c r="K98" i="3"/>
  <c r="J98" i="3"/>
  <c r="I98" i="3"/>
  <c r="H98" i="3"/>
  <c r="G98" i="3"/>
  <c r="W97" i="3"/>
  <c r="V97" i="3"/>
  <c r="U97" i="3"/>
  <c r="T97" i="3"/>
  <c r="S97" i="3"/>
  <c r="R97" i="3"/>
  <c r="Q97" i="3"/>
  <c r="P97" i="3"/>
  <c r="O97" i="3"/>
  <c r="N97" i="3"/>
  <c r="M97" i="3"/>
  <c r="L97" i="3"/>
  <c r="K97" i="3"/>
  <c r="J97" i="3"/>
  <c r="I97" i="3"/>
  <c r="H97" i="3"/>
  <c r="G97" i="3"/>
  <c r="W96" i="3"/>
  <c r="V96" i="3"/>
  <c r="U96" i="3"/>
  <c r="T96" i="3"/>
  <c r="S96" i="3"/>
  <c r="R96" i="3"/>
  <c r="Q96" i="3"/>
  <c r="P96" i="3"/>
  <c r="O96" i="3"/>
  <c r="N96" i="3"/>
  <c r="M96" i="3"/>
  <c r="L96" i="3"/>
  <c r="K96" i="3"/>
  <c r="J96" i="3"/>
  <c r="I96" i="3"/>
  <c r="H96" i="3"/>
  <c r="G96" i="3"/>
  <c r="W95" i="3"/>
  <c r="V95" i="3"/>
  <c r="U95" i="3"/>
  <c r="T95" i="3"/>
  <c r="S95" i="3"/>
  <c r="R95" i="3"/>
  <c r="Q95" i="3"/>
  <c r="P95" i="3"/>
  <c r="O95" i="3"/>
  <c r="N95" i="3"/>
  <c r="M95" i="3"/>
  <c r="L95" i="3"/>
  <c r="K95" i="3"/>
  <c r="J95" i="3"/>
  <c r="I95" i="3"/>
  <c r="H95" i="3"/>
  <c r="G95" i="3"/>
  <c r="W94" i="3"/>
  <c r="V94" i="3"/>
  <c r="U94" i="3"/>
  <c r="T94" i="3"/>
  <c r="S94" i="3"/>
  <c r="R94" i="3"/>
  <c r="Q94" i="3"/>
  <c r="P94" i="3"/>
  <c r="O94" i="3"/>
  <c r="N94" i="3"/>
  <c r="M94" i="3"/>
  <c r="L94" i="3"/>
  <c r="K94" i="3"/>
  <c r="J94" i="3"/>
  <c r="I94" i="3"/>
  <c r="H94" i="3"/>
  <c r="G94" i="3"/>
  <c r="W93" i="3"/>
  <c r="V93" i="3"/>
  <c r="U93" i="3"/>
  <c r="T93" i="3"/>
  <c r="S93" i="3"/>
  <c r="R93" i="3"/>
  <c r="Q93" i="3"/>
  <c r="P93" i="3"/>
  <c r="O93" i="3"/>
  <c r="N93" i="3"/>
  <c r="M93" i="3"/>
  <c r="L93" i="3"/>
  <c r="K93" i="3"/>
  <c r="J93" i="3"/>
  <c r="I93" i="3"/>
  <c r="H93" i="3"/>
  <c r="G93" i="3"/>
  <c r="W92" i="3"/>
  <c r="V92" i="3"/>
  <c r="U92" i="3"/>
  <c r="T92" i="3"/>
  <c r="S92" i="3"/>
  <c r="R92" i="3"/>
  <c r="Q92" i="3"/>
  <c r="P92" i="3"/>
  <c r="O92" i="3"/>
  <c r="N92" i="3"/>
  <c r="M92" i="3"/>
  <c r="L92" i="3"/>
  <c r="K92" i="3"/>
  <c r="J92" i="3"/>
  <c r="I92" i="3"/>
  <c r="H92" i="3"/>
  <c r="G92" i="3"/>
  <c r="W91" i="3"/>
  <c r="V91" i="3"/>
  <c r="U91" i="3"/>
  <c r="T91" i="3"/>
  <c r="S91" i="3"/>
  <c r="R91" i="3"/>
  <c r="Q91" i="3"/>
  <c r="P91" i="3"/>
  <c r="O91" i="3"/>
  <c r="N91" i="3"/>
  <c r="M91" i="3"/>
  <c r="L91" i="3"/>
  <c r="K91" i="3"/>
  <c r="J91" i="3"/>
  <c r="I91" i="3"/>
  <c r="H91" i="3"/>
  <c r="G91" i="3"/>
  <c r="W90" i="3"/>
  <c r="V90" i="3"/>
  <c r="U90" i="3"/>
  <c r="T90" i="3"/>
  <c r="S90" i="3"/>
  <c r="R90" i="3"/>
  <c r="Q90" i="3"/>
  <c r="P90" i="3"/>
  <c r="O90" i="3"/>
  <c r="N90" i="3"/>
  <c r="M90" i="3"/>
  <c r="L90" i="3"/>
  <c r="K90" i="3"/>
  <c r="J90" i="3"/>
  <c r="I90" i="3"/>
  <c r="H90" i="3"/>
  <c r="G90" i="3"/>
  <c r="W89" i="3"/>
  <c r="V89" i="3"/>
  <c r="U89" i="3"/>
  <c r="T89" i="3"/>
  <c r="S89" i="3"/>
  <c r="R89" i="3"/>
  <c r="Q89" i="3"/>
  <c r="P89" i="3"/>
  <c r="O89" i="3"/>
  <c r="N89" i="3"/>
  <c r="M89" i="3"/>
  <c r="L89" i="3"/>
  <c r="K89" i="3"/>
  <c r="J89" i="3"/>
  <c r="I89" i="3"/>
  <c r="H89" i="3"/>
  <c r="G89" i="3"/>
  <c r="W88" i="3"/>
  <c r="V88" i="3"/>
  <c r="U88" i="3"/>
  <c r="T88" i="3"/>
  <c r="S88" i="3"/>
  <c r="R88" i="3"/>
  <c r="Q88" i="3"/>
  <c r="P88" i="3"/>
  <c r="O88" i="3"/>
  <c r="N88" i="3"/>
  <c r="M88" i="3"/>
  <c r="L88" i="3"/>
  <c r="K88" i="3"/>
  <c r="J88" i="3"/>
  <c r="I88" i="3"/>
  <c r="H88" i="3"/>
  <c r="G88" i="3"/>
  <c r="W87" i="3"/>
  <c r="V87" i="3"/>
  <c r="U87" i="3"/>
  <c r="T87" i="3"/>
  <c r="S87" i="3"/>
  <c r="R87" i="3"/>
  <c r="Q87" i="3"/>
  <c r="P87" i="3"/>
  <c r="O87" i="3"/>
  <c r="N87" i="3"/>
  <c r="M87" i="3"/>
  <c r="L87" i="3"/>
  <c r="K87" i="3"/>
  <c r="J87" i="3"/>
  <c r="I87" i="3"/>
  <c r="H87" i="3"/>
  <c r="G87" i="3"/>
  <c r="W86" i="3"/>
  <c r="V86" i="3"/>
  <c r="U86" i="3"/>
  <c r="T86" i="3"/>
  <c r="S86" i="3"/>
  <c r="R86" i="3"/>
  <c r="Q86" i="3"/>
  <c r="P86" i="3"/>
  <c r="O86" i="3"/>
  <c r="N86" i="3"/>
  <c r="M86" i="3"/>
  <c r="L86" i="3"/>
  <c r="K86" i="3"/>
  <c r="J86" i="3"/>
  <c r="I86" i="3"/>
  <c r="H86" i="3"/>
  <c r="G86" i="3"/>
  <c r="W85" i="3"/>
  <c r="V85" i="3"/>
  <c r="U85" i="3"/>
  <c r="T85" i="3"/>
  <c r="S85" i="3"/>
  <c r="R85" i="3"/>
  <c r="Q85" i="3"/>
  <c r="P85" i="3"/>
  <c r="O85" i="3"/>
  <c r="N85" i="3"/>
  <c r="M85" i="3"/>
  <c r="L85" i="3"/>
  <c r="K85" i="3"/>
  <c r="J85" i="3"/>
  <c r="I85" i="3"/>
  <c r="H85" i="3"/>
  <c r="G85" i="3"/>
  <c r="W84" i="3"/>
  <c r="V84" i="3"/>
  <c r="U84" i="3"/>
  <c r="T84" i="3"/>
  <c r="S84" i="3"/>
  <c r="R84" i="3"/>
  <c r="Q84" i="3"/>
  <c r="P84" i="3"/>
  <c r="O84" i="3"/>
  <c r="N84" i="3"/>
  <c r="M84" i="3"/>
  <c r="L84" i="3"/>
  <c r="K84" i="3"/>
  <c r="J84" i="3"/>
  <c r="I84" i="3"/>
  <c r="H84" i="3"/>
  <c r="G84" i="3"/>
  <c r="W83" i="3"/>
  <c r="V83" i="3"/>
  <c r="U83" i="3"/>
  <c r="T83" i="3"/>
  <c r="S83" i="3"/>
  <c r="R83" i="3"/>
  <c r="Q83" i="3"/>
  <c r="P83" i="3"/>
  <c r="O83" i="3"/>
  <c r="N83" i="3"/>
  <c r="M83" i="3"/>
  <c r="L83" i="3"/>
  <c r="K83" i="3"/>
  <c r="J83" i="3"/>
  <c r="I83" i="3"/>
  <c r="H83" i="3"/>
  <c r="G83" i="3"/>
  <c r="W82" i="3"/>
  <c r="V82" i="3"/>
  <c r="U82" i="3"/>
  <c r="T82" i="3"/>
  <c r="S82" i="3"/>
  <c r="R82" i="3"/>
  <c r="Q82" i="3"/>
  <c r="P82" i="3"/>
  <c r="O82" i="3"/>
  <c r="N82" i="3"/>
  <c r="M82" i="3"/>
  <c r="L82" i="3"/>
  <c r="K82" i="3"/>
  <c r="J82" i="3"/>
  <c r="I82" i="3"/>
  <c r="H82" i="3"/>
  <c r="G82" i="3"/>
  <c r="W81" i="3"/>
  <c r="V81" i="3"/>
  <c r="U81" i="3"/>
  <c r="T81" i="3"/>
  <c r="S81" i="3"/>
  <c r="R81" i="3"/>
  <c r="Q81" i="3"/>
  <c r="P81" i="3"/>
  <c r="O81" i="3"/>
  <c r="N81" i="3"/>
  <c r="M81" i="3"/>
  <c r="L81" i="3"/>
  <c r="K81" i="3"/>
  <c r="J81" i="3"/>
  <c r="I81" i="3"/>
  <c r="H81" i="3"/>
  <c r="G81" i="3"/>
  <c r="W80" i="3"/>
  <c r="V80" i="3"/>
  <c r="U80" i="3"/>
  <c r="T80" i="3"/>
  <c r="S80" i="3"/>
  <c r="R80" i="3"/>
  <c r="Q80" i="3"/>
  <c r="P80" i="3"/>
  <c r="O80" i="3"/>
  <c r="N80" i="3"/>
  <c r="M80" i="3"/>
  <c r="L80" i="3"/>
  <c r="K80" i="3"/>
  <c r="J80" i="3"/>
  <c r="I80" i="3"/>
  <c r="H80" i="3"/>
  <c r="G80" i="3"/>
  <c r="W79" i="3"/>
  <c r="V79" i="3"/>
  <c r="U79" i="3"/>
  <c r="T79" i="3"/>
  <c r="S79" i="3"/>
  <c r="R79" i="3"/>
  <c r="Q79" i="3"/>
  <c r="P79" i="3"/>
  <c r="O79" i="3"/>
  <c r="N79" i="3"/>
  <c r="M79" i="3"/>
  <c r="L79" i="3"/>
  <c r="K79" i="3"/>
  <c r="J79" i="3"/>
  <c r="I79" i="3"/>
  <c r="H79" i="3"/>
  <c r="G79" i="3"/>
  <c r="W78" i="3"/>
  <c r="V78" i="3"/>
  <c r="U78" i="3"/>
  <c r="T78" i="3"/>
  <c r="S78" i="3"/>
  <c r="R78" i="3"/>
  <c r="Q78" i="3"/>
  <c r="P78" i="3"/>
  <c r="O78" i="3"/>
  <c r="N78" i="3"/>
  <c r="M78" i="3"/>
  <c r="L78" i="3"/>
  <c r="K78" i="3"/>
  <c r="J78" i="3"/>
  <c r="I78" i="3"/>
  <c r="H78" i="3"/>
  <c r="G78" i="3"/>
  <c r="W77" i="3"/>
  <c r="V77" i="3"/>
  <c r="U77" i="3"/>
  <c r="T77" i="3"/>
  <c r="S77" i="3"/>
  <c r="R77" i="3"/>
  <c r="Q77" i="3"/>
  <c r="P77" i="3"/>
  <c r="O77" i="3"/>
  <c r="N77" i="3"/>
  <c r="M77" i="3"/>
  <c r="L77" i="3"/>
  <c r="K77" i="3"/>
  <c r="J77" i="3"/>
  <c r="I77" i="3"/>
  <c r="H77" i="3"/>
  <c r="G77" i="3"/>
  <c r="W76" i="3"/>
  <c r="V76" i="3"/>
  <c r="U76" i="3"/>
  <c r="T76" i="3"/>
  <c r="S76" i="3"/>
  <c r="R76" i="3"/>
  <c r="Q76" i="3"/>
  <c r="P76" i="3"/>
  <c r="O76" i="3"/>
  <c r="N76" i="3"/>
  <c r="M76" i="3"/>
  <c r="L76" i="3"/>
  <c r="K76" i="3"/>
  <c r="J76" i="3"/>
  <c r="I76" i="3"/>
  <c r="H76" i="3"/>
  <c r="G76" i="3"/>
  <c r="W75" i="3"/>
  <c r="V75" i="3"/>
  <c r="U75" i="3"/>
  <c r="T75" i="3"/>
  <c r="S75" i="3"/>
  <c r="R75" i="3"/>
  <c r="Q75" i="3"/>
  <c r="P75" i="3"/>
  <c r="O75" i="3"/>
  <c r="N75" i="3"/>
  <c r="M75" i="3"/>
  <c r="L75" i="3"/>
  <c r="K75" i="3"/>
  <c r="J75" i="3"/>
  <c r="I75" i="3"/>
  <c r="H75" i="3"/>
  <c r="G75" i="3"/>
  <c r="W74" i="3"/>
  <c r="V74" i="3"/>
  <c r="U74" i="3"/>
  <c r="T74" i="3"/>
  <c r="S74" i="3"/>
  <c r="R74" i="3"/>
  <c r="Q74" i="3"/>
  <c r="P74" i="3"/>
  <c r="O74" i="3"/>
  <c r="N74" i="3"/>
  <c r="M74" i="3"/>
  <c r="L74" i="3"/>
  <c r="K74" i="3"/>
  <c r="J74" i="3"/>
  <c r="I74" i="3"/>
  <c r="H74" i="3"/>
  <c r="G74" i="3"/>
  <c r="W73" i="3"/>
  <c r="V73" i="3"/>
  <c r="U73" i="3"/>
  <c r="T73" i="3"/>
  <c r="S73" i="3"/>
  <c r="R73" i="3"/>
  <c r="Q73" i="3"/>
  <c r="P73" i="3"/>
  <c r="O73" i="3"/>
  <c r="N73" i="3"/>
  <c r="M73" i="3"/>
  <c r="L73" i="3"/>
  <c r="K73" i="3"/>
  <c r="J73" i="3"/>
  <c r="I73" i="3"/>
  <c r="H73" i="3"/>
  <c r="G73" i="3"/>
  <c r="W72" i="3"/>
  <c r="V72" i="3"/>
  <c r="U72" i="3"/>
  <c r="T72" i="3"/>
  <c r="S72" i="3"/>
  <c r="R72" i="3"/>
  <c r="Q72" i="3"/>
  <c r="P72" i="3"/>
  <c r="O72" i="3"/>
  <c r="N72" i="3"/>
  <c r="M72" i="3"/>
  <c r="L72" i="3"/>
  <c r="K72" i="3"/>
  <c r="J72" i="3"/>
  <c r="I72" i="3"/>
  <c r="H72" i="3"/>
  <c r="G72" i="3"/>
  <c r="W71" i="3"/>
  <c r="V71" i="3"/>
  <c r="U71" i="3"/>
  <c r="T71" i="3"/>
  <c r="S71" i="3"/>
  <c r="R71" i="3"/>
  <c r="Q71" i="3"/>
  <c r="P71" i="3"/>
  <c r="O71" i="3"/>
  <c r="N71" i="3"/>
  <c r="M71" i="3"/>
  <c r="L71" i="3"/>
  <c r="K71" i="3"/>
  <c r="J71" i="3"/>
  <c r="I71" i="3"/>
  <c r="H71" i="3"/>
  <c r="G71" i="3"/>
  <c r="W70" i="3"/>
  <c r="V70" i="3"/>
  <c r="U70" i="3"/>
  <c r="T70" i="3"/>
  <c r="S70" i="3"/>
  <c r="R70" i="3"/>
  <c r="Q70" i="3"/>
  <c r="P70" i="3"/>
  <c r="O70" i="3"/>
  <c r="N70" i="3"/>
  <c r="M70" i="3"/>
  <c r="L70" i="3"/>
  <c r="K70" i="3"/>
  <c r="J70" i="3"/>
  <c r="I70" i="3"/>
  <c r="H70" i="3"/>
  <c r="G70" i="3"/>
  <c r="W69" i="3"/>
  <c r="V69" i="3"/>
  <c r="U69" i="3"/>
  <c r="T69" i="3"/>
  <c r="S69" i="3"/>
  <c r="R69" i="3"/>
  <c r="Q69" i="3"/>
  <c r="P69" i="3"/>
  <c r="O69" i="3"/>
  <c r="N69" i="3"/>
  <c r="M69" i="3"/>
  <c r="L69" i="3"/>
  <c r="K69" i="3"/>
  <c r="J69" i="3"/>
  <c r="I69" i="3"/>
  <c r="H69" i="3"/>
  <c r="G69" i="3"/>
  <c r="W68" i="3"/>
  <c r="V68" i="3"/>
  <c r="U68" i="3"/>
  <c r="T68" i="3"/>
  <c r="S68" i="3"/>
  <c r="R68" i="3"/>
  <c r="Q68" i="3"/>
  <c r="P68" i="3"/>
  <c r="O68" i="3"/>
  <c r="N68" i="3"/>
  <c r="M68" i="3"/>
  <c r="L68" i="3"/>
  <c r="K68" i="3"/>
  <c r="J68" i="3"/>
  <c r="I68" i="3"/>
  <c r="H68" i="3"/>
  <c r="G68" i="3"/>
  <c r="W67" i="3"/>
  <c r="V67" i="3"/>
  <c r="U67" i="3"/>
  <c r="T67" i="3"/>
  <c r="S67" i="3"/>
  <c r="R67" i="3"/>
  <c r="Q67" i="3"/>
  <c r="P67" i="3"/>
  <c r="O67" i="3"/>
  <c r="N67" i="3"/>
  <c r="M67" i="3"/>
  <c r="L67" i="3"/>
  <c r="K67" i="3"/>
  <c r="J67" i="3"/>
  <c r="I67" i="3"/>
  <c r="H67" i="3"/>
  <c r="G67" i="3"/>
  <c r="W66" i="3"/>
  <c r="V66" i="3"/>
  <c r="U66" i="3"/>
  <c r="T66" i="3"/>
  <c r="S66" i="3"/>
  <c r="R66" i="3"/>
  <c r="Q66" i="3"/>
  <c r="P66" i="3"/>
  <c r="O66" i="3"/>
  <c r="N66" i="3"/>
  <c r="M66" i="3"/>
  <c r="L66" i="3"/>
  <c r="K66" i="3"/>
  <c r="J66" i="3"/>
  <c r="I66" i="3"/>
  <c r="H66" i="3"/>
  <c r="G66" i="3"/>
  <c r="W65" i="3"/>
  <c r="V65" i="3"/>
  <c r="U65" i="3"/>
  <c r="T65" i="3"/>
  <c r="S65" i="3"/>
  <c r="R65" i="3"/>
  <c r="Q65" i="3"/>
  <c r="P65" i="3"/>
  <c r="O65" i="3"/>
  <c r="N65" i="3"/>
  <c r="M65" i="3"/>
  <c r="L65" i="3"/>
  <c r="K65" i="3"/>
  <c r="J65" i="3"/>
  <c r="I65" i="3"/>
  <c r="H65" i="3"/>
  <c r="G65" i="3"/>
  <c r="W64" i="3"/>
  <c r="V64" i="3"/>
  <c r="U64" i="3"/>
  <c r="T64" i="3"/>
  <c r="S64" i="3"/>
  <c r="R64" i="3"/>
  <c r="Q64" i="3"/>
  <c r="P64" i="3"/>
  <c r="O64" i="3"/>
  <c r="N64" i="3"/>
  <c r="M64" i="3"/>
  <c r="L64" i="3"/>
  <c r="K64" i="3"/>
  <c r="J64" i="3"/>
  <c r="I64" i="3"/>
  <c r="H64" i="3"/>
  <c r="G64" i="3"/>
  <c r="W63" i="3"/>
  <c r="V63" i="3"/>
  <c r="U63" i="3"/>
  <c r="T63" i="3"/>
  <c r="S63" i="3"/>
  <c r="R63" i="3"/>
  <c r="Q63" i="3"/>
  <c r="P63" i="3"/>
  <c r="O63" i="3"/>
  <c r="N63" i="3"/>
  <c r="M63" i="3"/>
  <c r="L63" i="3"/>
  <c r="K63" i="3"/>
  <c r="J63" i="3"/>
  <c r="I63" i="3"/>
  <c r="H63" i="3"/>
  <c r="G63" i="3"/>
  <c r="W62" i="3"/>
  <c r="V62" i="3"/>
  <c r="U62" i="3"/>
  <c r="T62" i="3"/>
  <c r="S62" i="3"/>
  <c r="R62" i="3"/>
  <c r="Q62" i="3"/>
  <c r="P62" i="3"/>
  <c r="O62" i="3"/>
  <c r="N62" i="3"/>
  <c r="M62" i="3"/>
  <c r="L62" i="3"/>
  <c r="K62" i="3"/>
  <c r="J62" i="3"/>
  <c r="I62" i="3"/>
  <c r="H62" i="3"/>
  <c r="G62" i="3"/>
  <c r="W61" i="3"/>
  <c r="V61" i="3"/>
  <c r="U61" i="3"/>
  <c r="T61" i="3"/>
  <c r="S61" i="3"/>
  <c r="R61" i="3"/>
  <c r="Q61" i="3"/>
  <c r="P61" i="3"/>
  <c r="O61" i="3"/>
  <c r="N61" i="3"/>
  <c r="M61" i="3"/>
  <c r="L61" i="3"/>
  <c r="K61" i="3"/>
  <c r="J61" i="3"/>
  <c r="I61" i="3"/>
  <c r="H61" i="3"/>
  <c r="G61" i="3"/>
  <c r="W60" i="3"/>
  <c r="V60" i="3"/>
  <c r="U60" i="3"/>
  <c r="T60" i="3"/>
  <c r="S60" i="3"/>
  <c r="R60" i="3"/>
  <c r="Q60" i="3"/>
  <c r="P60" i="3"/>
  <c r="O60" i="3"/>
  <c r="N60" i="3"/>
  <c r="M60" i="3"/>
  <c r="L60" i="3"/>
  <c r="K60" i="3"/>
  <c r="J60" i="3"/>
  <c r="I60" i="3"/>
  <c r="H60" i="3"/>
  <c r="G60" i="3"/>
  <c r="W59" i="3"/>
  <c r="V59" i="3"/>
  <c r="U59" i="3"/>
  <c r="T59" i="3"/>
  <c r="S59" i="3"/>
  <c r="R59" i="3"/>
  <c r="Q59" i="3"/>
  <c r="P59" i="3"/>
  <c r="O59" i="3"/>
  <c r="N59" i="3"/>
  <c r="M59" i="3"/>
  <c r="L59" i="3"/>
  <c r="K59" i="3"/>
  <c r="J59" i="3"/>
  <c r="I59" i="3"/>
  <c r="H59" i="3"/>
  <c r="G59" i="3"/>
  <c r="W58" i="3"/>
  <c r="V58" i="3"/>
  <c r="U58" i="3"/>
  <c r="T58" i="3"/>
  <c r="S58" i="3"/>
  <c r="R58" i="3"/>
  <c r="Q58" i="3"/>
  <c r="P58" i="3"/>
  <c r="O58" i="3"/>
  <c r="N58" i="3"/>
  <c r="M58" i="3"/>
  <c r="L58" i="3"/>
  <c r="K58" i="3"/>
  <c r="J58" i="3"/>
  <c r="I58" i="3"/>
  <c r="H58" i="3"/>
  <c r="G58" i="3"/>
  <c r="W57" i="3"/>
  <c r="V57" i="3"/>
  <c r="U57" i="3"/>
  <c r="T57" i="3"/>
  <c r="S57" i="3"/>
  <c r="R57" i="3"/>
  <c r="Q57" i="3"/>
  <c r="P57" i="3"/>
  <c r="O57" i="3"/>
  <c r="N57" i="3"/>
  <c r="M57" i="3"/>
  <c r="L57" i="3"/>
  <c r="K57" i="3"/>
  <c r="J57" i="3"/>
  <c r="I57" i="3"/>
  <c r="H57" i="3"/>
  <c r="G57" i="3"/>
  <c r="W56" i="3"/>
  <c r="V56" i="3"/>
  <c r="U56" i="3"/>
  <c r="T56" i="3"/>
  <c r="S56" i="3"/>
  <c r="R56" i="3"/>
  <c r="Q56" i="3"/>
  <c r="P56" i="3"/>
  <c r="O56" i="3"/>
  <c r="N56" i="3"/>
  <c r="M56" i="3"/>
  <c r="L56" i="3"/>
  <c r="K56" i="3"/>
  <c r="J56" i="3"/>
  <c r="I56" i="3"/>
  <c r="H56" i="3"/>
  <c r="G56" i="3"/>
  <c r="W55" i="3"/>
  <c r="V55" i="3"/>
  <c r="U55" i="3"/>
  <c r="T55" i="3"/>
  <c r="S55" i="3"/>
  <c r="R55" i="3"/>
  <c r="Q55" i="3"/>
  <c r="P55" i="3"/>
  <c r="O55" i="3"/>
  <c r="N55" i="3"/>
  <c r="M55" i="3"/>
  <c r="L55" i="3"/>
  <c r="K55" i="3"/>
  <c r="J55" i="3"/>
  <c r="I55" i="3"/>
  <c r="H55" i="3"/>
  <c r="G55" i="3"/>
  <c r="W54" i="3"/>
  <c r="V54" i="3"/>
  <c r="U54" i="3"/>
  <c r="T54" i="3"/>
  <c r="S54" i="3"/>
  <c r="R54" i="3"/>
  <c r="Q54" i="3"/>
  <c r="P54" i="3"/>
  <c r="O54" i="3"/>
  <c r="N54" i="3"/>
  <c r="M54" i="3"/>
  <c r="L54" i="3"/>
  <c r="K54" i="3"/>
  <c r="J54" i="3"/>
  <c r="I54" i="3"/>
  <c r="H54" i="3"/>
  <c r="G54" i="3"/>
  <c r="W53" i="3"/>
  <c r="V53" i="3"/>
  <c r="U53" i="3"/>
  <c r="T53" i="3"/>
  <c r="S53" i="3"/>
  <c r="R53" i="3"/>
  <c r="Q53" i="3"/>
  <c r="P53" i="3"/>
  <c r="O53" i="3"/>
  <c r="N53" i="3"/>
  <c r="M53" i="3"/>
  <c r="L53" i="3"/>
  <c r="K53" i="3"/>
  <c r="J53" i="3"/>
  <c r="I53" i="3"/>
  <c r="H53" i="3"/>
  <c r="G53" i="3"/>
  <c r="W52" i="3"/>
  <c r="V52" i="3"/>
  <c r="U52" i="3"/>
  <c r="T52" i="3"/>
  <c r="S52" i="3"/>
  <c r="R52" i="3"/>
  <c r="Q52" i="3"/>
  <c r="P52" i="3"/>
  <c r="O52" i="3"/>
  <c r="N52" i="3"/>
  <c r="M52" i="3"/>
  <c r="L52" i="3"/>
  <c r="K52" i="3"/>
  <c r="J52" i="3"/>
  <c r="I52" i="3"/>
  <c r="H52" i="3"/>
  <c r="G52" i="3"/>
  <c r="W51" i="3"/>
  <c r="V51" i="3"/>
  <c r="U51" i="3"/>
  <c r="T51" i="3"/>
  <c r="S51" i="3"/>
  <c r="R51" i="3"/>
  <c r="Q51" i="3"/>
  <c r="P51" i="3"/>
  <c r="O51" i="3"/>
  <c r="N51" i="3"/>
  <c r="M51" i="3"/>
  <c r="L51" i="3"/>
  <c r="K51" i="3"/>
  <c r="J51" i="3"/>
  <c r="I51" i="3"/>
  <c r="H51" i="3"/>
  <c r="G51" i="3"/>
  <c r="W50" i="3"/>
  <c r="V50" i="3"/>
  <c r="U50" i="3"/>
  <c r="T50" i="3"/>
  <c r="S50" i="3"/>
  <c r="R50" i="3"/>
  <c r="Q50" i="3"/>
  <c r="P50" i="3"/>
  <c r="O50" i="3"/>
  <c r="N50" i="3"/>
  <c r="M50" i="3"/>
  <c r="L50" i="3"/>
  <c r="K50" i="3"/>
  <c r="J50" i="3"/>
  <c r="I50" i="3"/>
  <c r="H50" i="3"/>
  <c r="G50" i="3"/>
  <c r="W49" i="3"/>
  <c r="V49" i="3"/>
  <c r="U49" i="3"/>
  <c r="T49" i="3"/>
  <c r="S49" i="3"/>
  <c r="R49" i="3"/>
  <c r="Q49" i="3"/>
  <c r="P49" i="3"/>
  <c r="O49" i="3"/>
  <c r="N49" i="3"/>
  <c r="M49" i="3"/>
  <c r="L49" i="3"/>
  <c r="K49" i="3"/>
  <c r="J49" i="3"/>
  <c r="I49" i="3"/>
  <c r="H49" i="3"/>
  <c r="G49" i="3"/>
  <c r="W48" i="3"/>
  <c r="V48" i="3"/>
  <c r="U48" i="3"/>
  <c r="T48" i="3"/>
  <c r="S48" i="3"/>
  <c r="R48" i="3"/>
  <c r="Q48" i="3"/>
  <c r="P48" i="3"/>
  <c r="O48" i="3"/>
  <c r="N48" i="3"/>
  <c r="M48" i="3"/>
  <c r="L48" i="3"/>
  <c r="K48" i="3"/>
  <c r="J48" i="3"/>
  <c r="I48" i="3"/>
  <c r="H48" i="3"/>
  <c r="G48" i="3"/>
  <c r="W47" i="3"/>
  <c r="V47" i="3"/>
  <c r="U47" i="3"/>
  <c r="T47" i="3"/>
  <c r="S47" i="3"/>
  <c r="R47" i="3"/>
  <c r="Q47" i="3"/>
  <c r="P47" i="3"/>
  <c r="O47" i="3"/>
  <c r="N47" i="3"/>
  <c r="M47" i="3"/>
  <c r="L47" i="3"/>
  <c r="K47" i="3"/>
  <c r="J47" i="3"/>
  <c r="I47" i="3"/>
  <c r="H47" i="3"/>
  <c r="G47" i="3"/>
  <c r="W46" i="3"/>
  <c r="V46" i="3"/>
  <c r="U46" i="3"/>
  <c r="T46" i="3"/>
  <c r="S46" i="3"/>
  <c r="R46" i="3"/>
  <c r="Q46" i="3"/>
  <c r="P46" i="3"/>
  <c r="O46" i="3"/>
  <c r="N46" i="3"/>
  <c r="M46" i="3"/>
  <c r="L46" i="3"/>
  <c r="K46" i="3"/>
  <c r="J46" i="3"/>
  <c r="I46" i="3"/>
  <c r="H46" i="3"/>
  <c r="G46" i="3"/>
  <c r="W45" i="3"/>
  <c r="V45" i="3"/>
  <c r="U45" i="3"/>
  <c r="T45" i="3"/>
  <c r="S45" i="3"/>
  <c r="R45" i="3"/>
  <c r="Q45" i="3"/>
  <c r="P45" i="3"/>
  <c r="O45" i="3"/>
  <c r="N45" i="3"/>
  <c r="M45" i="3"/>
  <c r="L45" i="3"/>
  <c r="K45" i="3"/>
  <c r="J45" i="3"/>
  <c r="I45" i="3"/>
  <c r="H45" i="3"/>
  <c r="G45" i="3"/>
  <c r="W44" i="3"/>
  <c r="V44" i="3"/>
  <c r="U44" i="3"/>
  <c r="T44" i="3"/>
  <c r="S44" i="3"/>
  <c r="R44" i="3"/>
  <c r="Q44" i="3"/>
  <c r="P44" i="3"/>
  <c r="O44" i="3"/>
  <c r="N44" i="3"/>
  <c r="M44" i="3"/>
  <c r="L44" i="3"/>
  <c r="K44" i="3"/>
  <c r="J44" i="3"/>
  <c r="I44" i="3"/>
  <c r="H44" i="3"/>
  <c r="G44" i="3"/>
  <c r="W43" i="3"/>
  <c r="V43" i="3"/>
  <c r="U43" i="3"/>
  <c r="T43" i="3"/>
  <c r="S43" i="3"/>
  <c r="R43" i="3"/>
  <c r="Q43" i="3"/>
  <c r="P43" i="3"/>
  <c r="O43" i="3"/>
  <c r="N43" i="3"/>
  <c r="M43" i="3"/>
  <c r="L43" i="3"/>
  <c r="K43" i="3"/>
  <c r="J43" i="3"/>
  <c r="I43" i="3"/>
  <c r="H43" i="3"/>
  <c r="G43" i="3"/>
  <c r="W42" i="3"/>
  <c r="V42" i="3"/>
  <c r="U42" i="3"/>
  <c r="T42" i="3"/>
  <c r="S42" i="3"/>
  <c r="R42" i="3"/>
  <c r="Q42" i="3"/>
  <c r="P42" i="3"/>
  <c r="O42" i="3"/>
  <c r="N42" i="3"/>
  <c r="M42" i="3"/>
  <c r="L42" i="3"/>
  <c r="K42" i="3"/>
  <c r="J42" i="3"/>
  <c r="I42" i="3"/>
  <c r="H42" i="3"/>
  <c r="G42" i="3"/>
  <c r="W41" i="3"/>
  <c r="V41" i="3"/>
  <c r="U41" i="3"/>
  <c r="T41" i="3"/>
  <c r="S41" i="3"/>
  <c r="R41" i="3"/>
  <c r="Q41" i="3"/>
  <c r="P41" i="3"/>
  <c r="O41" i="3"/>
  <c r="N41" i="3"/>
  <c r="M41" i="3"/>
  <c r="L41" i="3"/>
  <c r="K41" i="3"/>
  <c r="J41" i="3"/>
  <c r="I41" i="3"/>
  <c r="H41" i="3"/>
  <c r="G41" i="3"/>
  <c r="W40" i="3"/>
  <c r="V40" i="3"/>
  <c r="U40" i="3"/>
  <c r="T40" i="3"/>
  <c r="S40" i="3"/>
  <c r="R40" i="3"/>
  <c r="Q40" i="3"/>
  <c r="P40" i="3"/>
  <c r="O40" i="3"/>
  <c r="N40" i="3"/>
  <c r="M40" i="3"/>
  <c r="L40" i="3"/>
  <c r="K40" i="3"/>
  <c r="J40" i="3"/>
  <c r="I40" i="3"/>
  <c r="H40" i="3"/>
  <c r="G40" i="3"/>
  <c r="W39" i="3"/>
  <c r="V39" i="3"/>
  <c r="U39" i="3"/>
  <c r="T39" i="3"/>
  <c r="S39" i="3"/>
  <c r="R39" i="3"/>
  <c r="Q39" i="3"/>
  <c r="P39" i="3"/>
  <c r="O39" i="3"/>
  <c r="N39" i="3"/>
  <c r="M39" i="3"/>
  <c r="L39" i="3"/>
  <c r="K39" i="3"/>
  <c r="J39" i="3"/>
  <c r="I39" i="3"/>
  <c r="H39" i="3"/>
  <c r="G39" i="3"/>
  <c r="W38" i="3"/>
  <c r="V38" i="3"/>
  <c r="U38" i="3"/>
  <c r="T38" i="3"/>
  <c r="S38" i="3"/>
  <c r="R38" i="3"/>
  <c r="Q38" i="3"/>
  <c r="P38" i="3"/>
  <c r="O38" i="3"/>
  <c r="N38" i="3"/>
  <c r="M38" i="3"/>
  <c r="L38" i="3"/>
  <c r="K38" i="3"/>
  <c r="J38" i="3"/>
  <c r="I38" i="3"/>
  <c r="H38" i="3"/>
  <c r="G38" i="3"/>
  <c r="W37" i="3"/>
  <c r="V37" i="3"/>
  <c r="U37" i="3"/>
  <c r="T37" i="3"/>
  <c r="S37" i="3"/>
  <c r="R37" i="3"/>
  <c r="Q37" i="3"/>
  <c r="P37" i="3"/>
  <c r="O37" i="3"/>
  <c r="N37" i="3"/>
  <c r="M37" i="3"/>
  <c r="L37" i="3"/>
  <c r="K37" i="3"/>
  <c r="J37" i="3"/>
  <c r="I37" i="3"/>
  <c r="H37" i="3"/>
  <c r="G37" i="3"/>
  <c r="W36" i="3"/>
  <c r="V36" i="3"/>
  <c r="U36" i="3"/>
  <c r="T36" i="3"/>
  <c r="S36" i="3"/>
  <c r="R36" i="3"/>
  <c r="Q36" i="3"/>
  <c r="P36" i="3"/>
  <c r="O36" i="3"/>
  <c r="N36" i="3"/>
  <c r="M36" i="3"/>
  <c r="L36" i="3"/>
  <c r="K36" i="3"/>
  <c r="J36" i="3"/>
  <c r="I36" i="3"/>
  <c r="H36" i="3"/>
  <c r="G36" i="3"/>
  <c r="W35" i="3"/>
  <c r="V35" i="3"/>
  <c r="U35" i="3"/>
  <c r="T35" i="3"/>
  <c r="S35" i="3"/>
  <c r="R35" i="3"/>
  <c r="Q35" i="3"/>
  <c r="P35" i="3"/>
  <c r="O35" i="3"/>
  <c r="N35" i="3"/>
  <c r="M35" i="3"/>
  <c r="L35" i="3"/>
  <c r="K35" i="3"/>
  <c r="J35" i="3"/>
  <c r="I35" i="3"/>
  <c r="H35" i="3"/>
  <c r="G35" i="3"/>
  <c r="W34" i="3"/>
  <c r="V34" i="3"/>
  <c r="U34" i="3"/>
  <c r="T34" i="3"/>
  <c r="S34" i="3"/>
  <c r="R34" i="3"/>
  <c r="Q34" i="3"/>
  <c r="P34" i="3"/>
  <c r="O34" i="3"/>
  <c r="N34" i="3"/>
  <c r="M34" i="3"/>
  <c r="L34" i="3"/>
  <c r="K34" i="3"/>
  <c r="J34" i="3"/>
  <c r="I34" i="3"/>
  <c r="H34" i="3"/>
  <c r="G34" i="3"/>
  <c r="W33" i="3"/>
  <c r="V33" i="3"/>
  <c r="U33" i="3"/>
  <c r="T33" i="3"/>
  <c r="S33" i="3"/>
  <c r="R33" i="3"/>
  <c r="Q33" i="3"/>
  <c r="P33" i="3"/>
  <c r="O33" i="3"/>
  <c r="N33" i="3"/>
  <c r="M33" i="3"/>
  <c r="L33" i="3"/>
  <c r="K33" i="3"/>
  <c r="J33" i="3"/>
  <c r="I33" i="3"/>
  <c r="H33" i="3"/>
  <c r="G33" i="3"/>
  <c r="W32" i="3"/>
  <c r="V32" i="3"/>
  <c r="U32" i="3"/>
  <c r="T32" i="3"/>
  <c r="S32" i="3"/>
  <c r="R32" i="3"/>
  <c r="Q32" i="3"/>
  <c r="P32" i="3"/>
  <c r="O32" i="3"/>
  <c r="N32" i="3"/>
  <c r="M32" i="3"/>
  <c r="L32" i="3"/>
  <c r="K32" i="3"/>
  <c r="J32" i="3"/>
  <c r="I32" i="3"/>
  <c r="H32" i="3"/>
  <c r="G32" i="3"/>
  <c r="W31" i="3"/>
  <c r="V31" i="3"/>
  <c r="U31" i="3"/>
  <c r="T31" i="3"/>
  <c r="S31" i="3"/>
  <c r="R31" i="3"/>
  <c r="Q31" i="3"/>
  <c r="P31" i="3"/>
  <c r="O31" i="3"/>
  <c r="N31" i="3"/>
  <c r="M31" i="3"/>
  <c r="L31" i="3"/>
  <c r="K31" i="3"/>
  <c r="J31" i="3"/>
  <c r="I31" i="3"/>
  <c r="H31" i="3"/>
  <c r="G31" i="3"/>
  <c r="W30" i="3"/>
  <c r="V30" i="3"/>
  <c r="U30" i="3"/>
  <c r="T30" i="3"/>
  <c r="S30" i="3"/>
  <c r="R30" i="3"/>
  <c r="Q30" i="3"/>
  <c r="P30" i="3"/>
  <c r="O30" i="3"/>
  <c r="N30" i="3"/>
  <c r="M30" i="3"/>
  <c r="L30" i="3"/>
  <c r="K30" i="3"/>
  <c r="J30" i="3"/>
  <c r="I30" i="3"/>
  <c r="H30" i="3"/>
  <c r="G30" i="3"/>
  <c r="W29" i="3"/>
  <c r="V29" i="3"/>
  <c r="U29" i="3"/>
  <c r="T29" i="3"/>
  <c r="S29" i="3"/>
  <c r="R29" i="3"/>
  <c r="Q29" i="3"/>
  <c r="P29" i="3"/>
  <c r="O29" i="3"/>
  <c r="N29" i="3"/>
  <c r="M29" i="3"/>
  <c r="L29" i="3"/>
  <c r="K29" i="3"/>
  <c r="J29" i="3"/>
  <c r="I29" i="3"/>
  <c r="H29" i="3"/>
  <c r="G29" i="3"/>
  <c r="W28" i="3"/>
  <c r="V28" i="3"/>
  <c r="U28" i="3"/>
  <c r="T28" i="3"/>
  <c r="S28" i="3"/>
  <c r="R28" i="3"/>
  <c r="Q28" i="3"/>
  <c r="P28" i="3"/>
  <c r="O28" i="3"/>
  <c r="N28" i="3"/>
  <c r="M28" i="3"/>
  <c r="L28" i="3"/>
  <c r="K28" i="3"/>
  <c r="J28" i="3"/>
  <c r="I28" i="3"/>
  <c r="H28" i="3"/>
  <c r="G28" i="3"/>
  <c r="W27" i="3"/>
  <c r="V27" i="3"/>
  <c r="U27" i="3"/>
  <c r="T27" i="3"/>
  <c r="S27" i="3"/>
  <c r="R27" i="3"/>
  <c r="Q27" i="3"/>
  <c r="P27" i="3"/>
  <c r="O27" i="3"/>
  <c r="N27" i="3"/>
  <c r="M27" i="3"/>
  <c r="L27" i="3"/>
  <c r="K27" i="3"/>
  <c r="J27" i="3"/>
  <c r="I27" i="3"/>
  <c r="H27" i="3"/>
  <c r="G27" i="3"/>
  <c r="W26" i="3"/>
  <c r="V26" i="3"/>
  <c r="U26" i="3"/>
  <c r="T26" i="3"/>
  <c r="S26" i="3"/>
  <c r="R26" i="3"/>
  <c r="Q26" i="3"/>
  <c r="P26" i="3"/>
  <c r="O26" i="3"/>
  <c r="N26" i="3"/>
  <c r="M26" i="3"/>
  <c r="L26" i="3"/>
  <c r="K26" i="3"/>
  <c r="J26" i="3"/>
  <c r="I26" i="3"/>
  <c r="H26" i="3"/>
  <c r="G26" i="3"/>
  <c r="W25" i="3"/>
  <c r="V25" i="3"/>
  <c r="U25" i="3"/>
  <c r="T25" i="3"/>
  <c r="S25" i="3"/>
  <c r="R25" i="3"/>
  <c r="Q25" i="3"/>
  <c r="P25" i="3"/>
  <c r="O25" i="3"/>
  <c r="N25" i="3"/>
  <c r="M25" i="3"/>
  <c r="L25" i="3"/>
  <c r="K25" i="3"/>
  <c r="J25" i="3"/>
  <c r="I25" i="3"/>
  <c r="H25" i="3"/>
  <c r="G25" i="3"/>
  <c r="W24" i="3"/>
  <c r="V24" i="3"/>
  <c r="U24" i="3"/>
  <c r="T24" i="3"/>
  <c r="S24" i="3"/>
  <c r="R24" i="3"/>
  <c r="Q24" i="3"/>
  <c r="P24" i="3"/>
  <c r="O24" i="3"/>
  <c r="N24" i="3"/>
  <c r="M24" i="3"/>
  <c r="L24" i="3"/>
  <c r="K24" i="3"/>
  <c r="J24" i="3"/>
  <c r="I24" i="3"/>
  <c r="H24" i="3"/>
  <c r="G24" i="3"/>
  <c r="W23" i="3"/>
  <c r="V23" i="3"/>
  <c r="U23" i="3"/>
  <c r="T23" i="3"/>
  <c r="S23" i="3"/>
  <c r="R23" i="3"/>
  <c r="Q23" i="3"/>
  <c r="P23" i="3"/>
  <c r="O23" i="3"/>
  <c r="N23" i="3"/>
  <c r="M23" i="3"/>
  <c r="L23" i="3"/>
  <c r="K23" i="3"/>
  <c r="J23" i="3"/>
  <c r="I23" i="3"/>
  <c r="H23" i="3"/>
  <c r="G23" i="3"/>
  <c r="W22" i="3"/>
  <c r="V22" i="3"/>
  <c r="U22" i="3"/>
  <c r="T22" i="3"/>
  <c r="S22" i="3"/>
  <c r="R22" i="3"/>
  <c r="Q22" i="3"/>
  <c r="P22" i="3"/>
  <c r="O22" i="3"/>
  <c r="N22" i="3"/>
  <c r="M22" i="3"/>
  <c r="L22" i="3"/>
  <c r="K22" i="3"/>
  <c r="J22" i="3"/>
  <c r="I22" i="3"/>
  <c r="H22" i="3"/>
  <c r="G22" i="3"/>
  <c r="W21" i="3"/>
  <c r="V21" i="3"/>
  <c r="U21" i="3"/>
  <c r="T21" i="3"/>
  <c r="S21" i="3"/>
  <c r="R21" i="3"/>
  <c r="Q21" i="3"/>
  <c r="P21" i="3"/>
  <c r="O21" i="3"/>
  <c r="N21" i="3"/>
  <c r="M21" i="3"/>
  <c r="L21" i="3"/>
  <c r="K21" i="3"/>
  <c r="J21" i="3"/>
  <c r="I21" i="3"/>
  <c r="H21" i="3"/>
  <c r="G21" i="3"/>
  <c r="W20" i="3"/>
  <c r="V20" i="3"/>
  <c r="U20" i="3"/>
  <c r="T20" i="3"/>
  <c r="S20" i="3"/>
  <c r="R20" i="3"/>
  <c r="Q20" i="3"/>
  <c r="P20" i="3"/>
  <c r="O20" i="3"/>
  <c r="N20" i="3"/>
  <c r="M20" i="3"/>
  <c r="L20" i="3"/>
  <c r="K20" i="3"/>
  <c r="J20" i="3"/>
  <c r="I20" i="3"/>
  <c r="H20" i="3"/>
  <c r="G20" i="3"/>
  <c r="W19" i="3"/>
  <c r="V19" i="3"/>
  <c r="U19" i="3"/>
  <c r="T19" i="3"/>
  <c r="S19" i="3"/>
  <c r="R19" i="3"/>
  <c r="Q19" i="3"/>
  <c r="P19" i="3"/>
  <c r="O19" i="3"/>
  <c r="N19" i="3"/>
  <c r="M19" i="3"/>
  <c r="L19" i="3"/>
  <c r="K19" i="3"/>
  <c r="J19" i="3"/>
  <c r="I19" i="3"/>
  <c r="H19" i="3"/>
  <c r="G19" i="3"/>
  <c r="W18" i="3"/>
  <c r="V18" i="3"/>
  <c r="U18" i="3"/>
  <c r="T18" i="3"/>
  <c r="S18" i="3"/>
  <c r="R18" i="3"/>
  <c r="Q18" i="3"/>
  <c r="P18" i="3"/>
  <c r="O18" i="3"/>
  <c r="N18" i="3"/>
  <c r="M18" i="3"/>
  <c r="L18" i="3"/>
  <c r="K18" i="3"/>
  <c r="J18" i="3"/>
  <c r="I18" i="3"/>
  <c r="H18" i="3"/>
  <c r="G18" i="3"/>
  <c r="W17" i="3"/>
  <c r="V17" i="3"/>
  <c r="U17" i="3"/>
  <c r="T17" i="3"/>
  <c r="S17" i="3"/>
  <c r="R17" i="3"/>
  <c r="Q17" i="3"/>
  <c r="P17" i="3"/>
  <c r="O17" i="3"/>
  <c r="N17" i="3"/>
  <c r="M17" i="3"/>
  <c r="L17" i="3"/>
  <c r="K17" i="3"/>
  <c r="J17" i="3"/>
  <c r="I17" i="3"/>
  <c r="H17" i="3"/>
  <c r="G17" i="3"/>
  <c r="W16" i="3"/>
  <c r="V16" i="3"/>
  <c r="U16" i="3"/>
  <c r="T16" i="3"/>
  <c r="S16" i="3"/>
  <c r="R16" i="3"/>
  <c r="Q16" i="3"/>
  <c r="P16" i="3"/>
  <c r="O16" i="3"/>
  <c r="N16" i="3"/>
  <c r="M16" i="3"/>
  <c r="L16" i="3"/>
  <c r="K16" i="3"/>
  <c r="J16" i="3"/>
  <c r="I16" i="3"/>
  <c r="H16" i="3"/>
  <c r="G16" i="3"/>
  <c r="W15" i="3"/>
  <c r="V15" i="3"/>
  <c r="U15" i="3"/>
  <c r="T15" i="3"/>
  <c r="S15" i="3"/>
  <c r="R15" i="3"/>
  <c r="Q15" i="3"/>
  <c r="P15" i="3"/>
  <c r="O15" i="3"/>
  <c r="N15" i="3"/>
  <c r="M15" i="3"/>
  <c r="L15" i="3"/>
  <c r="K15" i="3"/>
  <c r="J15" i="3"/>
  <c r="I15" i="3"/>
  <c r="H15" i="3"/>
  <c r="G15" i="3"/>
  <c r="W14" i="3"/>
  <c r="V14" i="3"/>
  <c r="U14" i="3"/>
  <c r="T14" i="3"/>
  <c r="S14" i="3"/>
  <c r="R14" i="3"/>
  <c r="Q14" i="3"/>
  <c r="P14" i="3"/>
  <c r="O14" i="3"/>
  <c r="N14" i="3"/>
  <c r="M14" i="3"/>
  <c r="L14" i="3"/>
  <c r="K14" i="3"/>
  <c r="J14" i="3"/>
  <c r="I14" i="3"/>
  <c r="H14" i="3"/>
  <c r="G14" i="3"/>
  <c r="W13" i="3"/>
  <c r="V13" i="3"/>
  <c r="U13" i="3"/>
  <c r="T13" i="3"/>
  <c r="S13" i="3"/>
  <c r="R13" i="3"/>
  <c r="Q13" i="3"/>
  <c r="P13" i="3"/>
  <c r="O13" i="3"/>
  <c r="N13" i="3"/>
  <c r="M13" i="3"/>
  <c r="L13" i="3"/>
  <c r="K13" i="3"/>
  <c r="J13" i="3"/>
  <c r="I13" i="3"/>
  <c r="H13" i="3"/>
  <c r="G13" i="3"/>
  <c r="W12" i="3"/>
  <c r="V12" i="3"/>
  <c r="U12" i="3"/>
  <c r="T12" i="3"/>
  <c r="S12" i="3"/>
  <c r="R12" i="3"/>
  <c r="Q12" i="3"/>
  <c r="P12" i="3"/>
  <c r="O12" i="3"/>
  <c r="N12" i="3"/>
  <c r="M12" i="3"/>
  <c r="L12" i="3"/>
  <c r="K12" i="3"/>
  <c r="J12" i="3"/>
  <c r="I12" i="3"/>
  <c r="H12" i="3"/>
  <c r="G12" i="3"/>
  <c r="W11" i="3"/>
  <c r="V11" i="3"/>
  <c r="U11" i="3"/>
  <c r="T11" i="3"/>
  <c r="S11" i="3"/>
  <c r="R11" i="3"/>
  <c r="Q11" i="3"/>
  <c r="P11" i="3"/>
  <c r="O11" i="3"/>
  <c r="N11" i="3"/>
  <c r="M11" i="3"/>
  <c r="L11" i="3"/>
  <c r="K11" i="3"/>
  <c r="J11" i="3"/>
  <c r="I11" i="3"/>
  <c r="H11" i="3"/>
  <c r="G11" i="3"/>
  <c r="W10" i="3"/>
  <c r="V10" i="3"/>
  <c r="U10" i="3"/>
  <c r="T10" i="3"/>
  <c r="S10" i="3"/>
  <c r="R10" i="3"/>
  <c r="Q10" i="3"/>
  <c r="P10" i="3"/>
  <c r="O10" i="3"/>
  <c r="N10" i="3"/>
  <c r="M10" i="3"/>
  <c r="L10" i="3"/>
  <c r="K10" i="3"/>
  <c r="J10" i="3"/>
  <c r="I10" i="3"/>
  <c r="H10" i="3"/>
  <c r="G10" i="3"/>
  <c r="W9" i="3"/>
  <c r="V9" i="3"/>
  <c r="U9" i="3"/>
  <c r="T9" i="3"/>
  <c r="S9" i="3"/>
  <c r="R9" i="3"/>
  <c r="Q9" i="3"/>
  <c r="P9" i="3"/>
  <c r="O9" i="3"/>
  <c r="N9" i="3"/>
  <c r="M9" i="3"/>
  <c r="L9" i="3"/>
  <c r="K9" i="3"/>
  <c r="J9" i="3"/>
  <c r="I9" i="3"/>
  <c r="H9" i="3"/>
  <c r="G9" i="3"/>
  <c r="W8" i="3"/>
  <c r="V8" i="3"/>
  <c r="U8" i="3"/>
  <c r="T8" i="3"/>
  <c r="S8" i="3"/>
  <c r="R8" i="3"/>
  <c r="Q8" i="3"/>
  <c r="P8" i="3"/>
  <c r="O8" i="3"/>
  <c r="N8" i="3"/>
  <c r="M8" i="3"/>
  <c r="L8" i="3"/>
  <c r="K8" i="3"/>
  <c r="J8" i="3"/>
  <c r="I8" i="3"/>
  <c r="H8" i="3"/>
  <c r="G8" i="3"/>
  <c r="W7" i="3"/>
  <c r="V7" i="3"/>
  <c r="U7" i="3"/>
  <c r="T7" i="3"/>
  <c r="S7" i="3"/>
  <c r="R7" i="3"/>
  <c r="Q7" i="3"/>
  <c r="P7" i="3"/>
  <c r="O7" i="3"/>
  <c r="N7" i="3"/>
  <c r="M7" i="3"/>
  <c r="L7" i="3"/>
  <c r="K7" i="3"/>
  <c r="J7" i="3"/>
  <c r="I7" i="3"/>
  <c r="H7" i="3"/>
  <c r="G7" i="3"/>
  <c r="W6" i="3"/>
  <c r="V6" i="3"/>
  <c r="U6" i="3"/>
  <c r="T6" i="3"/>
  <c r="S6" i="3"/>
  <c r="R6" i="3"/>
  <c r="Q6" i="3"/>
  <c r="P6" i="3"/>
  <c r="O6" i="3"/>
  <c r="N6" i="3"/>
  <c r="M6" i="3"/>
  <c r="L6" i="3"/>
  <c r="K6" i="3"/>
  <c r="J6" i="3"/>
  <c r="I6" i="3"/>
  <c r="H6" i="3"/>
  <c r="G6" i="3"/>
  <c r="W5" i="3"/>
  <c r="V5" i="3"/>
  <c r="U5" i="3"/>
  <c r="T5" i="3"/>
  <c r="S5" i="3"/>
  <c r="R5" i="3"/>
  <c r="Q5" i="3"/>
  <c r="P5" i="3"/>
  <c r="O5" i="3"/>
  <c r="N5" i="3"/>
  <c r="M5" i="3"/>
  <c r="L5" i="3"/>
  <c r="K5" i="3"/>
  <c r="J5" i="3"/>
  <c r="I5" i="3"/>
  <c r="H5" i="3"/>
  <c r="G5" i="3"/>
  <c r="W4" i="3"/>
  <c r="V4" i="3"/>
  <c r="U4" i="3"/>
  <c r="T4" i="3"/>
  <c r="S4" i="3"/>
  <c r="R4" i="3"/>
  <c r="Q4" i="3"/>
  <c r="P4" i="3"/>
  <c r="O4" i="3"/>
  <c r="N4" i="3"/>
  <c r="M4" i="3"/>
  <c r="L4" i="3"/>
  <c r="K4" i="3"/>
  <c r="J4" i="3"/>
  <c r="I4" i="3"/>
  <c r="H4" i="3"/>
  <c r="G4" i="3"/>
  <c r="AU49" i="91"/>
  <c r="AU47" i="91"/>
  <c r="AP45" i="91"/>
  <c r="AY44" i="91"/>
  <c r="AY46" i="91" s="1"/>
  <c r="AY48" i="91" s="1"/>
  <c r="AY50" i="91" s="1"/>
  <c r="AX44" i="91"/>
  <c r="AX46" i="91" s="1"/>
  <c r="AX48" i="91" s="1"/>
  <c r="AX50" i="91" s="1"/>
  <c r="AW44" i="91"/>
  <c r="AW46" i="91" s="1"/>
  <c r="AW48" i="91" s="1"/>
  <c r="AW50" i="91" s="1"/>
  <c r="AV44" i="91"/>
  <c r="AV46" i="91" s="1"/>
  <c r="AV48" i="91" s="1"/>
  <c r="AV50" i="91" s="1"/>
  <c r="AT44" i="91"/>
  <c r="AT46" i="91" s="1"/>
  <c r="AT48" i="91" s="1"/>
  <c r="AT50" i="91" s="1"/>
  <c r="AS44" i="91"/>
  <c r="AS46" i="91" s="1"/>
  <c r="AS48" i="91" s="1"/>
  <c r="AS50" i="91" s="1"/>
  <c r="AU42" i="91"/>
  <c r="AU44" i="91" s="1"/>
  <c r="AU46" i="91" s="1"/>
  <c r="AU48" i="91" s="1"/>
  <c r="AU50" i="91" s="1"/>
  <c r="AY41" i="91"/>
  <c r="AX41" i="91"/>
  <c r="AW41" i="91"/>
  <c r="AV41" i="91"/>
  <c r="AQ41" i="91"/>
  <c r="AP41" i="91"/>
  <c r="S40" i="91"/>
  <c r="Q40" i="91"/>
  <c r="U39" i="91"/>
  <c r="W39" i="91" s="1"/>
  <c r="U38" i="91"/>
  <c r="AY37" i="91"/>
  <c r="AX37" i="91"/>
  <c r="AW37" i="91"/>
  <c r="AV37" i="91"/>
  <c r="AT37" i="91"/>
  <c r="AS37" i="91"/>
  <c r="AU35" i="91"/>
  <c r="AU34" i="91"/>
  <c r="AU33" i="91"/>
  <c r="AQ33" i="91"/>
  <c r="AP33" i="91"/>
  <c r="AU32" i="91"/>
  <c r="AU37" i="91" s="1"/>
  <c r="AQ32" i="91"/>
  <c r="AP31" i="91"/>
  <c r="AY28" i="91"/>
  <c r="AW28" i="91"/>
  <c r="AV28" i="91"/>
  <c r="AT28" i="91"/>
  <c r="AS28" i="91"/>
  <c r="AU27" i="91"/>
  <c r="AQ26" i="91"/>
  <c r="AP26" i="91"/>
  <c r="AU25" i="91"/>
  <c r="AU28" i="91" s="1"/>
  <c r="AP24" i="91"/>
  <c r="AY23" i="91"/>
  <c r="AY30" i="91" s="1"/>
  <c r="AY39" i="91" s="1"/>
  <c r="AX23" i="91"/>
  <c r="AX30" i="91" s="1"/>
  <c r="AX39" i="91" s="1"/>
  <c r="AW23" i="91"/>
  <c r="AV23" i="91"/>
  <c r="AT23" i="91"/>
  <c r="AS23" i="91"/>
  <c r="O23" i="91"/>
  <c r="AU22" i="91"/>
  <c r="AU23" i="91" s="1"/>
  <c r="AQ22" i="91"/>
  <c r="AP22" i="91"/>
  <c r="AH22" i="91"/>
  <c r="O22" i="91"/>
  <c r="AQ21" i="91"/>
  <c r="AP21" i="91"/>
  <c r="AH21" i="91"/>
  <c r="O21" i="91"/>
  <c r="G21" i="91"/>
  <c r="AQ20" i="91"/>
  <c r="AP20" i="91"/>
  <c r="AH20" i="91"/>
  <c r="O20" i="91"/>
  <c r="O19" i="91"/>
  <c r="G19" i="91"/>
  <c r="L23" i="91" s="1"/>
  <c r="AH18" i="91"/>
  <c r="O18" i="91"/>
  <c r="G18" i="91"/>
  <c r="AH17" i="91"/>
  <c r="O17" i="91"/>
  <c r="AH16" i="91"/>
  <c r="AF16" i="91" s="1"/>
  <c r="O15" i="91"/>
  <c r="AH14" i="91"/>
  <c r="AY13" i="91"/>
  <c r="AX13" i="91"/>
  <c r="AW13" i="91"/>
  <c r="AV13" i="91"/>
  <c r="AT13" i="91"/>
  <c r="AS13" i="91"/>
  <c r="AR13" i="91"/>
  <c r="AH13" i="91"/>
  <c r="O13" i="91"/>
  <c r="AH12" i="91"/>
  <c r="AF12" i="91" s="1"/>
  <c r="O12" i="91"/>
  <c r="O16" i="91" s="1"/>
  <c r="AU10" i="91"/>
  <c r="AU13" i="91" s="1"/>
  <c r="O10" i="91"/>
  <c r="AH9" i="91"/>
  <c r="O9" i="91"/>
  <c r="O8" i="91"/>
  <c r="AX7" i="91"/>
  <c r="AW7" i="91"/>
  <c r="AV7" i="91"/>
  <c r="AT7" i="91"/>
  <c r="AS7" i="91"/>
  <c r="AR7" i="91"/>
  <c r="AH5" i="91" s="1"/>
  <c r="AH7" i="91"/>
  <c r="O7" i="91"/>
  <c r="M7" i="91" s="1"/>
  <c r="AY6" i="91"/>
  <c r="AY7" i="91" s="1"/>
  <c r="AY15" i="91" s="1"/>
  <c r="AH6" i="91"/>
  <c r="O6" i="91"/>
  <c r="O5" i="91"/>
  <c r="AH4" i="91"/>
  <c r="O4" i="91"/>
  <c r="AJ3" i="91"/>
  <c r="AH3" i="91"/>
  <c r="Q3" i="91"/>
  <c r="O3" i="91"/>
  <c r="AU2" i="91"/>
  <c r="AU7" i="91" s="1"/>
  <c r="AU15" i="91" s="1"/>
  <c r="H50" i="65"/>
  <c r="F50" i="65"/>
  <c r="I49" i="65"/>
  <c r="J49" i="65" s="1"/>
  <c r="L49" i="65" s="1"/>
  <c r="I48" i="65"/>
  <c r="J48" i="65" s="1"/>
  <c r="I47" i="65"/>
  <c r="J47" i="65" s="1"/>
  <c r="L47" i="65" s="1"/>
  <c r="I46" i="65"/>
  <c r="J46" i="65" s="1"/>
  <c r="L46" i="65" s="1"/>
  <c r="I45" i="65"/>
  <c r="J45" i="65" s="1"/>
  <c r="L45" i="65" s="1"/>
  <c r="I28" i="65"/>
  <c r="I27" i="65"/>
  <c r="I26" i="65"/>
  <c r="I25" i="65"/>
  <c r="I24" i="65"/>
  <c r="J24" i="65" s="1"/>
  <c r="L24" i="65" s="1"/>
  <c r="I23" i="65"/>
  <c r="I22" i="65"/>
  <c r="I21" i="65"/>
  <c r="J21" i="65" s="1"/>
  <c r="G57" i="65"/>
  <c r="G61" i="65" s="1"/>
  <c r="I18" i="65"/>
  <c r="J18" i="65" s="1"/>
  <c r="L18" i="65" s="1"/>
  <c r="I17" i="65"/>
  <c r="J17" i="65" s="1"/>
  <c r="L17" i="65" s="1"/>
  <c r="I16" i="65"/>
  <c r="J16" i="65" s="1"/>
  <c r="L16" i="65" s="1"/>
  <c r="I15" i="65"/>
  <c r="J15" i="65" s="1"/>
  <c r="L15" i="65" s="1"/>
  <c r="I14" i="65"/>
  <c r="J14" i="65" s="1"/>
  <c r="L14" i="65" s="1"/>
  <c r="I13" i="65"/>
  <c r="J13" i="65" s="1"/>
  <c r="L13" i="65" s="1"/>
  <c r="I12" i="65"/>
  <c r="Q15" i="149"/>
  <c r="S15" i="150"/>
  <c r="Q15" i="150"/>
  <c r="S14" i="150"/>
  <c r="Q14" i="150"/>
  <c r="S13" i="150"/>
  <c r="S12" i="150"/>
  <c r="Q12" i="150"/>
  <c r="L11" i="150"/>
  <c r="L19" i="150" s="1"/>
  <c r="K11" i="150"/>
  <c r="K19" i="150" s="1"/>
  <c r="AF10" i="150"/>
  <c r="AG10" i="150" s="1"/>
  <c r="AF9" i="150"/>
  <c r="AG9" i="150" s="1"/>
  <c r="L22" i="174"/>
  <c r="A2" i="174"/>
  <c r="P17" i="67"/>
  <c r="AQ27" i="91" s="1"/>
  <c r="A2" i="54"/>
  <c r="R108" i="51"/>
  <c r="A62" i="51"/>
  <c r="L33" i="166"/>
  <c r="AQ32" i="166"/>
  <c r="AP32" i="166"/>
  <c r="AO32" i="166"/>
  <c r="AN32" i="166"/>
  <c r="U32" i="166"/>
  <c r="T32" i="166"/>
  <c r="AQ31" i="166"/>
  <c r="AP31" i="166"/>
  <c r="AL32" i="166" s="1"/>
  <c r="T31" i="166"/>
  <c r="U30" i="166"/>
  <c r="T28" i="166"/>
  <c r="L13" i="166"/>
  <c r="A2" i="166"/>
  <c r="A1" i="166"/>
  <c r="U47" i="129"/>
  <c r="A3" i="129"/>
  <c r="A2" i="129"/>
  <c r="N11" i="125"/>
  <c r="L8" i="125" s="1"/>
  <c r="N7" i="125"/>
  <c r="N6" i="125"/>
  <c r="L6" i="125"/>
  <c r="A3" i="125"/>
  <c r="A2" i="125"/>
  <c r="A1" i="125"/>
  <c r="I27" i="81"/>
  <c r="AN26" i="81"/>
  <c r="AM26" i="81"/>
  <c r="AL26" i="81"/>
  <c r="AK26" i="81"/>
  <c r="AN25" i="81"/>
  <c r="AJ26" i="81" s="1"/>
  <c r="AM25" i="81"/>
  <c r="AM27" i="81" s="1"/>
  <c r="A1" i="81"/>
  <c r="H16" i="67"/>
  <c r="AQ12" i="91" s="1"/>
  <c r="A1" i="43"/>
  <c r="N10" i="106"/>
  <c r="N15" i="106" s="1"/>
  <c r="L10" i="106"/>
  <c r="L15" i="106" s="1"/>
  <c r="J10" i="106"/>
  <c r="J15" i="106" s="1"/>
  <c r="H10" i="106"/>
  <c r="H15" i="106" s="1"/>
  <c r="A2" i="106"/>
  <c r="P23" i="50"/>
  <c r="P30" i="50" s="1"/>
  <c r="A2" i="50"/>
  <c r="W27" i="49"/>
  <c r="W18" i="49"/>
  <c r="W14" i="49"/>
  <c r="D2" i="48"/>
  <c r="G25" i="167"/>
  <c r="Q19" i="167"/>
  <c r="K17" i="167"/>
  <c r="K16" i="167"/>
  <c r="Y15" i="167"/>
  <c r="Y19" i="167" s="1"/>
  <c r="W15" i="167"/>
  <c r="W19" i="167" s="1"/>
  <c r="T15" i="167"/>
  <c r="T19" i="167" s="1"/>
  <c r="S15" i="167"/>
  <c r="M15" i="167"/>
  <c r="K15" i="167"/>
  <c r="I15" i="167"/>
  <c r="I19" i="167" s="1"/>
  <c r="G15" i="167"/>
  <c r="AA14" i="167"/>
  <c r="O14" i="167"/>
  <c r="AA13" i="167"/>
  <c r="O13" i="167"/>
  <c r="AA12" i="167"/>
  <c r="O12" i="167"/>
  <c r="AA11" i="167"/>
  <c r="O11" i="167"/>
  <c r="AA10" i="167"/>
  <c r="AA15" i="167" s="1"/>
  <c r="AA19" i="167" s="1"/>
  <c r="O10" i="167"/>
  <c r="AE9" i="167"/>
  <c r="AC8" i="167"/>
  <c r="A3" i="167"/>
  <c r="A2" i="167"/>
  <c r="V39" i="44"/>
  <c r="R39" i="44"/>
  <c r="P39" i="44"/>
  <c r="N39" i="44"/>
  <c r="H39" i="44"/>
  <c r="F39" i="44"/>
  <c r="W32" i="44"/>
  <c r="W31" i="44"/>
  <c r="U30" i="44"/>
  <c r="U35" i="44" s="1"/>
  <c r="S30" i="44"/>
  <c r="S35" i="44" s="1"/>
  <c r="R30" i="44"/>
  <c r="R35" i="44" s="1"/>
  <c r="Q30" i="44"/>
  <c r="Q35" i="44" s="1"/>
  <c r="P30" i="44"/>
  <c r="P35" i="44" s="1"/>
  <c r="N35" i="44"/>
  <c r="L30" i="44"/>
  <c r="L35" i="44" s="1"/>
  <c r="J35" i="44"/>
  <c r="F35" i="44"/>
  <c r="E30" i="44"/>
  <c r="E35" i="44" s="1"/>
  <c r="U24" i="44"/>
  <c r="R16" i="44"/>
  <c r="P16" i="44"/>
  <c r="P24" i="44" s="1"/>
  <c r="N24" i="44"/>
  <c r="L16" i="44"/>
  <c r="L24" i="44" s="1"/>
  <c r="G36" i="44"/>
  <c r="E16" i="44"/>
  <c r="E24" i="44" s="1"/>
  <c r="A2" i="44"/>
  <c r="J92" i="59"/>
  <c r="J94" i="59" s="1"/>
  <c r="J80" i="59"/>
  <c r="J82" i="59" s="1"/>
  <c r="J67" i="59"/>
  <c r="J69" i="59" s="1"/>
  <c r="I51" i="59"/>
  <c r="J49" i="59"/>
  <c r="J51" i="59" s="1"/>
  <c r="I49" i="59"/>
  <c r="J33" i="59"/>
  <c r="J35" i="59" s="1"/>
  <c r="I33" i="59"/>
  <c r="I20" i="59"/>
  <c r="J18" i="59"/>
  <c r="J20" i="59" s="1"/>
  <c r="I18" i="59"/>
  <c r="A58" i="59"/>
  <c r="A2" i="59"/>
  <c r="N31" i="58"/>
  <c r="Q30" i="58"/>
  <c r="H93" i="59"/>
  <c r="N29" i="58"/>
  <c r="Z28" i="58"/>
  <c r="Z30" i="58" s="1"/>
  <c r="I12" i="83" s="1"/>
  <c r="AQ45" i="91" s="1"/>
  <c r="X28" i="58"/>
  <c r="X30" i="58" s="1"/>
  <c r="V28" i="58"/>
  <c r="V30" i="58" s="1"/>
  <c r="R28" i="58"/>
  <c r="R30" i="58" s="1"/>
  <c r="P28" i="58"/>
  <c r="P30" i="58" s="1"/>
  <c r="N28" i="58"/>
  <c r="L28" i="58"/>
  <c r="L30" i="58" s="1"/>
  <c r="J28" i="58"/>
  <c r="J30" i="58" s="1"/>
  <c r="F30" i="58"/>
  <c r="T11" i="58" s="1"/>
  <c r="D30" i="58"/>
  <c r="T10" i="58" s="1"/>
  <c r="T26" i="58"/>
  <c r="H68" i="59" s="1"/>
  <c r="H26" i="58"/>
  <c r="T25" i="58"/>
  <c r="H25" i="58"/>
  <c r="T24" i="58"/>
  <c r="H50" i="59" s="1"/>
  <c r="H24" i="58"/>
  <c r="T23" i="58"/>
  <c r="H23" i="58"/>
  <c r="T22" i="58"/>
  <c r="H34" i="59" s="1"/>
  <c r="H22" i="58"/>
  <c r="H35" i="59" s="1"/>
  <c r="H21" i="58"/>
  <c r="H20" i="58"/>
  <c r="A2" i="58"/>
  <c r="R56" i="57"/>
  <c r="N43" i="57"/>
  <c r="R32" i="57"/>
  <c r="N17" i="57"/>
  <c r="A2" i="57"/>
  <c r="J27" i="82"/>
  <c r="H27" i="82"/>
  <c r="I21" i="82"/>
  <c r="J20" i="82"/>
  <c r="F19" i="82"/>
  <c r="F18" i="82"/>
  <c r="F17" i="82"/>
  <c r="H20" i="82" s="1"/>
  <c r="H12" i="82"/>
  <c r="J10" i="82"/>
  <c r="H10" i="82"/>
  <c r="J8" i="82"/>
  <c r="H8" i="82"/>
  <c r="J7" i="82"/>
  <c r="F7" i="82"/>
  <c r="B4" i="82"/>
  <c r="H14" i="83"/>
  <c r="I6" i="83"/>
  <c r="E6" i="83"/>
  <c r="A3" i="83"/>
  <c r="O49" i="67"/>
  <c r="O48" i="67"/>
  <c r="O47" i="67"/>
  <c r="O45" i="67"/>
  <c r="O44" i="67"/>
  <c r="O43" i="67"/>
  <c r="O42" i="67"/>
  <c r="O41" i="67"/>
  <c r="O40" i="67"/>
  <c r="O38" i="67"/>
  <c r="O37" i="67"/>
  <c r="O36" i="67"/>
  <c r="S26" i="67"/>
  <c r="S25" i="67"/>
  <c r="W24" i="67"/>
  <c r="S24" i="67"/>
  <c r="W23" i="67"/>
  <c r="S22" i="67"/>
  <c r="W21" i="67"/>
  <c r="S21" i="67"/>
  <c r="U42" i="67" s="1"/>
  <c r="H19" i="67"/>
  <c r="W18" i="67"/>
  <c r="H18" i="67"/>
  <c r="AQ10" i="91" s="1"/>
  <c r="F18" i="67"/>
  <c r="AP10" i="91" s="1"/>
  <c r="H17" i="67"/>
  <c r="AQ9" i="91" s="1"/>
  <c r="P16" i="67"/>
  <c r="AQ25" i="91" s="1"/>
  <c r="W15" i="67"/>
  <c r="S15" i="67"/>
  <c r="W13" i="67"/>
  <c r="W12" i="67"/>
  <c r="W11" i="67"/>
  <c r="P8" i="67"/>
  <c r="N8" i="67"/>
  <c r="H8" i="67"/>
  <c r="P7" i="67"/>
  <c r="N7" i="67"/>
  <c r="H7" i="67"/>
  <c r="F7" i="67"/>
  <c r="B4" i="67"/>
  <c r="I22" i="162"/>
  <c r="J18" i="162"/>
  <c r="H17" i="162"/>
  <c r="H14" i="162"/>
  <c r="J12" i="162"/>
  <c r="M17" i="164"/>
  <c r="J17" i="164"/>
  <c r="O15" i="164"/>
  <c r="M12" i="164"/>
  <c r="J12" i="164"/>
  <c r="I12" i="164"/>
  <c r="I17" i="164" s="1"/>
  <c r="I24" i="164" s="1"/>
  <c r="G12" i="164"/>
  <c r="G17" i="164" s="1"/>
  <c r="G24" i="164" s="1"/>
  <c r="C12" i="164"/>
  <c r="C17" i="164" s="1"/>
  <c r="C24" i="164" s="1"/>
  <c r="M40" i="161"/>
  <c r="I40" i="161"/>
  <c r="M36" i="161"/>
  <c r="I36" i="161"/>
  <c r="M22" i="161"/>
  <c r="M16" i="161"/>
  <c r="I16" i="161"/>
  <c r="I12" i="160"/>
  <c r="I14" i="160" s="1"/>
  <c r="I16" i="160" s="1"/>
  <c r="X593" i="175"/>
  <c r="V593" i="175"/>
  <c r="AA545" i="175"/>
  <c r="AB545" i="175" s="1"/>
  <c r="AA539" i="175"/>
  <c r="AB539" i="175" s="1"/>
  <c r="AA523" i="175"/>
  <c r="AB523" i="175" s="1"/>
  <c r="AA82" i="175"/>
  <c r="AB82" i="175" s="1"/>
  <c r="AA551" i="175"/>
  <c r="AB551" i="175" s="1"/>
  <c r="AA549" i="175"/>
  <c r="AB549" i="175" s="1"/>
  <c r="AA111" i="175"/>
  <c r="AB111" i="175" s="1"/>
  <c r="AA110" i="175"/>
  <c r="AB110" i="175" s="1"/>
  <c r="AA109" i="175"/>
  <c r="AB109" i="175" s="1"/>
  <c r="AA107" i="175"/>
  <c r="AB107" i="175" s="1"/>
  <c r="AB106" i="175"/>
  <c r="AA103" i="175"/>
  <c r="AB103" i="175" s="1"/>
  <c r="AA102" i="175"/>
  <c r="AB102" i="175" s="1"/>
  <c r="AA519" i="175"/>
  <c r="AB519" i="175" s="1"/>
  <c r="AA518" i="175"/>
  <c r="AB518" i="175" s="1"/>
  <c r="AA517" i="175"/>
  <c r="AB517" i="175" s="1"/>
  <c r="AA101" i="175"/>
  <c r="AB101" i="175" s="1"/>
  <c r="AA92" i="175"/>
  <c r="AB92" i="175" s="1"/>
  <c r="AA228" i="175"/>
  <c r="AB228" i="175" s="1"/>
  <c r="AA516" i="175"/>
  <c r="AB516" i="175" s="1"/>
  <c r="AA224" i="175"/>
  <c r="AB224" i="175" s="1"/>
  <c r="AA515" i="175"/>
  <c r="AB515" i="175" s="1"/>
  <c r="AA223" i="175"/>
  <c r="AB223" i="175" s="1"/>
  <c r="AA222" i="175"/>
  <c r="AB222" i="175" s="1"/>
  <c r="AA554" i="175"/>
  <c r="AB554" i="175" s="1"/>
  <c r="AA514" i="175"/>
  <c r="AB514" i="175" s="1"/>
  <c r="AA513" i="175"/>
  <c r="AB513" i="175" s="1"/>
  <c r="AA512" i="175"/>
  <c r="AB512" i="175" s="1"/>
  <c r="AA57" i="175"/>
  <c r="AB57" i="175" s="1"/>
  <c r="AA221" i="175"/>
  <c r="AB221" i="175" s="1"/>
  <c r="AA220" i="175"/>
  <c r="AB220" i="175" s="1"/>
  <c r="AA510" i="175"/>
  <c r="AB510" i="175" s="1"/>
  <c r="AA218" i="175"/>
  <c r="AB218" i="175" s="1"/>
  <c r="AA509" i="175"/>
  <c r="AB509" i="175" s="1"/>
  <c r="AA508" i="175"/>
  <c r="AB508" i="175" s="1"/>
  <c r="AA112" i="175"/>
  <c r="AB112" i="175" s="1"/>
  <c r="AA507" i="175"/>
  <c r="AB507" i="175" s="1"/>
  <c r="AA216" i="175"/>
  <c r="AB216" i="175" s="1"/>
  <c r="AA505" i="175"/>
  <c r="AB505" i="175" s="1"/>
  <c r="AA504" i="175"/>
  <c r="AB504" i="175" s="1"/>
  <c r="AA503" i="175"/>
  <c r="AB503" i="175" s="1"/>
  <c r="AA502" i="175"/>
  <c r="AB502" i="175" s="1"/>
  <c r="AA211" i="175"/>
  <c r="AB211" i="175" s="1"/>
  <c r="AA99" i="175"/>
  <c r="AB99" i="175" s="1"/>
  <c r="AA134" i="175"/>
  <c r="AB134" i="175" s="1"/>
  <c r="AA501" i="175"/>
  <c r="AB501" i="175" s="1"/>
  <c r="AA500" i="175"/>
  <c r="AB500" i="175" s="1"/>
  <c r="AA499" i="175"/>
  <c r="AB499" i="175" s="1"/>
  <c r="AA498" i="175"/>
  <c r="AB498" i="175" s="1"/>
  <c r="AA287" i="175"/>
  <c r="AB287" i="175" s="1"/>
  <c r="AA286" i="175"/>
  <c r="AB286" i="175" s="1"/>
  <c r="AA236" i="175"/>
  <c r="AB236" i="175" s="1"/>
  <c r="AA441" i="175"/>
  <c r="AB441" i="175" s="1"/>
  <c r="AA439" i="175"/>
  <c r="AB439" i="175" s="1"/>
  <c r="AA434" i="175"/>
  <c r="AB434" i="175" s="1"/>
  <c r="AA431" i="175"/>
  <c r="AB431" i="175" s="1"/>
  <c r="AA423" i="175"/>
  <c r="AB423" i="175" s="1"/>
  <c r="AA422" i="175"/>
  <c r="AB422" i="175" s="1"/>
  <c r="AA55" i="175"/>
  <c r="AB55" i="175" s="1"/>
  <c r="AA370" i="175"/>
  <c r="AB370" i="175" s="1"/>
  <c r="AA285" i="175"/>
  <c r="AB285" i="175" s="1"/>
  <c r="AA367" i="175"/>
  <c r="AB367" i="175" s="1"/>
  <c r="AA318" i="175"/>
  <c r="AB318" i="175" s="1"/>
  <c r="AA317" i="175"/>
  <c r="AB317" i="175" s="1"/>
  <c r="AA311" i="175"/>
  <c r="AB311" i="175" s="1"/>
  <c r="AA284" i="175"/>
  <c r="AB284" i="175" s="1"/>
  <c r="AA305" i="175"/>
  <c r="AB305" i="175" s="1"/>
  <c r="AA295" i="175"/>
  <c r="AB295" i="175" s="1"/>
  <c r="AA283" i="175"/>
  <c r="AB283" i="175" s="1"/>
  <c r="AA294" i="175"/>
  <c r="AB294" i="175" s="1"/>
  <c r="AA281" i="175"/>
  <c r="AB281" i="175" s="1"/>
  <c r="AA280" i="175"/>
  <c r="AB280" i="175" s="1"/>
  <c r="AA278" i="175"/>
  <c r="AB278" i="175" s="1"/>
  <c r="AA279" i="175"/>
  <c r="AB279" i="175" s="1"/>
  <c r="AA277" i="175"/>
  <c r="AB277" i="175" s="1"/>
  <c r="AA276" i="175"/>
  <c r="AB276" i="175" s="1"/>
  <c r="AA274" i="175"/>
  <c r="AB274" i="175" s="1"/>
  <c r="AA275" i="175"/>
  <c r="AB275" i="175" s="1"/>
  <c r="AA273" i="175"/>
  <c r="AB273" i="175" s="1"/>
  <c r="AA271" i="175"/>
  <c r="AB271" i="175" s="1"/>
  <c r="AA272" i="175"/>
  <c r="AB272" i="175" s="1"/>
  <c r="AA268" i="175"/>
  <c r="AB268" i="175" s="1"/>
  <c r="AA266" i="175"/>
  <c r="AB266" i="175" s="1"/>
  <c r="AA265" i="175"/>
  <c r="AB265" i="175" s="1"/>
  <c r="AA262" i="175"/>
  <c r="AB262" i="175" s="1"/>
  <c r="AA260" i="175"/>
  <c r="AB260" i="175" s="1"/>
  <c r="AA259" i="175"/>
  <c r="AB259" i="175" s="1"/>
  <c r="AA258" i="175"/>
  <c r="AB258" i="175" s="1"/>
  <c r="AA257" i="175"/>
  <c r="AB257" i="175" s="1"/>
  <c r="AA255" i="175"/>
  <c r="AB255" i="175" s="1"/>
  <c r="AA30" i="175"/>
  <c r="AB30" i="175" s="1"/>
  <c r="AA270" i="175"/>
  <c r="AB270" i="175" s="1"/>
  <c r="AA253" i="175"/>
  <c r="AB253" i="175" s="1"/>
  <c r="AA252" i="175"/>
  <c r="AB252" i="175" s="1"/>
  <c r="AA251" i="175"/>
  <c r="AB251" i="175" s="1"/>
  <c r="AA269" i="175"/>
  <c r="AB269" i="175" s="1"/>
  <c r="AA267" i="175"/>
  <c r="AB267" i="175" s="1"/>
  <c r="AA263" i="175"/>
  <c r="AB263" i="175" s="1"/>
  <c r="AA250" i="175"/>
  <c r="AB250" i="175" s="1"/>
  <c r="AA261" i="175"/>
  <c r="AB261" i="175" s="1"/>
  <c r="AA256" i="175"/>
  <c r="AB256" i="175" s="1"/>
  <c r="AA254" i="175"/>
  <c r="AB254" i="175" s="1"/>
  <c r="AA249" i="175"/>
  <c r="AB249" i="175" s="1"/>
  <c r="AA247" i="175"/>
  <c r="AB247" i="175" s="1"/>
  <c r="AA246" i="175"/>
  <c r="AB246" i="175" s="1"/>
  <c r="AA245" i="175"/>
  <c r="AB245" i="175" s="1"/>
  <c r="AA243" i="175"/>
  <c r="AB243" i="175" s="1"/>
  <c r="AA240" i="175"/>
  <c r="AB240" i="175" s="1"/>
  <c r="AA232" i="175"/>
  <c r="AB232" i="175" s="1"/>
  <c r="AA229" i="175"/>
  <c r="AB229" i="175" s="1"/>
  <c r="AA248" i="175"/>
  <c r="AB248" i="175" s="1"/>
  <c r="AA227" i="175"/>
  <c r="AB227" i="175" s="1"/>
  <c r="U212" i="175"/>
  <c r="W212" i="175" s="1"/>
  <c r="V560" i="151"/>
  <c r="T560" i="151"/>
  <c r="M560" i="151"/>
  <c r="M559" i="151"/>
  <c r="S558" i="151"/>
  <c r="S557" i="151"/>
  <c r="S556" i="151"/>
  <c r="S555" i="151"/>
  <c r="S554" i="151"/>
  <c r="S553" i="151"/>
  <c r="S552" i="151"/>
  <c r="S551" i="151"/>
  <c r="S550" i="151"/>
  <c r="S549" i="151"/>
  <c r="S548" i="151"/>
  <c r="S547" i="151"/>
  <c r="S546" i="151"/>
  <c r="S545" i="151"/>
  <c r="S544" i="151"/>
  <c r="S543" i="151"/>
  <c r="S542" i="151"/>
  <c r="S541" i="151"/>
  <c r="S540" i="151"/>
  <c r="S539" i="151"/>
  <c r="S538" i="151"/>
  <c r="S537" i="151"/>
  <c r="S536" i="151"/>
  <c r="S535" i="151"/>
  <c r="S534" i="151"/>
  <c r="S533" i="151"/>
  <c r="S532" i="151"/>
  <c r="S531" i="151"/>
  <c r="S530" i="151"/>
  <c r="S529" i="151"/>
  <c r="S528" i="151"/>
  <c r="S527" i="151"/>
  <c r="O526" i="151"/>
  <c r="S526" i="151" s="1"/>
  <c r="G525" i="151"/>
  <c r="S525" i="151" s="1"/>
  <c r="O524" i="151"/>
  <c r="S524" i="151" s="1"/>
  <c r="Y524" i="151" s="1"/>
  <c r="Z524" i="151" s="1"/>
  <c r="G523" i="151"/>
  <c r="S523" i="151" s="1"/>
  <c r="U523" i="151" s="1"/>
  <c r="S522" i="151"/>
  <c r="J521" i="151"/>
  <c r="G521" i="151"/>
  <c r="H520" i="151"/>
  <c r="G520" i="151"/>
  <c r="I519" i="151"/>
  <c r="G519" i="151"/>
  <c r="H518" i="151"/>
  <c r="G518" i="151"/>
  <c r="I517" i="151"/>
  <c r="H517" i="151"/>
  <c r="G517" i="151"/>
  <c r="S516" i="151"/>
  <c r="U516" i="151" s="1"/>
  <c r="S515" i="151"/>
  <c r="U515" i="151" s="1"/>
  <c r="S514" i="151"/>
  <c r="U514" i="151" s="1"/>
  <c r="S513" i="151"/>
  <c r="U513" i="151" s="1"/>
  <c r="O512" i="151"/>
  <c r="S512" i="151" s="1"/>
  <c r="U512" i="151" s="1"/>
  <c r="S511" i="151"/>
  <c r="U511" i="151" s="1"/>
  <c r="J510" i="151"/>
  <c r="H510" i="151"/>
  <c r="S509" i="151"/>
  <c r="Y509" i="151" s="1"/>
  <c r="Z509" i="151" s="1"/>
  <c r="S508" i="151"/>
  <c r="Y508" i="151" s="1"/>
  <c r="Z508" i="151" s="1"/>
  <c r="Q507" i="151"/>
  <c r="O507" i="151"/>
  <c r="L507" i="151"/>
  <c r="G507" i="151"/>
  <c r="L506" i="151"/>
  <c r="H506" i="151"/>
  <c r="G506" i="151"/>
  <c r="S505" i="151"/>
  <c r="U505" i="151" s="1"/>
  <c r="S504" i="151"/>
  <c r="U504" i="151" s="1"/>
  <c r="P503" i="151"/>
  <c r="O503" i="151"/>
  <c r="N503" i="151"/>
  <c r="L503" i="151"/>
  <c r="K503" i="151"/>
  <c r="J503" i="151"/>
  <c r="I503" i="151"/>
  <c r="H503" i="151"/>
  <c r="G503" i="151"/>
  <c r="S502" i="151"/>
  <c r="S501" i="151"/>
  <c r="S500" i="151"/>
  <c r="S499" i="151"/>
  <c r="S498" i="151"/>
  <c r="S497" i="151"/>
  <c r="S496" i="151"/>
  <c r="S495" i="151"/>
  <c r="S494" i="151"/>
  <c r="S493" i="151"/>
  <c r="G492" i="151"/>
  <c r="S492" i="151" s="1"/>
  <c r="G491" i="151"/>
  <c r="S491" i="151" s="1"/>
  <c r="S490" i="151"/>
  <c r="Y490" i="151" s="1"/>
  <c r="Z490" i="151" s="1"/>
  <c r="S489" i="151"/>
  <c r="Y489" i="151" s="1"/>
  <c r="Z489" i="151" s="1"/>
  <c r="S488" i="151"/>
  <c r="Y488" i="151" s="1"/>
  <c r="Z488" i="151" s="1"/>
  <c r="S487" i="151"/>
  <c r="Y487" i="151" s="1"/>
  <c r="Z487" i="151" s="1"/>
  <c r="S486" i="151"/>
  <c r="Y486" i="151" s="1"/>
  <c r="Z486" i="151" s="1"/>
  <c r="S485" i="151"/>
  <c r="Y485" i="151" s="1"/>
  <c r="Z485" i="151" s="1"/>
  <c r="G484" i="151"/>
  <c r="S484" i="151" s="1"/>
  <c r="Y484" i="151" s="1"/>
  <c r="Z484" i="151" s="1"/>
  <c r="H483" i="151"/>
  <c r="G483" i="151"/>
  <c r="S482" i="151"/>
  <c r="U482" i="151" s="1"/>
  <c r="S481" i="151"/>
  <c r="U481" i="151" s="1"/>
  <c r="H480" i="151"/>
  <c r="G480" i="151"/>
  <c r="N479" i="151"/>
  <c r="H479" i="151"/>
  <c r="G479" i="151"/>
  <c r="J478" i="151"/>
  <c r="S478" i="151" s="1"/>
  <c r="S477" i="151"/>
  <c r="S476" i="151"/>
  <c r="S475" i="151"/>
  <c r="S474" i="151"/>
  <c r="S473" i="151"/>
  <c r="G472" i="151"/>
  <c r="S472" i="151" s="1"/>
  <c r="S471" i="151"/>
  <c r="Y471" i="151" s="1"/>
  <c r="Z471" i="151" s="1"/>
  <c r="S470" i="151"/>
  <c r="Y470" i="151" s="1"/>
  <c r="Z470" i="151" s="1"/>
  <c r="S469" i="151"/>
  <c r="Y469" i="151" s="1"/>
  <c r="Z469" i="151" s="1"/>
  <c r="S468" i="151"/>
  <c r="Y468" i="151" s="1"/>
  <c r="Z468" i="151" s="1"/>
  <c r="G467" i="151"/>
  <c r="S467" i="151" s="1"/>
  <c r="Y467" i="151" s="1"/>
  <c r="Z467" i="151" s="1"/>
  <c r="O466" i="151"/>
  <c r="S466" i="151" s="1"/>
  <c r="G465" i="151"/>
  <c r="S465" i="151" s="1"/>
  <c r="S464" i="151"/>
  <c r="S463" i="151"/>
  <c r="S462" i="151"/>
  <c r="S461" i="151"/>
  <c r="Q460" i="151"/>
  <c r="J460" i="151"/>
  <c r="S459" i="151"/>
  <c r="S458" i="151"/>
  <c r="S457" i="151"/>
  <c r="S456" i="151"/>
  <c r="S455" i="151"/>
  <c r="S454" i="151"/>
  <c r="O453" i="151"/>
  <c r="J453" i="151"/>
  <c r="H453" i="151"/>
  <c r="O452" i="151"/>
  <c r="J452" i="151"/>
  <c r="H452" i="151"/>
  <c r="N451" i="151"/>
  <c r="H451" i="151"/>
  <c r="G451" i="151"/>
  <c r="N450" i="151"/>
  <c r="H450" i="151"/>
  <c r="G450" i="151"/>
  <c r="H449" i="151"/>
  <c r="G449" i="151"/>
  <c r="S448" i="151"/>
  <c r="S447" i="151"/>
  <c r="G446" i="151"/>
  <c r="F446" i="151"/>
  <c r="S445" i="151"/>
  <c r="S444" i="151"/>
  <c r="S443" i="151"/>
  <c r="S442" i="151"/>
  <c r="S441" i="151"/>
  <c r="O440" i="151"/>
  <c r="S440" i="151" s="1"/>
  <c r="S439" i="151"/>
  <c r="S438" i="151"/>
  <c r="S437" i="151"/>
  <c r="S436" i="151"/>
  <c r="P435" i="151"/>
  <c r="O435" i="151"/>
  <c r="I435" i="151"/>
  <c r="H435" i="151"/>
  <c r="G435" i="151"/>
  <c r="F435" i="151"/>
  <c r="F560" i="151" s="1"/>
  <c r="S434" i="151"/>
  <c r="S433" i="151"/>
  <c r="S432" i="151"/>
  <c r="S431" i="151"/>
  <c r="S430" i="151"/>
  <c r="S429" i="151"/>
  <c r="S428" i="151"/>
  <c r="S427" i="151"/>
  <c r="N426" i="151"/>
  <c r="S426" i="151" s="1"/>
  <c r="S425" i="151"/>
  <c r="S424" i="151"/>
  <c r="H423" i="151"/>
  <c r="S423" i="151" s="1"/>
  <c r="S422" i="151"/>
  <c r="S421" i="151"/>
  <c r="S420" i="151"/>
  <c r="G419" i="151"/>
  <c r="S419" i="151" s="1"/>
  <c r="Y419" i="151" s="1"/>
  <c r="Z419" i="151" s="1"/>
  <c r="S418" i="151"/>
  <c r="U418" i="151" s="1"/>
  <c r="O417" i="151"/>
  <c r="S417" i="151" s="1"/>
  <c r="U417" i="151" s="1"/>
  <c r="S416" i="151"/>
  <c r="O415" i="151"/>
  <c r="S415" i="151" s="1"/>
  <c r="G414" i="151"/>
  <c r="S414" i="151" s="1"/>
  <c r="S413" i="151"/>
  <c r="S412" i="151"/>
  <c r="G411" i="151"/>
  <c r="S411" i="151" s="1"/>
  <c r="G410" i="151"/>
  <c r="S410" i="151" s="1"/>
  <c r="S409" i="151"/>
  <c r="S408" i="151"/>
  <c r="J407" i="151"/>
  <c r="S407" i="151" s="1"/>
  <c r="S406" i="151"/>
  <c r="S405" i="151"/>
  <c r="S404" i="151"/>
  <c r="S403" i="151"/>
  <c r="S402" i="151"/>
  <c r="S401" i="151"/>
  <c r="G400" i="151"/>
  <c r="S400" i="151" s="1"/>
  <c r="S399" i="151"/>
  <c r="S398" i="151"/>
  <c r="S397" i="151"/>
  <c r="S396" i="151"/>
  <c r="S395" i="151"/>
  <c r="S394" i="151"/>
  <c r="S393" i="151"/>
  <c r="S392" i="151"/>
  <c r="S391" i="151"/>
  <c r="J390" i="151"/>
  <c r="I390" i="151"/>
  <c r="H390" i="151"/>
  <c r="G390" i="151"/>
  <c r="S389" i="151"/>
  <c r="S388" i="151"/>
  <c r="S387" i="151"/>
  <c r="S386" i="151"/>
  <c r="S385" i="151"/>
  <c r="N384" i="151"/>
  <c r="S384" i="151" s="1"/>
  <c r="S383" i="151"/>
  <c r="U383" i="151" s="1"/>
  <c r="S382" i="151"/>
  <c r="U382" i="151" s="1"/>
  <c r="S381" i="151"/>
  <c r="U381" i="151" s="1"/>
  <c r="N380" i="151"/>
  <c r="S380" i="151" s="1"/>
  <c r="U380" i="151" s="1"/>
  <c r="S379" i="151"/>
  <c r="S378" i="151"/>
  <c r="S377" i="151"/>
  <c r="N376" i="151"/>
  <c r="S376" i="151" s="1"/>
  <c r="Y376" i="151" s="1"/>
  <c r="Z376" i="151" s="1"/>
  <c r="S375" i="151"/>
  <c r="U375" i="151" s="1"/>
  <c r="S374" i="151"/>
  <c r="U374" i="151" s="1"/>
  <c r="N373" i="151"/>
  <c r="S373" i="151" s="1"/>
  <c r="U373" i="151" s="1"/>
  <c r="S372" i="151"/>
  <c r="Y372" i="151" s="1"/>
  <c r="Z372" i="151" s="1"/>
  <c r="S371" i="151"/>
  <c r="Y371" i="151" s="1"/>
  <c r="Z371" i="151" s="1"/>
  <c r="S370" i="151"/>
  <c r="Y370" i="151" s="1"/>
  <c r="Z370" i="151" s="1"/>
  <c r="S369" i="151"/>
  <c r="Y369" i="151" s="1"/>
  <c r="Z369" i="151" s="1"/>
  <c r="S368" i="151"/>
  <c r="Y368" i="151" s="1"/>
  <c r="Z368" i="151" s="1"/>
  <c r="S367" i="151"/>
  <c r="Y367" i="151" s="1"/>
  <c r="Z367" i="151" s="1"/>
  <c r="S366" i="151"/>
  <c r="Y366" i="151" s="1"/>
  <c r="Z366" i="151" s="1"/>
  <c r="K365" i="151"/>
  <c r="H365" i="151"/>
  <c r="G365" i="151"/>
  <c r="S364" i="151"/>
  <c r="U364" i="151" s="1"/>
  <c r="S363" i="151"/>
  <c r="U363" i="151" s="1"/>
  <c r="S362" i="151"/>
  <c r="U362" i="151" s="1"/>
  <c r="N361" i="151"/>
  <c r="S361" i="151" s="1"/>
  <c r="S360" i="151"/>
  <c r="S359" i="151"/>
  <c r="S358" i="151"/>
  <c r="S357" i="151"/>
  <c r="N356" i="151"/>
  <c r="S356" i="151" s="1"/>
  <c r="S355" i="151"/>
  <c r="S354" i="151"/>
  <c r="S353" i="151"/>
  <c r="K352" i="151"/>
  <c r="G352" i="151"/>
  <c r="N351" i="151"/>
  <c r="S351" i="151" s="1"/>
  <c r="S350" i="151"/>
  <c r="Y350" i="151" s="1"/>
  <c r="Z350" i="151" s="1"/>
  <c r="S349" i="151"/>
  <c r="Y349" i="151" s="1"/>
  <c r="Z349" i="151" s="1"/>
  <c r="S348" i="151"/>
  <c r="U348" i="151" s="1"/>
  <c r="J347" i="151"/>
  <c r="I347" i="151"/>
  <c r="S346" i="151"/>
  <c r="Y346" i="151" s="1"/>
  <c r="Z346" i="151" s="1"/>
  <c r="S345" i="151"/>
  <c r="Y345" i="151" s="1"/>
  <c r="Z345" i="151" s="1"/>
  <c r="S344" i="151"/>
  <c r="Y344" i="151" s="1"/>
  <c r="Z344" i="151" s="1"/>
  <c r="S343" i="151"/>
  <c r="Y343" i="151" s="1"/>
  <c r="Z343" i="151" s="1"/>
  <c r="S342" i="151"/>
  <c r="Y342" i="151" s="1"/>
  <c r="Z342" i="151" s="1"/>
  <c r="S341" i="151"/>
  <c r="Y341" i="151" s="1"/>
  <c r="Z341" i="151" s="1"/>
  <c r="S340" i="151"/>
  <c r="Y340" i="151" s="1"/>
  <c r="Z340" i="151" s="1"/>
  <c r="S339" i="151"/>
  <c r="Y339" i="151" s="1"/>
  <c r="Z339" i="151" s="1"/>
  <c r="S338" i="151"/>
  <c r="Y338" i="151" s="1"/>
  <c r="Z338" i="151" s="1"/>
  <c r="S337" i="151"/>
  <c r="Y337" i="151" s="1"/>
  <c r="Z337" i="151" s="1"/>
  <c r="S336" i="151"/>
  <c r="Y336" i="151" s="1"/>
  <c r="Z336" i="151" s="1"/>
  <c r="S335" i="151"/>
  <c r="Y335" i="151" s="1"/>
  <c r="Z335" i="151" s="1"/>
  <c r="S334" i="151"/>
  <c r="Y334" i="151" s="1"/>
  <c r="Z334" i="151" s="1"/>
  <c r="G333" i="151"/>
  <c r="S333" i="151" s="1"/>
  <c r="Y333" i="151" s="1"/>
  <c r="Z333" i="151" s="1"/>
  <c r="S332" i="151"/>
  <c r="U332" i="151" s="1"/>
  <c r="S331" i="151"/>
  <c r="U331" i="151" s="1"/>
  <c r="S330" i="151"/>
  <c r="U330" i="151" s="1"/>
  <c r="S329" i="151"/>
  <c r="U329" i="151" s="1"/>
  <c r="G329" i="151"/>
  <c r="S328" i="151"/>
  <c r="S327" i="151"/>
  <c r="S326" i="151"/>
  <c r="S325" i="151"/>
  <c r="S324" i="151"/>
  <c r="S323" i="151"/>
  <c r="G322" i="151"/>
  <c r="S322" i="151" s="1"/>
  <c r="S321" i="151"/>
  <c r="G320" i="151"/>
  <c r="S320" i="151" s="1"/>
  <c r="S319" i="151"/>
  <c r="Y319" i="151" s="1"/>
  <c r="Z319" i="151" s="1"/>
  <c r="S318" i="151"/>
  <c r="Y318" i="151" s="1"/>
  <c r="Z318" i="151" s="1"/>
  <c r="S317" i="151"/>
  <c r="Y317" i="151" s="1"/>
  <c r="Z317" i="151" s="1"/>
  <c r="S316" i="151"/>
  <c r="Y316" i="151" s="1"/>
  <c r="Z316" i="151" s="1"/>
  <c r="S315" i="151"/>
  <c r="Y315" i="151" s="1"/>
  <c r="Z315" i="151" s="1"/>
  <c r="S314" i="151"/>
  <c r="Y314" i="151" s="1"/>
  <c r="Z314" i="151" s="1"/>
  <c r="S313" i="151"/>
  <c r="Y313" i="151" s="1"/>
  <c r="Z313" i="151" s="1"/>
  <c r="S312" i="151"/>
  <c r="Y312" i="151" s="1"/>
  <c r="Z312" i="151" s="1"/>
  <c r="S311" i="151"/>
  <c r="Y311" i="151" s="1"/>
  <c r="Z311" i="151" s="1"/>
  <c r="G310" i="151"/>
  <c r="S310" i="151" s="1"/>
  <c r="Y310" i="151" s="1"/>
  <c r="Z310" i="151" s="1"/>
  <c r="G309" i="151"/>
  <c r="S309" i="151" s="1"/>
  <c r="U309" i="151" s="1"/>
  <c r="S308" i="151"/>
  <c r="S307" i="151"/>
  <c r="S306" i="151"/>
  <c r="G305" i="151"/>
  <c r="S305" i="151" s="1"/>
  <c r="S304" i="151"/>
  <c r="G303" i="151"/>
  <c r="S303" i="151" s="1"/>
  <c r="S302" i="151"/>
  <c r="Y302" i="151" s="1"/>
  <c r="Z302" i="151" s="1"/>
  <c r="S301" i="151"/>
  <c r="Y301" i="151" s="1"/>
  <c r="Z301" i="151" s="1"/>
  <c r="H300" i="151"/>
  <c r="G300" i="151"/>
  <c r="S299" i="151"/>
  <c r="Y299" i="151" s="1"/>
  <c r="Z299" i="151" s="1"/>
  <c r="G298" i="151"/>
  <c r="S298" i="151" s="1"/>
  <c r="Y298" i="151" s="1"/>
  <c r="Z298" i="151" s="1"/>
  <c r="G297" i="151"/>
  <c r="S297" i="151" s="1"/>
  <c r="U297" i="151" s="1"/>
  <c r="G296" i="151"/>
  <c r="S296" i="151" s="1"/>
  <c r="Y296" i="151" s="1"/>
  <c r="Z296" i="151" s="1"/>
  <c r="S295" i="151"/>
  <c r="U295" i="151" s="1"/>
  <c r="S294" i="151"/>
  <c r="U294" i="151" s="1"/>
  <c r="S293" i="151"/>
  <c r="U293" i="151" s="1"/>
  <c r="S292" i="151"/>
  <c r="U292" i="151" s="1"/>
  <c r="S291" i="151"/>
  <c r="U291" i="151" s="1"/>
  <c r="S290" i="151"/>
  <c r="U290" i="151" s="1"/>
  <c r="S289" i="151"/>
  <c r="U289" i="151" s="1"/>
  <c r="S288" i="151"/>
  <c r="U288" i="151" s="1"/>
  <c r="S287" i="151"/>
  <c r="U287" i="151" s="1"/>
  <c r="S286" i="151"/>
  <c r="U286" i="151" s="1"/>
  <c r="S285" i="151"/>
  <c r="U285" i="151" s="1"/>
  <c r="S284" i="151"/>
  <c r="U284" i="151" s="1"/>
  <c r="S283" i="151"/>
  <c r="U283" i="151" s="1"/>
  <c r="S282" i="151"/>
  <c r="U282" i="151" s="1"/>
  <c r="S281" i="151"/>
  <c r="U281" i="151" s="1"/>
  <c r="S280" i="151"/>
  <c r="U280" i="151" s="1"/>
  <c r="S279" i="151"/>
  <c r="U279" i="151" s="1"/>
  <c r="S278" i="151"/>
  <c r="U278" i="151" s="1"/>
  <c r="S277" i="151"/>
  <c r="U277" i="151" s="1"/>
  <c r="S276" i="151"/>
  <c r="U276" i="151" s="1"/>
  <c r="S275" i="151"/>
  <c r="U275" i="151" s="1"/>
  <c r="S274" i="151"/>
  <c r="U274" i="151" s="1"/>
  <c r="S273" i="151"/>
  <c r="U273" i="151" s="1"/>
  <c r="S272" i="151"/>
  <c r="U272" i="151" s="1"/>
  <c r="S271" i="151"/>
  <c r="U271" i="151" s="1"/>
  <c r="S270" i="151"/>
  <c r="U270" i="151" s="1"/>
  <c r="S269" i="151"/>
  <c r="U269" i="151" s="1"/>
  <c r="S268" i="151"/>
  <c r="U268" i="151" s="1"/>
  <c r="S267" i="151"/>
  <c r="U267" i="151" s="1"/>
  <c r="S266" i="151"/>
  <c r="U266" i="151" s="1"/>
  <c r="S265" i="151"/>
  <c r="U265" i="151" s="1"/>
  <c r="S264" i="151"/>
  <c r="U264" i="151" s="1"/>
  <c r="S263" i="151"/>
  <c r="U263" i="151" s="1"/>
  <c r="S262" i="151"/>
  <c r="U262" i="151" s="1"/>
  <c r="S261" i="151"/>
  <c r="U261" i="151" s="1"/>
  <c r="L260" i="151"/>
  <c r="S260" i="151" s="1"/>
  <c r="U260" i="151" s="1"/>
  <c r="S259" i="151"/>
  <c r="S258" i="151"/>
  <c r="S257" i="151"/>
  <c r="S256" i="151"/>
  <c r="S255" i="151"/>
  <c r="S254" i="151"/>
  <c r="S253" i="151"/>
  <c r="S252" i="151"/>
  <c r="S251" i="151"/>
  <c r="S250" i="151"/>
  <c r="S249" i="151"/>
  <c r="S248" i="151"/>
  <c r="S247" i="151"/>
  <c r="S246" i="151"/>
  <c r="S245" i="151"/>
  <c r="S244" i="151"/>
  <c r="S243" i="151"/>
  <c r="S242" i="151"/>
  <c r="S241" i="151"/>
  <c r="S240" i="151"/>
  <c r="S239" i="151"/>
  <c r="S238" i="151"/>
  <c r="S237" i="151"/>
  <c r="S236" i="151"/>
  <c r="S235" i="151"/>
  <c r="S234" i="151"/>
  <c r="S233" i="151"/>
  <c r="S232" i="151"/>
  <c r="S231" i="151"/>
  <c r="S230" i="151"/>
  <c r="S229" i="151"/>
  <c r="S228" i="151"/>
  <c r="S227" i="151"/>
  <c r="S226" i="151"/>
  <c r="S225" i="151"/>
  <c r="S224" i="151"/>
  <c r="Y224" i="151" s="1"/>
  <c r="Z224" i="151" s="1"/>
  <c r="S223" i="151"/>
  <c r="Y223" i="151" s="1"/>
  <c r="Z223" i="151" s="1"/>
  <c r="S222" i="151"/>
  <c r="Y222" i="151" s="1"/>
  <c r="Z222" i="151" s="1"/>
  <c r="S221" i="151"/>
  <c r="Y221" i="151" s="1"/>
  <c r="Z221" i="151" s="1"/>
  <c r="S220" i="151"/>
  <c r="Y220" i="151" s="1"/>
  <c r="Z220" i="151" s="1"/>
  <c r="S219" i="151"/>
  <c r="Y219" i="151" s="1"/>
  <c r="Z219" i="151" s="1"/>
  <c r="S218" i="151"/>
  <c r="Y218" i="151" s="1"/>
  <c r="Z218" i="151" s="1"/>
  <c r="S217" i="151"/>
  <c r="Y217" i="151" s="1"/>
  <c r="Z217" i="151" s="1"/>
  <c r="S216" i="151"/>
  <c r="Y216" i="151" s="1"/>
  <c r="Z216" i="151" s="1"/>
  <c r="S215" i="151"/>
  <c r="Y215" i="151" s="1"/>
  <c r="Z215" i="151" s="1"/>
  <c r="S214" i="151"/>
  <c r="Y214" i="151" s="1"/>
  <c r="Z214" i="151" s="1"/>
  <c r="S213" i="151"/>
  <c r="Y213" i="151" s="1"/>
  <c r="Z213" i="151" s="1"/>
  <c r="S212" i="151"/>
  <c r="Y212" i="151" s="1"/>
  <c r="Z212" i="151" s="1"/>
  <c r="S211" i="151"/>
  <c r="Y211" i="151" s="1"/>
  <c r="Z211" i="151" s="1"/>
  <c r="S210" i="151"/>
  <c r="Y210" i="151" s="1"/>
  <c r="Z210" i="151" s="1"/>
  <c r="S209" i="151"/>
  <c r="Y209" i="151" s="1"/>
  <c r="Z209" i="151" s="1"/>
  <c r="S208" i="151"/>
  <c r="Y208" i="151" s="1"/>
  <c r="Z208" i="151" s="1"/>
  <c r="S207" i="151"/>
  <c r="Y207" i="151" s="1"/>
  <c r="Z207" i="151" s="1"/>
  <c r="S206" i="151"/>
  <c r="Y206" i="151" s="1"/>
  <c r="Z206" i="151" s="1"/>
  <c r="S205" i="151"/>
  <c r="Y205" i="151" s="1"/>
  <c r="Z205" i="151" s="1"/>
  <c r="S204" i="151"/>
  <c r="Y204" i="151" s="1"/>
  <c r="Z204" i="151" s="1"/>
  <c r="S203" i="151"/>
  <c r="Y203" i="151" s="1"/>
  <c r="Z203" i="151" s="1"/>
  <c r="S202" i="151"/>
  <c r="Y202" i="151" s="1"/>
  <c r="Z202" i="151" s="1"/>
  <c r="S201" i="151"/>
  <c r="Y201" i="151" s="1"/>
  <c r="Z201" i="151" s="1"/>
  <c r="S200" i="151"/>
  <c r="Y200" i="151" s="1"/>
  <c r="Z200" i="151" s="1"/>
  <c r="S199" i="151"/>
  <c r="Y199" i="151" s="1"/>
  <c r="Z199" i="151" s="1"/>
  <c r="S198" i="151"/>
  <c r="Y198" i="151" s="1"/>
  <c r="Z198" i="151" s="1"/>
  <c r="S197" i="151"/>
  <c r="Y197" i="151" s="1"/>
  <c r="Z197" i="151" s="1"/>
  <c r="O196" i="151"/>
  <c r="N196" i="151"/>
  <c r="K196" i="151"/>
  <c r="G196" i="151"/>
  <c r="J195" i="151"/>
  <c r="S195" i="151" s="1"/>
  <c r="Y195" i="151" s="1"/>
  <c r="Z195" i="151" s="1"/>
  <c r="L194" i="151"/>
  <c r="H194" i="151"/>
  <c r="J193" i="151"/>
  <c r="S193" i="151" s="1"/>
  <c r="U193" i="151" s="1"/>
  <c r="I192" i="151"/>
  <c r="H192" i="151"/>
  <c r="G192" i="151"/>
  <c r="L191" i="151"/>
  <c r="S191" i="151" s="1"/>
  <c r="U191" i="151" s="1"/>
  <c r="L190" i="151"/>
  <c r="H190" i="151"/>
  <c r="O189" i="151"/>
  <c r="S189" i="151" s="1"/>
  <c r="Y189" i="151" s="1"/>
  <c r="Z189" i="151" s="1"/>
  <c r="N188" i="151"/>
  <c r="K188" i="151"/>
  <c r="J188" i="151"/>
  <c r="S187" i="151"/>
  <c r="Y187" i="151" s="1"/>
  <c r="Z187" i="151" s="1"/>
  <c r="L186" i="151"/>
  <c r="I186" i="151"/>
  <c r="S185" i="151"/>
  <c r="Y185" i="151" s="1"/>
  <c r="Z185" i="151" s="1"/>
  <c r="S184" i="151"/>
  <c r="Y184" i="151" s="1"/>
  <c r="Z184" i="151" s="1"/>
  <c r="S183" i="151"/>
  <c r="Y183" i="151" s="1"/>
  <c r="Z183" i="151" s="1"/>
  <c r="H182" i="151"/>
  <c r="S182" i="151" s="1"/>
  <c r="Y182" i="151" s="1"/>
  <c r="Z182" i="151" s="1"/>
  <c r="S181" i="151"/>
  <c r="U181" i="151" s="1"/>
  <c r="S180" i="151"/>
  <c r="U180" i="151" s="1"/>
  <c r="S179" i="151"/>
  <c r="U179" i="151" s="1"/>
  <c r="S178" i="151"/>
  <c r="U178" i="151" s="1"/>
  <c r="S177" i="151"/>
  <c r="U177" i="151" s="1"/>
  <c r="S176" i="151"/>
  <c r="U176" i="151" s="1"/>
  <c r="S175" i="151"/>
  <c r="U175" i="151" s="1"/>
  <c r="O174" i="151"/>
  <c r="I174" i="151"/>
  <c r="H174" i="151"/>
  <c r="S173" i="151"/>
  <c r="Y173" i="151" s="1"/>
  <c r="Z173" i="151" s="1"/>
  <c r="N172" i="151"/>
  <c r="H172" i="151"/>
  <c r="G172" i="151"/>
  <c r="S171" i="151"/>
  <c r="S170" i="151"/>
  <c r="S169" i="151"/>
  <c r="S168" i="151"/>
  <c r="S167" i="151"/>
  <c r="S166" i="151"/>
  <c r="S165" i="151"/>
  <c r="S164" i="151"/>
  <c r="S163" i="151"/>
  <c r="S162" i="151"/>
  <c r="S161" i="151"/>
  <c r="S160" i="151"/>
  <c r="S159" i="151"/>
  <c r="S158" i="151"/>
  <c r="J157" i="151"/>
  <c r="H157" i="151"/>
  <c r="G157" i="151"/>
  <c r="S156" i="151"/>
  <c r="Y156" i="151" s="1"/>
  <c r="Z156" i="151" s="1"/>
  <c r="S155" i="151"/>
  <c r="Y155" i="151" s="1"/>
  <c r="Z155" i="151" s="1"/>
  <c r="S154" i="151"/>
  <c r="Y154" i="151" s="1"/>
  <c r="Z154" i="151" s="1"/>
  <c r="H153" i="151"/>
  <c r="S153" i="151" s="1"/>
  <c r="Y153" i="151" s="1"/>
  <c r="Z153" i="151" s="1"/>
  <c r="S152" i="151"/>
  <c r="U152" i="151" s="1"/>
  <c r="G151" i="151"/>
  <c r="S151" i="151" s="1"/>
  <c r="U151" i="151" s="1"/>
  <c r="S150" i="151"/>
  <c r="Y150" i="151" s="1"/>
  <c r="Z150" i="151" s="1"/>
  <c r="S149" i="151"/>
  <c r="Y149" i="151" s="1"/>
  <c r="Z149" i="151" s="1"/>
  <c r="S148" i="151"/>
  <c r="Y148" i="151" s="1"/>
  <c r="Z148" i="151" s="1"/>
  <c r="S147" i="151"/>
  <c r="Y147" i="151" s="1"/>
  <c r="Z147" i="151" s="1"/>
  <c r="S146" i="151"/>
  <c r="Y146" i="151" s="1"/>
  <c r="Z146" i="151" s="1"/>
  <c r="S145" i="151"/>
  <c r="Y145" i="151" s="1"/>
  <c r="Z145" i="151" s="1"/>
  <c r="S144" i="151"/>
  <c r="Y144" i="151" s="1"/>
  <c r="Z144" i="151" s="1"/>
  <c r="S143" i="151"/>
  <c r="Y143" i="151" s="1"/>
  <c r="Z143" i="151" s="1"/>
  <c r="S142" i="151"/>
  <c r="Y142" i="151" s="1"/>
  <c r="Z142" i="151" s="1"/>
  <c r="S141" i="151"/>
  <c r="Y141" i="151" s="1"/>
  <c r="Z141" i="151" s="1"/>
  <c r="O140" i="151"/>
  <c r="L140" i="151"/>
  <c r="H140" i="151"/>
  <c r="S139" i="151"/>
  <c r="U139" i="151" s="1"/>
  <c r="H138" i="151"/>
  <c r="S138" i="151" s="1"/>
  <c r="U138" i="151" s="1"/>
  <c r="S137" i="151"/>
  <c r="Y137" i="151" s="1"/>
  <c r="Z137" i="151" s="1"/>
  <c r="O136" i="151"/>
  <c r="J136" i="151"/>
  <c r="N135" i="151"/>
  <c r="L135" i="151"/>
  <c r="H135" i="151"/>
  <c r="S134" i="151"/>
  <c r="S133" i="151"/>
  <c r="O132" i="151"/>
  <c r="S132" i="151" s="1"/>
  <c r="L131" i="151"/>
  <c r="H131" i="151"/>
  <c r="G131" i="151"/>
  <c r="P130" i="151"/>
  <c r="O130" i="151"/>
  <c r="J130" i="151"/>
  <c r="H130" i="151"/>
  <c r="S129" i="151"/>
  <c r="S128" i="151"/>
  <c r="S127" i="151"/>
  <c r="S126" i="151"/>
  <c r="S125" i="151"/>
  <c r="S124" i="151"/>
  <c r="S123" i="151"/>
  <c r="S122" i="151"/>
  <c r="O121" i="151"/>
  <c r="N121" i="151"/>
  <c r="K121" i="151"/>
  <c r="J121" i="151"/>
  <c r="H121" i="151"/>
  <c r="G121" i="151"/>
  <c r="O120" i="151"/>
  <c r="N120" i="151"/>
  <c r="K120" i="151"/>
  <c r="H120" i="151"/>
  <c r="G120" i="151"/>
  <c r="S119" i="151"/>
  <c r="Y119" i="151" s="1"/>
  <c r="Z119" i="151" s="1"/>
  <c r="I118" i="151"/>
  <c r="H118" i="151"/>
  <c r="G118" i="151"/>
  <c r="L117" i="151"/>
  <c r="H117" i="151"/>
  <c r="G117" i="151"/>
  <c r="S116" i="151"/>
  <c r="Y116" i="151" s="1"/>
  <c r="Z116" i="151" s="1"/>
  <c r="L115" i="151"/>
  <c r="S115" i="151" s="1"/>
  <c r="S114" i="151"/>
  <c r="S113" i="151"/>
  <c r="S112" i="151"/>
  <c r="S111" i="151"/>
  <c r="P110" i="151"/>
  <c r="N110" i="151"/>
  <c r="L110" i="151"/>
  <c r="J110" i="151"/>
  <c r="H110" i="151"/>
  <c r="G110" i="151"/>
  <c r="N109" i="151"/>
  <c r="N560" i="151" s="1"/>
  <c r="S108" i="151"/>
  <c r="Y108" i="151" s="1"/>
  <c r="Z108" i="151" s="1"/>
  <c r="S107" i="151"/>
  <c r="Y107" i="151" s="1"/>
  <c r="Z107" i="151" s="1"/>
  <c r="G106" i="151"/>
  <c r="S106" i="151" s="1"/>
  <c r="S105" i="151"/>
  <c r="S104" i="151"/>
  <c r="S103" i="151"/>
  <c r="S102" i="151"/>
  <c r="S101" i="151"/>
  <c r="S100" i="151"/>
  <c r="S99" i="151"/>
  <c r="S98" i="151"/>
  <c r="S97" i="151"/>
  <c r="S96" i="151"/>
  <c r="G95" i="151"/>
  <c r="S95" i="151" s="1"/>
  <c r="S94" i="151"/>
  <c r="Y94" i="151" s="1"/>
  <c r="Z94" i="151" s="1"/>
  <c r="S93" i="151"/>
  <c r="Y93" i="151" s="1"/>
  <c r="Z93" i="151" s="1"/>
  <c r="H92" i="151"/>
  <c r="S92" i="151" s="1"/>
  <c r="S91" i="151"/>
  <c r="S90" i="151"/>
  <c r="L89" i="151"/>
  <c r="S89" i="151" s="1"/>
  <c r="S88" i="151"/>
  <c r="S87" i="151"/>
  <c r="U87" i="151" s="1"/>
  <c r="S86" i="151"/>
  <c r="U86" i="151" s="1"/>
  <c r="H85" i="151"/>
  <c r="G85" i="151"/>
  <c r="H84" i="151"/>
  <c r="G84" i="151"/>
  <c r="S83" i="151"/>
  <c r="U83" i="151" s="1"/>
  <c r="J82" i="151"/>
  <c r="G82" i="151"/>
  <c r="S81" i="151"/>
  <c r="U81" i="151" s="1"/>
  <c r="L80" i="151"/>
  <c r="S80" i="151" s="1"/>
  <c r="U80" i="151" s="1"/>
  <c r="S79" i="151"/>
  <c r="U79" i="151" s="1"/>
  <c r="K78" i="151"/>
  <c r="J78" i="151"/>
  <c r="H78" i="151"/>
  <c r="G78" i="151"/>
  <c r="S77" i="151"/>
  <c r="Y77" i="151" s="1"/>
  <c r="Z77" i="151" s="1"/>
  <c r="S76" i="151"/>
  <c r="Y76" i="151" s="1"/>
  <c r="Z76" i="151" s="1"/>
  <c r="H75" i="151"/>
  <c r="S75" i="151" s="1"/>
  <c r="Y75" i="151" s="1"/>
  <c r="Z75" i="151" s="1"/>
  <c r="S74" i="151"/>
  <c r="U74" i="151" s="1"/>
  <c r="I73" i="151"/>
  <c r="H73" i="151"/>
  <c r="S72" i="151"/>
  <c r="U72" i="151" s="1"/>
  <c r="S71" i="151"/>
  <c r="U71" i="151" s="1"/>
  <c r="S70" i="151"/>
  <c r="U70" i="151" s="1"/>
  <c r="S69" i="151"/>
  <c r="U69" i="151" s="1"/>
  <c r="S68" i="151"/>
  <c r="U68" i="151" s="1"/>
  <c r="S67" i="151"/>
  <c r="U67" i="151" s="1"/>
  <c r="G66" i="151"/>
  <c r="S66" i="151" s="1"/>
  <c r="S65" i="151"/>
  <c r="Y65" i="151" s="1"/>
  <c r="Z65" i="151" s="1"/>
  <c r="S64" i="151"/>
  <c r="Y64" i="151" s="1"/>
  <c r="Z64" i="151" s="1"/>
  <c r="S63" i="151"/>
  <c r="Y63" i="151" s="1"/>
  <c r="Z63" i="151" s="1"/>
  <c r="I62" i="151"/>
  <c r="S62" i="151" s="1"/>
  <c r="Y62" i="151" s="1"/>
  <c r="Z62" i="151" s="1"/>
  <c r="S61" i="151"/>
  <c r="U61" i="151" s="1"/>
  <c r="G60" i="151"/>
  <c r="S60" i="151" s="1"/>
  <c r="U60" i="151" s="1"/>
  <c r="S59" i="151"/>
  <c r="Y59" i="151" s="1"/>
  <c r="Z59" i="151" s="1"/>
  <c r="S58" i="151"/>
  <c r="Y58" i="151" s="1"/>
  <c r="Z58" i="151" s="1"/>
  <c r="S57" i="151"/>
  <c r="Y57" i="151" s="1"/>
  <c r="Z57" i="151" s="1"/>
  <c r="S56" i="151"/>
  <c r="Y56" i="151" s="1"/>
  <c r="Z56" i="151" s="1"/>
  <c r="S55" i="151"/>
  <c r="Y55" i="151" s="1"/>
  <c r="Z55" i="151" s="1"/>
  <c r="S54" i="151"/>
  <c r="Y54" i="151" s="1"/>
  <c r="Z54" i="151" s="1"/>
  <c r="S53" i="151"/>
  <c r="Y53" i="151" s="1"/>
  <c r="Z53" i="151" s="1"/>
  <c r="S52" i="151"/>
  <c r="Y52" i="151" s="1"/>
  <c r="Z52" i="151" s="1"/>
  <c r="S51" i="151"/>
  <c r="Y51" i="151" s="1"/>
  <c r="Z51" i="151" s="1"/>
  <c r="J50" i="151"/>
  <c r="S50" i="151" s="1"/>
  <c r="Y50" i="151" s="1"/>
  <c r="Z50" i="151" s="1"/>
  <c r="S49" i="151"/>
  <c r="U49" i="151" s="1"/>
  <c r="I48" i="151"/>
  <c r="H48" i="151"/>
  <c r="G48" i="151"/>
  <c r="S47" i="151"/>
  <c r="Y47" i="151" s="1"/>
  <c r="Z47" i="151" s="1"/>
  <c r="S46" i="151"/>
  <c r="Y46" i="151" s="1"/>
  <c r="Z46" i="151" s="1"/>
  <c r="H45" i="151"/>
  <c r="S45" i="151" s="1"/>
  <c r="Y45" i="151" s="1"/>
  <c r="Z45" i="151" s="1"/>
  <c r="S44" i="151"/>
  <c r="U44" i="151" s="1"/>
  <c r="S43" i="151"/>
  <c r="U43" i="151" s="1"/>
  <c r="S42" i="151"/>
  <c r="U42" i="151" s="1"/>
  <c r="H41" i="151"/>
  <c r="S41" i="151" s="1"/>
  <c r="U41" i="151" s="1"/>
  <c r="S40" i="151"/>
  <c r="Y40" i="151" s="1"/>
  <c r="Z40" i="151" s="1"/>
  <c r="S39" i="151"/>
  <c r="Y39" i="151" s="1"/>
  <c r="Z39" i="151" s="1"/>
  <c r="S38" i="151"/>
  <c r="Y38" i="151" s="1"/>
  <c r="Z38" i="151" s="1"/>
  <c r="S37" i="151"/>
  <c r="Y37" i="151" s="1"/>
  <c r="Z37" i="151" s="1"/>
  <c r="S36" i="151"/>
  <c r="Y36" i="151" s="1"/>
  <c r="Z36" i="151" s="1"/>
  <c r="S35" i="151"/>
  <c r="Y35" i="151" s="1"/>
  <c r="Z35" i="151" s="1"/>
  <c r="S34" i="151"/>
  <c r="Y34" i="151" s="1"/>
  <c r="Z34" i="151" s="1"/>
  <c r="S33" i="151"/>
  <c r="Y33" i="151" s="1"/>
  <c r="Z33" i="151" s="1"/>
  <c r="S32" i="151"/>
  <c r="Y32" i="151" s="1"/>
  <c r="Z32" i="151" s="1"/>
  <c r="S31" i="151"/>
  <c r="Y31" i="151" s="1"/>
  <c r="Z31" i="151" s="1"/>
  <c r="H30" i="151"/>
  <c r="G30" i="151"/>
  <c r="S29" i="151"/>
  <c r="Y29" i="151" s="1"/>
  <c r="Z29" i="151" s="1"/>
  <c r="S28" i="151"/>
  <c r="Y28" i="151" s="1"/>
  <c r="Z28" i="151" s="1"/>
  <c r="S27" i="151"/>
  <c r="Y27" i="151" s="1"/>
  <c r="Z27" i="151" s="1"/>
  <c r="K26" i="151"/>
  <c r="G26" i="151"/>
  <c r="H25" i="151"/>
  <c r="S25" i="151" s="1"/>
  <c r="Y25" i="151" s="1"/>
  <c r="Z25" i="151" s="1"/>
  <c r="H24" i="151"/>
  <c r="S24" i="151" s="1"/>
  <c r="U24" i="151" s="1"/>
  <c r="S23" i="151"/>
  <c r="S22" i="151"/>
  <c r="S21" i="151"/>
  <c r="S20" i="151"/>
  <c r="S19" i="151"/>
  <c r="S18" i="151"/>
  <c r="S17" i="151"/>
  <c r="S16" i="151"/>
  <c r="J15" i="151"/>
  <c r="H15" i="151"/>
  <c r="S14" i="151"/>
  <c r="Y14" i="151" s="1"/>
  <c r="Z14" i="151" s="1"/>
  <c r="H13" i="151"/>
  <c r="S12" i="151"/>
  <c r="U12" i="151" s="1"/>
  <c r="S11" i="151"/>
  <c r="U11" i="151" s="1"/>
  <c r="S10" i="151"/>
  <c r="U10" i="151" s="1"/>
  <c r="S9" i="151"/>
  <c r="U9" i="151" s="1"/>
  <c r="S8" i="151"/>
  <c r="U8" i="151" s="1"/>
  <c r="S7" i="151"/>
  <c r="U7" i="151" s="1"/>
  <c r="S6" i="151"/>
  <c r="U6" i="151" s="1"/>
  <c r="S5" i="151"/>
  <c r="U5" i="151" s="1"/>
  <c r="S4" i="151"/>
  <c r="U4" i="151" s="1"/>
  <c r="S3" i="151"/>
  <c r="Q548" i="154"/>
  <c r="R545" i="154"/>
  <c r="P545" i="154"/>
  <c r="O545" i="154"/>
  <c r="I545" i="154"/>
  <c r="H545" i="154"/>
  <c r="G545" i="154"/>
  <c r="R544" i="154"/>
  <c r="P544" i="154"/>
  <c r="O544" i="154"/>
  <c r="I544" i="154"/>
  <c r="H544" i="154"/>
  <c r="G544" i="154"/>
  <c r="Q543" i="154"/>
  <c r="S543" i="154" s="1"/>
  <c r="T542" i="154"/>
  <c r="Q542" i="154"/>
  <c r="T541" i="154"/>
  <c r="Q541" i="154"/>
  <c r="T540" i="154"/>
  <c r="Q540" i="154"/>
  <c r="T539" i="154"/>
  <c r="Q539" i="154"/>
  <c r="T538" i="154"/>
  <c r="Q538" i="154"/>
  <c r="T537" i="154"/>
  <c r="Q537" i="154"/>
  <c r="T536" i="154"/>
  <c r="Q536" i="154"/>
  <c r="T535" i="154"/>
  <c r="Q535" i="154"/>
  <c r="T534" i="154"/>
  <c r="Q534" i="154"/>
  <c r="T533" i="154"/>
  <c r="Q533" i="154"/>
  <c r="T532" i="154"/>
  <c r="Q532" i="154"/>
  <c r="T531" i="154"/>
  <c r="Q531" i="154"/>
  <c r="T530" i="154"/>
  <c r="Q530" i="154"/>
  <c r="T529" i="154"/>
  <c r="Q529" i="154"/>
  <c r="T528" i="154"/>
  <c r="Q528" i="154"/>
  <c r="T527" i="154"/>
  <c r="Q527" i="154"/>
  <c r="T526" i="154"/>
  <c r="Q526" i="154"/>
  <c r="T525" i="154"/>
  <c r="Q525" i="154"/>
  <c r="T524" i="154"/>
  <c r="Q524" i="154"/>
  <c r="T523" i="154"/>
  <c r="Q523" i="154"/>
  <c r="T522" i="154"/>
  <c r="Q522" i="154"/>
  <c r="T521" i="154"/>
  <c r="Q521" i="154"/>
  <c r="T520" i="154"/>
  <c r="Q520" i="154"/>
  <c r="T519" i="154"/>
  <c r="Q519" i="154"/>
  <c r="T518" i="154"/>
  <c r="Q518" i="154"/>
  <c r="T517" i="154"/>
  <c r="Q517" i="154"/>
  <c r="T516" i="154"/>
  <c r="Q516" i="154"/>
  <c r="T515" i="154"/>
  <c r="Q515" i="154"/>
  <c r="T514" i="154"/>
  <c r="Q514" i="154"/>
  <c r="T513" i="154"/>
  <c r="Q513" i="154"/>
  <c r="T512" i="154"/>
  <c r="Q512" i="154"/>
  <c r="T511" i="154"/>
  <c r="Q511" i="154"/>
  <c r="T510" i="154"/>
  <c r="Q510" i="154"/>
  <c r="T509" i="154"/>
  <c r="Q509" i="154"/>
  <c r="T508" i="154"/>
  <c r="Q508" i="154"/>
  <c r="T507" i="154"/>
  <c r="Q507" i="154"/>
  <c r="T506" i="154"/>
  <c r="Q506" i="154"/>
  <c r="T505" i="154"/>
  <c r="Q505" i="154"/>
  <c r="T504" i="154"/>
  <c r="Q504" i="154"/>
  <c r="T503" i="154"/>
  <c r="Q503" i="154"/>
  <c r="T502" i="154"/>
  <c r="Q502" i="154"/>
  <c r="T501" i="154"/>
  <c r="Q501" i="154"/>
  <c r="S501" i="154" s="1"/>
  <c r="T500" i="154"/>
  <c r="Q500" i="154"/>
  <c r="S500" i="154" s="1"/>
  <c r="T499" i="154"/>
  <c r="Q499" i="154"/>
  <c r="U499" i="154" s="1"/>
  <c r="T498" i="154"/>
  <c r="Q498" i="154"/>
  <c r="W498" i="154" s="1"/>
  <c r="X498" i="154" s="1"/>
  <c r="T497" i="154"/>
  <c r="Q497" i="154"/>
  <c r="W497" i="154" s="1"/>
  <c r="X497" i="154" s="1"/>
  <c r="T496" i="154"/>
  <c r="Q496" i="154"/>
  <c r="T495" i="154"/>
  <c r="Q495" i="154"/>
  <c r="U495" i="154" s="1"/>
  <c r="T494" i="154"/>
  <c r="Q494" i="154"/>
  <c r="T493" i="154"/>
  <c r="Q493" i="154"/>
  <c r="U493" i="154" s="1"/>
  <c r="T492" i="154"/>
  <c r="N492" i="154"/>
  <c r="M492" i="154"/>
  <c r="T491" i="154"/>
  <c r="Q491" i="154"/>
  <c r="T490" i="154"/>
  <c r="Q490" i="154"/>
  <c r="V490" i="154" s="1"/>
  <c r="Y489" i="154"/>
  <c r="T488" i="154"/>
  <c r="N488" i="154"/>
  <c r="K488" i="154"/>
  <c r="T487" i="154"/>
  <c r="Q487" i="154"/>
  <c r="W487" i="154" s="1"/>
  <c r="X487" i="154" s="1"/>
  <c r="T486" i="154"/>
  <c r="Q486" i="154"/>
  <c r="W486" i="154" s="1"/>
  <c r="X486" i="154" s="1"/>
  <c r="T485" i="154"/>
  <c r="N485" i="154"/>
  <c r="Q485" i="154" s="1"/>
  <c r="W485" i="154" s="1"/>
  <c r="X485" i="154" s="1"/>
  <c r="T484" i="154"/>
  <c r="Q484" i="154"/>
  <c r="T483" i="154"/>
  <c r="Q483" i="154"/>
  <c r="T482" i="154"/>
  <c r="Q482" i="154"/>
  <c r="T481" i="154"/>
  <c r="Q481" i="154"/>
  <c r="T480" i="154"/>
  <c r="Q480" i="154"/>
  <c r="T479" i="154"/>
  <c r="Q479" i="154"/>
  <c r="T478" i="154"/>
  <c r="Q478" i="154"/>
  <c r="T477" i="154"/>
  <c r="Q477" i="154"/>
  <c r="T476" i="154"/>
  <c r="Q476" i="154"/>
  <c r="T475" i="154"/>
  <c r="N475" i="154"/>
  <c r="Q475" i="154" s="1"/>
  <c r="T474" i="154"/>
  <c r="Q474" i="154"/>
  <c r="W474" i="154" s="1"/>
  <c r="X474" i="154" s="1"/>
  <c r="T473" i="154"/>
  <c r="Q473" i="154"/>
  <c r="W473" i="154" s="1"/>
  <c r="X473" i="154" s="1"/>
  <c r="T472" i="154"/>
  <c r="Q472" i="154"/>
  <c r="W472" i="154" s="1"/>
  <c r="X472" i="154" s="1"/>
  <c r="T471" i="154"/>
  <c r="Q471" i="154"/>
  <c r="W471" i="154" s="1"/>
  <c r="X471" i="154" s="1"/>
  <c r="T470" i="154"/>
  <c r="Q470" i="154"/>
  <c r="W470" i="154" s="1"/>
  <c r="X470" i="154" s="1"/>
  <c r="T469" i="154"/>
  <c r="Q469" i="154"/>
  <c r="W469" i="154" s="1"/>
  <c r="X469" i="154" s="1"/>
  <c r="T468" i="154"/>
  <c r="Q468" i="154"/>
  <c r="W468" i="154" s="1"/>
  <c r="X468" i="154" s="1"/>
  <c r="T467" i="154"/>
  <c r="Q467" i="154"/>
  <c r="W467" i="154" s="1"/>
  <c r="X467" i="154" s="1"/>
  <c r="T466" i="154"/>
  <c r="Q466" i="154"/>
  <c r="W466" i="154" s="1"/>
  <c r="X466" i="154" s="1"/>
  <c r="T465" i="154"/>
  <c r="Q465" i="154"/>
  <c r="W465" i="154" s="1"/>
  <c r="X465" i="154" s="1"/>
  <c r="T464" i="154"/>
  <c r="Q464" i="154"/>
  <c r="W464" i="154" s="1"/>
  <c r="X464" i="154" s="1"/>
  <c r="T463" i="154"/>
  <c r="Q463" i="154"/>
  <c r="W463" i="154" s="1"/>
  <c r="X463" i="154" s="1"/>
  <c r="T462" i="154"/>
  <c r="Q462" i="154"/>
  <c r="W462" i="154" s="1"/>
  <c r="X462" i="154" s="1"/>
  <c r="Q461" i="154"/>
  <c r="S461" i="154" s="1"/>
  <c r="T460" i="154"/>
  <c r="Q460" i="154"/>
  <c r="T459" i="154"/>
  <c r="J459" i="154"/>
  <c r="Q459" i="154" s="1"/>
  <c r="T458" i="154"/>
  <c r="Q458" i="154"/>
  <c r="W458" i="154" s="1"/>
  <c r="X458" i="154" s="1"/>
  <c r="T457" i="154"/>
  <c r="Q457" i="154"/>
  <c r="W457" i="154" s="1"/>
  <c r="X457" i="154" s="1"/>
  <c r="T456" i="154"/>
  <c r="Q456" i="154"/>
  <c r="W456" i="154" s="1"/>
  <c r="X456" i="154" s="1"/>
  <c r="T455" i="154"/>
  <c r="J455" i="154"/>
  <c r="Q455" i="154" s="1"/>
  <c r="W455" i="154" s="1"/>
  <c r="X455" i="154" s="1"/>
  <c r="T454" i="154"/>
  <c r="N454" i="154"/>
  <c r="Q454" i="154" s="1"/>
  <c r="T453" i="154"/>
  <c r="J453" i="154"/>
  <c r="Q453" i="154" s="1"/>
  <c r="W453" i="154" s="1"/>
  <c r="X453" i="154" s="1"/>
  <c r="T452" i="154"/>
  <c r="Q452" i="154"/>
  <c r="T451" i="154"/>
  <c r="Q451" i="154"/>
  <c r="T450" i="154"/>
  <c r="Q450" i="154"/>
  <c r="T449" i="154"/>
  <c r="Q449" i="154"/>
  <c r="T448" i="154"/>
  <c r="N448" i="154"/>
  <c r="M448" i="154"/>
  <c r="T447" i="154"/>
  <c r="Q447" i="154"/>
  <c r="T446" i="154"/>
  <c r="Q446" i="154"/>
  <c r="T445" i="154"/>
  <c r="Q445" i="154"/>
  <c r="T444" i="154"/>
  <c r="Q444" i="154"/>
  <c r="T443" i="154"/>
  <c r="Q443" i="154"/>
  <c r="T442" i="154"/>
  <c r="Q442" i="154"/>
  <c r="T441" i="154"/>
  <c r="Q441" i="154"/>
  <c r="T440" i="154"/>
  <c r="Q440" i="154"/>
  <c r="T439" i="154"/>
  <c r="M439" i="154"/>
  <c r="Q439" i="154" s="1"/>
  <c r="T438" i="154"/>
  <c r="M438" i="154"/>
  <c r="Q438" i="154" s="1"/>
  <c r="W438" i="154" s="1"/>
  <c r="X438" i="154" s="1"/>
  <c r="T437" i="154"/>
  <c r="M437" i="154"/>
  <c r="L437" i="154"/>
  <c r="T436" i="154"/>
  <c r="Q436" i="154"/>
  <c r="T435" i="154"/>
  <c r="Q435" i="154"/>
  <c r="T434" i="154"/>
  <c r="Q434" i="154"/>
  <c r="T433" i="154"/>
  <c r="F433" i="154"/>
  <c r="Q433" i="154" s="1"/>
  <c r="T432" i="154"/>
  <c r="Q432" i="154"/>
  <c r="T431" i="154"/>
  <c r="Q431" i="154"/>
  <c r="T430" i="154"/>
  <c r="Q430" i="154"/>
  <c r="T429" i="154"/>
  <c r="Q429" i="154"/>
  <c r="S429" i="154" s="1"/>
  <c r="T428" i="154"/>
  <c r="Q428" i="154"/>
  <c r="W428" i="154" s="1"/>
  <c r="X428" i="154" s="1"/>
  <c r="T427" i="154"/>
  <c r="Q427" i="154"/>
  <c r="W427" i="154" s="1"/>
  <c r="X427" i="154" s="1"/>
  <c r="T426" i="154"/>
  <c r="Q426" i="154"/>
  <c r="W426" i="154" s="1"/>
  <c r="X426" i="154" s="1"/>
  <c r="T425" i="154"/>
  <c r="Q425" i="154"/>
  <c r="W425" i="154" s="1"/>
  <c r="X425" i="154" s="1"/>
  <c r="T424" i="154"/>
  <c r="F424" i="154"/>
  <c r="Q424" i="154" s="1"/>
  <c r="W424" i="154" s="1"/>
  <c r="X424" i="154" s="1"/>
  <c r="T423" i="154"/>
  <c r="Q423" i="154"/>
  <c r="T422" i="154"/>
  <c r="Q422" i="154"/>
  <c r="T421" i="154"/>
  <c r="Q421" i="154"/>
  <c r="T420" i="154"/>
  <c r="Q420" i="154"/>
  <c r="T419" i="154"/>
  <c r="Q419" i="154"/>
  <c r="T418" i="154"/>
  <c r="Q418" i="154"/>
  <c r="T417" i="154"/>
  <c r="Q417" i="154"/>
  <c r="T416" i="154"/>
  <c r="Q416" i="154"/>
  <c r="T415" i="154"/>
  <c r="Q415" i="154"/>
  <c r="S415" i="154" s="1"/>
  <c r="T414" i="154"/>
  <c r="Q414" i="154"/>
  <c r="W414" i="154" s="1"/>
  <c r="X414" i="154" s="1"/>
  <c r="T413" i="154"/>
  <c r="Q413" i="154"/>
  <c r="W413" i="154" s="1"/>
  <c r="X413" i="154" s="1"/>
  <c r="T412" i="154"/>
  <c r="Q412" i="154"/>
  <c r="W412" i="154" s="1"/>
  <c r="X412" i="154" s="1"/>
  <c r="T411" i="154"/>
  <c r="Q411" i="154"/>
  <c r="W411" i="154" s="1"/>
  <c r="X411" i="154" s="1"/>
  <c r="T410" i="154"/>
  <c r="Q410" i="154"/>
  <c r="W410" i="154" s="1"/>
  <c r="X410" i="154" s="1"/>
  <c r="T409" i="154"/>
  <c r="Q409" i="154"/>
  <c r="W409" i="154" s="1"/>
  <c r="X409" i="154" s="1"/>
  <c r="T408" i="154"/>
  <c r="Q408" i="154"/>
  <c r="W408" i="154" s="1"/>
  <c r="X408" i="154" s="1"/>
  <c r="T407" i="154"/>
  <c r="Q407" i="154"/>
  <c r="W407" i="154" s="1"/>
  <c r="X407" i="154" s="1"/>
  <c r="T406" i="154"/>
  <c r="N406" i="154"/>
  <c r="J406" i="154"/>
  <c r="T405" i="154"/>
  <c r="K405" i="154"/>
  <c r="J405" i="154"/>
  <c r="F405" i="154"/>
  <c r="T404" i="154"/>
  <c r="Q404" i="154"/>
  <c r="T403" i="154"/>
  <c r="Q403" i="154"/>
  <c r="T402" i="154"/>
  <c r="Q402" i="154"/>
  <c r="T401" i="154"/>
  <c r="Q401" i="154"/>
  <c r="T400" i="154"/>
  <c r="J400" i="154"/>
  <c r="Q400" i="154" s="1"/>
  <c r="T399" i="154"/>
  <c r="Q399" i="154"/>
  <c r="W399" i="154" s="1"/>
  <c r="X399" i="154" s="1"/>
  <c r="T398" i="154"/>
  <c r="Q398" i="154"/>
  <c r="W398" i="154" s="1"/>
  <c r="X398" i="154" s="1"/>
  <c r="T397" i="154"/>
  <c r="J397" i="154"/>
  <c r="Q397" i="154" s="1"/>
  <c r="W397" i="154" s="1"/>
  <c r="X397" i="154" s="1"/>
  <c r="T396" i="154"/>
  <c r="F396" i="154"/>
  <c r="T395" i="154"/>
  <c r="Q395" i="154"/>
  <c r="W395" i="154" s="1"/>
  <c r="X395" i="154" s="1"/>
  <c r="T394" i="154"/>
  <c r="Q394" i="154"/>
  <c r="W394" i="154" s="1"/>
  <c r="X394" i="154" s="1"/>
  <c r="T393" i="154"/>
  <c r="Q393" i="154"/>
  <c r="W393" i="154" s="1"/>
  <c r="X393" i="154" s="1"/>
  <c r="T392" i="154"/>
  <c r="Q392" i="154"/>
  <c r="W392" i="154" s="1"/>
  <c r="X392" i="154" s="1"/>
  <c r="T391" i="154"/>
  <c r="Q391" i="154"/>
  <c r="W391" i="154" s="1"/>
  <c r="X391" i="154" s="1"/>
  <c r="T390" i="154"/>
  <c r="Q390" i="154"/>
  <c r="W390" i="154" s="1"/>
  <c r="X390" i="154" s="1"/>
  <c r="T389" i="154"/>
  <c r="Q389" i="154"/>
  <c r="W389" i="154" s="1"/>
  <c r="X389" i="154" s="1"/>
  <c r="T388" i="154"/>
  <c r="Q388" i="154"/>
  <c r="W388" i="154" s="1"/>
  <c r="X388" i="154" s="1"/>
  <c r="T387" i="154"/>
  <c r="Q387" i="154"/>
  <c r="W387" i="154" s="1"/>
  <c r="X387" i="154" s="1"/>
  <c r="T386" i="154"/>
  <c r="Q386" i="154"/>
  <c r="W386" i="154" s="1"/>
  <c r="X386" i="154" s="1"/>
  <c r="T385" i="154"/>
  <c r="Q385" i="154"/>
  <c r="W385" i="154" s="1"/>
  <c r="X385" i="154" s="1"/>
  <c r="T384" i="154"/>
  <c r="Q384" i="154"/>
  <c r="W384" i="154" s="1"/>
  <c r="X384" i="154" s="1"/>
  <c r="T383" i="154"/>
  <c r="Q383" i="154"/>
  <c r="W383" i="154" s="1"/>
  <c r="X383" i="154" s="1"/>
  <c r="T382" i="154"/>
  <c r="K382" i="154"/>
  <c r="Q382" i="154" s="1"/>
  <c r="W382" i="154" s="1"/>
  <c r="X382" i="154" s="1"/>
  <c r="T381" i="154"/>
  <c r="Q381" i="154"/>
  <c r="T380" i="154"/>
  <c r="N380" i="154"/>
  <c r="K380" i="154"/>
  <c r="T379" i="154"/>
  <c r="Q379" i="154"/>
  <c r="T378" i="154"/>
  <c r="Q378" i="154"/>
  <c r="T377" i="154"/>
  <c r="Q377" i="154"/>
  <c r="T376" i="154"/>
  <c r="Q376" i="154"/>
  <c r="T375" i="154"/>
  <c r="Q375" i="154"/>
  <c r="T374" i="154"/>
  <c r="Q374" i="154"/>
  <c r="T373" i="154"/>
  <c r="Q373" i="154"/>
  <c r="T372" i="154"/>
  <c r="Q372" i="154"/>
  <c r="T371" i="154"/>
  <c r="Q371" i="154"/>
  <c r="T370" i="154"/>
  <c r="Q370" i="154"/>
  <c r="T369" i="154"/>
  <c r="Q369" i="154"/>
  <c r="T368" i="154"/>
  <c r="Q368" i="154"/>
  <c r="T367" i="154"/>
  <c r="Q367" i="154"/>
  <c r="T366" i="154"/>
  <c r="Q366" i="154"/>
  <c r="T365" i="154"/>
  <c r="Q365" i="154"/>
  <c r="T364" i="154"/>
  <c r="Q364" i="154"/>
  <c r="T363" i="154"/>
  <c r="Q363" i="154"/>
  <c r="T362" i="154"/>
  <c r="Q362" i="154"/>
  <c r="T361" i="154"/>
  <c r="Q361" i="154"/>
  <c r="T360" i="154"/>
  <c r="Q360" i="154"/>
  <c r="T359" i="154"/>
  <c r="Q359" i="154"/>
  <c r="T358" i="154"/>
  <c r="Q358" i="154"/>
  <c r="T357" i="154"/>
  <c r="Q357" i="154"/>
  <c r="T356" i="154"/>
  <c r="Q356" i="154"/>
  <c r="T355" i="154"/>
  <c r="Q355" i="154"/>
  <c r="T354" i="154"/>
  <c r="Q354" i="154"/>
  <c r="T353" i="154"/>
  <c r="Q353" i="154"/>
  <c r="T352" i="154"/>
  <c r="Q352" i="154"/>
  <c r="T351" i="154"/>
  <c r="Q351" i="154"/>
  <c r="T350" i="154"/>
  <c r="Q350" i="154"/>
  <c r="T349" i="154"/>
  <c r="Q349" i="154"/>
  <c r="T348" i="154"/>
  <c r="Q348" i="154"/>
  <c r="T347" i="154"/>
  <c r="Q347" i="154"/>
  <c r="T346" i="154"/>
  <c r="Q346" i="154"/>
  <c r="T345" i="154"/>
  <c r="Q345" i="154"/>
  <c r="T344" i="154"/>
  <c r="Q344" i="154"/>
  <c r="T343" i="154"/>
  <c r="Q343" i="154"/>
  <c r="T342" i="154"/>
  <c r="Q342" i="154"/>
  <c r="T341" i="154"/>
  <c r="Q341" i="154"/>
  <c r="T340" i="154"/>
  <c r="Q340" i="154"/>
  <c r="T339" i="154"/>
  <c r="Q339" i="154"/>
  <c r="T338" i="154"/>
  <c r="Q338" i="154"/>
  <c r="T337" i="154"/>
  <c r="Q337" i="154"/>
  <c r="T336" i="154"/>
  <c r="Q336" i="154"/>
  <c r="T335" i="154"/>
  <c r="Q335" i="154"/>
  <c r="T334" i="154"/>
  <c r="Q334" i="154"/>
  <c r="T333" i="154"/>
  <c r="Q333" i="154"/>
  <c r="T332" i="154"/>
  <c r="Q332" i="154"/>
  <c r="T331" i="154"/>
  <c r="Q331" i="154"/>
  <c r="T330" i="154"/>
  <c r="Q330" i="154"/>
  <c r="T329" i="154"/>
  <c r="Q329" i="154"/>
  <c r="T328" i="154"/>
  <c r="Q328" i="154"/>
  <c r="T327" i="154"/>
  <c r="Q327" i="154"/>
  <c r="T326" i="154"/>
  <c r="Q326" i="154"/>
  <c r="T325" i="154"/>
  <c r="Q325" i="154"/>
  <c r="T324" i="154"/>
  <c r="Q324" i="154"/>
  <c r="T323" i="154"/>
  <c r="Q323" i="154"/>
  <c r="T322" i="154"/>
  <c r="Q322" i="154"/>
  <c r="T321" i="154"/>
  <c r="Q321" i="154"/>
  <c r="T320" i="154"/>
  <c r="Q320" i="154"/>
  <c r="T319" i="154"/>
  <c r="Q319" i="154"/>
  <c r="T318" i="154"/>
  <c r="Q318" i="154"/>
  <c r="T317" i="154"/>
  <c r="Q317" i="154"/>
  <c r="T316" i="154"/>
  <c r="Q316" i="154"/>
  <c r="T315" i="154"/>
  <c r="Q315" i="154"/>
  <c r="T314" i="154"/>
  <c r="Q314" i="154"/>
  <c r="T313" i="154"/>
  <c r="Q313" i="154"/>
  <c r="T312" i="154"/>
  <c r="Q312" i="154"/>
  <c r="T311" i="154"/>
  <c r="Q311" i="154"/>
  <c r="T310" i="154"/>
  <c r="Q310" i="154"/>
  <c r="T309" i="154"/>
  <c r="Q309" i="154"/>
  <c r="T308" i="154"/>
  <c r="Q308" i="154"/>
  <c r="T307" i="154"/>
  <c r="Q307" i="154"/>
  <c r="T306" i="154"/>
  <c r="Q306" i="154"/>
  <c r="T305" i="154"/>
  <c r="Q305" i="154"/>
  <c r="T304" i="154"/>
  <c r="Q304" i="154"/>
  <c r="T303" i="154"/>
  <c r="Q303" i="154"/>
  <c r="T302" i="154"/>
  <c r="Q302" i="154"/>
  <c r="T301" i="154"/>
  <c r="Q301" i="154"/>
  <c r="T300" i="154"/>
  <c r="N300" i="154"/>
  <c r="L300" i="154"/>
  <c r="T299" i="154"/>
  <c r="Q299" i="154"/>
  <c r="T298" i="154"/>
  <c r="Q298" i="154"/>
  <c r="T297" i="154"/>
  <c r="Q297" i="154"/>
  <c r="T296" i="154"/>
  <c r="Q296" i="154"/>
  <c r="T295" i="154"/>
  <c r="Q295" i="154"/>
  <c r="T294" i="154"/>
  <c r="Q294" i="154"/>
  <c r="T293" i="154"/>
  <c r="Q293" i="154"/>
  <c r="T292" i="154"/>
  <c r="Q292" i="154"/>
  <c r="T291" i="154"/>
  <c r="Q291" i="154"/>
  <c r="T290" i="154"/>
  <c r="Q290" i="154"/>
  <c r="T289" i="154"/>
  <c r="Q289" i="154"/>
  <c r="T288" i="154"/>
  <c r="Q288" i="154"/>
  <c r="T287" i="154"/>
  <c r="Q287" i="154"/>
  <c r="T286" i="154"/>
  <c r="Q286" i="154"/>
  <c r="T285" i="154"/>
  <c r="Q285" i="154"/>
  <c r="T284" i="154"/>
  <c r="Q284" i="154"/>
  <c r="T283" i="154"/>
  <c r="Q283" i="154"/>
  <c r="T282" i="154"/>
  <c r="Q282" i="154"/>
  <c r="T281" i="154"/>
  <c r="Q281" i="154"/>
  <c r="T280" i="154"/>
  <c r="Q280" i="154"/>
  <c r="T279" i="154"/>
  <c r="Q279" i="154"/>
  <c r="T278" i="154"/>
  <c r="Q278" i="154"/>
  <c r="T277" i="154"/>
  <c r="Q277" i="154"/>
  <c r="T276" i="154"/>
  <c r="Q276" i="154"/>
  <c r="T275" i="154"/>
  <c r="Q275" i="154"/>
  <c r="T274" i="154"/>
  <c r="Q274" i="154"/>
  <c r="T273" i="154"/>
  <c r="Q273" i="154"/>
  <c r="T272" i="154"/>
  <c r="Q272" i="154"/>
  <c r="T271" i="154"/>
  <c r="Q271" i="154"/>
  <c r="T270" i="154"/>
  <c r="Q270" i="154"/>
  <c r="T269" i="154"/>
  <c r="Q269" i="154"/>
  <c r="T268" i="154"/>
  <c r="Q268" i="154"/>
  <c r="T267" i="154"/>
  <c r="Q267" i="154"/>
  <c r="T266" i="154"/>
  <c r="Q266" i="154"/>
  <c r="T265" i="154"/>
  <c r="Q265" i="154"/>
  <c r="T264" i="154"/>
  <c r="Q264" i="154"/>
  <c r="T263" i="154"/>
  <c r="Q263" i="154"/>
  <c r="T262" i="154"/>
  <c r="Q262" i="154"/>
  <c r="T261" i="154"/>
  <c r="Q261" i="154"/>
  <c r="T260" i="154"/>
  <c r="Q260" i="154"/>
  <c r="T259" i="154"/>
  <c r="Q259" i="154"/>
  <c r="T258" i="154"/>
  <c r="Q258" i="154"/>
  <c r="T257" i="154"/>
  <c r="Q257" i="154"/>
  <c r="T256" i="154"/>
  <c r="Q256" i="154"/>
  <c r="T255" i="154"/>
  <c r="Q255" i="154"/>
  <c r="T254" i="154"/>
  <c r="Q254" i="154"/>
  <c r="T253" i="154"/>
  <c r="Q253" i="154"/>
  <c r="T252" i="154"/>
  <c r="Q252" i="154"/>
  <c r="T251" i="154"/>
  <c r="Q251" i="154"/>
  <c r="T250" i="154"/>
  <c r="Q250" i="154"/>
  <c r="T249" i="154"/>
  <c r="Q249" i="154"/>
  <c r="T248" i="154"/>
  <c r="Q248" i="154"/>
  <c r="T247" i="154"/>
  <c r="Q247" i="154"/>
  <c r="T246" i="154"/>
  <c r="Q246" i="154"/>
  <c r="T245" i="154"/>
  <c r="Q245" i="154"/>
  <c r="T244" i="154"/>
  <c r="Q244" i="154"/>
  <c r="T243" i="154"/>
  <c r="Q243" i="154"/>
  <c r="T242" i="154"/>
  <c r="Q242" i="154"/>
  <c r="T241" i="154"/>
  <c r="Q241" i="154"/>
  <c r="T240" i="154"/>
  <c r="Q240" i="154"/>
  <c r="T239" i="154"/>
  <c r="Q239" i="154"/>
  <c r="T238" i="154"/>
  <c r="Q238" i="154"/>
  <c r="T237" i="154"/>
  <c r="Q237" i="154"/>
  <c r="T236" i="154"/>
  <c r="Q236" i="154"/>
  <c r="T235" i="154"/>
  <c r="Q235" i="154"/>
  <c r="T234" i="154"/>
  <c r="Q234" i="154"/>
  <c r="T233" i="154"/>
  <c r="Q233" i="154"/>
  <c r="T232" i="154"/>
  <c r="Q232" i="154"/>
  <c r="T231" i="154"/>
  <c r="Q231" i="154"/>
  <c r="T230" i="154"/>
  <c r="Q230" i="154"/>
  <c r="T229" i="154"/>
  <c r="Q229" i="154"/>
  <c r="T228" i="154"/>
  <c r="Q228" i="154"/>
  <c r="T227" i="154"/>
  <c r="Q227" i="154"/>
  <c r="T226" i="154"/>
  <c r="Q226" i="154"/>
  <c r="T225" i="154"/>
  <c r="Q225" i="154"/>
  <c r="T224" i="154"/>
  <c r="Q224" i="154"/>
  <c r="T223" i="154"/>
  <c r="Q223" i="154"/>
  <c r="T222" i="154"/>
  <c r="Q222" i="154"/>
  <c r="T221" i="154"/>
  <c r="Q221" i="154"/>
  <c r="T220" i="154"/>
  <c r="Q220" i="154"/>
  <c r="T219" i="154"/>
  <c r="Q219" i="154"/>
  <c r="T218" i="154"/>
  <c r="Q218" i="154"/>
  <c r="T217" i="154"/>
  <c r="Q217" i="154"/>
  <c r="T216" i="154"/>
  <c r="Q216" i="154"/>
  <c r="T215" i="154"/>
  <c r="Q215" i="154"/>
  <c r="T214" i="154"/>
  <c r="Q214" i="154"/>
  <c r="T213" i="154"/>
  <c r="Q213" i="154"/>
  <c r="T212" i="154"/>
  <c r="Q212" i="154"/>
  <c r="T211" i="154"/>
  <c r="Q211" i="154"/>
  <c r="T210" i="154"/>
  <c r="Q210" i="154"/>
  <c r="T209" i="154"/>
  <c r="Q209" i="154"/>
  <c r="T208" i="154"/>
  <c r="Q208" i="154"/>
  <c r="T207" i="154"/>
  <c r="Q207" i="154"/>
  <c r="T206" i="154"/>
  <c r="Q206" i="154"/>
  <c r="T205" i="154"/>
  <c r="Q205" i="154"/>
  <c r="T204" i="154"/>
  <c r="Q204" i="154"/>
  <c r="T203" i="154"/>
  <c r="Q203" i="154"/>
  <c r="T202" i="154"/>
  <c r="Q202" i="154"/>
  <c r="T201" i="154"/>
  <c r="Q201" i="154"/>
  <c r="T200" i="154"/>
  <c r="Q200" i="154"/>
  <c r="T199" i="154"/>
  <c r="Q199" i="154"/>
  <c r="T198" i="154"/>
  <c r="Q198" i="154"/>
  <c r="T197" i="154"/>
  <c r="Q197" i="154"/>
  <c r="T196" i="154"/>
  <c r="Q196" i="154"/>
  <c r="T195" i="154"/>
  <c r="Q195" i="154"/>
  <c r="T194" i="154"/>
  <c r="Q194" i="154"/>
  <c r="T193" i="154"/>
  <c r="Q193" i="154"/>
  <c r="T192" i="154"/>
  <c r="Q192" i="154"/>
  <c r="T191" i="154"/>
  <c r="Q191" i="154"/>
  <c r="T190" i="154"/>
  <c r="Q190" i="154"/>
  <c r="T189" i="154"/>
  <c r="Q189" i="154"/>
  <c r="T188" i="154"/>
  <c r="Q188" i="154"/>
  <c r="T187" i="154"/>
  <c r="Q187" i="154"/>
  <c r="T186" i="154"/>
  <c r="L186" i="154"/>
  <c r="Q186" i="154" s="1"/>
  <c r="T185" i="154"/>
  <c r="M185" i="154"/>
  <c r="Q185" i="154" s="1"/>
  <c r="W185" i="154" s="1"/>
  <c r="X185" i="154" s="1"/>
  <c r="T184" i="154"/>
  <c r="Q184" i="154"/>
  <c r="T183" i="154"/>
  <c r="Q183" i="154"/>
  <c r="T182" i="154"/>
  <c r="Q182" i="154"/>
  <c r="T181" i="154"/>
  <c r="Q181" i="154"/>
  <c r="T180" i="154"/>
  <c r="Q180" i="154"/>
  <c r="T179" i="154"/>
  <c r="Q179" i="154"/>
  <c r="T178" i="154"/>
  <c r="Q178" i="154"/>
  <c r="T177" i="154"/>
  <c r="Q177" i="154"/>
  <c r="T176" i="154"/>
  <c r="Q176" i="154"/>
  <c r="T175" i="154"/>
  <c r="Q175" i="154"/>
  <c r="T174" i="154"/>
  <c r="Q174" i="154"/>
  <c r="T173" i="154"/>
  <c r="Q173" i="154"/>
  <c r="T172" i="154"/>
  <c r="Q172" i="154"/>
  <c r="T171" i="154"/>
  <c r="Q171" i="154"/>
  <c r="T170" i="154"/>
  <c r="Q170" i="154"/>
  <c r="T169" i="154"/>
  <c r="Q169" i="154"/>
  <c r="T168" i="154"/>
  <c r="Q168" i="154"/>
  <c r="T167" i="154"/>
  <c r="Q167" i="154"/>
  <c r="T166" i="154"/>
  <c r="Q166" i="154"/>
  <c r="T165" i="154"/>
  <c r="Q165" i="154"/>
  <c r="T164" i="154"/>
  <c r="Q164" i="154"/>
  <c r="T163" i="154"/>
  <c r="Q163" i="154"/>
  <c r="T162" i="154"/>
  <c r="Q162" i="154"/>
  <c r="T161" i="154"/>
  <c r="Q161" i="154"/>
  <c r="T160" i="154"/>
  <c r="Q160" i="154"/>
  <c r="T159" i="154"/>
  <c r="Q159" i="154"/>
  <c r="W159" i="154" s="1"/>
  <c r="X159" i="154" s="1"/>
  <c r="T158" i="154"/>
  <c r="Q158" i="154"/>
  <c r="W158" i="154" s="1"/>
  <c r="X158" i="154" s="1"/>
  <c r="T157" i="154"/>
  <c r="Q157" i="154"/>
  <c r="W157" i="154" s="1"/>
  <c r="X157" i="154" s="1"/>
  <c r="T156" i="154"/>
  <c r="Q156" i="154"/>
  <c r="W156" i="154" s="1"/>
  <c r="X156" i="154" s="1"/>
  <c r="T155" i="154"/>
  <c r="Q155" i="154"/>
  <c r="W155" i="154" s="1"/>
  <c r="X155" i="154" s="1"/>
  <c r="T154" i="154"/>
  <c r="Q154" i="154"/>
  <c r="W154" i="154" s="1"/>
  <c r="X154" i="154" s="1"/>
  <c r="T153" i="154"/>
  <c r="Q153" i="154"/>
  <c r="W153" i="154" s="1"/>
  <c r="X153" i="154" s="1"/>
  <c r="T152" i="154"/>
  <c r="Q152" i="154"/>
  <c r="W152" i="154" s="1"/>
  <c r="X152" i="154" s="1"/>
  <c r="T151" i="154"/>
  <c r="Q151" i="154"/>
  <c r="W151" i="154" s="1"/>
  <c r="X151" i="154" s="1"/>
  <c r="T150" i="154"/>
  <c r="Q150" i="154"/>
  <c r="W150" i="154" s="1"/>
  <c r="X150" i="154" s="1"/>
  <c r="T149" i="154"/>
  <c r="Q149" i="154"/>
  <c r="W149" i="154" s="1"/>
  <c r="X149" i="154" s="1"/>
  <c r="T148" i="154"/>
  <c r="Q148" i="154"/>
  <c r="W148" i="154" s="1"/>
  <c r="X148" i="154" s="1"/>
  <c r="T147" i="154"/>
  <c r="Q147" i="154"/>
  <c r="W147" i="154" s="1"/>
  <c r="X147" i="154" s="1"/>
  <c r="T146" i="154"/>
  <c r="Q146" i="154"/>
  <c r="W146" i="154" s="1"/>
  <c r="X146" i="154" s="1"/>
  <c r="T145" i="154"/>
  <c r="Q145" i="154"/>
  <c r="W145" i="154" s="1"/>
  <c r="X145" i="154" s="1"/>
  <c r="T144" i="154"/>
  <c r="Q144" i="154"/>
  <c r="W144" i="154" s="1"/>
  <c r="X144" i="154" s="1"/>
  <c r="T143" i="154"/>
  <c r="Q143" i="154"/>
  <c r="W143" i="154" s="1"/>
  <c r="X143" i="154" s="1"/>
  <c r="T142" i="154"/>
  <c r="Q142" i="154"/>
  <c r="W142" i="154" s="1"/>
  <c r="X142" i="154" s="1"/>
  <c r="T141" i="154"/>
  <c r="Q141" i="154"/>
  <c r="W141" i="154" s="1"/>
  <c r="X141" i="154" s="1"/>
  <c r="T140" i="154"/>
  <c r="Q140" i="154"/>
  <c r="W140" i="154" s="1"/>
  <c r="X140" i="154" s="1"/>
  <c r="T139" i="154"/>
  <c r="Q139" i="154"/>
  <c r="W139" i="154" s="1"/>
  <c r="X139" i="154" s="1"/>
  <c r="T138" i="154"/>
  <c r="Q138" i="154"/>
  <c r="W138" i="154" s="1"/>
  <c r="X138" i="154" s="1"/>
  <c r="T137" i="154"/>
  <c r="Q137" i="154"/>
  <c r="W137" i="154" s="1"/>
  <c r="X137" i="154" s="1"/>
  <c r="T136" i="154"/>
  <c r="Q136" i="154"/>
  <c r="W136" i="154" s="1"/>
  <c r="X136" i="154" s="1"/>
  <c r="T135" i="154"/>
  <c r="Q135" i="154"/>
  <c r="W135" i="154" s="1"/>
  <c r="X135" i="154" s="1"/>
  <c r="T134" i="154"/>
  <c r="Q134" i="154"/>
  <c r="W134" i="154" s="1"/>
  <c r="X134" i="154" s="1"/>
  <c r="T133" i="154"/>
  <c r="Q133" i="154"/>
  <c r="W133" i="154" s="1"/>
  <c r="X133" i="154" s="1"/>
  <c r="T132" i="154"/>
  <c r="Q132" i="154"/>
  <c r="W132" i="154" s="1"/>
  <c r="X132" i="154" s="1"/>
  <c r="T131" i="154"/>
  <c r="L131" i="154"/>
  <c r="Q131" i="154" s="1"/>
  <c r="W131" i="154" s="1"/>
  <c r="X131" i="154" s="1"/>
  <c r="T130" i="154"/>
  <c r="M130" i="154"/>
  <c r="T129" i="154"/>
  <c r="Q129" i="154"/>
  <c r="W129" i="154" s="1"/>
  <c r="X129" i="154" s="1"/>
  <c r="J129" i="154"/>
  <c r="T128" i="154"/>
  <c r="Q128" i="154"/>
  <c r="W128" i="154" s="1"/>
  <c r="X128" i="154" s="1"/>
  <c r="T127" i="154"/>
  <c r="S127" i="154"/>
  <c r="Q127" i="154"/>
  <c r="W127" i="154" s="1"/>
  <c r="X127" i="154" s="1"/>
  <c r="T126" i="154"/>
  <c r="J126" i="154"/>
  <c r="Q126" i="154" s="1"/>
  <c r="T125" i="154"/>
  <c r="Q125" i="154"/>
  <c r="W125" i="154" s="1"/>
  <c r="X125" i="154" s="1"/>
  <c r="T124" i="154"/>
  <c r="Q124" i="154"/>
  <c r="W124" i="154" s="1"/>
  <c r="X124" i="154" s="1"/>
  <c r="T123" i="154"/>
  <c r="Q123" i="154"/>
  <c r="W123" i="154" s="1"/>
  <c r="X123" i="154" s="1"/>
  <c r="T122" i="154"/>
  <c r="Q122" i="154"/>
  <c r="W122" i="154" s="1"/>
  <c r="X122" i="154" s="1"/>
  <c r="T121" i="154"/>
  <c r="Q121" i="154"/>
  <c r="W121" i="154" s="1"/>
  <c r="X121" i="154" s="1"/>
  <c r="T120" i="154"/>
  <c r="Q120" i="154"/>
  <c r="W120" i="154" s="1"/>
  <c r="X120" i="154" s="1"/>
  <c r="T119" i="154"/>
  <c r="Q119" i="154"/>
  <c r="W119" i="154" s="1"/>
  <c r="X119" i="154" s="1"/>
  <c r="T118" i="154"/>
  <c r="Q118" i="154"/>
  <c r="W118" i="154" s="1"/>
  <c r="X118" i="154" s="1"/>
  <c r="T117" i="154"/>
  <c r="Q117" i="154"/>
  <c r="W117" i="154" s="1"/>
  <c r="X117" i="154" s="1"/>
  <c r="T116" i="154"/>
  <c r="Q116" i="154"/>
  <c r="W116" i="154" s="1"/>
  <c r="X116" i="154" s="1"/>
  <c r="T115" i="154"/>
  <c r="Q115" i="154"/>
  <c r="W115" i="154" s="1"/>
  <c r="X115" i="154" s="1"/>
  <c r="T114" i="154"/>
  <c r="Q114" i="154"/>
  <c r="W114" i="154" s="1"/>
  <c r="X114" i="154" s="1"/>
  <c r="T113" i="154"/>
  <c r="Q113" i="154"/>
  <c r="W113" i="154" s="1"/>
  <c r="X113" i="154" s="1"/>
  <c r="T112" i="154"/>
  <c r="Q112" i="154"/>
  <c r="W112" i="154" s="1"/>
  <c r="X112" i="154" s="1"/>
  <c r="T111" i="154"/>
  <c r="Q111" i="154"/>
  <c r="W111" i="154" s="1"/>
  <c r="X111" i="154" s="1"/>
  <c r="T110" i="154"/>
  <c r="Q110" i="154"/>
  <c r="W110" i="154" s="1"/>
  <c r="X110" i="154" s="1"/>
  <c r="T109" i="154"/>
  <c r="Q109" i="154"/>
  <c r="W109" i="154" s="1"/>
  <c r="X109" i="154" s="1"/>
  <c r="T108" i="154"/>
  <c r="Q108" i="154"/>
  <c r="W108" i="154" s="1"/>
  <c r="X108" i="154" s="1"/>
  <c r="T107" i="154"/>
  <c r="Q107" i="154"/>
  <c r="W107" i="154" s="1"/>
  <c r="X107" i="154" s="1"/>
  <c r="T106" i="154"/>
  <c r="Q106" i="154"/>
  <c r="W106" i="154" s="1"/>
  <c r="X106" i="154" s="1"/>
  <c r="T105" i="154"/>
  <c r="L105" i="154"/>
  <c r="Q105" i="154" s="1"/>
  <c r="W105" i="154" s="1"/>
  <c r="X105" i="154" s="1"/>
  <c r="T104" i="154"/>
  <c r="L104" i="154"/>
  <c r="Q104" i="154" s="1"/>
  <c r="T103" i="154"/>
  <c r="Q103" i="154"/>
  <c r="W103" i="154" s="1"/>
  <c r="X103" i="154" s="1"/>
  <c r="T102" i="154"/>
  <c r="L102" i="154"/>
  <c r="Q102" i="154" s="1"/>
  <c r="W102" i="154" s="1"/>
  <c r="X102" i="154" s="1"/>
  <c r="T101" i="154"/>
  <c r="L101" i="154"/>
  <c r="Q101" i="154" s="1"/>
  <c r="T100" i="154"/>
  <c r="Q100" i="154"/>
  <c r="W100" i="154" s="1"/>
  <c r="X100" i="154" s="1"/>
  <c r="T99" i="154"/>
  <c r="Q99" i="154"/>
  <c r="W99" i="154" s="1"/>
  <c r="X99" i="154" s="1"/>
  <c r="T98" i="154"/>
  <c r="Q98" i="154"/>
  <c r="W98" i="154" s="1"/>
  <c r="X98" i="154" s="1"/>
  <c r="T97" i="154"/>
  <c r="Q97" i="154"/>
  <c r="W97" i="154" s="1"/>
  <c r="X97" i="154" s="1"/>
  <c r="T96" i="154"/>
  <c r="Q96" i="154"/>
  <c r="W96" i="154" s="1"/>
  <c r="X96" i="154" s="1"/>
  <c r="T95" i="154"/>
  <c r="Q95" i="154"/>
  <c r="W95" i="154" s="1"/>
  <c r="X95" i="154" s="1"/>
  <c r="T94" i="154"/>
  <c r="Q94" i="154"/>
  <c r="W94" i="154" s="1"/>
  <c r="X94" i="154" s="1"/>
  <c r="T93" i="154"/>
  <c r="Q93" i="154"/>
  <c r="W93" i="154" s="1"/>
  <c r="X93" i="154" s="1"/>
  <c r="T92" i="154"/>
  <c r="Q92" i="154"/>
  <c r="W92" i="154" s="1"/>
  <c r="X92" i="154" s="1"/>
  <c r="T91" i="154"/>
  <c r="Q91" i="154"/>
  <c r="W91" i="154" s="1"/>
  <c r="X91" i="154" s="1"/>
  <c r="T90" i="154"/>
  <c r="Q90" i="154"/>
  <c r="W90" i="154" s="1"/>
  <c r="X90" i="154" s="1"/>
  <c r="T89" i="154"/>
  <c r="Q89" i="154"/>
  <c r="W89" i="154" s="1"/>
  <c r="X89" i="154" s="1"/>
  <c r="T88" i="154"/>
  <c r="Q88" i="154"/>
  <c r="W88" i="154" s="1"/>
  <c r="X88" i="154" s="1"/>
  <c r="T87" i="154"/>
  <c r="Q87" i="154"/>
  <c r="W87" i="154" s="1"/>
  <c r="X87" i="154" s="1"/>
  <c r="T86" i="154"/>
  <c r="Q86" i="154"/>
  <c r="W86" i="154" s="1"/>
  <c r="X86" i="154" s="1"/>
  <c r="T85" i="154"/>
  <c r="Q85" i="154"/>
  <c r="W85" i="154" s="1"/>
  <c r="X85" i="154" s="1"/>
  <c r="T84" i="154"/>
  <c r="Q84" i="154"/>
  <c r="W84" i="154" s="1"/>
  <c r="X84" i="154" s="1"/>
  <c r="T83" i="154"/>
  <c r="Q83" i="154"/>
  <c r="W83" i="154" s="1"/>
  <c r="X83" i="154" s="1"/>
  <c r="T82" i="154"/>
  <c r="Q82" i="154"/>
  <c r="W82" i="154" s="1"/>
  <c r="X82" i="154" s="1"/>
  <c r="T81" i="154"/>
  <c r="Q81" i="154"/>
  <c r="W81" i="154" s="1"/>
  <c r="X81" i="154" s="1"/>
  <c r="T80" i="154"/>
  <c r="L80" i="154"/>
  <c r="Q80" i="154" s="1"/>
  <c r="W80" i="154" s="1"/>
  <c r="X80" i="154" s="1"/>
  <c r="T79" i="154"/>
  <c r="Q79" i="154"/>
  <c r="T78" i="154"/>
  <c r="Q78" i="154"/>
  <c r="T77" i="154"/>
  <c r="Q77" i="154"/>
  <c r="T76" i="154"/>
  <c r="Q76" i="154"/>
  <c r="T75" i="154"/>
  <c r="Q75" i="154"/>
  <c r="T74" i="154"/>
  <c r="Q74" i="154"/>
  <c r="T73" i="154"/>
  <c r="Q73" i="154"/>
  <c r="T72" i="154"/>
  <c r="Q72" i="154"/>
  <c r="T71" i="154"/>
  <c r="Q71" i="154"/>
  <c r="T70" i="154"/>
  <c r="Q70" i="154"/>
  <c r="T69" i="154"/>
  <c r="Q69" i="154"/>
  <c r="T68" i="154"/>
  <c r="Q68" i="154"/>
  <c r="T67" i="154"/>
  <c r="Q67" i="154"/>
  <c r="T66" i="154"/>
  <c r="Q66" i="154"/>
  <c r="T65" i="154"/>
  <c r="Q65" i="154"/>
  <c r="T64" i="154"/>
  <c r="Q64" i="154"/>
  <c r="T63" i="154"/>
  <c r="Q63" i="154"/>
  <c r="T62" i="154"/>
  <c r="Q62" i="154"/>
  <c r="T61" i="154"/>
  <c r="Q61" i="154"/>
  <c r="T60" i="154"/>
  <c r="Q60" i="154"/>
  <c r="T59" i="154"/>
  <c r="Q59" i="154"/>
  <c r="T58" i="154"/>
  <c r="Q58" i="154"/>
  <c r="T57" i="154"/>
  <c r="Q57" i="154"/>
  <c r="T56" i="154"/>
  <c r="Q56" i="154"/>
  <c r="T55" i="154"/>
  <c r="Q55" i="154"/>
  <c r="T54" i="154"/>
  <c r="Q54" i="154"/>
  <c r="T53" i="154"/>
  <c r="Q53" i="154"/>
  <c r="T52" i="154"/>
  <c r="Q52" i="154"/>
  <c r="T51" i="154"/>
  <c r="Q51" i="154"/>
  <c r="T50" i="154"/>
  <c r="Q50" i="154"/>
  <c r="T49" i="154"/>
  <c r="Q49" i="154"/>
  <c r="T48" i="154"/>
  <c r="Q48" i="154"/>
  <c r="T47" i="154"/>
  <c r="Q47" i="154"/>
  <c r="T46" i="154"/>
  <c r="Q46" i="154"/>
  <c r="W46" i="154" s="1"/>
  <c r="X46" i="154" s="1"/>
  <c r="T45" i="154"/>
  <c r="Q45" i="154"/>
  <c r="W45" i="154" s="1"/>
  <c r="X45" i="154" s="1"/>
  <c r="T44" i="154"/>
  <c r="Q44" i="154"/>
  <c r="W44" i="154" s="1"/>
  <c r="X44" i="154" s="1"/>
  <c r="T43" i="154"/>
  <c r="Q43" i="154"/>
  <c r="W43" i="154" s="1"/>
  <c r="X43" i="154" s="1"/>
  <c r="T42" i="154"/>
  <c r="Q42" i="154"/>
  <c r="W42" i="154" s="1"/>
  <c r="X42" i="154" s="1"/>
  <c r="T41" i="154"/>
  <c r="Q41" i="154"/>
  <c r="W41" i="154" s="1"/>
  <c r="X41" i="154" s="1"/>
  <c r="T40" i="154"/>
  <c r="Q40" i="154"/>
  <c r="W40" i="154" s="1"/>
  <c r="X40" i="154" s="1"/>
  <c r="T39" i="154"/>
  <c r="Q39" i="154"/>
  <c r="W39" i="154" s="1"/>
  <c r="X39" i="154" s="1"/>
  <c r="T38" i="154"/>
  <c r="Q38" i="154"/>
  <c r="W38" i="154" s="1"/>
  <c r="X38" i="154" s="1"/>
  <c r="T37" i="154"/>
  <c r="Q37" i="154"/>
  <c r="W37" i="154" s="1"/>
  <c r="X37" i="154" s="1"/>
  <c r="T36" i="154"/>
  <c r="Q36" i="154"/>
  <c r="W36" i="154" s="1"/>
  <c r="X36" i="154" s="1"/>
  <c r="T35" i="154"/>
  <c r="Q35" i="154"/>
  <c r="W35" i="154" s="1"/>
  <c r="X35" i="154" s="1"/>
  <c r="T34" i="154"/>
  <c r="Q34" i="154"/>
  <c r="W34" i="154" s="1"/>
  <c r="X34" i="154" s="1"/>
  <c r="T33" i="154"/>
  <c r="Q33" i="154"/>
  <c r="W33" i="154" s="1"/>
  <c r="X33" i="154" s="1"/>
  <c r="T32" i="154"/>
  <c r="Q32" i="154"/>
  <c r="W32" i="154" s="1"/>
  <c r="X32" i="154" s="1"/>
  <c r="T31" i="154"/>
  <c r="Q31" i="154"/>
  <c r="W31" i="154" s="1"/>
  <c r="X31" i="154" s="1"/>
  <c r="T30" i="154"/>
  <c r="Q30" i="154"/>
  <c r="W30" i="154" s="1"/>
  <c r="X30" i="154" s="1"/>
  <c r="T29" i="154"/>
  <c r="Q29" i="154"/>
  <c r="W29" i="154" s="1"/>
  <c r="X29" i="154" s="1"/>
  <c r="T28" i="154"/>
  <c r="Q28" i="154"/>
  <c r="W28" i="154" s="1"/>
  <c r="X28" i="154" s="1"/>
  <c r="T27" i="154"/>
  <c r="Q27" i="154"/>
  <c r="W27" i="154" s="1"/>
  <c r="X27" i="154" s="1"/>
  <c r="T26" i="154"/>
  <c r="Q26" i="154"/>
  <c r="W26" i="154" s="1"/>
  <c r="X26" i="154" s="1"/>
  <c r="T25" i="154"/>
  <c r="Q25" i="154"/>
  <c r="W25" i="154" s="1"/>
  <c r="X25" i="154" s="1"/>
  <c r="T24" i="154"/>
  <c r="Q24" i="154"/>
  <c r="W24" i="154" s="1"/>
  <c r="X24" i="154" s="1"/>
  <c r="T23" i="154"/>
  <c r="Q23" i="154"/>
  <c r="W23" i="154" s="1"/>
  <c r="X23" i="154" s="1"/>
  <c r="T22" i="154"/>
  <c r="Q22" i="154"/>
  <c r="W22" i="154" s="1"/>
  <c r="X22" i="154" s="1"/>
  <c r="T21" i="154"/>
  <c r="Q21" i="154"/>
  <c r="W21" i="154" s="1"/>
  <c r="X21" i="154" s="1"/>
  <c r="T20" i="154"/>
  <c r="Q20" i="154"/>
  <c r="W20" i="154" s="1"/>
  <c r="X20" i="154" s="1"/>
  <c r="T19" i="154"/>
  <c r="Q19" i="154"/>
  <c r="W19" i="154" s="1"/>
  <c r="X19" i="154" s="1"/>
  <c r="T18" i="154"/>
  <c r="Q18" i="154"/>
  <c r="W18" i="154" s="1"/>
  <c r="X18" i="154" s="1"/>
  <c r="T17" i="154"/>
  <c r="Q17" i="154"/>
  <c r="W17" i="154" s="1"/>
  <c r="X17" i="154" s="1"/>
  <c r="T16" i="154"/>
  <c r="Q16" i="154"/>
  <c r="W16" i="154" s="1"/>
  <c r="X16" i="154" s="1"/>
  <c r="T15" i="154"/>
  <c r="Q15" i="154"/>
  <c r="W15" i="154" s="1"/>
  <c r="X15" i="154" s="1"/>
  <c r="T14" i="154"/>
  <c r="Q14" i="154"/>
  <c r="W14" i="154" s="1"/>
  <c r="X14" i="154" s="1"/>
  <c r="T13" i="154"/>
  <c r="Q13" i="154"/>
  <c r="W13" i="154" s="1"/>
  <c r="X13" i="154" s="1"/>
  <c r="T12" i="154"/>
  <c r="Q12" i="154"/>
  <c r="W12" i="154" s="1"/>
  <c r="X12" i="154" s="1"/>
  <c r="T11" i="154"/>
  <c r="Q11" i="154"/>
  <c r="W11" i="154" s="1"/>
  <c r="X11" i="154" s="1"/>
  <c r="T10" i="154"/>
  <c r="Q10" i="154"/>
  <c r="W10" i="154" s="1"/>
  <c r="X10" i="154" s="1"/>
  <c r="T9" i="154"/>
  <c r="Q9" i="154"/>
  <c r="W9" i="154" s="1"/>
  <c r="X9" i="154" s="1"/>
  <c r="T8" i="154"/>
  <c r="Q8" i="154"/>
  <c r="W8" i="154" s="1"/>
  <c r="X8" i="154" s="1"/>
  <c r="T7" i="154"/>
  <c r="Q7" i="154"/>
  <c r="W7" i="154" s="1"/>
  <c r="X7" i="154" s="1"/>
  <c r="T6" i="154"/>
  <c r="Q6" i="154"/>
  <c r="W6" i="154" s="1"/>
  <c r="X6" i="154" s="1"/>
  <c r="T5" i="154"/>
  <c r="Q5" i="154"/>
  <c r="W5" i="154" s="1"/>
  <c r="X5" i="154" s="1"/>
  <c r="T4" i="154"/>
  <c r="Q4" i="154"/>
  <c r="W4" i="154" s="1"/>
  <c r="X4" i="154" s="1"/>
  <c r="T3" i="154"/>
  <c r="Q3" i="154"/>
  <c r="W3" i="154" s="1"/>
  <c r="O559" i="158"/>
  <c r="L559" i="158"/>
  <c r="J559" i="158"/>
  <c r="H559" i="158"/>
  <c r="G559" i="158"/>
  <c r="O558" i="158"/>
  <c r="L558" i="158"/>
  <c r="J558" i="158"/>
  <c r="H558" i="158"/>
  <c r="G558" i="158"/>
  <c r="S557" i="158"/>
  <c r="Y557" i="158" s="1"/>
  <c r="Z557" i="158" s="1"/>
  <c r="S556" i="158"/>
  <c r="Y556" i="158" s="1"/>
  <c r="Z556" i="158" s="1"/>
  <c r="S555" i="158"/>
  <c r="Y555" i="158" s="1"/>
  <c r="Z555" i="158" s="1"/>
  <c r="S554" i="158"/>
  <c r="Y554" i="158" s="1"/>
  <c r="Z554" i="158" s="1"/>
  <c r="S553" i="158"/>
  <c r="Y553" i="158" s="1"/>
  <c r="Z553" i="158" s="1"/>
  <c r="S552" i="158"/>
  <c r="Y552" i="158" s="1"/>
  <c r="Z552" i="158" s="1"/>
  <c r="S551" i="158"/>
  <c r="Y551" i="158" s="1"/>
  <c r="Z551" i="158" s="1"/>
  <c r="S550" i="158"/>
  <c r="Y550" i="158" s="1"/>
  <c r="Z550" i="158" s="1"/>
  <c r="S549" i="158"/>
  <c r="Y549" i="158" s="1"/>
  <c r="Z549" i="158" s="1"/>
  <c r="S548" i="158"/>
  <c r="Y548" i="158" s="1"/>
  <c r="Z548" i="158" s="1"/>
  <c r="S547" i="158"/>
  <c r="Y547" i="158" s="1"/>
  <c r="Z547" i="158" s="1"/>
  <c r="S546" i="158"/>
  <c r="Y546" i="158" s="1"/>
  <c r="Z546" i="158" s="1"/>
  <c r="S545" i="158"/>
  <c r="Y545" i="158" s="1"/>
  <c r="Z545" i="158" s="1"/>
  <c r="S544" i="158"/>
  <c r="Y544" i="158" s="1"/>
  <c r="Z544" i="158" s="1"/>
  <c r="S543" i="158"/>
  <c r="Y543" i="158" s="1"/>
  <c r="Z543" i="158" s="1"/>
  <c r="S542" i="158"/>
  <c r="Y542" i="158" s="1"/>
  <c r="Z542" i="158" s="1"/>
  <c r="S541" i="158"/>
  <c r="Y541" i="158" s="1"/>
  <c r="Z541" i="158" s="1"/>
  <c r="S540" i="158"/>
  <c r="Y540" i="158" s="1"/>
  <c r="Z540" i="158" s="1"/>
  <c r="S539" i="158"/>
  <c r="Y539" i="158" s="1"/>
  <c r="Z539" i="158" s="1"/>
  <c r="S538" i="158"/>
  <c r="Y538" i="158" s="1"/>
  <c r="Z538" i="158" s="1"/>
  <c r="S537" i="158"/>
  <c r="Y537" i="158" s="1"/>
  <c r="Z537" i="158" s="1"/>
  <c r="S536" i="158"/>
  <c r="Y536" i="158" s="1"/>
  <c r="Z536" i="158" s="1"/>
  <c r="S535" i="158"/>
  <c r="Y535" i="158" s="1"/>
  <c r="Z535" i="158" s="1"/>
  <c r="S534" i="158"/>
  <c r="Y534" i="158" s="1"/>
  <c r="Z534" i="158" s="1"/>
  <c r="S533" i="158"/>
  <c r="Y533" i="158" s="1"/>
  <c r="Z533" i="158" s="1"/>
  <c r="S532" i="158"/>
  <c r="Y532" i="158" s="1"/>
  <c r="Z532" i="158" s="1"/>
  <c r="S531" i="158"/>
  <c r="Y531" i="158" s="1"/>
  <c r="Z531" i="158" s="1"/>
  <c r="S530" i="158"/>
  <c r="Y530" i="158" s="1"/>
  <c r="Z530" i="158" s="1"/>
  <c r="S529" i="158"/>
  <c r="Y529" i="158" s="1"/>
  <c r="Z529" i="158" s="1"/>
  <c r="S528" i="158"/>
  <c r="Y528" i="158" s="1"/>
  <c r="Z528" i="158" s="1"/>
  <c r="S527" i="158"/>
  <c r="Y527" i="158" s="1"/>
  <c r="Z527" i="158" s="1"/>
  <c r="S526" i="158"/>
  <c r="Y526" i="158" s="1"/>
  <c r="Z526" i="158" s="1"/>
  <c r="S525" i="158"/>
  <c r="Y525" i="158" s="1"/>
  <c r="Z525" i="158" s="1"/>
  <c r="S524" i="158"/>
  <c r="Y524" i="158" s="1"/>
  <c r="Z524" i="158" s="1"/>
  <c r="S523" i="158"/>
  <c r="Y523" i="158" s="1"/>
  <c r="Z523" i="158" s="1"/>
  <c r="S522" i="158"/>
  <c r="Y522" i="158" s="1"/>
  <c r="Z522" i="158" s="1"/>
  <c r="S521" i="158"/>
  <c r="Y521" i="158" s="1"/>
  <c r="Z521" i="158" s="1"/>
  <c r="S520" i="158"/>
  <c r="Y520" i="158" s="1"/>
  <c r="Z520" i="158" s="1"/>
  <c r="S519" i="158"/>
  <c r="Y519" i="158" s="1"/>
  <c r="Z519" i="158" s="1"/>
  <c r="S518" i="158"/>
  <c r="Y518" i="158" s="1"/>
  <c r="Z518" i="158" s="1"/>
  <c r="S517" i="158"/>
  <c r="Y517" i="158" s="1"/>
  <c r="Z517" i="158" s="1"/>
  <c r="S516" i="158"/>
  <c r="Y516" i="158" s="1"/>
  <c r="Z516" i="158" s="1"/>
  <c r="W515" i="158"/>
  <c r="S515" i="158"/>
  <c r="S514" i="158"/>
  <c r="Y514" i="158" s="1"/>
  <c r="Z514" i="158" s="1"/>
  <c r="S513" i="158"/>
  <c r="Y513" i="158" s="1"/>
  <c r="Z513" i="158" s="1"/>
  <c r="S512" i="158"/>
  <c r="Y512" i="158" s="1"/>
  <c r="Z512" i="158" s="1"/>
  <c r="M511" i="158"/>
  <c r="S511" i="158" s="1"/>
  <c r="S510" i="158"/>
  <c r="Y510" i="158" s="1"/>
  <c r="Z510" i="158" s="1"/>
  <c r="N509" i="158"/>
  <c r="S509" i="158" s="1"/>
  <c r="Y509" i="158" s="1"/>
  <c r="Z509" i="158" s="1"/>
  <c r="N508" i="158"/>
  <c r="S508" i="158" s="1"/>
  <c r="S507" i="158"/>
  <c r="Y507" i="158" s="1"/>
  <c r="Z507" i="158" s="1"/>
  <c r="M506" i="158"/>
  <c r="K506" i="158"/>
  <c r="S505" i="158"/>
  <c r="Y505" i="158" s="1"/>
  <c r="Z505" i="158" s="1"/>
  <c r="P504" i="158"/>
  <c r="S504" i="158" s="1"/>
  <c r="Y504" i="158" s="1"/>
  <c r="Z504" i="158" s="1"/>
  <c r="S503" i="158"/>
  <c r="Y503" i="158" s="1"/>
  <c r="Z503" i="158" s="1"/>
  <c r="S502" i="158"/>
  <c r="Y502" i="158" s="1"/>
  <c r="Z502" i="158" s="1"/>
  <c r="S501" i="158"/>
  <c r="Y501" i="158" s="1"/>
  <c r="Z501" i="158" s="1"/>
  <c r="S500" i="158"/>
  <c r="Y500" i="158" s="1"/>
  <c r="Z500" i="158" s="1"/>
  <c r="S499" i="158"/>
  <c r="Y499" i="158" s="1"/>
  <c r="Z499" i="158" s="1"/>
  <c r="S498" i="158"/>
  <c r="Y498" i="158" s="1"/>
  <c r="Z498" i="158" s="1"/>
  <c r="S497" i="158"/>
  <c r="Y497" i="158" s="1"/>
  <c r="Z497" i="158" s="1"/>
  <c r="S496" i="158"/>
  <c r="Y496" i="158" s="1"/>
  <c r="Z496" i="158" s="1"/>
  <c r="S495" i="158"/>
  <c r="Y495" i="158" s="1"/>
  <c r="Z495" i="158" s="1"/>
  <c r="S494" i="158"/>
  <c r="Y494" i="158" s="1"/>
  <c r="Z494" i="158" s="1"/>
  <c r="S493" i="158"/>
  <c r="Y493" i="158" s="1"/>
  <c r="Z493" i="158" s="1"/>
  <c r="S492" i="158"/>
  <c r="Y492" i="158" s="1"/>
  <c r="Z492" i="158" s="1"/>
  <c r="S491" i="158"/>
  <c r="Y491" i="158" s="1"/>
  <c r="Z491" i="158" s="1"/>
  <c r="S490" i="158"/>
  <c r="Y490" i="158" s="1"/>
  <c r="Z490" i="158" s="1"/>
  <c r="S489" i="158"/>
  <c r="Y489" i="158" s="1"/>
  <c r="Z489" i="158" s="1"/>
  <c r="S488" i="158"/>
  <c r="Y488" i="158" s="1"/>
  <c r="Z488" i="158" s="1"/>
  <c r="S487" i="158"/>
  <c r="Y487" i="158" s="1"/>
  <c r="Z487" i="158" s="1"/>
  <c r="S486" i="158"/>
  <c r="Y486" i="158" s="1"/>
  <c r="Z486" i="158" s="1"/>
  <c r="S485" i="158"/>
  <c r="Y485" i="158" s="1"/>
  <c r="Z485" i="158" s="1"/>
  <c r="S484" i="158"/>
  <c r="Y484" i="158" s="1"/>
  <c r="Z484" i="158" s="1"/>
  <c r="S483" i="158"/>
  <c r="Y483" i="158" s="1"/>
  <c r="Z483" i="158" s="1"/>
  <c r="S482" i="158"/>
  <c r="Y482" i="158" s="1"/>
  <c r="Z482" i="158" s="1"/>
  <c r="S481" i="158"/>
  <c r="Y481" i="158" s="1"/>
  <c r="Z481" i="158" s="1"/>
  <c r="S480" i="158"/>
  <c r="Y480" i="158" s="1"/>
  <c r="Z480" i="158" s="1"/>
  <c r="S479" i="158"/>
  <c r="Y479" i="158" s="1"/>
  <c r="Z479" i="158" s="1"/>
  <c r="S478" i="158"/>
  <c r="Y478" i="158" s="1"/>
  <c r="Z478" i="158" s="1"/>
  <c r="S477" i="158"/>
  <c r="Y477" i="158" s="1"/>
  <c r="Z477" i="158" s="1"/>
  <c r="S476" i="158"/>
  <c r="Y476" i="158" s="1"/>
  <c r="Z476" i="158" s="1"/>
  <c r="S475" i="158"/>
  <c r="Y475" i="158" s="1"/>
  <c r="Z475" i="158" s="1"/>
  <c r="S474" i="158"/>
  <c r="Y474" i="158" s="1"/>
  <c r="Z474" i="158" s="1"/>
  <c r="T473" i="158"/>
  <c r="T559" i="158" s="1"/>
  <c r="K473" i="158"/>
  <c r="S473" i="158" s="1"/>
  <c r="S472" i="158"/>
  <c r="Y472" i="158" s="1"/>
  <c r="Z472" i="158" s="1"/>
  <c r="S471" i="158"/>
  <c r="Y471" i="158" s="1"/>
  <c r="Z471" i="158" s="1"/>
  <c r="S470" i="158"/>
  <c r="Y470" i="158" s="1"/>
  <c r="Z470" i="158" s="1"/>
  <c r="S469" i="158"/>
  <c r="Y469" i="158" s="1"/>
  <c r="Z469" i="158" s="1"/>
  <c r="S468" i="158"/>
  <c r="Y468" i="158" s="1"/>
  <c r="Z468" i="158" s="1"/>
  <c r="N467" i="158"/>
  <c r="K467" i="158"/>
  <c r="S466" i="158"/>
  <c r="Y466" i="158" s="1"/>
  <c r="Z466" i="158" s="1"/>
  <c r="N465" i="158"/>
  <c r="K465" i="158"/>
  <c r="S464" i="158"/>
  <c r="Y464" i="158" s="1"/>
  <c r="Z464" i="158" s="1"/>
  <c r="S463" i="158"/>
  <c r="Y463" i="158" s="1"/>
  <c r="Z463" i="158" s="1"/>
  <c r="S462" i="158"/>
  <c r="Y462" i="158" s="1"/>
  <c r="Z462" i="158" s="1"/>
  <c r="S461" i="158"/>
  <c r="Y461" i="158" s="1"/>
  <c r="Z461" i="158" s="1"/>
  <c r="S460" i="158"/>
  <c r="Y460" i="158" s="1"/>
  <c r="Z460" i="158" s="1"/>
  <c r="M459" i="158"/>
  <c r="S459" i="158" s="1"/>
  <c r="Y459" i="158" s="1"/>
  <c r="Z459" i="158" s="1"/>
  <c r="S458" i="158"/>
  <c r="Y458" i="158" s="1"/>
  <c r="Z458" i="158" s="1"/>
  <c r="S457" i="158"/>
  <c r="Y457" i="158" s="1"/>
  <c r="Z457" i="158" s="1"/>
  <c r="S456" i="158"/>
  <c r="Y456" i="158" s="1"/>
  <c r="Z456" i="158" s="1"/>
  <c r="S455" i="158"/>
  <c r="Y455" i="158" s="1"/>
  <c r="Z455" i="158" s="1"/>
  <c r="S454" i="158"/>
  <c r="Y454" i="158" s="1"/>
  <c r="Z454" i="158" s="1"/>
  <c r="S453" i="158"/>
  <c r="Y453" i="158" s="1"/>
  <c r="Z453" i="158" s="1"/>
  <c r="N452" i="158"/>
  <c r="S452" i="158" s="1"/>
  <c r="N451" i="158"/>
  <c r="S451" i="158" s="1"/>
  <c r="Y451" i="158" s="1"/>
  <c r="Z451" i="158" s="1"/>
  <c r="M450" i="158"/>
  <c r="S450" i="158" s="1"/>
  <c r="M449" i="158"/>
  <c r="S449" i="158" s="1"/>
  <c r="Y449" i="158" s="1"/>
  <c r="Z449" i="158" s="1"/>
  <c r="S448" i="158"/>
  <c r="Y448" i="158" s="1"/>
  <c r="Z448" i="158" s="1"/>
  <c r="S447" i="158"/>
  <c r="Y447" i="158" s="1"/>
  <c r="Z447" i="158" s="1"/>
  <c r="S446" i="158"/>
  <c r="Y446" i="158" s="1"/>
  <c r="Z446" i="158" s="1"/>
  <c r="S445" i="158"/>
  <c r="Y445" i="158" s="1"/>
  <c r="Z445" i="158" s="1"/>
  <c r="S444" i="158"/>
  <c r="Y444" i="158" s="1"/>
  <c r="Z444" i="158" s="1"/>
  <c r="S443" i="158"/>
  <c r="Y443" i="158" s="1"/>
  <c r="Z443" i="158" s="1"/>
  <c r="S442" i="158"/>
  <c r="Y442" i="158" s="1"/>
  <c r="Z442" i="158" s="1"/>
  <c r="S441" i="158"/>
  <c r="Y441" i="158" s="1"/>
  <c r="Z441" i="158" s="1"/>
  <c r="S440" i="158"/>
  <c r="Y440" i="158" s="1"/>
  <c r="Z440" i="158" s="1"/>
  <c r="S439" i="158"/>
  <c r="Y439" i="158" s="1"/>
  <c r="Z439" i="158" s="1"/>
  <c r="I438" i="158"/>
  <c r="S438" i="158" s="1"/>
  <c r="I437" i="158"/>
  <c r="S437" i="158" s="1"/>
  <c r="Y437" i="158" s="1"/>
  <c r="Z437" i="158" s="1"/>
  <c r="I436" i="158"/>
  <c r="S436" i="158" s="1"/>
  <c r="M435" i="158"/>
  <c r="K435" i="158"/>
  <c r="F435" i="158"/>
  <c r="F559" i="158" s="1"/>
  <c r="S434" i="158"/>
  <c r="Y434" i="158" s="1"/>
  <c r="Z434" i="158" s="1"/>
  <c r="S433" i="158"/>
  <c r="Y433" i="158" s="1"/>
  <c r="Z433" i="158" s="1"/>
  <c r="S432" i="158"/>
  <c r="Y432" i="158" s="1"/>
  <c r="Z432" i="158" s="1"/>
  <c r="S431" i="158"/>
  <c r="Y431" i="158" s="1"/>
  <c r="Z431" i="158" s="1"/>
  <c r="S430" i="158"/>
  <c r="Y430" i="158" s="1"/>
  <c r="Z430" i="158" s="1"/>
  <c r="S429" i="158"/>
  <c r="Y429" i="158" s="1"/>
  <c r="Z429" i="158" s="1"/>
  <c r="S428" i="158"/>
  <c r="Y428" i="158" s="1"/>
  <c r="Z428" i="158" s="1"/>
  <c r="S427" i="158"/>
  <c r="Y427" i="158" s="1"/>
  <c r="Z427" i="158" s="1"/>
  <c r="S426" i="158"/>
  <c r="Y426" i="158" s="1"/>
  <c r="Z426" i="158" s="1"/>
  <c r="S425" i="158"/>
  <c r="Y425" i="158" s="1"/>
  <c r="Z425" i="158" s="1"/>
  <c r="S424" i="158"/>
  <c r="Y424" i="158" s="1"/>
  <c r="Z424" i="158" s="1"/>
  <c r="S423" i="158"/>
  <c r="Y423" i="158" s="1"/>
  <c r="Z423" i="158" s="1"/>
  <c r="S422" i="158"/>
  <c r="Y422" i="158" s="1"/>
  <c r="Z422" i="158" s="1"/>
  <c r="S421" i="158"/>
  <c r="Y421" i="158" s="1"/>
  <c r="Z421" i="158" s="1"/>
  <c r="S420" i="158"/>
  <c r="Y420" i="158" s="1"/>
  <c r="Z420" i="158" s="1"/>
  <c r="S419" i="158"/>
  <c r="Y419" i="158" s="1"/>
  <c r="Z419" i="158" s="1"/>
  <c r="S418" i="158"/>
  <c r="Y418" i="158" s="1"/>
  <c r="Z418" i="158" s="1"/>
  <c r="P417" i="158"/>
  <c r="N417" i="158"/>
  <c r="K417" i="158"/>
  <c r="S416" i="158"/>
  <c r="Y416" i="158" s="1"/>
  <c r="Z416" i="158" s="1"/>
  <c r="S415" i="158"/>
  <c r="Y415" i="158" s="1"/>
  <c r="Z415" i="158" s="1"/>
  <c r="S414" i="158"/>
  <c r="Y414" i="158" s="1"/>
  <c r="Z414" i="158" s="1"/>
  <c r="S413" i="158"/>
  <c r="Y413" i="158" s="1"/>
  <c r="Z413" i="158" s="1"/>
  <c r="S412" i="158"/>
  <c r="Y412" i="158" s="1"/>
  <c r="Z412" i="158" s="1"/>
  <c r="S411" i="158"/>
  <c r="Y411" i="158" s="1"/>
  <c r="Z411" i="158" s="1"/>
  <c r="S410" i="158"/>
  <c r="Y410" i="158" s="1"/>
  <c r="Z410" i="158" s="1"/>
  <c r="S409" i="158"/>
  <c r="Y409" i="158" s="1"/>
  <c r="Z409" i="158" s="1"/>
  <c r="K408" i="158"/>
  <c r="S408" i="158" s="1"/>
  <c r="S407" i="158"/>
  <c r="Y407" i="158" s="1"/>
  <c r="Z407" i="158" s="1"/>
  <c r="S406" i="158"/>
  <c r="Y406" i="158" s="1"/>
  <c r="Z406" i="158" s="1"/>
  <c r="S405" i="158"/>
  <c r="Y405" i="158" s="1"/>
  <c r="Z405" i="158" s="1"/>
  <c r="S404" i="158"/>
  <c r="Y404" i="158" s="1"/>
  <c r="Z404" i="158" s="1"/>
  <c r="S403" i="158"/>
  <c r="Y403" i="158" s="1"/>
  <c r="Z403" i="158" s="1"/>
  <c r="S402" i="158"/>
  <c r="Y402" i="158" s="1"/>
  <c r="Z402" i="158" s="1"/>
  <c r="S401" i="158"/>
  <c r="Y401" i="158" s="1"/>
  <c r="Z401" i="158" s="1"/>
  <c r="S400" i="158"/>
  <c r="Y400" i="158" s="1"/>
  <c r="Z400" i="158" s="1"/>
  <c r="S399" i="158"/>
  <c r="Y399" i="158" s="1"/>
  <c r="Z399" i="158" s="1"/>
  <c r="S398" i="158"/>
  <c r="Y398" i="158" s="1"/>
  <c r="Z398" i="158" s="1"/>
  <c r="S397" i="158"/>
  <c r="Y397" i="158" s="1"/>
  <c r="Z397" i="158" s="1"/>
  <c r="S396" i="158"/>
  <c r="Y396" i="158" s="1"/>
  <c r="Z396" i="158" s="1"/>
  <c r="S395" i="158"/>
  <c r="Y395" i="158" s="1"/>
  <c r="Z395" i="158" s="1"/>
  <c r="S394" i="158"/>
  <c r="Y394" i="158" s="1"/>
  <c r="Z394" i="158" s="1"/>
  <c r="S393" i="158"/>
  <c r="Y393" i="158" s="1"/>
  <c r="Z393" i="158" s="1"/>
  <c r="S392" i="158"/>
  <c r="Y392" i="158" s="1"/>
  <c r="Z392" i="158" s="1"/>
  <c r="S391" i="158"/>
  <c r="Y391" i="158" s="1"/>
  <c r="Z391" i="158" s="1"/>
  <c r="K390" i="158"/>
  <c r="S390" i="158" s="1"/>
  <c r="Y390" i="158" s="1"/>
  <c r="Z390" i="158" s="1"/>
  <c r="S389" i="158"/>
  <c r="Y389" i="158" s="1"/>
  <c r="Z389" i="158" s="1"/>
  <c r="S388" i="158"/>
  <c r="Y388" i="158" s="1"/>
  <c r="Z388" i="158" s="1"/>
  <c r="S387" i="158"/>
  <c r="Y387" i="158" s="1"/>
  <c r="Z387" i="158" s="1"/>
  <c r="S386" i="158"/>
  <c r="Y386" i="158" s="1"/>
  <c r="Z386" i="158" s="1"/>
  <c r="S385" i="158"/>
  <c r="Y385" i="158" s="1"/>
  <c r="Z385" i="158" s="1"/>
  <c r="S384" i="158"/>
  <c r="Y384" i="158" s="1"/>
  <c r="Z384" i="158" s="1"/>
  <c r="S383" i="158"/>
  <c r="Y383" i="158" s="1"/>
  <c r="Z383" i="158" s="1"/>
  <c r="S382" i="158"/>
  <c r="Y382" i="158" s="1"/>
  <c r="Z382" i="158" s="1"/>
  <c r="S381" i="158"/>
  <c r="Y381" i="158" s="1"/>
  <c r="Z381" i="158" s="1"/>
  <c r="S380" i="158"/>
  <c r="Y380" i="158" s="1"/>
  <c r="Z380" i="158" s="1"/>
  <c r="S379" i="158"/>
  <c r="Y379" i="158" s="1"/>
  <c r="Z379" i="158" s="1"/>
  <c r="S378" i="158"/>
  <c r="Y378" i="158" s="1"/>
  <c r="Z378" i="158" s="1"/>
  <c r="S377" i="158"/>
  <c r="Y377" i="158" s="1"/>
  <c r="Z377" i="158" s="1"/>
  <c r="S376" i="158"/>
  <c r="Y376" i="158" s="1"/>
  <c r="Z376" i="158" s="1"/>
  <c r="S375" i="158"/>
  <c r="Y375" i="158" s="1"/>
  <c r="Z375" i="158" s="1"/>
  <c r="S374" i="158"/>
  <c r="Y374" i="158" s="1"/>
  <c r="Z374" i="158" s="1"/>
  <c r="S373" i="158"/>
  <c r="Y373" i="158" s="1"/>
  <c r="Z373" i="158" s="1"/>
  <c r="S372" i="158"/>
  <c r="Y372" i="158" s="1"/>
  <c r="Z372" i="158" s="1"/>
  <c r="S371" i="158"/>
  <c r="Y371" i="158" s="1"/>
  <c r="Z371" i="158" s="1"/>
  <c r="S370" i="158"/>
  <c r="Y370" i="158" s="1"/>
  <c r="Z370" i="158" s="1"/>
  <c r="S369" i="158"/>
  <c r="Y369" i="158" s="1"/>
  <c r="Z369" i="158" s="1"/>
  <c r="S368" i="158"/>
  <c r="Y368" i="158" s="1"/>
  <c r="Z368" i="158" s="1"/>
  <c r="S367" i="158"/>
  <c r="Y367" i="158" s="1"/>
  <c r="Z367" i="158" s="1"/>
  <c r="S366" i="158"/>
  <c r="Y366" i="158" s="1"/>
  <c r="Z366" i="158" s="1"/>
  <c r="S365" i="158"/>
  <c r="Y365" i="158" s="1"/>
  <c r="Z365" i="158" s="1"/>
  <c r="S364" i="158"/>
  <c r="Y364" i="158" s="1"/>
  <c r="Z364" i="158" s="1"/>
  <c r="S363" i="158"/>
  <c r="Y363" i="158" s="1"/>
  <c r="Z363" i="158" s="1"/>
  <c r="S362" i="158"/>
  <c r="Y362" i="158" s="1"/>
  <c r="Z362" i="158" s="1"/>
  <c r="S361" i="158"/>
  <c r="Y361" i="158" s="1"/>
  <c r="Z361" i="158" s="1"/>
  <c r="S360" i="158"/>
  <c r="Y360" i="158" s="1"/>
  <c r="Z360" i="158" s="1"/>
  <c r="S359" i="158"/>
  <c r="Y359" i="158" s="1"/>
  <c r="Z359" i="158" s="1"/>
  <c r="S358" i="158"/>
  <c r="Y358" i="158" s="1"/>
  <c r="Z358" i="158" s="1"/>
  <c r="S357" i="158"/>
  <c r="Y357" i="158" s="1"/>
  <c r="Z357" i="158" s="1"/>
  <c r="S356" i="158"/>
  <c r="Y356" i="158" s="1"/>
  <c r="Z356" i="158" s="1"/>
  <c r="S355" i="158"/>
  <c r="Y355" i="158" s="1"/>
  <c r="Z355" i="158" s="1"/>
  <c r="S354" i="158"/>
  <c r="Y354" i="158" s="1"/>
  <c r="Z354" i="158" s="1"/>
  <c r="S353" i="158"/>
  <c r="Y353" i="158" s="1"/>
  <c r="Z353" i="158" s="1"/>
  <c r="S352" i="158"/>
  <c r="Y352" i="158" s="1"/>
  <c r="Z352" i="158" s="1"/>
  <c r="S351" i="158"/>
  <c r="Y351" i="158" s="1"/>
  <c r="Z351" i="158" s="1"/>
  <c r="S350" i="158"/>
  <c r="Y350" i="158" s="1"/>
  <c r="Z350" i="158" s="1"/>
  <c r="S349" i="158"/>
  <c r="Y349" i="158" s="1"/>
  <c r="Z349" i="158" s="1"/>
  <c r="S347" i="158"/>
  <c r="Y347" i="158" s="1"/>
  <c r="Z347" i="158" s="1"/>
  <c r="S346" i="158"/>
  <c r="Y346" i="158" s="1"/>
  <c r="Z346" i="158" s="1"/>
  <c r="S345" i="158"/>
  <c r="Y345" i="158" s="1"/>
  <c r="Z345" i="158" s="1"/>
  <c r="S344" i="158"/>
  <c r="Y344" i="158" s="1"/>
  <c r="Z344" i="158" s="1"/>
  <c r="S343" i="158"/>
  <c r="Y343" i="158" s="1"/>
  <c r="Z343" i="158" s="1"/>
  <c r="S342" i="158"/>
  <c r="Y342" i="158" s="1"/>
  <c r="Z342" i="158" s="1"/>
  <c r="S341" i="158"/>
  <c r="Y341" i="158" s="1"/>
  <c r="Z341" i="158" s="1"/>
  <c r="S340" i="158"/>
  <c r="Y340" i="158" s="1"/>
  <c r="Z340" i="158" s="1"/>
  <c r="S339" i="158"/>
  <c r="Y339" i="158" s="1"/>
  <c r="Z339" i="158" s="1"/>
  <c r="S338" i="158"/>
  <c r="Y338" i="158" s="1"/>
  <c r="Z338" i="158" s="1"/>
  <c r="S337" i="158"/>
  <c r="Y337" i="158" s="1"/>
  <c r="Z337" i="158" s="1"/>
  <c r="S336" i="158"/>
  <c r="Y336" i="158" s="1"/>
  <c r="Z336" i="158" s="1"/>
  <c r="S335" i="158"/>
  <c r="Y335" i="158" s="1"/>
  <c r="Z335" i="158" s="1"/>
  <c r="M334" i="158"/>
  <c r="S334" i="158" s="1"/>
  <c r="S333" i="158"/>
  <c r="Y333" i="158" s="1"/>
  <c r="Z333" i="158" s="1"/>
  <c r="S332" i="158"/>
  <c r="Y332" i="158" s="1"/>
  <c r="Z332" i="158" s="1"/>
  <c r="S331" i="158"/>
  <c r="Y331" i="158" s="1"/>
  <c r="Z331" i="158" s="1"/>
  <c r="S330" i="158"/>
  <c r="Y330" i="158" s="1"/>
  <c r="Z330" i="158" s="1"/>
  <c r="M329" i="158"/>
  <c r="S329" i="158" s="1"/>
  <c r="Y329" i="158" s="1"/>
  <c r="Z329" i="158" s="1"/>
  <c r="S328" i="158"/>
  <c r="Y328" i="158" s="1"/>
  <c r="Z328" i="158" s="1"/>
  <c r="S327" i="158"/>
  <c r="Y327" i="158" s="1"/>
  <c r="Z327" i="158" s="1"/>
  <c r="S326" i="158"/>
  <c r="Y326" i="158" s="1"/>
  <c r="Z326" i="158" s="1"/>
  <c r="S325" i="158"/>
  <c r="Y325" i="158" s="1"/>
  <c r="Z325" i="158" s="1"/>
  <c r="S324" i="158"/>
  <c r="Y324" i="158" s="1"/>
  <c r="Z324" i="158" s="1"/>
  <c r="S323" i="158"/>
  <c r="Y323" i="158" s="1"/>
  <c r="Z323" i="158" s="1"/>
  <c r="S322" i="158"/>
  <c r="Y322" i="158" s="1"/>
  <c r="Z322" i="158" s="1"/>
  <c r="S321" i="158"/>
  <c r="Y321" i="158" s="1"/>
  <c r="Z321" i="158" s="1"/>
  <c r="S320" i="158"/>
  <c r="Y320" i="158" s="1"/>
  <c r="Z320" i="158" s="1"/>
  <c r="S319" i="158"/>
  <c r="Y319" i="158" s="1"/>
  <c r="Z319" i="158" s="1"/>
  <c r="S318" i="158"/>
  <c r="Y318" i="158" s="1"/>
  <c r="Z318" i="158" s="1"/>
  <c r="S317" i="158"/>
  <c r="Y317" i="158" s="1"/>
  <c r="Z317" i="158" s="1"/>
  <c r="S316" i="158"/>
  <c r="Y316" i="158" s="1"/>
  <c r="Z316" i="158" s="1"/>
  <c r="S315" i="158"/>
  <c r="Y315" i="158" s="1"/>
  <c r="Z315" i="158" s="1"/>
  <c r="S314" i="158"/>
  <c r="Y314" i="158" s="1"/>
  <c r="Z314" i="158" s="1"/>
  <c r="S313" i="158"/>
  <c r="Y313" i="158" s="1"/>
  <c r="Z313" i="158" s="1"/>
  <c r="S312" i="158"/>
  <c r="Y312" i="158" s="1"/>
  <c r="Z312" i="158" s="1"/>
  <c r="S311" i="158"/>
  <c r="Y311" i="158" s="1"/>
  <c r="Z311" i="158" s="1"/>
  <c r="S310" i="158"/>
  <c r="Y310" i="158" s="1"/>
  <c r="Z310" i="158" s="1"/>
  <c r="S309" i="158"/>
  <c r="Y309" i="158" s="1"/>
  <c r="Z309" i="158" s="1"/>
  <c r="S308" i="158"/>
  <c r="Y308" i="158" s="1"/>
  <c r="Z308" i="158" s="1"/>
  <c r="S307" i="158"/>
  <c r="Y307" i="158" s="1"/>
  <c r="Z307" i="158" s="1"/>
  <c r="S306" i="158"/>
  <c r="Y306" i="158" s="1"/>
  <c r="Z306" i="158" s="1"/>
  <c r="S305" i="158"/>
  <c r="Y305" i="158" s="1"/>
  <c r="Z305" i="158" s="1"/>
  <c r="S304" i="158"/>
  <c r="Y304" i="158" s="1"/>
  <c r="Z304" i="158" s="1"/>
  <c r="S303" i="158"/>
  <c r="Y303" i="158" s="1"/>
  <c r="Z303" i="158" s="1"/>
  <c r="S302" i="158"/>
  <c r="Y302" i="158" s="1"/>
  <c r="Z302" i="158" s="1"/>
  <c r="S301" i="158"/>
  <c r="Y301" i="158" s="1"/>
  <c r="Z301" i="158" s="1"/>
  <c r="S300" i="158"/>
  <c r="Y300" i="158" s="1"/>
  <c r="Z300" i="158" s="1"/>
  <c r="S299" i="158"/>
  <c r="Y299" i="158" s="1"/>
  <c r="Z299" i="158" s="1"/>
  <c r="S298" i="158"/>
  <c r="Y298" i="158" s="1"/>
  <c r="Z298" i="158" s="1"/>
  <c r="S297" i="158"/>
  <c r="Y297" i="158" s="1"/>
  <c r="Z297" i="158" s="1"/>
  <c r="S296" i="158"/>
  <c r="Y296" i="158" s="1"/>
  <c r="Z296" i="158" s="1"/>
  <c r="S295" i="158"/>
  <c r="Y295" i="158" s="1"/>
  <c r="Z295" i="158" s="1"/>
  <c r="S294" i="158"/>
  <c r="Y294" i="158" s="1"/>
  <c r="Z294" i="158" s="1"/>
  <c r="S293" i="158"/>
  <c r="Y293" i="158" s="1"/>
  <c r="Z293" i="158" s="1"/>
  <c r="S292" i="158"/>
  <c r="S291" i="158"/>
  <c r="S290" i="158"/>
  <c r="S289" i="158"/>
  <c r="S288" i="158"/>
  <c r="S287" i="158"/>
  <c r="S286" i="158"/>
  <c r="S285" i="158"/>
  <c r="S284" i="158"/>
  <c r="S283" i="158"/>
  <c r="S282" i="158"/>
  <c r="S281" i="158"/>
  <c r="S280" i="158"/>
  <c r="Y280" i="158" s="1"/>
  <c r="Z280" i="158" s="1"/>
  <c r="S279" i="158"/>
  <c r="Y279" i="158" s="1"/>
  <c r="Z279" i="158" s="1"/>
  <c r="S278" i="158"/>
  <c r="Y278" i="158" s="1"/>
  <c r="Z278" i="158" s="1"/>
  <c r="S277" i="158"/>
  <c r="Y277" i="158" s="1"/>
  <c r="Z277" i="158" s="1"/>
  <c r="S276" i="158"/>
  <c r="Y276" i="158" s="1"/>
  <c r="Z276" i="158" s="1"/>
  <c r="S275" i="158"/>
  <c r="Y275" i="158" s="1"/>
  <c r="Z275" i="158" s="1"/>
  <c r="S274" i="158"/>
  <c r="Y274" i="158" s="1"/>
  <c r="Z274" i="158" s="1"/>
  <c r="S273" i="158"/>
  <c r="Y273" i="158" s="1"/>
  <c r="Z273" i="158" s="1"/>
  <c r="S272" i="158"/>
  <c r="Y272" i="158" s="1"/>
  <c r="Z272" i="158" s="1"/>
  <c r="S271" i="158"/>
  <c r="Y271" i="158" s="1"/>
  <c r="Z271" i="158" s="1"/>
  <c r="S270" i="158"/>
  <c r="Y270" i="158" s="1"/>
  <c r="Z270" i="158" s="1"/>
  <c r="S269" i="158"/>
  <c r="Y269" i="158" s="1"/>
  <c r="Z269" i="158" s="1"/>
  <c r="S268" i="158"/>
  <c r="Y268" i="158" s="1"/>
  <c r="Z268" i="158" s="1"/>
  <c r="S267" i="158"/>
  <c r="Y267" i="158" s="1"/>
  <c r="Z267" i="158" s="1"/>
  <c r="S266" i="158"/>
  <c r="Y266" i="158" s="1"/>
  <c r="Z266" i="158" s="1"/>
  <c r="S265" i="158"/>
  <c r="Y265" i="158" s="1"/>
  <c r="Z265" i="158" s="1"/>
  <c r="S264" i="158"/>
  <c r="Y264" i="158" s="1"/>
  <c r="Z264" i="158" s="1"/>
  <c r="S263" i="158"/>
  <c r="Y263" i="158" s="1"/>
  <c r="Z263" i="158" s="1"/>
  <c r="S262" i="158"/>
  <c r="Y262" i="158" s="1"/>
  <c r="Z262" i="158" s="1"/>
  <c r="S261" i="158"/>
  <c r="Y261" i="158" s="1"/>
  <c r="Z261" i="158" s="1"/>
  <c r="S260" i="158"/>
  <c r="Y260" i="158" s="1"/>
  <c r="Z260" i="158" s="1"/>
  <c r="S259" i="158"/>
  <c r="Y259" i="158" s="1"/>
  <c r="Z259" i="158" s="1"/>
  <c r="S258" i="158"/>
  <c r="Y258" i="158" s="1"/>
  <c r="Z258" i="158" s="1"/>
  <c r="S257" i="158"/>
  <c r="Y257" i="158" s="1"/>
  <c r="Z257" i="158" s="1"/>
  <c r="S256" i="158"/>
  <c r="Y256" i="158" s="1"/>
  <c r="Z256" i="158" s="1"/>
  <c r="S255" i="158"/>
  <c r="Y255" i="158" s="1"/>
  <c r="Z255" i="158" s="1"/>
  <c r="S254" i="158"/>
  <c r="Y254" i="158" s="1"/>
  <c r="Z254" i="158" s="1"/>
  <c r="S253" i="158"/>
  <c r="Y253" i="158" s="1"/>
  <c r="Z253" i="158" s="1"/>
  <c r="S252" i="158"/>
  <c r="Y252" i="158" s="1"/>
  <c r="Z252" i="158" s="1"/>
  <c r="S251" i="158"/>
  <c r="Y251" i="158" s="1"/>
  <c r="Z251" i="158" s="1"/>
  <c r="S250" i="158"/>
  <c r="Y250" i="158" s="1"/>
  <c r="Z250" i="158" s="1"/>
  <c r="S249" i="158"/>
  <c r="Y249" i="158" s="1"/>
  <c r="Z249" i="158" s="1"/>
  <c r="S248" i="158"/>
  <c r="Y248" i="158" s="1"/>
  <c r="Z248" i="158" s="1"/>
  <c r="S247" i="158"/>
  <c r="Y247" i="158" s="1"/>
  <c r="Z247" i="158" s="1"/>
  <c r="S246" i="158"/>
  <c r="Y246" i="158" s="1"/>
  <c r="Z246" i="158" s="1"/>
  <c r="S245" i="158"/>
  <c r="Y245" i="158" s="1"/>
  <c r="Z245" i="158" s="1"/>
  <c r="S244" i="158"/>
  <c r="Y244" i="158" s="1"/>
  <c r="Z244" i="158" s="1"/>
  <c r="S243" i="158"/>
  <c r="Y243" i="158" s="1"/>
  <c r="Z243" i="158" s="1"/>
  <c r="S242" i="158"/>
  <c r="Y242" i="158" s="1"/>
  <c r="Z242" i="158" s="1"/>
  <c r="S241" i="158"/>
  <c r="Y241" i="158" s="1"/>
  <c r="Z241" i="158" s="1"/>
  <c r="S240" i="158"/>
  <c r="Y240" i="158" s="1"/>
  <c r="Z240" i="158" s="1"/>
  <c r="S239" i="158"/>
  <c r="Y239" i="158" s="1"/>
  <c r="Z239" i="158" s="1"/>
  <c r="S238" i="158"/>
  <c r="Y238" i="158" s="1"/>
  <c r="Z238" i="158" s="1"/>
  <c r="S237" i="158"/>
  <c r="Y237" i="158" s="1"/>
  <c r="Z237" i="158" s="1"/>
  <c r="S236" i="158"/>
  <c r="Y236" i="158" s="1"/>
  <c r="Z236" i="158" s="1"/>
  <c r="S235" i="158"/>
  <c r="Y235" i="158" s="1"/>
  <c r="Z235" i="158" s="1"/>
  <c r="S234" i="158"/>
  <c r="Y234" i="158" s="1"/>
  <c r="Z234" i="158" s="1"/>
  <c r="S233" i="158"/>
  <c r="Y233" i="158" s="1"/>
  <c r="Z233" i="158" s="1"/>
  <c r="S232" i="158"/>
  <c r="Y232" i="158" s="1"/>
  <c r="Z232" i="158" s="1"/>
  <c r="S231" i="158"/>
  <c r="Y231" i="158" s="1"/>
  <c r="Z231" i="158" s="1"/>
  <c r="S230" i="158"/>
  <c r="Y230" i="158" s="1"/>
  <c r="Z230" i="158" s="1"/>
  <c r="S229" i="158"/>
  <c r="Y229" i="158" s="1"/>
  <c r="Z229" i="158" s="1"/>
  <c r="S228" i="158"/>
  <c r="Y228" i="158" s="1"/>
  <c r="Z228" i="158" s="1"/>
  <c r="S227" i="158"/>
  <c r="Y227" i="158" s="1"/>
  <c r="Z227" i="158" s="1"/>
  <c r="S226" i="158"/>
  <c r="Y226" i="158" s="1"/>
  <c r="Z226" i="158" s="1"/>
  <c r="S225" i="158"/>
  <c r="Y225" i="158" s="1"/>
  <c r="Z225" i="158" s="1"/>
  <c r="S224" i="158"/>
  <c r="Y224" i="158" s="1"/>
  <c r="Z224" i="158" s="1"/>
  <c r="S223" i="158"/>
  <c r="Y223" i="158" s="1"/>
  <c r="Z223" i="158" s="1"/>
  <c r="S222" i="158"/>
  <c r="Y222" i="158" s="1"/>
  <c r="Z222" i="158" s="1"/>
  <c r="S221" i="158"/>
  <c r="Y221" i="158" s="1"/>
  <c r="Z221" i="158" s="1"/>
  <c r="S220" i="158"/>
  <c r="Y220" i="158" s="1"/>
  <c r="Z220" i="158" s="1"/>
  <c r="S219" i="158"/>
  <c r="Y219" i="158" s="1"/>
  <c r="Z219" i="158" s="1"/>
  <c r="S218" i="158"/>
  <c r="Y218" i="158" s="1"/>
  <c r="Z218" i="158" s="1"/>
  <c r="S217" i="158"/>
  <c r="Y217" i="158" s="1"/>
  <c r="Z217" i="158" s="1"/>
  <c r="S216" i="158"/>
  <c r="Y216" i="158" s="1"/>
  <c r="Z216" i="158" s="1"/>
  <c r="S215" i="158"/>
  <c r="Y215" i="158" s="1"/>
  <c r="Z215" i="158" s="1"/>
  <c r="S214" i="158"/>
  <c r="Y214" i="158" s="1"/>
  <c r="Z214" i="158" s="1"/>
  <c r="S213" i="158"/>
  <c r="Y213" i="158" s="1"/>
  <c r="Z213" i="158" s="1"/>
  <c r="S212" i="158"/>
  <c r="Y212" i="158" s="1"/>
  <c r="Z212" i="158" s="1"/>
  <c r="S211" i="158"/>
  <c r="Y211" i="158" s="1"/>
  <c r="Z211" i="158" s="1"/>
  <c r="S210" i="158"/>
  <c r="Y210" i="158" s="1"/>
  <c r="Z210" i="158" s="1"/>
  <c r="S209" i="158"/>
  <c r="Y209" i="158" s="1"/>
  <c r="Z209" i="158" s="1"/>
  <c r="S208" i="158"/>
  <c r="Y208" i="158" s="1"/>
  <c r="Z208" i="158" s="1"/>
  <c r="S207" i="158"/>
  <c r="Y207" i="158" s="1"/>
  <c r="Z207" i="158" s="1"/>
  <c r="S206" i="158"/>
  <c r="Y206" i="158" s="1"/>
  <c r="Z206" i="158" s="1"/>
  <c r="S205" i="158"/>
  <c r="Y205" i="158" s="1"/>
  <c r="Z205" i="158" s="1"/>
  <c r="S204" i="158"/>
  <c r="Y204" i="158" s="1"/>
  <c r="Z204" i="158" s="1"/>
  <c r="S203" i="158"/>
  <c r="Y203" i="158" s="1"/>
  <c r="Z203" i="158" s="1"/>
  <c r="S202" i="158"/>
  <c r="Y202" i="158" s="1"/>
  <c r="Z202" i="158" s="1"/>
  <c r="S201" i="158"/>
  <c r="Y201" i="158" s="1"/>
  <c r="Z201" i="158" s="1"/>
  <c r="S200" i="158"/>
  <c r="Y200" i="158" s="1"/>
  <c r="Z200" i="158" s="1"/>
  <c r="S199" i="158"/>
  <c r="Y199" i="158" s="1"/>
  <c r="Z199" i="158" s="1"/>
  <c r="S198" i="158"/>
  <c r="Y198" i="158" s="1"/>
  <c r="Z198" i="158" s="1"/>
  <c r="S197" i="158"/>
  <c r="Y197" i="158" s="1"/>
  <c r="Z197" i="158" s="1"/>
  <c r="S196" i="158"/>
  <c r="Y196" i="158" s="1"/>
  <c r="Z196" i="158" s="1"/>
  <c r="S195" i="158"/>
  <c r="Y195" i="158" s="1"/>
  <c r="Z195" i="158" s="1"/>
  <c r="S194" i="158"/>
  <c r="Y194" i="158" s="1"/>
  <c r="Z194" i="158" s="1"/>
  <c r="S193" i="158"/>
  <c r="Y193" i="158" s="1"/>
  <c r="Z193" i="158" s="1"/>
  <c r="N192" i="158"/>
  <c r="S192" i="158" s="1"/>
  <c r="Y192" i="158" s="1"/>
  <c r="Z192" i="158" s="1"/>
  <c r="S191" i="158"/>
  <c r="U191" i="158" s="1"/>
  <c r="S190" i="158"/>
  <c r="U190" i="158" s="1"/>
  <c r="S189" i="158"/>
  <c r="U189" i="158" s="1"/>
  <c r="S188" i="158"/>
  <c r="U188" i="158" s="1"/>
  <c r="S187" i="158"/>
  <c r="U187" i="158" s="1"/>
  <c r="S186" i="158"/>
  <c r="U186" i="158" s="1"/>
  <c r="S185" i="158"/>
  <c r="U185" i="158" s="1"/>
  <c r="S184" i="158"/>
  <c r="U184" i="158" s="1"/>
  <c r="S183" i="158"/>
  <c r="U183" i="158" s="1"/>
  <c r="M182" i="158"/>
  <c r="S182" i="158" s="1"/>
  <c r="U182" i="158" s="1"/>
  <c r="S181" i="158"/>
  <c r="Y181" i="158" s="1"/>
  <c r="Z181" i="158" s="1"/>
  <c r="S180" i="158"/>
  <c r="Y180" i="158" s="1"/>
  <c r="Z180" i="158" s="1"/>
  <c r="S179" i="158"/>
  <c r="Y179" i="158" s="1"/>
  <c r="Z179" i="158" s="1"/>
  <c r="S178" i="158"/>
  <c r="Y178" i="158" s="1"/>
  <c r="Z178" i="158" s="1"/>
  <c r="S177" i="158"/>
  <c r="Y177" i="158" s="1"/>
  <c r="Z177" i="158" s="1"/>
  <c r="S176" i="158"/>
  <c r="Y176" i="158" s="1"/>
  <c r="Z176" i="158" s="1"/>
  <c r="S175" i="158"/>
  <c r="Y175" i="158" s="1"/>
  <c r="Z175" i="158" s="1"/>
  <c r="S174" i="158"/>
  <c r="Y174" i="158" s="1"/>
  <c r="Z174" i="158" s="1"/>
  <c r="S173" i="158"/>
  <c r="Y173" i="158" s="1"/>
  <c r="Z173" i="158" s="1"/>
  <c r="S172" i="158"/>
  <c r="Y172" i="158" s="1"/>
  <c r="Z172" i="158" s="1"/>
  <c r="S171" i="158"/>
  <c r="Y171" i="158" s="1"/>
  <c r="Z171" i="158" s="1"/>
  <c r="S170" i="158"/>
  <c r="Y170" i="158" s="1"/>
  <c r="Z170" i="158" s="1"/>
  <c r="S169" i="158"/>
  <c r="Y169" i="158" s="1"/>
  <c r="Z169" i="158" s="1"/>
  <c r="S168" i="158"/>
  <c r="Y168" i="158" s="1"/>
  <c r="Z168" i="158" s="1"/>
  <c r="S167" i="158"/>
  <c r="Y167" i="158" s="1"/>
  <c r="Z167" i="158" s="1"/>
  <c r="S166" i="158"/>
  <c r="Y166" i="158" s="1"/>
  <c r="Z166" i="158" s="1"/>
  <c r="S165" i="158"/>
  <c r="Y165" i="158" s="1"/>
  <c r="Z165" i="158" s="1"/>
  <c r="S164" i="158"/>
  <c r="Y164" i="158" s="1"/>
  <c r="Z164" i="158" s="1"/>
  <c r="S163" i="158"/>
  <c r="Y163" i="158" s="1"/>
  <c r="Z163" i="158" s="1"/>
  <c r="S162" i="158"/>
  <c r="Y162" i="158" s="1"/>
  <c r="Z162" i="158" s="1"/>
  <c r="S161" i="158"/>
  <c r="Y161" i="158" s="1"/>
  <c r="Z161" i="158" s="1"/>
  <c r="S160" i="158"/>
  <c r="Y160" i="158" s="1"/>
  <c r="Z160" i="158" s="1"/>
  <c r="S159" i="158"/>
  <c r="Y159" i="158" s="1"/>
  <c r="Z159" i="158" s="1"/>
  <c r="S158" i="158"/>
  <c r="N157" i="158"/>
  <c r="S156" i="158"/>
  <c r="U156" i="158" s="1"/>
  <c r="S155" i="158"/>
  <c r="U155" i="158" s="1"/>
  <c r="S154" i="158"/>
  <c r="U154" i="158" s="1"/>
  <c r="S153" i="158"/>
  <c r="U153" i="158" s="1"/>
  <c r="S152" i="158"/>
  <c r="U152" i="158" s="1"/>
  <c r="S151" i="158"/>
  <c r="U151" i="158" s="1"/>
  <c r="S150" i="158"/>
  <c r="U150" i="158" s="1"/>
  <c r="S149" i="158"/>
  <c r="U149" i="158" s="1"/>
  <c r="S148" i="158"/>
  <c r="U148" i="158" s="1"/>
  <c r="S147" i="158"/>
  <c r="U147" i="158" s="1"/>
  <c r="S146" i="158"/>
  <c r="U146" i="158" s="1"/>
  <c r="S145" i="158"/>
  <c r="U145" i="158" s="1"/>
  <c r="S144" i="158"/>
  <c r="U144" i="158" s="1"/>
  <c r="S143" i="158"/>
  <c r="U143" i="158" s="1"/>
  <c r="S142" i="158"/>
  <c r="U142" i="158" s="1"/>
  <c r="S141" i="158"/>
  <c r="U141" i="158" s="1"/>
  <c r="M140" i="158"/>
  <c r="S140" i="158" s="1"/>
  <c r="U140" i="158" s="1"/>
  <c r="S139" i="158"/>
  <c r="Y139" i="158" s="1"/>
  <c r="Z139" i="158" s="1"/>
  <c r="S138" i="158"/>
  <c r="Y138" i="158" s="1"/>
  <c r="Z138" i="158" s="1"/>
  <c r="S137" i="158"/>
  <c r="Y137" i="158" s="1"/>
  <c r="Z137" i="158" s="1"/>
  <c r="M136" i="158"/>
  <c r="S136" i="158" s="1"/>
  <c r="Y136" i="158" s="1"/>
  <c r="Z136" i="158" s="1"/>
  <c r="S135" i="158"/>
  <c r="U135" i="158" s="1"/>
  <c r="S134" i="158"/>
  <c r="U134" i="158" s="1"/>
  <c r="S133" i="158"/>
  <c r="U133" i="158" s="1"/>
  <c r="P132" i="158"/>
  <c r="M131" i="158"/>
  <c r="K131" i="158"/>
  <c r="S130" i="158"/>
  <c r="S129" i="158"/>
  <c r="S128" i="158"/>
  <c r="S127" i="158"/>
  <c r="S126" i="158"/>
  <c r="S125" i="158"/>
  <c r="S124" i="158"/>
  <c r="S123" i="158"/>
  <c r="S122" i="158"/>
  <c r="S121" i="158"/>
  <c r="S120" i="158"/>
  <c r="S119" i="158"/>
  <c r="S118" i="158"/>
  <c r="S117" i="158"/>
  <c r="S116" i="158"/>
  <c r="S115" i="158"/>
  <c r="S114" i="158"/>
  <c r="S113" i="158"/>
  <c r="S112" i="158"/>
  <c r="S111" i="158"/>
  <c r="S110" i="158"/>
  <c r="S109" i="158"/>
  <c r="S108" i="158"/>
  <c r="S107" i="158"/>
  <c r="S106" i="158"/>
  <c r="S105" i="158"/>
  <c r="S104" i="158"/>
  <c r="S103" i="158"/>
  <c r="S102" i="158"/>
  <c r="S101" i="158"/>
  <c r="S100" i="158"/>
  <c r="S99" i="158"/>
  <c r="S98" i="158"/>
  <c r="S97" i="158"/>
  <c r="S96" i="158"/>
  <c r="S95" i="158"/>
  <c r="S94" i="158"/>
  <c r="S93" i="158"/>
  <c r="S92" i="158"/>
  <c r="S91" i="158"/>
  <c r="S90" i="158"/>
  <c r="S89" i="158"/>
  <c r="S88" i="158"/>
  <c r="S87" i="158"/>
  <c r="S86" i="158"/>
  <c r="S85" i="158"/>
  <c r="S84" i="158"/>
  <c r="S83" i="158"/>
  <c r="S82" i="158"/>
  <c r="S81" i="158"/>
  <c r="S80" i="158"/>
  <c r="S78" i="158"/>
  <c r="S77" i="158"/>
  <c r="S76" i="158"/>
  <c r="S75" i="158"/>
  <c r="Y75" i="158" s="1"/>
  <c r="Z75" i="158" s="1"/>
  <c r="S74" i="158"/>
  <c r="Y74" i="158" s="1"/>
  <c r="Z74" i="158" s="1"/>
  <c r="S73" i="158"/>
  <c r="Y73" i="158" s="1"/>
  <c r="Z73" i="158" s="1"/>
  <c r="S72" i="158"/>
  <c r="Y72" i="158" s="1"/>
  <c r="Z72" i="158" s="1"/>
  <c r="S71" i="158"/>
  <c r="Y71" i="158" s="1"/>
  <c r="Z71" i="158" s="1"/>
  <c r="S70" i="158"/>
  <c r="Y70" i="158" s="1"/>
  <c r="Z70" i="158" s="1"/>
  <c r="S69" i="158"/>
  <c r="Y69" i="158" s="1"/>
  <c r="Z69" i="158" s="1"/>
  <c r="S68" i="158"/>
  <c r="Y68" i="158" s="1"/>
  <c r="Z68" i="158" s="1"/>
  <c r="S67" i="158"/>
  <c r="Y67" i="158" s="1"/>
  <c r="Z67" i="158" s="1"/>
  <c r="S66" i="158"/>
  <c r="Y66" i="158" s="1"/>
  <c r="Z66" i="158" s="1"/>
  <c r="S65" i="158"/>
  <c r="Y65" i="158" s="1"/>
  <c r="Z65" i="158" s="1"/>
  <c r="S64" i="158"/>
  <c r="Y64" i="158" s="1"/>
  <c r="Z64" i="158" s="1"/>
  <c r="S63" i="158"/>
  <c r="Y63" i="158" s="1"/>
  <c r="Z63" i="158" s="1"/>
  <c r="S62" i="158"/>
  <c r="Y62" i="158" s="1"/>
  <c r="Z62" i="158" s="1"/>
  <c r="S61" i="158"/>
  <c r="Y61" i="158" s="1"/>
  <c r="Z61" i="158" s="1"/>
  <c r="S60" i="158"/>
  <c r="Y60" i="158" s="1"/>
  <c r="Z60" i="158" s="1"/>
  <c r="S59" i="158"/>
  <c r="Y59" i="158" s="1"/>
  <c r="Z59" i="158" s="1"/>
  <c r="S58" i="158"/>
  <c r="Y58" i="158" s="1"/>
  <c r="Z58" i="158" s="1"/>
  <c r="S57" i="158"/>
  <c r="Y57" i="158" s="1"/>
  <c r="Z57" i="158" s="1"/>
  <c r="S56" i="158"/>
  <c r="Y56" i="158" s="1"/>
  <c r="Z56" i="158" s="1"/>
  <c r="S55" i="158"/>
  <c r="Y55" i="158" s="1"/>
  <c r="Z55" i="158" s="1"/>
  <c r="S54" i="158"/>
  <c r="Y54" i="158" s="1"/>
  <c r="Z54" i="158" s="1"/>
  <c r="S53" i="158"/>
  <c r="Y53" i="158" s="1"/>
  <c r="Z53" i="158" s="1"/>
  <c r="S52" i="158"/>
  <c r="Y52" i="158" s="1"/>
  <c r="Z52" i="158" s="1"/>
  <c r="S51" i="158"/>
  <c r="Y51" i="158" s="1"/>
  <c r="Z51" i="158" s="1"/>
  <c r="S50" i="158"/>
  <c r="Y50" i="158" s="1"/>
  <c r="Z50" i="158" s="1"/>
  <c r="S49" i="158"/>
  <c r="Y49" i="158" s="1"/>
  <c r="Z49" i="158" s="1"/>
  <c r="S48" i="158"/>
  <c r="Y48" i="158" s="1"/>
  <c r="Z48" i="158" s="1"/>
  <c r="S47" i="158"/>
  <c r="Y47" i="158" s="1"/>
  <c r="Z47" i="158" s="1"/>
  <c r="S46" i="158"/>
  <c r="Y46" i="158" s="1"/>
  <c r="Z46" i="158" s="1"/>
  <c r="S45" i="158"/>
  <c r="Y45" i="158" s="1"/>
  <c r="Z45" i="158" s="1"/>
  <c r="S44" i="158"/>
  <c r="Y44" i="158" s="1"/>
  <c r="Z44" i="158" s="1"/>
  <c r="S43" i="158"/>
  <c r="U43" i="158" s="1"/>
  <c r="S42" i="158"/>
  <c r="U42" i="158" s="1"/>
  <c r="S41" i="158"/>
  <c r="U41" i="158" s="1"/>
  <c r="S40" i="158"/>
  <c r="U40" i="158" s="1"/>
  <c r="S39" i="158"/>
  <c r="U39" i="158" s="1"/>
  <c r="S38" i="158"/>
  <c r="U38" i="158" s="1"/>
  <c r="S37" i="158"/>
  <c r="U37" i="158" s="1"/>
  <c r="S36" i="158"/>
  <c r="U36" i="158" s="1"/>
  <c r="S35" i="158"/>
  <c r="U35" i="158" s="1"/>
  <c r="S34" i="158"/>
  <c r="U34" i="158" s="1"/>
  <c r="S33" i="158"/>
  <c r="U33" i="158" s="1"/>
  <c r="S32" i="158"/>
  <c r="U32" i="158" s="1"/>
  <c r="S31" i="158"/>
  <c r="U31" i="158" s="1"/>
  <c r="S30" i="158"/>
  <c r="U30" i="158" s="1"/>
  <c r="S29" i="158"/>
  <c r="U29" i="158" s="1"/>
  <c r="S28" i="158"/>
  <c r="U28" i="158" s="1"/>
  <c r="S27" i="158"/>
  <c r="U27" i="158" s="1"/>
  <c r="S26" i="158"/>
  <c r="U26" i="158" s="1"/>
  <c r="S25" i="158"/>
  <c r="U25" i="158" s="1"/>
  <c r="S24" i="158"/>
  <c r="Y24" i="158" s="1"/>
  <c r="Z24" i="158" s="1"/>
  <c r="S23" i="158"/>
  <c r="Y23" i="158" s="1"/>
  <c r="Z23" i="158" s="1"/>
  <c r="S22" i="158"/>
  <c r="Y22" i="158" s="1"/>
  <c r="Z22" i="158" s="1"/>
  <c r="S21" i="158"/>
  <c r="Y21" i="158" s="1"/>
  <c r="Z21" i="158" s="1"/>
  <c r="S20" i="158"/>
  <c r="Y20" i="158" s="1"/>
  <c r="Z20" i="158" s="1"/>
  <c r="S19" i="158"/>
  <c r="Y19" i="158" s="1"/>
  <c r="Z19" i="158" s="1"/>
  <c r="S18" i="158"/>
  <c r="Y18" i="158" s="1"/>
  <c r="Z18" i="158" s="1"/>
  <c r="S17" i="158"/>
  <c r="Y17" i="158" s="1"/>
  <c r="Z17" i="158" s="1"/>
  <c r="S16" i="158"/>
  <c r="Y16" i="158" s="1"/>
  <c r="Z16" i="158" s="1"/>
  <c r="S15" i="158"/>
  <c r="Y15" i="158" s="1"/>
  <c r="Z15" i="158" s="1"/>
  <c r="S14" i="158"/>
  <c r="Y14" i="158" s="1"/>
  <c r="Z14" i="158" s="1"/>
  <c r="S13" i="158"/>
  <c r="Y13" i="158" s="1"/>
  <c r="Z13" i="158" s="1"/>
  <c r="S12" i="158"/>
  <c r="Y12" i="158" s="1"/>
  <c r="Z12" i="158" s="1"/>
  <c r="S11" i="158"/>
  <c r="Y11" i="158" s="1"/>
  <c r="Z11" i="158" s="1"/>
  <c r="S10" i="158"/>
  <c r="Y10" i="158" s="1"/>
  <c r="Z10" i="158" s="1"/>
  <c r="S9" i="158"/>
  <c r="Y9" i="158" s="1"/>
  <c r="Z9" i="158" s="1"/>
  <c r="S8" i="158"/>
  <c r="Y8" i="158" s="1"/>
  <c r="Z8" i="158" s="1"/>
  <c r="S6" i="158"/>
  <c r="Y6" i="158" s="1"/>
  <c r="Z6" i="158" s="1"/>
  <c r="S5" i="158"/>
  <c r="Y5" i="158" s="1"/>
  <c r="Z5" i="158" s="1"/>
  <c r="S4" i="158"/>
  <c r="Y4" i="158" s="1"/>
  <c r="Z4" i="158" s="1"/>
  <c r="S3" i="158"/>
  <c r="U3" i="158" s="1"/>
  <c r="R535" i="124"/>
  <c r="M535" i="124"/>
  <c r="F535" i="124"/>
  <c r="R534" i="124"/>
  <c r="M534" i="124"/>
  <c r="F534" i="124"/>
  <c r="T533" i="124"/>
  <c r="Q533" i="124"/>
  <c r="W533" i="124" s="1"/>
  <c r="X533" i="124" s="1"/>
  <c r="T532" i="124"/>
  <c r="Q532" i="124"/>
  <c r="W532" i="124" s="1"/>
  <c r="X532" i="124" s="1"/>
  <c r="T531" i="124"/>
  <c r="Q531" i="124"/>
  <c r="W531" i="124" s="1"/>
  <c r="X531" i="124" s="1"/>
  <c r="T530" i="124"/>
  <c r="Q530" i="124"/>
  <c r="W530" i="124" s="1"/>
  <c r="X530" i="124" s="1"/>
  <c r="T529" i="124"/>
  <c r="Q529" i="124"/>
  <c r="W529" i="124" s="1"/>
  <c r="X529" i="124" s="1"/>
  <c r="T528" i="124"/>
  <c r="Q528" i="124"/>
  <c r="W528" i="124" s="1"/>
  <c r="X528" i="124" s="1"/>
  <c r="T527" i="124"/>
  <c r="Q527" i="124"/>
  <c r="W527" i="124" s="1"/>
  <c r="X527" i="124" s="1"/>
  <c r="T526" i="124"/>
  <c r="Q526" i="124"/>
  <c r="W526" i="124" s="1"/>
  <c r="X526" i="124" s="1"/>
  <c r="T525" i="124"/>
  <c r="Q525" i="124"/>
  <c r="W525" i="124" s="1"/>
  <c r="X525" i="124" s="1"/>
  <c r="T524" i="124"/>
  <c r="Q524" i="124"/>
  <c r="W524" i="124" s="1"/>
  <c r="X524" i="124" s="1"/>
  <c r="T523" i="124"/>
  <c r="Q523" i="124"/>
  <c r="W523" i="124" s="1"/>
  <c r="X523" i="124" s="1"/>
  <c r="T522" i="124"/>
  <c r="Q522" i="124"/>
  <c r="W522" i="124" s="1"/>
  <c r="X522" i="124" s="1"/>
  <c r="T521" i="124"/>
  <c r="Q521" i="124"/>
  <c r="W521" i="124" s="1"/>
  <c r="X521" i="124" s="1"/>
  <c r="T520" i="124"/>
  <c r="Q520" i="124"/>
  <c r="W520" i="124" s="1"/>
  <c r="X520" i="124" s="1"/>
  <c r="T519" i="124"/>
  <c r="Q519" i="124"/>
  <c r="W519" i="124" s="1"/>
  <c r="X519" i="124" s="1"/>
  <c r="T518" i="124"/>
  <c r="Q518" i="124"/>
  <c r="W518" i="124" s="1"/>
  <c r="X518" i="124" s="1"/>
  <c r="T517" i="124"/>
  <c r="Q517" i="124"/>
  <c r="W517" i="124" s="1"/>
  <c r="X517" i="124" s="1"/>
  <c r="T516" i="124"/>
  <c r="Q516" i="124"/>
  <c r="W516" i="124" s="1"/>
  <c r="X516" i="124" s="1"/>
  <c r="T515" i="124"/>
  <c r="Q515" i="124"/>
  <c r="W515" i="124" s="1"/>
  <c r="X515" i="124" s="1"/>
  <c r="T514" i="124"/>
  <c r="Q514" i="124"/>
  <c r="W514" i="124" s="1"/>
  <c r="X514" i="124" s="1"/>
  <c r="T513" i="124"/>
  <c r="Q513" i="124"/>
  <c r="W513" i="124" s="1"/>
  <c r="X513" i="124" s="1"/>
  <c r="T512" i="124"/>
  <c r="Q512" i="124"/>
  <c r="W512" i="124" s="1"/>
  <c r="X512" i="124" s="1"/>
  <c r="T511" i="124"/>
  <c r="Q511" i="124"/>
  <c r="W511" i="124" s="1"/>
  <c r="X511" i="124" s="1"/>
  <c r="T510" i="124"/>
  <c r="Q510" i="124"/>
  <c r="W510" i="124" s="1"/>
  <c r="X510" i="124" s="1"/>
  <c r="T509" i="124"/>
  <c r="Q509" i="124"/>
  <c r="W509" i="124" s="1"/>
  <c r="X509" i="124" s="1"/>
  <c r="T508" i="124"/>
  <c r="Q508" i="124"/>
  <c r="W508" i="124" s="1"/>
  <c r="X508" i="124" s="1"/>
  <c r="T507" i="124"/>
  <c r="Q507" i="124"/>
  <c r="W507" i="124" s="1"/>
  <c r="X507" i="124" s="1"/>
  <c r="T506" i="124"/>
  <c r="Q506" i="124"/>
  <c r="W506" i="124" s="1"/>
  <c r="X506" i="124" s="1"/>
  <c r="T505" i="124"/>
  <c r="Q505" i="124"/>
  <c r="W505" i="124" s="1"/>
  <c r="X505" i="124" s="1"/>
  <c r="T504" i="124"/>
  <c r="Q504" i="124"/>
  <c r="W504" i="124" s="1"/>
  <c r="X504" i="124" s="1"/>
  <c r="T503" i="124"/>
  <c r="O503" i="124"/>
  <c r="I503" i="124"/>
  <c r="T502" i="124"/>
  <c r="O502" i="124"/>
  <c r="I502" i="124"/>
  <c r="T501" i="124"/>
  <c r="Q501" i="124"/>
  <c r="W501" i="124" s="1"/>
  <c r="X501" i="124" s="1"/>
  <c r="T500" i="124"/>
  <c r="Q500" i="124"/>
  <c r="W500" i="124" s="1"/>
  <c r="X500" i="124" s="1"/>
  <c r="T499" i="124"/>
  <c r="Q499" i="124"/>
  <c r="W499" i="124" s="1"/>
  <c r="X499" i="124" s="1"/>
  <c r="T498" i="124"/>
  <c r="Q498" i="124"/>
  <c r="W498" i="124" s="1"/>
  <c r="X498" i="124" s="1"/>
  <c r="T497" i="124"/>
  <c r="Q497" i="124"/>
  <c r="W497" i="124" s="1"/>
  <c r="X497" i="124" s="1"/>
  <c r="T496" i="124"/>
  <c r="Q496" i="124"/>
  <c r="W496" i="124" s="1"/>
  <c r="X496" i="124" s="1"/>
  <c r="T495" i="124"/>
  <c r="Q495" i="124"/>
  <c r="W495" i="124" s="1"/>
  <c r="X495" i="124" s="1"/>
  <c r="T494" i="124"/>
  <c r="Q494" i="124"/>
  <c r="W494" i="124" s="1"/>
  <c r="X494" i="124" s="1"/>
  <c r="T493" i="124"/>
  <c r="Q493" i="124"/>
  <c r="W493" i="124" s="1"/>
  <c r="X493" i="124" s="1"/>
  <c r="T492" i="124"/>
  <c r="Q492" i="124"/>
  <c r="W492" i="124" s="1"/>
  <c r="X492" i="124" s="1"/>
  <c r="T491" i="124"/>
  <c r="Q491" i="124"/>
  <c r="S491" i="124" s="1"/>
  <c r="T490" i="124"/>
  <c r="Q490" i="124"/>
  <c r="T489" i="124"/>
  <c r="Q489" i="124"/>
  <c r="T488" i="124"/>
  <c r="Q488" i="124"/>
  <c r="W488" i="124" s="1"/>
  <c r="X488" i="124" s="1"/>
  <c r="T487" i="124"/>
  <c r="L487" i="124"/>
  <c r="Q487" i="124" s="1"/>
  <c r="W487" i="124" s="1"/>
  <c r="X487" i="124" s="1"/>
  <c r="T486" i="124"/>
  <c r="Q486" i="124"/>
  <c r="U486" i="124" s="1"/>
  <c r="T485" i="124"/>
  <c r="Q485" i="124"/>
  <c r="U485" i="124" s="1"/>
  <c r="T484" i="124"/>
  <c r="Q484" i="124"/>
  <c r="U484" i="124" s="1"/>
  <c r="T483" i="124"/>
  <c r="Q483" i="124"/>
  <c r="U483" i="124" s="1"/>
  <c r="T482" i="124"/>
  <c r="L482" i="124"/>
  <c r="K482" i="124"/>
  <c r="T481" i="124"/>
  <c r="Q481" i="124"/>
  <c r="T480" i="124"/>
  <c r="J480" i="124"/>
  <c r="Q480" i="124" s="1"/>
  <c r="T479" i="124"/>
  <c r="L479" i="124"/>
  <c r="K479" i="124"/>
  <c r="J479" i="124"/>
  <c r="T478" i="124"/>
  <c r="Q478" i="124"/>
  <c r="W478" i="124" s="1"/>
  <c r="X478" i="124" s="1"/>
  <c r="T477" i="124"/>
  <c r="Q477" i="124"/>
  <c r="W477" i="124" s="1"/>
  <c r="X477" i="124" s="1"/>
  <c r="T476" i="124"/>
  <c r="Q476" i="124"/>
  <c r="W476" i="124" s="1"/>
  <c r="X476" i="124" s="1"/>
  <c r="T475" i="124"/>
  <c r="Q475" i="124"/>
  <c r="W475" i="124" s="1"/>
  <c r="X475" i="124" s="1"/>
  <c r="T474" i="124"/>
  <c r="Q474" i="124"/>
  <c r="W474" i="124" s="1"/>
  <c r="X474" i="124" s="1"/>
  <c r="T473" i="124"/>
  <c r="Q473" i="124"/>
  <c r="W473" i="124" s="1"/>
  <c r="X473" i="124" s="1"/>
  <c r="T472" i="124"/>
  <c r="Q472" i="124"/>
  <c r="W472" i="124" s="1"/>
  <c r="X472" i="124" s="1"/>
  <c r="T471" i="124"/>
  <c r="Q471" i="124"/>
  <c r="W471" i="124" s="1"/>
  <c r="X471" i="124" s="1"/>
  <c r="T470" i="124"/>
  <c r="Q470" i="124"/>
  <c r="W470" i="124" s="1"/>
  <c r="X470" i="124" s="1"/>
  <c r="T469" i="124"/>
  <c r="Q469" i="124"/>
  <c r="W469" i="124" s="1"/>
  <c r="X469" i="124" s="1"/>
  <c r="T468" i="124"/>
  <c r="Q468" i="124"/>
  <c r="W468" i="124" s="1"/>
  <c r="X468" i="124" s="1"/>
  <c r="T467" i="124"/>
  <c r="Q467" i="124"/>
  <c r="W467" i="124" s="1"/>
  <c r="X467" i="124" s="1"/>
  <c r="T466" i="124"/>
  <c r="Q466" i="124"/>
  <c r="W466" i="124" s="1"/>
  <c r="X466" i="124" s="1"/>
  <c r="T465" i="124"/>
  <c r="Q465" i="124"/>
  <c r="W465" i="124" s="1"/>
  <c r="X465" i="124" s="1"/>
  <c r="T464" i="124"/>
  <c r="Q464" i="124"/>
  <c r="W464" i="124" s="1"/>
  <c r="X464" i="124" s="1"/>
  <c r="T463" i="124"/>
  <c r="Q463" i="124"/>
  <c r="W463" i="124" s="1"/>
  <c r="X463" i="124" s="1"/>
  <c r="T462" i="124"/>
  <c r="Q462" i="124"/>
  <c r="W462" i="124" s="1"/>
  <c r="X462" i="124" s="1"/>
  <c r="T461" i="124"/>
  <c r="Q461" i="124"/>
  <c r="W461" i="124" s="1"/>
  <c r="X461" i="124" s="1"/>
  <c r="T460" i="124"/>
  <c r="Q460" i="124"/>
  <c r="W460" i="124" s="1"/>
  <c r="X460" i="124" s="1"/>
  <c r="T459" i="124"/>
  <c r="Q459" i="124"/>
  <c r="W459" i="124" s="1"/>
  <c r="X459" i="124" s="1"/>
  <c r="T458" i="124"/>
  <c r="Q458" i="124"/>
  <c r="W458" i="124" s="1"/>
  <c r="X458" i="124" s="1"/>
  <c r="T457" i="124"/>
  <c r="Q457" i="124"/>
  <c r="W457" i="124" s="1"/>
  <c r="X457" i="124" s="1"/>
  <c r="T456" i="124"/>
  <c r="O456" i="124"/>
  <c r="K456" i="124"/>
  <c r="T455" i="124"/>
  <c r="Q455" i="124"/>
  <c r="W455" i="124" s="1"/>
  <c r="X455" i="124" s="1"/>
  <c r="T454" i="124"/>
  <c r="O454" i="124"/>
  <c r="K454" i="124"/>
  <c r="T453" i="124"/>
  <c r="L453" i="124"/>
  <c r="I453" i="124"/>
  <c r="T452" i="124"/>
  <c r="Q452" i="124"/>
  <c r="W452" i="124" s="1"/>
  <c r="X452" i="124" s="1"/>
  <c r="T451" i="124"/>
  <c r="Q451" i="124"/>
  <c r="W451" i="124" s="1"/>
  <c r="X451" i="124" s="1"/>
  <c r="T450" i="124"/>
  <c r="O450" i="124"/>
  <c r="K450" i="124"/>
  <c r="T449" i="124"/>
  <c r="L449" i="124"/>
  <c r="I449" i="124"/>
  <c r="T448" i="124"/>
  <c r="O448" i="124"/>
  <c r="Q448" i="124" s="1"/>
  <c r="T447" i="124"/>
  <c r="Q447" i="124"/>
  <c r="W447" i="124" s="1"/>
  <c r="X447" i="124" s="1"/>
  <c r="T446" i="124"/>
  <c r="Q446" i="124"/>
  <c r="W446" i="124" s="1"/>
  <c r="X446" i="124" s="1"/>
  <c r="T445" i="124"/>
  <c r="K445" i="124"/>
  <c r="Q445" i="124" s="1"/>
  <c r="T444" i="124"/>
  <c r="Q444" i="124"/>
  <c r="W444" i="124" s="1"/>
  <c r="X444" i="124" s="1"/>
  <c r="T443" i="124"/>
  <c r="P443" i="124"/>
  <c r="O443" i="124"/>
  <c r="N443" i="124"/>
  <c r="L443" i="124"/>
  <c r="K443" i="124"/>
  <c r="I443" i="124"/>
  <c r="T442" i="124"/>
  <c r="I442" i="124"/>
  <c r="Q442" i="124" s="1"/>
  <c r="T441" i="124"/>
  <c r="Q441" i="124"/>
  <c r="W441" i="124" s="1"/>
  <c r="X441" i="124" s="1"/>
  <c r="T440" i="124"/>
  <c r="Q440" i="124"/>
  <c r="W440" i="124" s="1"/>
  <c r="X440" i="124" s="1"/>
  <c r="T439" i="124"/>
  <c r="N439" i="124"/>
  <c r="Q439" i="124" s="1"/>
  <c r="T438" i="124"/>
  <c r="N438" i="124"/>
  <c r="Q438" i="124" s="1"/>
  <c r="T437" i="124"/>
  <c r="N437" i="124"/>
  <c r="Q437" i="124" s="1"/>
  <c r="T436" i="124"/>
  <c r="Q436" i="124"/>
  <c r="W436" i="124" s="1"/>
  <c r="X436" i="124" s="1"/>
  <c r="T435" i="124"/>
  <c r="Q435" i="124"/>
  <c r="W435" i="124" s="1"/>
  <c r="X435" i="124" s="1"/>
  <c r="T434" i="124"/>
  <c r="L434" i="124"/>
  <c r="K434" i="124"/>
  <c r="T433" i="124"/>
  <c r="L433" i="124"/>
  <c r="K433" i="124"/>
  <c r="T432" i="124"/>
  <c r="L432" i="124"/>
  <c r="K432" i="124"/>
  <c r="J432" i="124"/>
  <c r="T431" i="124"/>
  <c r="Q431" i="124"/>
  <c r="W431" i="124" s="1"/>
  <c r="X431" i="124" s="1"/>
  <c r="T430" i="124"/>
  <c r="Q430" i="124"/>
  <c r="W430" i="124" s="1"/>
  <c r="X430" i="124" s="1"/>
  <c r="T429" i="124"/>
  <c r="Q429" i="124"/>
  <c r="W429" i="124" s="1"/>
  <c r="X429" i="124" s="1"/>
  <c r="T428" i="124"/>
  <c r="Q428" i="124"/>
  <c r="W428" i="124" s="1"/>
  <c r="X428" i="124" s="1"/>
  <c r="T427" i="124"/>
  <c r="Q427" i="124"/>
  <c r="T426" i="124"/>
  <c r="Q426" i="124"/>
  <c r="W426" i="124" s="1"/>
  <c r="X426" i="124" s="1"/>
  <c r="T425" i="124"/>
  <c r="Q425" i="124"/>
  <c r="W425" i="124" s="1"/>
  <c r="X425" i="124" s="1"/>
  <c r="T424" i="124"/>
  <c r="Q424" i="124"/>
  <c r="W424" i="124" s="1"/>
  <c r="X424" i="124" s="1"/>
  <c r="T423" i="124"/>
  <c r="N423" i="124"/>
  <c r="Q423" i="124" s="1"/>
  <c r="W423" i="124" s="1"/>
  <c r="X423" i="124" s="1"/>
  <c r="T422" i="124"/>
  <c r="N422" i="124"/>
  <c r="Q422" i="124" s="1"/>
  <c r="W422" i="124" s="1"/>
  <c r="X422" i="124" s="1"/>
  <c r="T421" i="124"/>
  <c r="Q421" i="124"/>
  <c r="W421" i="124" s="1"/>
  <c r="X421" i="124" s="1"/>
  <c r="T420" i="124"/>
  <c r="Q420" i="124"/>
  <c r="W420" i="124" s="1"/>
  <c r="X420" i="124" s="1"/>
  <c r="T419" i="124"/>
  <c r="Q419" i="124"/>
  <c r="W419" i="124" s="1"/>
  <c r="X419" i="124" s="1"/>
  <c r="T418" i="124"/>
  <c r="Q418" i="124"/>
  <c r="W418" i="124" s="1"/>
  <c r="X418" i="124" s="1"/>
  <c r="T417" i="124"/>
  <c r="Q417" i="124"/>
  <c r="W417" i="124" s="1"/>
  <c r="X417" i="124" s="1"/>
  <c r="T416" i="124"/>
  <c r="Q416" i="124"/>
  <c r="W416" i="124" s="1"/>
  <c r="X416" i="124" s="1"/>
  <c r="T415" i="124"/>
  <c r="Q415" i="124"/>
  <c r="W415" i="124" s="1"/>
  <c r="X415" i="124" s="1"/>
  <c r="T414" i="124"/>
  <c r="Q414" i="124"/>
  <c r="W414" i="124" s="1"/>
  <c r="X414" i="124" s="1"/>
  <c r="T413" i="124"/>
  <c r="Q413" i="124"/>
  <c r="W413" i="124" s="1"/>
  <c r="X413" i="124" s="1"/>
  <c r="T412" i="124"/>
  <c r="Q412" i="124"/>
  <c r="W412" i="124" s="1"/>
  <c r="X412" i="124" s="1"/>
  <c r="T411" i="124"/>
  <c r="Q411" i="124"/>
  <c r="W411" i="124" s="1"/>
  <c r="X411" i="124" s="1"/>
  <c r="T410" i="124"/>
  <c r="Q410" i="124"/>
  <c r="W410" i="124" s="1"/>
  <c r="X410" i="124" s="1"/>
  <c r="T409" i="124"/>
  <c r="Q409" i="124"/>
  <c r="W409" i="124" s="1"/>
  <c r="X409" i="124" s="1"/>
  <c r="T408" i="124"/>
  <c r="Q408" i="124"/>
  <c r="W408" i="124" s="1"/>
  <c r="X408" i="124" s="1"/>
  <c r="T407" i="124"/>
  <c r="Q407" i="124"/>
  <c r="W407" i="124" s="1"/>
  <c r="X407" i="124" s="1"/>
  <c r="T406" i="124"/>
  <c r="Q406" i="124"/>
  <c r="W406" i="124" s="1"/>
  <c r="X406" i="124" s="1"/>
  <c r="T405" i="124"/>
  <c r="Q405" i="124"/>
  <c r="W405" i="124" s="1"/>
  <c r="X405" i="124" s="1"/>
  <c r="T404" i="124"/>
  <c r="Q404" i="124"/>
  <c r="W404" i="124" s="1"/>
  <c r="X404" i="124" s="1"/>
  <c r="T403" i="124"/>
  <c r="P403" i="124"/>
  <c r="P535" i="124" s="1"/>
  <c r="O403" i="124"/>
  <c r="K403" i="124"/>
  <c r="I403" i="124"/>
  <c r="T402" i="124"/>
  <c r="O402" i="124"/>
  <c r="I402" i="124"/>
  <c r="T401" i="124"/>
  <c r="K401" i="124"/>
  <c r="Q401" i="124" s="1"/>
  <c r="W401" i="124" s="1"/>
  <c r="X401" i="124" s="1"/>
  <c r="T400" i="124"/>
  <c r="Q400" i="124"/>
  <c r="W400" i="124" s="1"/>
  <c r="X400" i="124" s="1"/>
  <c r="T399" i="124"/>
  <c r="Q399" i="124"/>
  <c r="W399" i="124" s="1"/>
  <c r="X399" i="124" s="1"/>
  <c r="T398" i="124"/>
  <c r="Q398" i="124"/>
  <c r="W398" i="124" s="1"/>
  <c r="X398" i="124" s="1"/>
  <c r="T397" i="124"/>
  <c r="Q397" i="124"/>
  <c r="W397" i="124" s="1"/>
  <c r="X397" i="124" s="1"/>
  <c r="T396" i="124"/>
  <c r="Q396" i="124"/>
  <c r="W396" i="124" s="1"/>
  <c r="X396" i="124" s="1"/>
  <c r="T395" i="124"/>
  <c r="Q395" i="124"/>
  <c r="W395" i="124" s="1"/>
  <c r="X395" i="124" s="1"/>
  <c r="T394" i="124"/>
  <c r="O394" i="124"/>
  <c r="K394" i="124"/>
  <c r="T393" i="124"/>
  <c r="I393" i="124"/>
  <c r="T392" i="124"/>
  <c r="Q392" i="124"/>
  <c r="W392" i="124" s="1"/>
  <c r="X392" i="124" s="1"/>
  <c r="T391" i="124"/>
  <c r="Q391" i="124"/>
  <c r="W391" i="124" s="1"/>
  <c r="X391" i="124" s="1"/>
  <c r="T390" i="124"/>
  <c r="Q390" i="124"/>
  <c r="W390" i="124" s="1"/>
  <c r="X390" i="124" s="1"/>
  <c r="T389" i="124"/>
  <c r="Q389" i="124"/>
  <c r="W389" i="124" s="1"/>
  <c r="X389" i="124" s="1"/>
  <c r="T388" i="124"/>
  <c r="Q388" i="124"/>
  <c r="W388" i="124" s="1"/>
  <c r="X388" i="124" s="1"/>
  <c r="T387" i="124"/>
  <c r="Q387" i="124"/>
  <c r="W387" i="124" s="1"/>
  <c r="X387" i="124" s="1"/>
  <c r="T386" i="124"/>
  <c r="Q386" i="124"/>
  <c r="W386" i="124" s="1"/>
  <c r="X386" i="124" s="1"/>
  <c r="T385" i="124"/>
  <c r="Q385" i="124"/>
  <c r="W385" i="124" s="1"/>
  <c r="X385" i="124" s="1"/>
  <c r="T384" i="124"/>
  <c r="Q384" i="124"/>
  <c r="W384" i="124" s="1"/>
  <c r="X384" i="124" s="1"/>
  <c r="T383" i="124"/>
  <c r="Q383" i="124"/>
  <c r="W383" i="124" s="1"/>
  <c r="X383" i="124" s="1"/>
  <c r="T382" i="124"/>
  <c r="Q382" i="124"/>
  <c r="W382" i="124" s="1"/>
  <c r="X382" i="124" s="1"/>
  <c r="T381" i="124"/>
  <c r="Q381" i="124"/>
  <c r="W381" i="124" s="1"/>
  <c r="X381" i="124" s="1"/>
  <c r="T380" i="124"/>
  <c r="Q380" i="124"/>
  <c r="W380" i="124" s="1"/>
  <c r="X380" i="124" s="1"/>
  <c r="T379" i="124"/>
  <c r="Q379" i="124"/>
  <c r="W379" i="124" s="1"/>
  <c r="X379" i="124" s="1"/>
  <c r="T378" i="124"/>
  <c r="Q378" i="124"/>
  <c r="W378" i="124" s="1"/>
  <c r="X378" i="124" s="1"/>
  <c r="T377" i="124"/>
  <c r="N377" i="124"/>
  <c r="L377" i="124"/>
  <c r="T376" i="124"/>
  <c r="Q376" i="124"/>
  <c r="W376" i="124" s="1"/>
  <c r="X376" i="124" s="1"/>
  <c r="T375" i="124"/>
  <c r="Q375" i="124"/>
  <c r="W375" i="124" s="1"/>
  <c r="X375" i="124" s="1"/>
  <c r="T374" i="124"/>
  <c r="Q374" i="124"/>
  <c r="W374" i="124" s="1"/>
  <c r="X374" i="124" s="1"/>
  <c r="T373" i="124"/>
  <c r="J373" i="124"/>
  <c r="Q373" i="124" s="1"/>
  <c r="W373" i="124" s="1"/>
  <c r="X373" i="124" s="1"/>
  <c r="T372" i="124"/>
  <c r="Q372" i="124"/>
  <c r="W372" i="124" s="1"/>
  <c r="X372" i="124" s="1"/>
  <c r="T371" i="124"/>
  <c r="Q371" i="124"/>
  <c r="W371" i="124" s="1"/>
  <c r="X371" i="124" s="1"/>
  <c r="T370" i="124"/>
  <c r="Q370" i="124"/>
  <c r="W370" i="124" s="1"/>
  <c r="X370" i="124" s="1"/>
  <c r="T369" i="124"/>
  <c r="J369" i="124"/>
  <c r="Q369" i="124" s="1"/>
  <c r="T368" i="124"/>
  <c r="Q368" i="124"/>
  <c r="W368" i="124" s="1"/>
  <c r="X368" i="124" s="1"/>
  <c r="T367" i="124"/>
  <c r="J367" i="124"/>
  <c r="Q367" i="124" s="1"/>
  <c r="W367" i="124" s="1"/>
  <c r="X367" i="124" s="1"/>
  <c r="T366" i="124"/>
  <c r="Q366" i="124"/>
  <c r="W366" i="124" s="1"/>
  <c r="X366" i="124" s="1"/>
  <c r="T365" i="124"/>
  <c r="J365" i="124"/>
  <c r="Q365" i="124" s="1"/>
  <c r="T364" i="124"/>
  <c r="Q364" i="124"/>
  <c r="W364" i="124" s="1"/>
  <c r="X364" i="124" s="1"/>
  <c r="T363" i="124"/>
  <c r="Q363" i="124"/>
  <c r="W363" i="124" s="1"/>
  <c r="X363" i="124" s="1"/>
  <c r="T362" i="124"/>
  <c r="Q362" i="124"/>
  <c r="W362" i="124" s="1"/>
  <c r="X362" i="124" s="1"/>
  <c r="T361" i="124"/>
  <c r="Q361" i="124"/>
  <c r="W361" i="124" s="1"/>
  <c r="X361" i="124" s="1"/>
  <c r="T360" i="124"/>
  <c r="L360" i="124"/>
  <c r="Q360" i="124" s="1"/>
  <c r="T359" i="124"/>
  <c r="Q359" i="124"/>
  <c r="W359" i="124" s="1"/>
  <c r="X359" i="124" s="1"/>
  <c r="T358" i="124"/>
  <c r="Q358" i="124"/>
  <c r="W358" i="124" s="1"/>
  <c r="X358" i="124" s="1"/>
  <c r="T357" i="124"/>
  <c r="Q357" i="124"/>
  <c r="W357" i="124" s="1"/>
  <c r="X357" i="124" s="1"/>
  <c r="T356" i="124"/>
  <c r="Q356" i="124"/>
  <c r="W356" i="124" s="1"/>
  <c r="X356" i="124" s="1"/>
  <c r="T355" i="124"/>
  <c r="Q355" i="124"/>
  <c r="W355" i="124" s="1"/>
  <c r="X355" i="124" s="1"/>
  <c r="T354" i="124"/>
  <c r="J354" i="124"/>
  <c r="Q354" i="124" s="1"/>
  <c r="W354" i="124" s="1"/>
  <c r="X354" i="124" s="1"/>
  <c r="T353" i="124"/>
  <c r="Q353" i="124"/>
  <c r="W353" i="124" s="1"/>
  <c r="X353" i="124" s="1"/>
  <c r="T352" i="124"/>
  <c r="Q352" i="124"/>
  <c r="W352" i="124" s="1"/>
  <c r="X352" i="124" s="1"/>
  <c r="T351" i="124"/>
  <c r="Q351" i="124"/>
  <c r="W351" i="124" s="1"/>
  <c r="X351" i="124" s="1"/>
  <c r="T350" i="124"/>
  <c r="Q350" i="124"/>
  <c r="W350" i="124" s="1"/>
  <c r="X350" i="124" s="1"/>
  <c r="T349" i="124"/>
  <c r="Q349" i="124"/>
  <c r="W349" i="124" s="1"/>
  <c r="X349" i="124" s="1"/>
  <c r="T348" i="124"/>
  <c r="Q348" i="124"/>
  <c r="W348" i="124" s="1"/>
  <c r="X348" i="124" s="1"/>
  <c r="T347" i="124"/>
  <c r="Q347" i="124"/>
  <c r="W347" i="124" s="1"/>
  <c r="X347" i="124" s="1"/>
  <c r="T346" i="124"/>
  <c r="Q346" i="124"/>
  <c r="W346" i="124" s="1"/>
  <c r="X346" i="124" s="1"/>
  <c r="T345" i="124"/>
  <c r="Q345" i="124"/>
  <c r="W345" i="124" s="1"/>
  <c r="X345" i="124" s="1"/>
  <c r="T344" i="124"/>
  <c r="Q344" i="124"/>
  <c r="W344" i="124" s="1"/>
  <c r="X344" i="124" s="1"/>
  <c r="T343" i="124"/>
  <c r="Q343" i="124"/>
  <c r="W343" i="124" s="1"/>
  <c r="X343" i="124" s="1"/>
  <c r="T342" i="124"/>
  <c r="Q342" i="124"/>
  <c r="W342" i="124" s="1"/>
  <c r="X342" i="124" s="1"/>
  <c r="T341" i="124"/>
  <c r="Q341" i="124"/>
  <c r="W341" i="124" s="1"/>
  <c r="X341" i="124" s="1"/>
  <c r="T340" i="124"/>
  <c r="Q340" i="124"/>
  <c r="W340" i="124" s="1"/>
  <c r="X340" i="124" s="1"/>
  <c r="T339" i="124"/>
  <c r="Q339" i="124"/>
  <c r="W339" i="124" s="1"/>
  <c r="X339" i="124" s="1"/>
  <c r="T338" i="124"/>
  <c r="Q338" i="124"/>
  <c r="W338" i="124" s="1"/>
  <c r="X338" i="124" s="1"/>
  <c r="T337" i="124"/>
  <c r="Q337" i="124"/>
  <c r="W337" i="124" s="1"/>
  <c r="X337" i="124" s="1"/>
  <c r="T336" i="124"/>
  <c r="Q336" i="124"/>
  <c r="W336" i="124" s="1"/>
  <c r="X336" i="124" s="1"/>
  <c r="T335" i="124"/>
  <c r="Q335" i="124"/>
  <c r="W335" i="124" s="1"/>
  <c r="X335" i="124" s="1"/>
  <c r="T334" i="124"/>
  <c r="Q334" i="124"/>
  <c r="W334" i="124" s="1"/>
  <c r="X334" i="124" s="1"/>
  <c r="T333" i="124"/>
  <c r="Q333" i="124"/>
  <c r="W333" i="124" s="1"/>
  <c r="X333" i="124" s="1"/>
  <c r="T332" i="124"/>
  <c r="Q332" i="124"/>
  <c r="W332" i="124" s="1"/>
  <c r="X332" i="124" s="1"/>
  <c r="T331" i="124"/>
  <c r="Q331" i="124"/>
  <c r="W331" i="124" s="1"/>
  <c r="X331" i="124" s="1"/>
  <c r="T330" i="124"/>
  <c r="Q330" i="124"/>
  <c r="W330" i="124" s="1"/>
  <c r="X330" i="124" s="1"/>
  <c r="T329" i="124"/>
  <c r="Q329" i="124"/>
  <c r="W329" i="124" s="1"/>
  <c r="X329" i="124" s="1"/>
  <c r="T328" i="124"/>
  <c r="Q328" i="124"/>
  <c r="W328" i="124" s="1"/>
  <c r="X328" i="124" s="1"/>
  <c r="T327" i="124"/>
  <c r="Q327" i="124"/>
  <c r="W327" i="124" s="1"/>
  <c r="X327" i="124" s="1"/>
  <c r="Q326" i="124"/>
  <c r="T325" i="124"/>
  <c r="Q325" i="124"/>
  <c r="W325" i="124" s="1"/>
  <c r="X325" i="124" s="1"/>
  <c r="T324" i="124"/>
  <c r="O324" i="124"/>
  <c r="Q324" i="124" s="1"/>
  <c r="T323" i="124"/>
  <c r="Q323" i="124"/>
  <c r="W323" i="124" s="1"/>
  <c r="X323" i="124" s="1"/>
  <c r="T322" i="124"/>
  <c r="Q322" i="124"/>
  <c r="W322" i="124" s="1"/>
  <c r="X322" i="124" s="1"/>
  <c r="T321" i="124"/>
  <c r="Q321" i="124"/>
  <c r="W321" i="124" s="1"/>
  <c r="X321" i="124" s="1"/>
  <c r="T320" i="124"/>
  <c r="Q320" i="124"/>
  <c r="W320" i="124" s="1"/>
  <c r="X320" i="124" s="1"/>
  <c r="T319" i="124"/>
  <c r="Q319" i="124"/>
  <c r="W319" i="124" s="1"/>
  <c r="X319" i="124" s="1"/>
  <c r="T318" i="124"/>
  <c r="Q318" i="124"/>
  <c r="W318" i="124" s="1"/>
  <c r="X318" i="124" s="1"/>
  <c r="T317" i="124"/>
  <c r="Q317" i="124"/>
  <c r="W317" i="124" s="1"/>
  <c r="X317" i="124" s="1"/>
  <c r="T316" i="124"/>
  <c r="Q316" i="124"/>
  <c r="W316" i="124" s="1"/>
  <c r="X316" i="124" s="1"/>
  <c r="T315" i="124"/>
  <c r="Q315" i="124"/>
  <c r="W315" i="124" s="1"/>
  <c r="X315" i="124" s="1"/>
  <c r="T314" i="124"/>
  <c r="Q314" i="124"/>
  <c r="W314" i="124" s="1"/>
  <c r="X314" i="124" s="1"/>
  <c r="T313" i="124"/>
  <c r="Q313" i="124"/>
  <c r="W313" i="124" s="1"/>
  <c r="X313" i="124" s="1"/>
  <c r="T312" i="124"/>
  <c r="Q312" i="124"/>
  <c r="W312" i="124" s="1"/>
  <c r="X312" i="124" s="1"/>
  <c r="T311" i="124"/>
  <c r="Q311" i="124"/>
  <c r="W311" i="124" s="1"/>
  <c r="X311" i="124" s="1"/>
  <c r="T310" i="124"/>
  <c r="Q310" i="124"/>
  <c r="W310" i="124" s="1"/>
  <c r="X310" i="124" s="1"/>
  <c r="T309" i="124"/>
  <c r="Q309" i="124"/>
  <c r="W309" i="124" s="1"/>
  <c r="X309" i="124" s="1"/>
  <c r="T308" i="124"/>
  <c r="Q308" i="124"/>
  <c r="W308" i="124" s="1"/>
  <c r="X308" i="124" s="1"/>
  <c r="T307" i="124"/>
  <c r="Q307" i="124"/>
  <c r="W307" i="124" s="1"/>
  <c r="X307" i="124" s="1"/>
  <c r="T306" i="124"/>
  <c r="Q306" i="124"/>
  <c r="W306" i="124" s="1"/>
  <c r="X306" i="124" s="1"/>
  <c r="T305" i="124"/>
  <c r="Q305" i="124"/>
  <c r="W305" i="124" s="1"/>
  <c r="X305" i="124" s="1"/>
  <c r="T304" i="124"/>
  <c r="Q304" i="124"/>
  <c r="W304" i="124" s="1"/>
  <c r="X304" i="124" s="1"/>
  <c r="T303" i="124"/>
  <c r="Q303" i="124"/>
  <c r="W303" i="124" s="1"/>
  <c r="X303" i="124" s="1"/>
  <c r="T302" i="124"/>
  <c r="Q302" i="124"/>
  <c r="W302" i="124" s="1"/>
  <c r="X302" i="124" s="1"/>
  <c r="T301" i="124"/>
  <c r="Q301" i="124"/>
  <c r="W301" i="124" s="1"/>
  <c r="X301" i="124" s="1"/>
  <c r="T300" i="124"/>
  <c r="Q300" i="124"/>
  <c r="W300" i="124" s="1"/>
  <c r="X300" i="124" s="1"/>
  <c r="T299" i="124"/>
  <c r="Q299" i="124"/>
  <c r="W299" i="124" s="1"/>
  <c r="X299" i="124" s="1"/>
  <c r="T298" i="124"/>
  <c r="Q298" i="124"/>
  <c r="W298" i="124" s="1"/>
  <c r="X298" i="124" s="1"/>
  <c r="T297" i="124"/>
  <c r="Q297" i="124"/>
  <c r="W297" i="124" s="1"/>
  <c r="X297" i="124" s="1"/>
  <c r="T296" i="124"/>
  <c r="Q296" i="124"/>
  <c r="W296" i="124" s="1"/>
  <c r="X296" i="124" s="1"/>
  <c r="T295" i="124"/>
  <c r="Q295" i="124"/>
  <c r="W295" i="124" s="1"/>
  <c r="X295" i="124" s="1"/>
  <c r="T294" i="124"/>
  <c r="Q294" i="124"/>
  <c r="W294" i="124" s="1"/>
  <c r="X294" i="124" s="1"/>
  <c r="T293" i="124"/>
  <c r="Q293" i="124"/>
  <c r="W293" i="124" s="1"/>
  <c r="X293" i="124" s="1"/>
  <c r="T292" i="124"/>
  <c r="Q292" i="124"/>
  <c r="W292" i="124" s="1"/>
  <c r="X292" i="124" s="1"/>
  <c r="T291" i="124"/>
  <c r="Q291" i="124"/>
  <c r="W291" i="124" s="1"/>
  <c r="X291" i="124" s="1"/>
  <c r="T290" i="124"/>
  <c r="Q290" i="124"/>
  <c r="W290" i="124" s="1"/>
  <c r="X290" i="124" s="1"/>
  <c r="T289" i="124"/>
  <c r="Q289" i="124"/>
  <c r="W289" i="124" s="1"/>
  <c r="X289" i="124" s="1"/>
  <c r="T288" i="124"/>
  <c r="Q288" i="124"/>
  <c r="W288" i="124" s="1"/>
  <c r="X288" i="124" s="1"/>
  <c r="T287" i="124"/>
  <c r="Q287" i="124"/>
  <c r="W287" i="124" s="1"/>
  <c r="X287" i="124" s="1"/>
  <c r="T286" i="124"/>
  <c r="Q286" i="124"/>
  <c r="W286" i="124" s="1"/>
  <c r="X286" i="124" s="1"/>
  <c r="T285" i="124"/>
  <c r="Q285" i="124"/>
  <c r="W285" i="124" s="1"/>
  <c r="X285" i="124" s="1"/>
  <c r="T284" i="124"/>
  <c r="K284" i="124"/>
  <c r="Q284" i="124" s="1"/>
  <c r="W284" i="124" s="1"/>
  <c r="X284" i="124" s="1"/>
  <c r="T283" i="124"/>
  <c r="Q283" i="124"/>
  <c r="W283" i="124" s="1"/>
  <c r="X283" i="124" s="1"/>
  <c r="T282" i="124"/>
  <c r="Q282" i="124"/>
  <c r="W282" i="124" s="1"/>
  <c r="X282" i="124" s="1"/>
  <c r="T281" i="124"/>
  <c r="Q281" i="124"/>
  <c r="W281" i="124" s="1"/>
  <c r="X281" i="124" s="1"/>
  <c r="T280" i="124"/>
  <c r="Q280" i="124"/>
  <c r="W280" i="124" s="1"/>
  <c r="X280" i="124" s="1"/>
  <c r="T279" i="124"/>
  <c r="Q279" i="124"/>
  <c r="W279" i="124" s="1"/>
  <c r="X279" i="124" s="1"/>
  <c r="T278" i="124"/>
  <c r="Q278" i="124"/>
  <c r="W278" i="124" s="1"/>
  <c r="X278" i="124" s="1"/>
  <c r="T277" i="124"/>
  <c r="Q277" i="124"/>
  <c r="W277" i="124" s="1"/>
  <c r="X277" i="124" s="1"/>
  <c r="T276" i="124"/>
  <c r="Q276" i="124"/>
  <c r="W276" i="124" s="1"/>
  <c r="X276" i="124" s="1"/>
  <c r="T275" i="124"/>
  <c r="Q275" i="124"/>
  <c r="W275" i="124" s="1"/>
  <c r="X275" i="124" s="1"/>
  <c r="T274" i="124"/>
  <c r="Q274" i="124"/>
  <c r="W274" i="124" s="1"/>
  <c r="X274" i="124" s="1"/>
  <c r="T273" i="124"/>
  <c r="Q273" i="124"/>
  <c r="W273" i="124" s="1"/>
  <c r="X273" i="124" s="1"/>
  <c r="T272" i="124"/>
  <c r="Q272" i="124"/>
  <c r="W272" i="124" s="1"/>
  <c r="X272" i="124" s="1"/>
  <c r="T271" i="124"/>
  <c r="Q271" i="124"/>
  <c r="W271" i="124" s="1"/>
  <c r="X271" i="124" s="1"/>
  <c r="T270" i="124"/>
  <c r="Q270" i="124"/>
  <c r="W270" i="124" s="1"/>
  <c r="X270" i="124" s="1"/>
  <c r="T269" i="124"/>
  <c r="Q269" i="124"/>
  <c r="W269" i="124" s="1"/>
  <c r="X269" i="124" s="1"/>
  <c r="T268" i="124"/>
  <c r="Q268" i="124"/>
  <c r="W268" i="124" s="1"/>
  <c r="X268" i="124" s="1"/>
  <c r="T267" i="124"/>
  <c r="Q267" i="124"/>
  <c r="W267" i="124" s="1"/>
  <c r="X267" i="124" s="1"/>
  <c r="T266" i="124"/>
  <c r="Q266" i="124"/>
  <c r="W266" i="124" s="1"/>
  <c r="X266" i="124" s="1"/>
  <c r="T265" i="124"/>
  <c r="Q265" i="124"/>
  <c r="W265" i="124" s="1"/>
  <c r="X265" i="124" s="1"/>
  <c r="T264" i="124"/>
  <c r="Q264" i="124"/>
  <c r="W264" i="124" s="1"/>
  <c r="X264" i="124" s="1"/>
  <c r="T263" i="124"/>
  <c r="Q263" i="124"/>
  <c r="W263" i="124" s="1"/>
  <c r="X263" i="124" s="1"/>
  <c r="T262" i="124"/>
  <c r="Q262" i="124"/>
  <c r="W262" i="124" s="1"/>
  <c r="X262" i="124" s="1"/>
  <c r="T261" i="124"/>
  <c r="Q261" i="124"/>
  <c r="W261" i="124" s="1"/>
  <c r="X261" i="124" s="1"/>
  <c r="T260" i="124"/>
  <c r="Q260" i="124"/>
  <c r="W260" i="124" s="1"/>
  <c r="X260" i="124" s="1"/>
  <c r="T259" i="124"/>
  <c r="Q259" i="124"/>
  <c r="W259" i="124" s="1"/>
  <c r="X259" i="124" s="1"/>
  <c r="T258" i="124"/>
  <c r="Q258" i="124"/>
  <c r="W258" i="124" s="1"/>
  <c r="X258" i="124" s="1"/>
  <c r="T257" i="124"/>
  <c r="Q257" i="124"/>
  <c r="W257" i="124" s="1"/>
  <c r="X257" i="124" s="1"/>
  <c r="T256" i="124"/>
  <c r="Q256" i="124"/>
  <c r="W256" i="124" s="1"/>
  <c r="X256" i="124" s="1"/>
  <c r="T255" i="124"/>
  <c r="Q255" i="124"/>
  <c r="W255" i="124" s="1"/>
  <c r="X255" i="124" s="1"/>
  <c r="T254" i="124"/>
  <c r="Q254" i="124"/>
  <c r="W254" i="124" s="1"/>
  <c r="X254" i="124" s="1"/>
  <c r="T253" i="124"/>
  <c r="Q253" i="124"/>
  <c r="W253" i="124" s="1"/>
  <c r="X253" i="124" s="1"/>
  <c r="T252" i="124"/>
  <c r="Q252" i="124"/>
  <c r="W252" i="124" s="1"/>
  <c r="X252" i="124" s="1"/>
  <c r="T251" i="124"/>
  <c r="Q251" i="124"/>
  <c r="W251" i="124" s="1"/>
  <c r="X251" i="124" s="1"/>
  <c r="T250" i="124"/>
  <c r="Q250" i="124"/>
  <c r="W250" i="124" s="1"/>
  <c r="X250" i="124" s="1"/>
  <c r="T249" i="124"/>
  <c r="Q249" i="124"/>
  <c r="W249" i="124" s="1"/>
  <c r="X249" i="124" s="1"/>
  <c r="T248" i="124"/>
  <c r="Q248" i="124"/>
  <c r="W248" i="124" s="1"/>
  <c r="X248" i="124" s="1"/>
  <c r="T247" i="124"/>
  <c r="Q247" i="124"/>
  <c r="W247" i="124" s="1"/>
  <c r="X247" i="124" s="1"/>
  <c r="T246" i="124"/>
  <c r="Q246" i="124"/>
  <c r="W246" i="124" s="1"/>
  <c r="X246" i="124" s="1"/>
  <c r="T245" i="124"/>
  <c r="Q245" i="124"/>
  <c r="W245" i="124" s="1"/>
  <c r="X245" i="124" s="1"/>
  <c r="T244" i="124"/>
  <c r="Q244" i="124"/>
  <c r="W244" i="124" s="1"/>
  <c r="X244" i="124" s="1"/>
  <c r="T243" i="124"/>
  <c r="Q243" i="124"/>
  <c r="W243" i="124" s="1"/>
  <c r="X243" i="124" s="1"/>
  <c r="T242" i="124"/>
  <c r="Q242" i="124"/>
  <c r="T241" i="124"/>
  <c r="Q241" i="124"/>
  <c r="W241" i="124" s="1"/>
  <c r="X241" i="124" s="1"/>
  <c r="T240" i="124"/>
  <c r="Q240" i="124"/>
  <c r="T239" i="124"/>
  <c r="Q239" i="124"/>
  <c r="W239" i="124" s="1"/>
  <c r="X239" i="124" s="1"/>
  <c r="T238" i="124"/>
  <c r="Q238" i="124"/>
  <c r="T237" i="124"/>
  <c r="H237" i="124"/>
  <c r="Q237" i="124" s="1"/>
  <c r="W237" i="124" s="1"/>
  <c r="X237" i="124" s="1"/>
  <c r="T236" i="124"/>
  <c r="Q236" i="124"/>
  <c r="W236" i="124" s="1"/>
  <c r="X236" i="124" s="1"/>
  <c r="T235" i="124"/>
  <c r="Q235" i="124"/>
  <c r="W235" i="124" s="1"/>
  <c r="X235" i="124" s="1"/>
  <c r="T234" i="124"/>
  <c r="Q234" i="124"/>
  <c r="W234" i="124" s="1"/>
  <c r="X234" i="124" s="1"/>
  <c r="T233" i="124"/>
  <c r="Q233" i="124"/>
  <c r="W233" i="124" s="1"/>
  <c r="X233" i="124" s="1"/>
  <c r="T232" i="124"/>
  <c r="Q232" i="124"/>
  <c r="W232" i="124" s="1"/>
  <c r="X232" i="124" s="1"/>
  <c r="T231" i="124"/>
  <c r="Q231" i="124"/>
  <c r="W231" i="124" s="1"/>
  <c r="X231" i="124" s="1"/>
  <c r="T230" i="124"/>
  <c r="Q230" i="124"/>
  <c r="W230" i="124" s="1"/>
  <c r="X230" i="124" s="1"/>
  <c r="T229" i="124"/>
  <c r="Q229" i="124"/>
  <c r="W229" i="124" s="1"/>
  <c r="X229" i="124" s="1"/>
  <c r="T228" i="124"/>
  <c r="Q228" i="124"/>
  <c r="W228" i="124" s="1"/>
  <c r="X228" i="124" s="1"/>
  <c r="T227" i="124"/>
  <c r="Q227" i="124"/>
  <c r="W227" i="124" s="1"/>
  <c r="X227" i="124" s="1"/>
  <c r="T226" i="124"/>
  <c r="Q226" i="124"/>
  <c r="W226" i="124" s="1"/>
  <c r="X226" i="124" s="1"/>
  <c r="T225" i="124"/>
  <c r="Q225" i="124"/>
  <c r="W225" i="124" s="1"/>
  <c r="X225" i="124" s="1"/>
  <c r="T224" i="124"/>
  <c r="Q224" i="124"/>
  <c r="W224" i="124" s="1"/>
  <c r="X224" i="124" s="1"/>
  <c r="T223" i="124"/>
  <c r="Q223" i="124"/>
  <c r="W223" i="124" s="1"/>
  <c r="X223" i="124" s="1"/>
  <c r="T222" i="124"/>
  <c r="Q222" i="124"/>
  <c r="W222" i="124" s="1"/>
  <c r="X222" i="124" s="1"/>
  <c r="T221" i="124"/>
  <c r="Q221" i="124"/>
  <c r="W221" i="124" s="1"/>
  <c r="X221" i="124" s="1"/>
  <c r="T220" i="124"/>
  <c r="Q220" i="124"/>
  <c r="W220" i="124" s="1"/>
  <c r="X220" i="124" s="1"/>
  <c r="T219" i="124"/>
  <c r="Q219" i="124"/>
  <c r="W219" i="124" s="1"/>
  <c r="X219" i="124" s="1"/>
  <c r="T218" i="124"/>
  <c r="Q218" i="124"/>
  <c r="W218" i="124" s="1"/>
  <c r="X218" i="124" s="1"/>
  <c r="T217" i="124"/>
  <c r="Q217" i="124"/>
  <c r="W217" i="124" s="1"/>
  <c r="X217" i="124" s="1"/>
  <c r="T216" i="124"/>
  <c r="Q216" i="124"/>
  <c r="W216" i="124" s="1"/>
  <c r="X216" i="124" s="1"/>
  <c r="T215" i="124"/>
  <c r="Q215" i="124"/>
  <c r="W215" i="124" s="1"/>
  <c r="X215" i="124" s="1"/>
  <c r="T214" i="124"/>
  <c r="Q214" i="124"/>
  <c r="W214" i="124" s="1"/>
  <c r="X214" i="124" s="1"/>
  <c r="T213" i="124"/>
  <c r="Q213" i="124"/>
  <c r="W213" i="124" s="1"/>
  <c r="X213" i="124" s="1"/>
  <c r="T212" i="124"/>
  <c r="Q212" i="124"/>
  <c r="W212" i="124" s="1"/>
  <c r="X212" i="124" s="1"/>
  <c r="T211" i="124"/>
  <c r="Q211" i="124"/>
  <c r="W211" i="124" s="1"/>
  <c r="X211" i="124" s="1"/>
  <c r="T210" i="124"/>
  <c r="Q210" i="124"/>
  <c r="W210" i="124" s="1"/>
  <c r="X210" i="124" s="1"/>
  <c r="T209" i="124"/>
  <c r="Q209" i="124"/>
  <c r="W209" i="124" s="1"/>
  <c r="X209" i="124" s="1"/>
  <c r="T208" i="124"/>
  <c r="Q208" i="124"/>
  <c r="W208" i="124" s="1"/>
  <c r="X208" i="124" s="1"/>
  <c r="T207" i="124"/>
  <c r="Q207" i="124"/>
  <c r="W207" i="124" s="1"/>
  <c r="X207" i="124" s="1"/>
  <c r="T206" i="124"/>
  <c r="Q206" i="124"/>
  <c r="W206" i="124" s="1"/>
  <c r="X206" i="124" s="1"/>
  <c r="T205" i="124"/>
  <c r="Q205" i="124"/>
  <c r="W205" i="124" s="1"/>
  <c r="X205" i="124" s="1"/>
  <c r="T204" i="124"/>
  <c r="Q204" i="124"/>
  <c r="W204" i="124" s="1"/>
  <c r="X204" i="124" s="1"/>
  <c r="T203" i="124"/>
  <c r="Q203" i="124"/>
  <c r="W203" i="124" s="1"/>
  <c r="X203" i="124" s="1"/>
  <c r="T202" i="124"/>
  <c r="Q202" i="124"/>
  <c r="W202" i="124" s="1"/>
  <c r="X202" i="124" s="1"/>
  <c r="T201" i="124"/>
  <c r="Q201" i="124"/>
  <c r="W201" i="124" s="1"/>
  <c r="X201" i="124" s="1"/>
  <c r="T200" i="124"/>
  <c r="Q200" i="124"/>
  <c r="W200" i="124" s="1"/>
  <c r="X200" i="124" s="1"/>
  <c r="T199" i="124"/>
  <c r="Q199" i="124"/>
  <c r="W199" i="124" s="1"/>
  <c r="X199" i="124" s="1"/>
  <c r="T198" i="124"/>
  <c r="Q198" i="124"/>
  <c r="W198" i="124" s="1"/>
  <c r="X198" i="124" s="1"/>
  <c r="T197" i="124"/>
  <c r="Q197" i="124"/>
  <c r="W197" i="124" s="1"/>
  <c r="X197" i="124" s="1"/>
  <c r="T196" i="124"/>
  <c r="Q196" i="124"/>
  <c r="W196" i="124" s="1"/>
  <c r="X196" i="124" s="1"/>
  <c r="T195" i="124"/>
  <c r="Q195" i="124"/>
  <c r="W195" i="124" s="1"/>
  <c r="X195" i="124" s="1"/>
  <c r="T194" i="124"/>
  <c r="Q194" i="124"/>
  <c r="W194" i="124" s="1"/>
  <c r="X194" i="124" s="1"/>
  <c r="T193" i="124"/>
  <c r="Q193" i="124"/>
  <c r="W193" i="124" s="1"/>
  <c r="X193" i="124" s="1"/>
  <c r="T192" i="124"/>
  <c r="Q192" i="124"/>
  <c r="W192" i="124" s="1"/>
  <c r="X192" i="124" s="1"/>
  <c r="T191" i="124"/>
  <c r="Q191" i="124"/>
  <c r="W191" i="124" s="1"/>
  <c r="X191" i="124" s="1"/>
  <c r="T190" i="124"/>
  <c r="Q190" i="124"/>
  <c r="W190" i="124" s="1"/>
  <c r="X190" i="124" s="1"/>
  <c r="T189" i="124"/>
  <c r="K189" i="124"/>
  <c r="Q189" i="124" s="1"/>
  <c r="T188" i="124"/>
  <c r="Q188" i="124"/>
  <c r="W188" i="124" s="1"/>
  <c r="X188" i="124" s="1"/>
  <c r="T187" i="124"/>
  <c r="Q187" i="124"/>
  <c r="W187" i="124" s="1"/>
  <c r="X187" i="124" s="1"/>
  <c r="T186" i="124"/>
  <c r="Q186" i="124"/>
  <c r="W186" i="124" s="1"/>
  <c r="X186" i="124" s="1"/>
  <c r="T185" i="124"/>
  <c r="Q185" i="124"/>
  <c r="W185" i="124" s="1"/>
  <c r="X185" i="124" s="1"/>
  <c r="T184" i="124"/>
  <c r="Q184" i="124"/>
  <c r="W184" i="124" s="1"/>
  <c r="X184" i="124" s="1"/>
  <c r="T183" i="124"/>
  <c r="Q183" i="124"/>
  <c r="W183" i="124" s="1"/>
  <c r="X183" i="124" s="1"/>
  <c r="T182" i="124"/>
  <c r="Q182" i="124"/>
  <c r="W182" i="124" s="1"/>
  <c r="X182" i="124" s="1"/>
  <c r="T181" i="124"/>
  <c r="Q181" i="124"/>
  <c r="W181" i="124" s="1"/>
  <c r="X181" i="124" s="1"/>
  <c r="T180" i="124"/>
  <c r="Q180" i="124"/>
  <c r="W180" i="124" s="1"/>
  <c r="X180" i="124" s="1"/>
  <c r="T179" i="124"/>
  <c r="L179" i="124"/>
  <c r="T178" i="124"/>
  <c r="Q178" i="124"/>
  <c r="W178" i="124" s="1"/>
  <c r="X178" i="124" s="1"/>
  <c r="T177" i="124"/>
  <c r="Q177" i="124"/>
  <c r="T176" i="124"/>
  <c r="Q176" i="124"/>
  <c r="W176" i="124" s="1"/>
  <c r="X176" i="124" s="1"/>
  <c r="T175" i="124"/>
  <c r="Q175" i="124"/>
  <c r="T174" i="124"/>
  <c r="Q174" i="124"/>
  <c r="W174" i="124" s="1"/>
  <c r="X174" i="124" s="1"/>
  <c r="T173" i="124"/>
  <c r="Q173" i="124"/>
  <c r="T172" i="124"/>
  <c r="Q172" i="124"/>
  <c r="W172" i="124" s="1"/>
  <c r="X172" i="124" s="1"/>
  <c r="T171" i="124"/>
  <c r="Q171" i="124"/>
  <c r="T170" i="124"/>
  <c r="Q170" i="124"/>
  <c r="W170" i="124" s="1"/>
  <c r="X170" i="124" s="1"/>
  <c r="T169" i="124"/>
  <c r="Q169" i="124"/>
  <c r="T168" i="124"/>
  <c r="Q168" i="124"/>
  <c r="W168" i="124" s="1"/>
  <c r="X168" i="124" s="1"/>
  <c r="T167" i="124"/>
  <c r="Q167" i="124"/>
  <c r="T166" i="124"/>
  <c r="Q166" i="124"/>
  <c r="W166" i="124" s="1"/>
  <c r="X166" i="124" s="1"/>
  <c r="T165" i="124"/>
  <c r="H165" i="124"/>
  <c r="Q165" i="124" s="1"/>
  <c r="T164" i="124"/>
  <c r="Q164" i="124"/>
  <c r="T163" i="124"/>
  <c r="Q163" i="124"/>
  <c r="W163" i="124" s="1"/>
  <c r="X163" i="124" s="1"/>
  <c r="T162" i="124"/>
  <c r="Q162" i="124"/>
  <c r="T161" i="124"/>
  <c r="Q161" i="124"/>
  <c r="W161" i="124" s="1"/>
  <c r="X161" i="124" s="1"/>
  <c r="T160" i="124"/>
  <c r="Q160" i="124"/>
  <c r="T159" i="124"/>
  <c r="Q159" i="124"/>
  <c r="W159" i="124" s="1"/>
  <c r="X159" i="124" s="1"/>
  <c r="T158" i="124"/>
  <c r="Q158" i="124"/>
  <c r="T157" i="124"/>
  <c r="Q157" i="124"/>
  <c r="W157" i="124" s="1"/>
  <c r="X157" i="124" s="1"/>
  <c r="T156" i="124"/>
  <c r="Q156" i="124"/>
  <c r="T155" i="124"/>
  <c r="Q155" i="124"/>
  <c r="W155" i="124" s="1"/>
  <c r="X155" i="124" s="1"/>
  <c r="T154" i="124"/>
  <c r="Q154" i="124"/>
  <c r="T153" i="124"/>
  <c r="Q153" i="124"/>
  <c r="W153" i="124" s="1"/>
  <c r="X153" i="124" s="1"/>
  <c r="T152" i="124"/>
  <c r="Q152" i="124"/>
  <c r="T151" i="124"/>
  <c r="Q151" i="124"/>
  <c r="W151" i="124" s="1"/>
  <c r="X151" i="124" s="1"/>
  <c r="T150" i="124"/>
  <c r="Q150" i="124"/>
  <c r="T149" i="124"/>
  <c r="Q149" i="124"/>
  <c r="W149" i="124" s="1"/>
  <c r="X149" i="124" s="1"/>
  <c r="T148" i="124"/>
  <c r="Q148" i="124"/>
  <c r="T147" i="124"/>
  <c r="Q147" i="124"/>
  <c r="W147" i="124" s="1"/>
  <c r="X147" i="124" s="1"/>
  <c r="T146" i="124"/>
  <c r="Q146" i="124"/>
  <c r="T145" i="124"/>
  <c r="Q145" i="124"/>
  <c r="W145" i="124" s="1"/>
  <c r="X145" i="124" s="1"/>
  <c r="T144" i="124"/>
  <c r="Q144" i="124"/>
  <c r="T143" i="124"/>
  <c r="Q143" i="124"/>
  <c r="W143" i="124" s="1"/>
  <c r="X143" i="124" s="1"/>
  <c r="T142" i="124"/>
  <c r="Q142" i="124"/>
  <c r="T141" i="124"/>
  <c r="Q141" i="124"/>
  <c r="W141" i="124" s="1"/>
  <c r="X141" i="124" s="1"/>
  <c r="T140" i="124"/>
  <c r="Q140" i="124"/>
  <c r="T139" i="124"/>
  <c r="Q139" i="124"/>
  <c r="W139" i="124" s="1"/>
  <c r="X139" i="124" s="1"/>
  <c r="T138" i="124"/>
  <c r="Q138" i="124"/>
  <c r="T137" i="124"/>
  <c r="Q137" i="124"/>
  <c r="W137" i="124" s="1"/>
  <c r="X137" i="124" s="1"/>
  <c r="T136" i="124"/>
  <c r="Q136" i="124"/>
  <c r="T135" i="124"/>
  <c r="Q135" i="124"/>
  <c r="W135" i="124" s="1"/>
  <c r="X135" i="124" s="1"/>
  <c r="T134" i="124"/>
  <c r="Q134" i="124"/>
  <c r="T133" i="124"/>
  <c r="Q133" i="124"/>
  <c r="W133" i="124" s="1"/>
  <c r="X133" i="124" s="1"/>
  <c r="T132" i="124"/>
  <c r="Q132" i="124"/>
  <c r="T131" i="124"/>
  <c r="N131" i="124"/>
  <c r="K131" i="124"/>
  <c r="T130" i="124"/>
  <c r="K130" i="124"/>
  <c r="T129" i="124"/>
  <c r="Q129" i="124"/>
  <c r="W129" i="124" s="1"/>
  <c r="X129" i="124" s="1"/>
  <c r="T128" i="124"/>
  <c r="Q128" i="124"/>
  <c r="W128" i="124" s="1"/>
  <c r="X128" i="124" s="1"/>
  <c r="T127" i="124"/>
  <c r="Q127" i="124"/>
  <c r="W127" i="124" s="1"/>
  <c r="X127" i="124" s="1"/>
  <c r="T126" i="124"/>
  <c r="O126" i="124"/>
  <c r="N126" i="124"/>
  <c r="H126" i="124"/>
  <c r="T125" i="124"/>
  <c r="H125" i="124"/>
  <c r="Q125" i="124" s="1"/>
  <c r="W125" i="124" s="1"/>
  <c r="X125" i="124" s="1"/>
  <c r="T124" i="124"/>
  <c r="Q124" i="124"/>
  <c r="W124" i="124" s="1"/>
  <c r="X124" i="124" s="1"/>
  <c r="T123" i="124"/>
  <c r="Q123" i="124"/>
  <c r="T122" i="124"/>
  <c r="Q122" i="124"/>
  <c r="W122" i="124" s="1"/>
  <c r="X122" i="124" s="1"/>
  <c r="T121" i="124"/>
  <c r="Q121" i="124"/>
  <c r="T120" i="124"/>
  <c r="Q120" i="124"/>
  <c r="W120" i="124" s="1"/>
  <c r="X120" i="124" s="1"/>
  <c r="T119" i="124"/>
  <c r="Q119" i="124"/>
  <c r="T118" i="124"/>
  <c r="Q118" i="124"/>
  <c r="W118" i="124" s="1"/>
  <c r="X118" i="124" s="1"/>
  <c r="T117" i="124"/>
  <c r="Q117" i="124"/>
  <c r="T116" i="124"/>
  <c r="Q116" i="124"/>
  <c r="W116" i="124" s="1"/>
  <c r="X116" i="124" s="1"/>
  <c r="T115" i="124"/>
  <c r="H115" i="124"/>
  <c r="Q115" i="124" s="1"/>
  <c r="T114" i="124"/>
  <c r="Q114" i="124"/>
  <c r="T113" i="124"/>
  <c r="H113" i="124"/>
  <c r="Q113" i="124" s="1"/>
  <c r="W113" i="124" s="1"/>
  <c r="X113" i="124" s="1"/>
  <c r="T112" i="124"/>
  <c r="H112" i="124"/>
  <c r="Q112" i="124" s="1"/>
  <c r="W112" i="124" s="1"/>
  <c r="X112" i="124" s="1"/>
  <c r="T111" i="124"/>
  <c r="J111" i="124"/>
  <c r="Q111" i="124" s="1"/>
  <c r="W111" i="124" s="1"/>
  <c r="X111" i="124" s="1"/>
  <c r="T110" i="124"/>
  <c r="Q110" i="124"/>
  <c r="W110" i="124" s="1"/>
  <c r="X110" i="124" s="1"/>
  <c r="T109" i="124"/>
  <c r="J109" i="124"/>
  <c r="Q109" i="124" s="1"/>
  <c r="T108" i="124"/>
  <c r="Q108" i="124"/>
  <c r="W108" i="124" s="1"/>
  <c r="X108" i="124" s="1"/>
  <c r="T107" i="124"/>
  <c r="Q107" i="124"/>
  <c r="W107" i="124" s="1"/>
  <c r="X107" i="124" s="1"/>
  <c r="T106" i="124"/>
  <c r="Q106" i="124"/>
  <c r="W106" i="124" s="1"/>
  <c r="X106" i="124" s="1"/>
  <c r="T105" i="124"/>
  <c r="H105" i="124"/>
  <c r="Q105" i="124" s="1"/>
  <c r="W105" i="124" s="1"/>
  <c r="X105" i="124" s="1"/>
  <c r="T104" i="124"/>
  <c r="Q104" i="124"/>
  <c r="W104" i="124" s="1"/>
  <c r="X104" i="124" s="1"/>
  <c r="T103" i="124"/>
  <c r="Q103" i="124"/>
  <c r="T102" i="124"/>
  <c r="Q102" i="124"/>
  <c r="W102" i="124" s="1"/>
  <c r="X102" i="124" s="1"/>
  <c r="T101" i="124"/>
  <c r="Q101" i="124"/>
  <c r="T100" i="124"/>
  <c r="Q100" i="124"/>
  <c r="W100" i="124" s="1"/>
  <c r="X100" i="124" s="1"/>
  <c r="T99" i="124"/>
  <c r="Q99" i="124"/>
  <c r="T98" i="124"/>
  <c r="Q98" i="124"/>
  <c r="W98" i="124" s="1"/>
  <c r="X98" i="124" s="1"/>
  <c r="T97" i="124"/>
  <c r="Q97" i="124"/>
  <c r="T96" i="124"/>
  <c r="Q96" i="124"/>
  <c r="W96" i="124" s="1"/>
  <c r="X96" i="124" s="1"/>
  <c r="T95" i="124"/>
  <c r="Q95" i="124"/>
  <c r="T94" i="124"/>
  <c r="Q94" i="124"/>
  <c r="W94" i="124" s="1"/>
  <c r="X94" i="124" s="1"/>
  <c r="T93" i="124"/>
  <c r="J93" i="124"/>
  <c r="Q93" i="124" s="1"/>
  <c r="T92" i="124"/>
  <c r="Q92" i="124"/>
  <c r="W92" i="124" s="1"/>
  <c r="X92" i="124" s="1"/>
  <c r="T91" i="124"/>
  <c r="J91" i="124"/>
  <c r="Q91" i="124" s="1"/>
  <c r="W91" i="124" s="1"/>
  <c r="X91" i="124" s="1"/>
  <c r="T90" i="124"/>
  <c r="Q90" i="124"/>
  <c r="W90" i="124" s="1"/>
  <c r="X90" i="124" s="1"/>
  <c r="T89" i="124"/>
  <c r="Q89" i="124"/>
  <c r="W89" i="124" s="1"/>
  <c r="X89" i="124" s="1"/>
  <c r="T88" i="124"/>
  <c r="H88" i="124"/>
  <c r="Q88" i="124" s="1"/>
  <c r="W88" i="124" s="1"/>
  <c r="X88" i="124" s="1"/>
  <c r="T87" i="124"/>
  <c r="J87" i="124"/>
  <c r="Q87" i="124" s="1"/>
  <c r="W87" i="124" s="1"/>
  <c r="X87" i="124" s="1"/>
  <c r="T86" i="124"/>
  <c r="Q86" i="124"/>
  <c r="W86" i="124" s="1"/>
  <c r="X86" i="124" s="1"/>
  <c r="T85" i="124"/>
  <c r="Q85" i="124"/>
  <c r="W85" i="124" s="1"/>
  <c r="X85" i="124" s="1"/>
  <c r="T84" i="124"/>
  <c r="Q84" i="124"/>
  <c r="W84" i="124" s="1"/>
  <c r="X84" i="124" s="1"/>
  <c r="T83" i="124"/>
  <c r="Q83" i="124"/>
  <c r="W83" i="124" s="1"/>
  <c r="X83" i="124" s="1"/>
  <c r="T82" i="124"/>
  <c r="Q82" i="124"/>
  <c r="W82" i="124" s="1"/>
  <c r="X82" i="124" s="1"/>
  <c r="T81" i="124"/>
  <c r="H81" i="124"/>
  <c r="Q81" i="124" s="1"/>
  <c r="T80" i="124"/>
  <c r="Q80" i="124"/>
  <c r="W80" i="124" s="1"/>
  <c r="X80" i="124" s="1"/>
  <c r="T79" i="124"/>
  <c r="Q79" i="124"/>
  <c r="W79" i="124" s="1"/>
  <c r="X79" i="124" s="1"/>
  <c r="T78" i="124"/>
  <c r="Q78" i="124"/>
  <c r="W78" i="124" s="1"/>
  <c r="X78" i="124" s="1"/>
  <c r="T77" i="124"/>
  <c r="Q77" i="124"/>
  <c r="W77" i="124" s="1"/>
  <c r="X77" i="124" s="1"/>
  <c r="T76" i="124"/>
  <c r="H76" i="124"/>
  <c r="Q76" i="124" s="1"/>
  <c r="T75" i="124"/>
  <c r="Q75" i="124"/>
  <c r="W75" i="124" s="1"/>
  <c r="X75" i="124" s="1"/>
  <c r="T74" i="124"/>
  <c r="Q74" i="124"/>
  <c r="W74" i="124" s="1"/>
  <c r="X74" i="124" s="1"/>
  <c r="T73" i="124"/>
  <c r="Q73" i="124"/>
  <c r="W73" i="124" s="1"/>
  <c r="X73" i="124" s="1"/>
  <c r="T72" i="124"/>
  <c r="Q72" i="124"/>
  <c r="W72" i="124" s="1"/>
  <c r="X72" i="124" s="1"/>
  <c r="T71" i="124"/>
  <c r="J71" i="124"/>
  <c r="J534" i="124" s="1"/>
  <c r="T70" i="124"/>
  <c r="Q70" i="124"/>
  <c r="W70" i="124" s="1"/>
  <c r="X70" i="124" s="1"/>
  <c r="T69" i="124"/>
  <c r="Q69" i="124"/>
  <c r="W69" i="124" s="1"/>
  <c r="X69" i="124" s="1"/>
  <c r="T68" i="124"/>
  <c r="Q68" i="124"/>
  <c r="W68" i="124" s="1"/>
  <c r="X68" i="124" s="1"/>
  <c r="T67" i="124"/>
  <c r="Q67" i="124"/>
  <c r="W67" i="124" s="1"/>
  <c r="X67" i="124" s="1"/>
  <c r="T66" i="124"/>
  <c r="Q66" i="124"/>
  <c r="W66" i="124" s="1"/>
  <c r="X66" i="124" s="1"/>
  <c r="T65" i="124"/>
  <c r="Q65" i="124"/>
  <c r="W65" i="124" s="1"/>
  <c r="X65" i="124" s="1"/>
  <c r="T64" i="124"/>
  <c r="H64" i="124"/>
  <c r="Q64" i="124" s="1"/>
  <c r="T63" i="124"/>
  <c r="Q63" i="124"/>
  <c r="W63" i="124" s="1"/>
  <c r="X63" i="124" s="1"/>
  <c r="T62" i="124"/>
  <c r="Q62" i="124"/>
  <c r="W62" i="124" s="1"/>
  <c r="X62" i="124" s="1"/>
  <c r="T61" i="124"/>
  <c r="Q61" i="124"/>
  <c r="W61" i="124" s="1"/>
  <c r="X61" i="124" s="1"/>
  <c r="T60" i="124"/>
  <c r="Q60" i="124"/>
  <c r="W60" i="124" s="1"/>
  <c r="X60" i="124" s="1"/>
  <c r="T59" i="124"/>
  <c r="Q59" i="124"/>
  <c r="W59" i="124" s="1"/>
  <c r="X59" i="124" s="1"/>
  <c r="T58" i="124"/>
  <c r="H58" i="124"/>
  <c r="Q58" i="124" s="1"/>
  <c r="W58" i="124" s="1"/>
  <c r="X58" i="124" s="1"/>
  <c r="T57" i="124"/>
  <c r="Q57" i="124"/>
  <c r="W57" i="124" s="1"/>
  <c r="X57" i="124" s="1"/>
  <c r="T56" i="124"/>
  <c r="Q56" i="124"/>
  <c r="W56" i="124" s="1"/>
  <c r="X56" i="124" s="1"/>
  <c r="T55" i="124"/>
  <c r="Q55" i="124"/>
  <c r="W55" i="124" s="1"/>
  <c r="X55" i="124" s="1"/>
  <c r="T54" i="124"/>
  <c r="Q54" i="124"/>
  <c r="W54" i="124" s="1"/>
  <c r="X54" i="124" s="1"/>
  <c r="T53" i="124"/>
  <c r="Q53" i="124"/>
  <c r="W53" i="124" s="1"/>
  <c r="X53" i="124" s="1"/>
  <c r="T52" i="124"/>
  <c r="Q52" i="124"/>
  <c r="W52" i="124" s="1"/>
  <c r="X52" i="124" s="1"/>
  <c r="T51" i="124"/>
  <c r="Q51" i="124"/>
  <c r="W51" i="124" s="1"/>
  <c r="X51" i="124" s="1"/>
  <c r="T50" i="124"/>
  <c r="Q50" i="124"/>
  <c r="W50" i="124" s="1"/>
  <c r="X50" i="124" s="1"/>
  <c r="T49" i="124"/>
  <c r="Q49" i="124"/>
  <c r="W49" i="124" s="1"/>
  <c r="X49" i="124" s="1"/>
  <c r="T48" i="124"/>
  <c r="Q48" i="124"/>
  <c r="W48" i="124" s="1"/>
  <c r="X48" i="124" s="1"/>
  <c r="T47" i="124"/>
  <c r="G47" i="124"/>
  <c r="Q47" i="124" s="1"/>
  <c r="W47" i="124" s="1"/>
  <c r="X47" i="124" s="1"/>
  <c r="T46" i="124"/>
  <c r="Q46" i="124"/>
  <c r="W46" i="124" s="1"/>
  <c r="X46" i="124" s="1"/>
  <c r="T45" i="124"/>
  <c r="Q45" i="124"/>
  <c r="W45" i="124" s="1"/>
  <c r="X45" i="124" s="1"/>
  <c r="T44" i="124"/>
  <c r="Q44" i="124"/>
  <c r="W44" i="124" s="1"/>
  <c r="X44" i="124" s="1"/>
  <c r="T43" i="124"/>
  <c r="Q43" i="124"/>
  <c r="W43" i="124" s="1"/>
  <c r="X43" i="124" s="1"/>
  <c r="T42" i="124"/>
  <c r="Q42" i="124"/>
  <c r="W42" i="124" s="1"/>
  <c r="X42" i="124" s="1"/>
  <c r="T41" i="124"/>
  <c r="Q41" i="124"/>
  <c r="W41" i="124" s="1"/>
  <c r="X41" i="124" s="1"/>
  <c r="T40" i="124"/>
  <c r="Q40" i="124"/>
  <c r="W40" i="124" s="1"/>
  <c r="X40" i="124" s="1"/>
  <c r="T39" i="124"/>
  <c r="Q39" i="124"/>
  <c r="W39" i="124" s="1"/>
  <c r="X39" i="124" s="1"/>
  <c r="T38" i="124"/>
  <c r="Q38" i="124"/>
  <c r="W38" i="124" s="1"/>
  <c r="X38" i="124" s="1"/>
  <c r="T37" i="124"/>
  <c r="Q37" i="124"/>
  <c r="W37" i="124" s="1"/>
  <c r="X37" i="124" s="1"/>
  <c r="T36" i="124"/>
  <c r="Q36" i="124"/>
  <c r="W36" i="124" s="1"/>
  <c r="X36" i="124" s="1"/>
  <c r="T35" i="124"/>
  <c r="Q35" i="124"/>
  <c r="W35" i="124" s="1"/>
  <c r="X35" i="124" s="1"/>
  <c r="T34" i="124"/>
  <c r="Q34" i="124"/>
  <c r="W34" i="124" s="1"/>
  <c r="X34" i="124" s="1"/>
  <c r="T33" i="124"/>
  <c r="Q33" i="124"/>
  <c r="W33" i="124" s="1"/>
  <c r="X33" i="124" s="1"/>
  <c r="T32" i="124"/>
  <c r="Q32" i="124"/>
  <c r="W32" i="124" s="1"/>
  <c r="X32" i="124" s="1"/>
  <c r="T31" i="124"/>
  <c r="Q31" i="124"/>
  <c r="W31" i="124" s="1"/>
  <c r="X31" i="124" s="1"/>
  <c r="T30" i="124"/>
  <c r="Q30" i="124"/>
  <c r="W30" i="124" s="1"/>
  <c r="X30" i="124" s="1"/>
  <c r="T29" i="124"/>
  <c r="H29" i="124"/>
  <c r="G29" i="124"/>
  <c r="T28" i="124"/>
  <c r="Q28" i="124"/>
  <c r="W28" i="124" s="1"/>
  <c r="X28" i="124" s="1"/>
  <c r="T27" i="124"/>
  <c r="Q27" i="124"/>
  <c r="W27" i="124" s="1"/>
  <c r="X27" i="124" s="1"/>
  <c r="T26" i="124"/>
  <c r="Q26" i="124"/>
  <c r="W26" i="124" s="1"/>
  <c r="X26" i="124" s="1"/>
  <c r="T25" i="124"/>
  <c r="H25" i="124"/>
  <c r="T24" i="124"/>
  <c r="Q24" i="124"/>
  <c r="W24" i="124" s="1"/>
  <c r="X24" i="124" s="1"/>
  <c r="T23" i="124"/>
  <c r="Q23" i="124"/>
  <c r="W23" i="124" s="1"/>
  <c r="X23" i="124" s="1"/>
  <c r="T22" i="124"/>
  <c r="Q22" i="124"/>
  <c r="W22" i="124" s="1"/>
  <c r="X22" i="124" s="1"/>
  <c r="T21" i="124"/>
  <c r="Q21" i="124"/>
  <c r="W21" i="124" s="1"/>
  <c r="X21" i="124" s="1"/>
  <c r="T20" i="124"/>
  <c r="Q20" i="124"/>
  <c r="W20" i="124" s="1"/>
  <c r="X20" i="124" s="1"/>
  <c r="T19" i="124"/>
  <c r="Q19" i="124"/>
  <c r="W19" i="124" s="1"/>
  <c r="X19" i="124" s="1"/>
  <c r="T18" i="124"/>
  <c r="Q18" i="124"/>
  <c r="W18" i="124" s="1"/>
  <c r="X18" i="124" s="1"/>
  <c r="T17" i="124"/>
  <c r="Q17" i="124"/>
  <c r="W17" i="124" s="1"/>
  <c r="X17" i="124" s="1"/>
  <c r="T16" i="124"/>
  <c r="Q16" i="124"/>
  <c r="W16" i="124" s="1"/>
  <c r="X16" i="124" s="1"/>
  <c r="T15" i="124"/>
  <c r="Q15" i="124"/>
  <c r="W15" i="124" s="1"/>
  <c r="X15" i="124" s="1"/>
  <c r="T14" i="124"/>
  <c r="Q14" i="124"/>
  <c r="W14" i="124" s="1"/>
  <c r="X14" i="124" s="1"/>
  <c r="T13" i="124"/>
  <c r="Q13" i="124"/>
  <c r="W13" i="124" s="1"/>
  <c r="X13" i="124" s="1"/>
  <c r="T12" i="124"/>
  <c r="Q12" i="124"/>
  <c r="W12" i="124" s="1"/>
  <c r="X12" i="124" s="1"/>
  <c r="T11" i="124"/>
  <c r="Q11" i="124"/>
  <c r="W11" i="124" s="1"/>
  <c r="X11" i="124" s="1"/>
  <c r="T10" i="124"/>
  <c r="Q10" i="124"/>
  <c r="W10" i="124" s="1"/>
  <c r="X10" i="124" s="1"/>
  <c r="T9" i="124"/>
  <c r="Q9" i="124"/>
  <c r="W9" i="124" s="1"/>
  <c r="X9" i="124" s="1"/>
  <c r="T8" i="124"/>
  <c r="Q8" i="124"/>
  <c r="W8" i="124" s="1"/>
  <c r="X8" i="124" s="1"/>
  <c r="T7" i="124"/>
  <c r="Q7" i="124"/>
  <c r="W7" i="124" s="1"/>
  <c r="X7" i="124" s="1"/>
  <c r="T6" i="124"/>
  <c r="Q6" i="124"/>
  <c r="W6" i="124" s="1"/>
  <c r="X6" i="124" s="1"/>
  <c r="T5" i="124"/>
  <c r="Q5" i="124"/>
  <c r="W5" i="124" s="1"/>
  <c r="X5" i="124" s="1"/>
  <c r="T4" i="124"/>
  <c r="Q4" i="124"/>
  <c r="W4" i="124" s="1"/>
  <c r="X4" i="124" s="1"/>
  <c r="T3" i="124"/>
  <c r="Q3" i="124"/>
  <c r="O479" i="99"/>
  <c r="N479" i="99"/>
  <c r="M479" i="99"/>
  <c r="K479" i="99"/>
  <c r="H479" i="99"/>
  <c r="G479" i="99"/>
  <c r="F479" i="99"/>
  <c r="S478" i="99"/>
  <c r="P478" i="99"/>
  <c r="V478" i="99" s="1"/>
  <c r="W478" i="99" s="1"/>
  <c r="S477" i="99"/>
  <c r="P477" i="99"/>
  <c r="V477" i="99" s="1"/>
  <c r="W477" i="99" s="1"/>
  <c r="S476" i="99"/>
  <c r="P476" i="99"/>
  <c r="V476" i="99" s="1"/>
  <c r="W476" i="99" s="1"/>
  <c r="S475" i="99"/>
  <c r="P475" i="99"/>
  <c r="V475" i="99" s="1"/>
  <c r="W475" i="99" s="1"/>
  <c r="S474" i="99"/>
  <c r="P474" i="99"/>
  <c r="V474" i="99" s="1"/>
  <c r="W474" i="99" s="1"/>
  <c r="S473" i="99"/>
  <c r="P473" i="99"/>
  <c r="V473" i="99" s="1"/>
  <c r="W473" i="99" s="1"/>
  <c r="S472" i="99"/>
  <c r="P472" i="99"/>
  <c r="V472" i="99" s="1"/>
  <c r="W472" i="99" s="1"/>
  <c r="S471" i="99"/>
  <c r="P471" i="99"/>
  <c r="V471" i="99" s="1"/>
  <c r="W471" i="99" s="1"/>
  <c r="S470" i="99"/>
  <c r="P470" i="99"/>
  <c r="V470" i="99" s="1"/>
  <c r="W470" i="99" s="1"/>
  <c r="S469" i="99"/>
  <c r="P469" i="99"/>
  <c r="V469" i="99" s="1"/>
  <c r="W469" i="99" s="1"/>
  <c r="S468" i="99"/>
  <c r="P468" i="99"/>
  <c r="V468" i="99" s="1"/>
  <c r="W468" i="99" s="1"/>
  <c r="S467" i="99"/>
  <c r="P467" i="99"/>
  <c r="V467" i="99" s="1"/>
  <c r="W467" i="99" s="1"/>
  <c r="S466" i="99"/>
  <c r="P466" i="99"/>
  <c r="V466" i="99" s="1"/>
  <c r="W466" i="99" s="1"/>
  <c r="S465" i="99"/>
  <c r="P465" i="99"/>
  <c r="V465" i="99" s="1"/>
  <c r="W465" i="99" s="1"/>
  <c r="S464" i="99"/>
  <c r="P464" i="99"/>
  <c r="V464" i="99" s="1"/>
  <c r="W464" i="99" s="1"/>
  <c r="S463" i="99"/>
  <c r="P463" i="99"/>
  <c r="V463" i="99" s="1"/>
  <c r="W463" i="99" s="1"/>
  <c r="S462" i="99"/>
  <c r="P462" i="99"/>
  <c r="V462" i="99" s="1"/>
  <c r="W462" i="99" s="1"/>
  <c r="S461" i="99"/>
  <c r="P461" i="99"/>
  <c r="V461" i="99" s="1"/>
  <c r="W461" i="99" s="1"/>
  <c r="S460" i="99"/>
  <c r="P460" i="99"/>
  <c r="V460" i="99" s="1"/>
  <c r="W460" i="99" s="1"/>
  <c r="S459" i="99"/>
  <c r="P459" i="99"/>
  <c r="V459" i="99" s="1"/>
  <c r="W459" i="99" s="1"/>
  <c r="S458" i="99"/>
  <c r="P458" i="99"/>
  <c r="V458" i="99" s="1"/>
  <c r="W458" i="99" s="1"/>
  <c r="S457" i="99"/>
  <c r="P457" i="99"/>
  <c r="V457" i="99" s="1"/>
  <c r="W457" i="99" s="1"/>
  <c r="Q456" i="99"/>
  <c r="S456" i="99" s="1"/>
  <c r="S479" i="99" s="1"/>
  <c r="P456" i="99"/>
  <c r="S455" i="99"/>
  <c r="P455" i="99"/>
  <c r="S454" i="99"/>
  <c r="P454" i="99"/>
  <c r="R454" i="99" s="1"/>
  <c r="S453" i="99"/>
  <c r="P453" i="99"/>
  <c r="S452" i="99"/>
  <c r="P452" i="99"/>
  <c r="V452" i="99" s="1"/>
  <c r="W452" i="99" s="1"/>
  <c r="S451" i="99"/>
  <c r="P451" i="99"/>
  <c r="V451" i="99" s="1"/>
  <c r="W451" i="99" s="1"/>
  <c r="S450" i="99"/>
  <c r="P450" i="99"/>
  <c r="Q449" i="99"/>
  <c r="S449" i="99" s="1"/>
  <c r="P449" i="99"/>
  <c r="T449" i="99" s="1"/>
  <c r="S448" i="99"/>
  <c r="P448" i="99"/>
  <c r="S447" i="99"/>
  <c r="P447" i="99"/>
  <c r="Q446" i="99"/>
  <c r="S446" i="99" s="1"/>
  <c r="I446" i="99"/>
  <c r="P446" i="99" s="1"/>
  <c r="V446" i="99" s="1"/>
  <c r="W446" i="99" s="1"/>
  <c r="S445" i="99"/>
  <c r="P445" i="99"/>
  <c r="T445" i="99" s="1"/>
  <c r="S444" i="99"/>
  <c r="P444" i="99"/>
  <c r="T444" i="99" s="1"/>
  <c r="Q443" i="99"/>
  <c r="S443" i="99" s="1"/>
  <c r="J443" i="99"/>
  <c r="J479" i="99" s="1"/>
  <c r="I443" i="99"/>
  <c r="S442" i="99"/>
  <c r="P442" i="99"/>
  <c r="V442" i="99" s="1"/>
  <c r="W442" i="99" s="1"/>
  <c r="S441" i="99"/>
  <c r="P441" i="99"/>
  <c r="V441" i="99" s="1"/>
  <c r="W441" i="99" s="1"/>
  <c r="S440" i="99"/>
  <c r="P440" i="99"/>
  <c r="V440" i="99" s="1"/>
  <c r="W440" i="99" s="1"/>
  <c r="S439" i="99"/>
  <c r="P439" i="99"/>
  <c r="V439" i="99" s="1"/>
  <c r="W439" i="99" s="1"/>
  <c r="S438" i="99"/>
  <c r="P438" i="99"/>
  <c r="V438" i="99" s="1"/>
  <c r="W438" i="99" s="1"/>
  <c r="S437" i="99"/>
  <c r="P437" i="99"/>
  <c r="V437" i="99" s="1"/>
  <c r="W437" i="99" s="1"/>
  <c r="S436" i="99"/>
  <c r="E436" i="99"/>
  <c r="P436" i="99" s="1"/>
  <c r="S435" i="99"/>
  <c r="E435" i="99"/>
  <c r="P435" i="99" s="1"/>
  <c r="S434" i="99"/>
  <c r="P434" i="99"/>
  <c r="V434" i="99" s="1"/>
  <c r="W434" i="99" s="1"/>
  <c r="S433" i="99"/>
  <c r="E433" i="99"/>
  <c r="P433" i="99" s="1"/>
  <c r="V433" i="99" s="1"/>
  <c r="W433" i="99" s="1"/>
  <c r="S432" i="99"/>
  <c r="P432" i="99"/>
  <c r="V432" i="99" s="1"/>
  <c r="W432" i="99" s="1"/>
  <c r="S431" i="99"/>
  <c r="P431" i="99"/>
  <c r="V431" i="99" s="1"/>
  <c r="W431" i="99" s="1"/>
  <c r="S430" i="99"/>
  <c r="P430" i="99"/>
  <c r="V430" i="99" s="1"/>
  <c r="W430" i="99" s="1"/>
  <c r="S429" i="99"/>
  <c r="P429" i="99"/>
  <c r="V429" i="99" s="1"/>
  <c r="W429" i="99" s="1"/>
  <c r="S428" i="99"/>
  <c r="P428" i="99"/>
  <c r="V428" i="99" s="1"/>
  <c r="W428" i="99" s="1"/>
  <c r="S427" i="99"/>
  <c r="P427" i="99"/>
  <c r="V427" i="99" s="1"/>
  <c r="W427" i="99" s="1"/>
  <c r="S426" i="99"/>
  <c r="P426" i="99"/>
  <c r="V426" i="99" s="1"/>
  <c r="W426" i="99" s="1"/>
  <c r="S425" i="99"/>
  <c r="P425" i="99"/>
  <c r="V425" i="99" s="1"/>
  <c r="W425" i="99" s="1"/>
  <c r="Q424" i="99"/>
  <c r="S424" i="99" s="1"/>
  <c r="P424" i="99"/>
  <c r="V424" i="99" s="1"/>
  <c r="W424" i="99" s="1"/>
  <c r="S423" i="99"/>
  <c r="P423" i="99"/>
  <c r="V423" i="99" s="1"/>
  <c r="W423" i="99" s="1"/>
  <c r="S422" i="99"/>
  <c r="P422" i="99"/>
  <c r="V422" i="99" s="1"/>
  <c r="W422" i="99" s="1"/>
  <c r="Q421" i="99"/>
  <c r="S421" i="99" s="1"/>
  <c r="P421" i="99"/>
  <c r="V421" i="99" s="1"/>
  <c r="W421" i="99" s="1"/>
  <c r="S420" i="99"/>
  <c r="P420" i="99"/>
  <c r="V420" i="99" s="1"/>
  <c r="W420" i="99" s="1"/>
  <c r="S419" i="99"/>
  <c r="P419" i="99"/>
  <c r="V419" i="99" s="1"/>
  <c r="W419" i="99" s="1"/>
  <c r="S418" i="99"/>
  <c r="P418" i="99"/>
  <c r="V418" i="99" s="1"/>
  <c r="W418" i="99" s="1"/>
  <c r="S417" i="99"/>
  <c r="P417" i="99"/>
  <c r="V417" i="99" s="1"/>
  <c r="W417" i="99" s="1"/>
  <c r="S416" i="99"/>
  <c r="P416" i="99"/>
  <c r="V416" i="99" s="1"/>
  <c r="W416" i="99" s="1"/>
  <c r="S415" i="99"/>
  <c r="P415" i="99"/>
  <c r="V415" i="99" s="1"/>
  <c r="W415" i="99" s="1"/>
  <c r="S414" i="99"/>
  <c r="P414" i="99"/>
  <c r="V414" i="99" s="1"/>
  <c r="W414" i="99" s="1"/>
  <c r="S413" i="99"/>
  <c r="P413" i="99"/>
  <c r="V413" i="99" s="1"/>
  <c r="W413" i="99" s="1"/>
  <c r="S412" i="99"/>
  <c r="P412" i="99"/>
  <c r="V412" i="99" s="1"/>
  <c r="W412" i="99" s="1"/>
  <c r="S411" i="99"/>
  <c r="P411" i="99"/>
  <c r="V411" i="99" s="1"/>
  <c r="W411" i="99" s="1"/>
  <c r="S410" i="99"/>
  <c r="P410" i="99"/>
  <c r="V410" i="99" s="1"/>
  <c r="W410" i="99" s="1"/>
  <c r="Q409" i="99"/>
  <c r="S409" i="99" s="1"/>
  <c r="L409" i="99"/>
  <c r="L479" i="99" s="1"/>
  <c r="I409" i="99"/>
  <c r="Q408" i="99"/>
  <c r="S408" i="99" s="1"/>
  <c r="P408" i="99"/>
  <c r="V408" i="99" s="1"/>
  <c r="W408" i="99" s="1"/>
  <c r="S407" i="99"/>
  <c r="P407" i="99"/>
  <c r="V407" i="99" s="1"/>
  <c r="W407" i="99" s="1"/>
  <c r="S406" i="99"/>
  <c r="P406" i="99"/>
  <c r="V406" i="99" s="1"/>
  <c r="W406" i="99" s="1"/>
  <c r="S405" i="99"/>
  <c r="P405" i="99"/>
  <c r="V405" i="99" s="1"/>
  <c r="W405" i="99" s="1"/>
  <c r="Q404" i="99"/>
  <c r="S404" i="99" s="1"/>
  <c r="E404" i="99"/>
  <c r="P404" i="99" s="1"/>
  <c r="Q403" i="99"/>
  <c r="S403" i="99" s="1"/>
  <c r="E403" i="99"/>
  <c r="P403" i="99" s="1"/>
  <c r="V403" i="99" s="1"/>
  <c r="W403" i="99" s="1"/>
  <c r="Q402" i="99"/>
  <c r="S402" i="99" s="1"/>
  <c r="P402" i="99"/>
  <c r="V402" i="99" s="1"/>
  <c r="W402" i="99" s="1"/>
  <c r="Q401" i="99"/>
  <c r="S401" i="99" s="1"/>
  <c r="P401" i="99"/>
  <c r="V401" i="99" s="1"/>
  <c r="W401" i="99" s="1"/>
  <c r="Q400" i="99"/>
  <c r="S400" i="99" s="1"/>
  <c r="P400" i="99"/>
  <c r="V400" i="99" s="1"/>
  <c r="W400" i="99" s="1"/>
  <c r="S399" i="99"/>
  <c r="P399" i="99"/>
  <c r="V399" i="99" s="1"/>
  <c r="W399" i="99" s="1"/>
  <c r="S398" i="99"/>
  <c r="P398" i="99"/>
  <c r="V398" i="99" s="1"/>
  <c r="W398" i="99" s="1"/>
  <c r="S397" i="99"/>
  <c r="P397" i="99"/>
  <c r="V397" i="99" s="1"/>
  <c r="W397" i="99" s="1"/>
  <c r="Q396" i="99"/>
  <c r="S396" i="99" s="1"/>
  <c r="E396" i="99"/>
  <c r="P396" i="99" s="1"/>
  <c r="V396" i="99" s="1"/>
  <c r="W396" i="99" s="1"/>
  <c r="S395" i="99"/>
  <c r="P395" i="99"/>
  <c r="S394" i="99"/>
  <c r="P394" i="99"/>
  <c r="V394" i="99" s="1"/>
  <c r="W394" i="99" s="1"/>
  <c r="S393" i="99"/>
  <c r="P393" i="99"/>
  <c r="V393" i="99" s="1"/>
  <c r="W393" i="99" s="1"/>
  <c r="S392" i="99"/>
  <c r="P392" i="99"/>
  <c r="R392" i="99" s="1"/>
  <c r="S391" i="99"/>
  <c r="P391" i="99"/>
  <c r="V391" i="99" s="1"/>
  <c r="W391" i="99" s="1"/>
  <c r="S390" i="99"/>
  <c r="P390" i="99"/>
  <c r="V390" i="99" s="1"/>
  <c r="W390" i="99" s="1"/>
  <c r="S389" i="99"/>
  <c r="P389" i="99"/>
  <c r="V389" i="99" s="1"/>
  <c r="W389" i="99" s="1"/>
  <c r="S388" i="99"/>
  <c r="P388" i="99"/>
  <c r="V388" i="99" s="1"/>
  <c r="W388" i="99" s="1"/>
  <c r="S387" i="99"/>
  <c r="P387" i="99"/>
  <c r="V387" i="99" s="1"/>
  <c r="W387" i="99" s="1"/>
  <c r="S386" i="99"/>
  <c r="P386" i="99"/>
  <c r="V386" i="99" s="1"/>
  <c r="W386" i="99" s="1"/>
  <c r="Q385" i="99"/>
  <c r="S385" i="99" s="1"/>
  <c r="P385" i="99"/>
  <c r="V385" i="99" s="1"/>
  <c r="W385" i="99" s="1"/>
  <c r="Q384" i="99"/>
  <c r="S384" i="99" s="1"/>
  <c r="E384" i="99"/>
  <c r="P384" i="99" s="1"/>
  <c r="S383" i="99"/>
  <c r="P383" i="99"/>
  <c r="V383" i="99" s="1"/>
  <c r="W383" i="99" s="1"/>
  <c r="S382" i="99"/>
  <c r="P382" i="99"/>
  <c r="R382" i="99" s="1"/>
  <c r="S381" i="99"/>
  <c r="P381" i="99"/>
  <c r="V381" i="99" s="1"/>
  <c r="W381" i="99" s="1"/>
  <c r="S380" i="99"/>
  <c r="P380" i="99"/>
  <c r="V380" i="99" s="1"/>
  <c r="W380" i="99" s="1"/>
  <c r="Q379" i="99"/>
  <c r="S379" i="99" s="1"/>
  <c r="P379" i="99"/>
  <c r="V379" i="99" s="1"/>
  <c r="W379" i="99" s="1"/>
  <c r="S378" i="99"/>
  <c r="P378" i="99"/>
  <c r="V378" i="99" s="1"/>
  <c r="W378" i="99" s="1"/>
  <c r="Q377" i="99"/>
  <c r="S377" i="99" s="1"/>
  <c r="P377" i="99"/>
  <c r="V377" i="99" s="1"/>
  <c r="W377" i="99" s="1"/>
  <c r="Q376" i="99"/>
  <c r="S376" i="99" s="1"/>
  <c r="P376" i="99"/>
  <c r="V376" i="99" s="1"/>
  <c r="W376" i="99" s="1"/>
  <c r="E376" i="99"/>
  <c r="S375" i="99"/>
  <c r="P375" i="99"/>
  <c r="V375" i="99" s="1"/>
  <c r="W375" i="99" s="1"/>
  <c r="Q374" i="99"/>
  <c r="S374" i="99" s="1"/>
  <c r="P374" i="99"/>
  <c r="V374" i="99" s="1"/>
  <c r="W374" i="99" s="1"/>
  <c r="Q373" i="99"/>
  <c r="S373" i="99" s="1"/>
  <c r="P373" i="99"/>
  <c r="V373" i="99" s="1"/>
  <c r="W373" i="99" s="1"/>
  <c r="Q372" i="99"/>
  <c r="S372" i="99" s="1"/>
  <c r="P372" i="99"/>
  <c r="V372" i="99" s="1"/>
  <c r="W372" i="99" s="1"/>
  <c r="S371" i="99"/>
  <c r="P371" i="99"/>
  <c r="V371" i="99" s="1"/>
  <c r="W371" i="99" s="1"/>
  <c r="S370" i="99"/>
  <c r="P370" i="99"/>
  <c r="V370" i="99" s="1"/>
  <c r="W370" i="99" s="1"/>
  <c r="S369" i="99"/>
  <c r="P369" i="99"/>
  <c r="R369" i="99" s="1"/>
  <c r="Q368" i="99"/>
  <c r="S368" i="99" s="1"/>
  <c r="P368" i="99"/>
  <c r="V368" i="99" s="1"/>
  <c r="W368" i="99" s="1"/>
  <c r="S367" i="99"/>
  <c r="P367" i="99"/>
  <c r="V367" i="99" s="1"/>
  <c r="W367" i="99" s="1"/>
  <c r="Q366" i="99"/>
  <c r="S366" i="99" s="1"/>
  <c r="P366" i="99"/>
  <c r="V366" i="99" s="1"/>
  <c r="W366" i="99" s="1"/>
  <c r="Q365" i="99"/>
  <c r="S365" i="99" s="1"/>
  <c r="P365" i="99"/>
  <c r="V365" i="99" s="1"/>
  <c r="W365" i="99" s="1"/>
  <c r="S364" i="99"/>
  <c r="P364" i="99"/>
  <c r="R364" i="99" s="1"/>
  <c r="S363" i="99"/>
  <c r="P363" i="99"/>
  <c r="V363" i="99" s="1"/>
  <c r="W363" i="99" s="1"/>
  <c r="S362" i="99"/>
  <c r="R362" i="99"/>
  <c r="P362" i="99"/>
  <c r="V362" i="99" s="1"/>
  <c r="W362" i="99" s="1"/>
  <c r="S361" i="99"/>
  <c r="P361" i="99"/>
  <c r="V361" i="99" s="1"/>
  <c r="W361" i="99" s="1"/>
  <c r="S360" i="99"/>
  <c r="P360" i="99"/>
  <c r="R360" i="99" s="1"/>
  <c r="S359" i="99"/>
  <c r="P359" i="99"/>
  <c r="V359" i="99" s="1"/>
  <c r="W359" i="99" s="1"/>
  <c r="S358" i="99"/>
  <c r="R358" i="99"/>
  <c r="P358" i="99"/>
  <c r="V358" i="99" s="1"/>
  <c r="W358" i="99" s="1"/>
  <c r="Q357" i="99"/>
  <c r="S357" i="99" s="1"/>
  <c r="P357" i="99"/>
  <c r="V357" i="99" s="1"/>
  <c r="W357" i="99" s="1"/>
  <c r="S356" i="99"/>
  <c r="P356" i="99"/>
  <c r="V356" i="99" s="1"/>
  <c r="W356" i="99" s="1"/>
  <c r="S355" i="99"/>
  <c r="P355" i="99"/>
  <c r="V355" i="99" s="1"/>
  <c r="W355" i="99" s="1"/>
  <c r="S354" i="99"/>
  <c r="P354" i="99"/>
  <c r="V354" i="99" s="1"/>
  <c r="W354" i="99" s="1"/>
  <c r="S353" i="99"/>
  <c r="P353" i="99"/>
  <c r="R353" i="99" s="1"/>
  <c r="S352" i="99"/>
  <c r="P352" i="99"/>
  <c r="V352" i="99" s="1"/>
  <c r="W352" i="99" s="1"/>
  <c r="S351" i="99"/>
  <c r="P351" i="99"/>
  <c r="V351" i="99" s="1"/>
  <c r="W351" i="99" s="1"/>
  <c r="S350" i="99"/>
  <c r="P350" i="99"/>
  <c r="V350" i="99" s="1"/>
  <c r="W350" i="99" s="1"/>
  <c r="Q349" i="99"/>
  <c r="S349" i="99" s="1"/>
  <c r="I349" i="99"/>
  <c r="P349" i="99" s="1"/>
  <c r="V349" i="99" s="1"/>
  <c r="W349" i="99" s="1"/>
  <c r="S348" i="99"/>
  <c r="P348" i="99"/>
  <c r="V348" i="99" s="1"/>
  <c r="W348" i="99" s="1"/>
  <c r="S347" i="99"/>
  <c r="P347" i="99"/>
  <c r="V347" i="99" s="1"/>
  <c r="W347" i="99" s="1"/>
  <c r="S346" i="99"/>
  <c r="P346" i="99"/>
  <c r="V346" i="99" s="1"/>
  <c r="W346" i="99" s="1"/>
  <c r="S345" i="99"/>
  <c r="P345" i="99"/>
  <c r="S344" i="99"/>
  <c r="P344" i="99"/>
  <c r="V344" i="99" s="1"/>
  <c r="W344" i="99" s="1"/>
  <c r="S343" i="99"/>
  <c r="P343" i="99"/>
  <c r="S342" i="99"/>
  <c r="P342" i="99"/>
  <c r="V342" i="99" s="1"/>
  <c r="W342" i="99" s="1"/>
  <c r="S341" i="99"/>
  <c r="P341" i="99"/>
  <c r="S340" i="99"/>
  <c r="P340" i="99"/>
  <c r="V340" i="99" s="1"/>
  <c r="W340" i="99" s="1"/>
  <c r="S339" i="99"/>
  <c r="P339" i="99"/>
  <c r="S338" i="99"/>
  <c r="P338" i="99"/>
  <c r="V338" i="99" s="1"/>
  <c r="W338" i="99" s="1"/>
  <c r="S337" i="99"/>
  <c r="P337" i="99"/>
  <c r="S336" i="99"/>
  <c r="P336" i="99"/>
  <c r="V336" i="99" s="1"/>
  <c r="W336" i="99" s="1"/>
  <c r="S335" i="99"/>
  <c r="P335" i="99"/>
  <c r="S334" i="99"/>
  <c r="P334" i="99"/>
  <c r="V334" i="99" s="1"/>
  <c r="W334" i="99" s="1"/>
  <c r="S333" i="99"/>
  <c r="P333" i="99"/>
  <c r="S332" i="99"/>
  <c r="P332" i="99"/>
  <c r="V332" i="99" s="1"/>
  <c r="W332" i="99" s="1"/>
  <c r="S331" i="99"/>
  <c r="P331" i="99"/>
  <c r="S330" i="99"/>
  <c r="P330" i="99"/>
  <c r="V330" i="99" s="1"/>
  <c r="W330" i="99" s="1"/>
  <c r="S329" i="99"/>
  <c r="P329" i="99"/>
  <c r="S328" i="99"/>
  <c r="P328" i="99"/>
  <c r="V328" i="99" s="1"/>
  <c r="W328" i="99" s="1"/>
  <c r="S327" i="99"/>
  <c r="P327" i="99"/>
  <c r="S326" i="99"/>
  <c r="P326" i="99"/>
  <c r="V326" i="99" s="1"/>
  <c r="W326" i="99" s="1"/>
  <c r="S325" i="99"/>
  <c r="P325" i="99"/>
  <c r="S324" i="99"/>
  <c r="P324" i="99"/>
  <c r="V324" i="99" s="1"/>
  <c r="W324" i="99" s="1"/>
  <c r="S323" i="99"/>
  <c r="P323" i="99"/>
  <c r="S322" i="99"/>
  <c r="P322" i="99"/>
  <c r="V322" i="99" s="1"/>
  <c r="W322" i="99" s="1"/>
  <c r="S321" i="99"/>
  <c r="P321" i="99"/>
  <c r="S320" i="99"/>
  <c r="P320" i="99"/>
  <c r="V320" i="99" s="1"/>
  <c r="W320" i="99" s="1"/>
  <c r="S319" i="99"/>
  <c r="P319" i="99"/>
  <c r="S318" i="99"/>
  <c r="P318" i="99"/>
  <c r="V318" i="99" s="1"/>
  <c r="W318" i="99" s="1"/>
  <c r="S317" i="99"/>
  <c r="P317" i="99"/>
  <c r="S316" i="99"/>
  <c r="P316" i="99"/>
  <c r="V316" i="99" s="1"/>
  <c r="W316" i="99" s="1"/>
  <c r="S315" i="99"/>
  <c r="P315" i="99"/>
  <c r="S314" i="99"/>
  <c r="P314" i="99"/>
  <c r="V314" i="99" s="1"/>
  <c r="W314" i="99" s="1"/>
  <c r="S313" i="99"/>
  <c r="P313" i="99"/>
  <c r="S312" i="99"/>
  <c r="P312" i="99"/>
  <c r="V312" i="99" s="1"/>
  <c r="W312" i="99" s="1"/>
  <c r="S311" i="99"/>
  <c r="P311" i="99"/>
  <c r="S310" i="99"/>
  <c r="P310" i="99"/>
  <c r="V310" i="99" s="1"/>
  <c r="W310" i="99" s="1"/>
  <c r="S309" i="99"/>
  <c r="P309" i="99"/>
  <c r="S308" i="99"/>
  <c r="P308" i="99"/>
  <c r="V308" i="99" s="1"/>
  <c r="W308" i="99" s="1"/>
  <c r="S307" i="99"/>
  <c r="P307" i="99"/>
  <c r="S306" i="99"/>
  <c r="P306" i="99"/>
  <c r="V306" i="99" s="1"/>
  <c r="W306" i="99" s="1"/>
  <c r="Q305" i="99"/>
  <c r="S305" i="99" s="1"/>
  <c r="P305" i="99"/>
  <c r="V305" i="99" s="1"/>
  <c r="W305" i="99" s="1"/>
  <c r="S304" i="99"/>
  <c r="P304" i="99"/>
  <c r="S303" i="99"/>
  <c r="P303" i="99"/>
  <c r="V303" i="99" s="1"/>
  <c r="W303" i="99" s="1"/>
  <c r="S302" i="99"/>
  <c r="P302" i="99"/>
  <c r="S301" i="99"/>
  <c r="P301" i="99"/>
  <c r="V301" i="99" s="1"/>
  <c r="W301" i="99" s="1"/>
  <c r="S300" i="99"/>
  <c r="P300" i="99"/>
  <c r="S299" i="99"/>
  <c r="P299" i="99"/>
  <c r="V299" i="99" s="1"/>
  <c r="W299" i="99" s="1"/>
  <c r="S298" i="99"/>
  <c r="P298" i="99"/>
  <c r="S297" i="99"/>
  <c r="P297" i="99"/>
  <c r="V297" i="99" s="1"/>
  <c r="W297" i="99" s="1"/>
  <c r="Q296" i="99"/>
  <c r="S296" i="99" s="1"/>
  <c r="P296" i="99"/>
  <c r="V296" i="99" s="1"/>
  <c r="W296" i="99" s="1"/>
  <c r="S295" i="99"/>
  <c r="P295" i="99"/>
  <c r="S294" i="99"/>
  <c r="P294" i="99"/>
  <c r="V294" i="99" s="1"/>
  <c r="W294" i="99" s="1"/>
  <c r="S293" i="99"/>
  <c r="P293" i="99"/>
  <c r="S292" i="99"/>
  <c r="P292" i="99"/>
  <c r="V292" i="99" s="1"/>
  <c r="W292" i="99" s="1"/>
  <c r="Q291" i="99"/>
  <c r="S291" i="99" s="1"/>
  <c r="P291" i="99"/>
  <c r="V291" i="99" s="1"/>
  <c r="W291" i="99" s="1"/>
  <c r="Q290" i="99"/>
  <c r="S290" i="99" s="1"/>
  <c r="P290" i="99"/>
  <c r="V290" i="99" s="1"/>
  <c r="W290" i="99" s="1"/>
  <c r="S289" i="99"/>
  <c r="P289" i="99"/>
  <c r="S288" i="99"/>
  <c r="P288" i="99"/>
  <c r="V288" i="99" s="1"/>
  <c r="W288" i="99" s="1"/>
  <c r="S287" i="99"/>
  <c r="P287" i="99"/>
  <c r="S286" i="99"/>
  <c r="P286" i="99"/>
  <c r="V286" i="99" s="1"/>
  <c r="W286" i="99" s="1"/>
  <c r="S285" i="99"/>
  <c r="E285" i="99"/>
  <c r="P285" i="99" s="1"/>
  <c r="S284" i="99"/>
  <c r="P284" i="99"/>
  <c r="S283" i="99"/>
  <c r="P283" i="99"/>
  <c r="V283" i="99" s="1"/>
  <c r="W283" i="99" s="1"/>
  <c r="S282" i="99"/>
  <c r="P282" i="99"/>
  <c r="S281" i="99"/>
  <c r="P281" i="99"/>
  <c r="V281" i="99" s="1"/>
  <c r="W281" i="99" s="1"/>
  <c r="S280" i="99"/>
  <c r="P280" i="99"/>
  <c r="S279" i="99"/>
  <c r="P279" i="99"/>
  <c r="V279" i="99" s="1"/>
  <c r="W279" i="99" s="1"/>
  <c r="S278" i="99"/>
  <c r="P278" i="99"/>
  <c r="S277" i="99"/>
  <c r="P277" i="99"/>
  <c r="V277" i="99" s="1"/>
  <c r="W277" i="99" s="1"/>
  <c r="S276" i="99"/>
  <c r="P276" i="99"/>
  <c r="S275" i="99"/>
  <c r="P275" i="99"/>
  <c r="V275" i="99" s="1"/>
  <c r="W275" i="99" s="1"/>
  <c r="S274" i="99"/>
  <c r="P274" i="99"/>
  <c r="S273" i="99"/>
  <c r="P273" i="99"/>
  <c r="V273" i="99" s="1"/>
  <c r="W273" i="99" s="1"/>
  <c r="S272" i="99"/>
  <c r="P272" i="99"/>
  <c r="S271" i="99"/>
  <c r="P271" i="99"/>
  <c r="V271" i="99" s="1"/>
  <c r="W271" i="99" s="1"/>
  <c r="S270" i="99"/>
  <c r="P270" i="99"/>
  <c r="S269" i="99"/>
  <c r="P269" i="99"/>
  <c r="V269" i="99" s="1"/>
  <c r="W269" i="99" s="1"/>
  <c r="S268" i="99"/>
  <c r="P268" i="99"/>
  <c r="Q267" i="99"/>
  <c r="S267" i="99" s="1"/>
  <c r="P267" i="99"/>
  <c r="V267" i="99" s="1"/>
  <c r="W267" i="99" s="1"/>
  <c r="Q266" i="99"/>
  <c r="S266" i="99" s="1"/>
  <c r="P266" i="99"/>
  <c r="V266" i="99" s="1"/>
  <c r="W266" i="99" s="1"/>
  <c r="S265" i="99"/>
  <c r="P265" i="99"/>
  <c r="V265" i="99" s="1"/>
  <c r="W265" i="99" s="1"/>
  <c r="S264" i="99"/>
  <c r="P264" i="99"/>
  <c r="S263" i="99"/>
  <c r="P263" i="99"/>
  <c r="V263" i="99" s="1"/>
  <c r="W263" i="99" s="1"/>
  <c r="S262" i="99"/>
  <c r="P262" i="99"/>
  <c r="S261" i="99"/>
  <c r="P261" i="99"/>
  <c r="V261" i="99" s="1"/>
  <c r="W261" i="99" s="1"/>
  <c r="S260" i="99"/>
  <c r="P260" i="99"/>
  <c r="S259" i="99"/>
  <c r="P259" i="99"/>
  <c r="V259" i="99" s="1"/>
  <c r="W259" i="99" s="1"/>
  <c r="S258" i="99"/>
  <c r="P258" i="99"/>
  <c r="S257" i="99"/>
  <c r="P257" i="99"/>
  <c r="V257" i="99" s="1"/>
  <c r="W257" i="99" s="1"/>
  <c r="S256" i="99"/>
  <c r="P256" i="99"/>
  <c r="S255" i="99"/>
  <c r="P255" i="99"/>
  <c r="V255" i="99" s="1"/>
  <c r="W255" i="99" s="1"/>
  <c r="S254" i="99"/>
  <c r="P254" i="99"/>
  <c r="S253" i="99"/>
  <c r="P253" i="99"/>
  <c r="V253" i="99" s="1"/>
  <c r="W253" i="99" s="1"/>
  <c r="S252" i="99"/>
  <c r="E252" i="99"/>
  <c r="P252" i="99" s="1"/>
  <c r="S251" i="99"/>
  <c r="P251" i="99"/>
  <c r="S250" i="99"/>
  <c r="P250" i="99"/>
  <c r="V250" i="99" s="1"/>
  <c r="W250" i="99" s="1"/>
  <c r="S249" i="99"/>
  <c r="P249" i="99"/>
  <c r="S248" i="99"/>
  <c r="P248" i="99"/>
  <c r="V248" i="99" s="1"/>
  <c r="W248" i="99" s="1"/>
  <c r="S247" i="99"/>
  <c r="P247" i="99"/>
  <c r="S246" i="99"/>
  <c r="P246" i="99"/>
  <c r="V246" i="99" s="1"/>
  <c r="W246" i="99" s="1"/>
  <c r="S245" i="99"/>
  <c r="P245" i="99"/>
  <c r="S244" i="99"/>
  <c r="P244" i="99"/>
  <c r="V244" i="99" s="1"/>
  <c r="W244" i="99" s="1"/>
  <c r="S243" i="99"/>
  <c r="P243" i="99"/>
  <c r="S242" i="99"/>
  <c r="P242" i="99"/>
  <c r="V242" i="99" s="1"/>
  <c r="W242" i="99" s="1"/>
  <c r="S241" i="99"/>
  <c r="P241" i="99"/>
  <c r="S240" i="99"/>
  <c r="P240" i="99"/>
  <c r="V240" i="99" s="1"/>
  <c r="W240" i="99" s="1"/>
  <c r="S239" i="99"/>
  <c r="P239" i="99"/>
  <c r="S238" i="99"/>
  <c r="P238" i="99"/>
  <c r="V238" i="99" s="1"/>
  <c r="W238" i="99" s="1"/>
  <c r="S237" i="99"/>
  <c r="P237" i="99"/>
  <c r="S236" i="99"/>
  <c r="P236" i="99"/>
  <c r="V236" i="99" s="1"/>
  <c r="W236" i="99" s="1"/>
  <c r="S235" i="99"/>
  <c r="P235" i="99"/>
  <c r="S234" i="99"/>
  <c r="P234" i="99"/>
  <c r="V234" i="99" s="1"/>
  <c r="W234" i="99" s="1"/>
  <c r="S233" i="99"/>
  <c r="P233" i="99"/>
  <c r="S232" i="99"/>
  <c r="P232" i="99"/>
  <c r="V232" i="99" s="1"/>
  <c r="W232" i="99" s="1"/>
  <c r="S231" i="99"/>
  <c r="P231" i="99"/>
  <c r="S230" i="99"/>
  <c r="P230" i="99"/>
  <c r="V230" i="99" s="1"/>
  <c r="W230" i="99" s="1"/>
  <c r="S229" i="99"/>
  <c r="P229" i="99"/>
  <c r="S228" i="99"/>
  <c r="P228" i="99"/>
  <c r="V228" i="99" s="1"/>
  <c r="W228" i="99" s="1"/>
  <c r="S227" i="99"/>
  <c r="P227" i="99"/>
  <c r="S226" i="99"/>
  <c r="P226" i="99"/>
  <c r="V226" i="99" s="1"/>
  <c r="W226" i="99" s="1"/>
  <c r="S225" i="99"/>
  <c r="P225" i="99"/>
  <c r="S224" i="99"/>
  <c r="P224" i="99"/>
  <c r="V224" i="99" s="1"/>
  <c r="W224" i="99" s="1"/>
  <c r="S223" i="99"/>
  <c r="P223" i="99"/>
  <c r="S222" i="99"/>
  <c r="P222" i="99"/>
  <c r="V222" i="99" s="1"/>
  <c r="W222" i="99" s="1"/>
  <c r="S221" i="99"/>
  <c r="P221" i="99"/>
  <c r="S220" i="99"/>
  <c r="P220" i="99"/>
  <c r="V220" i="99" s="1"/>
  <c r="W220" i="99" s="1"/>
  <c r="S219" i="99"/>
  <c r="P219" i="99"/>
  <c r="S218" i="99"/>
  <c r="P218" i="99"/>
  <c r="V218" i="99" s="1"/>
  <c r="W218" i="99" s="1"/>
  <c r="S217" i="99"/>
  <c r="P217" i="99"/>
  <c r="S216" i="99"/>
  <c r="P216" i="99"/>
  <c r="V216" i="99" s="1"/>
  <c r="W216" i="99" s="1"/>
  <c r="S215" i="99"/>
  <c r="P215" i="99"/>
  <c r="S214" i="99"/>
  <c r="P214" i="99"/>
  <c r="V214" i="99" s="1"/>
  <c r="W214" i="99" s="1"/>
  <c r="S213" i="99"/>
  <c r="P213" i="99"/>
  <c r="S212" i="99"/>
  <c r="P212" i="99"/>
  <c r="V212" i="99" s="1"/>
  <c r="W212" i="99" s="1"/>
  <c r="S211" i="99"/>
  <c r="P211" i="99"/>
  <c r="S210" i="99"/>
  <c r="P210" i="99"/>
  <c r="V210" i="99" s="1"/>
  <c r="W210" i="99" s="1"/>
  <c r="S209" i="99"/>
  <c r="P209" i="99"/>
  <c r="V209" i="99" s="1"/>
  <c r="W209" i="99" s="1"/>
  <c r="S208" i="99"/>
  <c r="P208" i="99"/>
  <c r="V208" i="99" s="1"/>
  <c r="W208" i="99" s="1"/>
  <c r="S207" i="99"/>
  <c r="P207" i="99"/>
  <c r="V207" i="99" s="1"/>
  <c r="W207" i="99" s="1"/>
  <c r="S206" i="99"/>
  <c r="P206" i="99"/>
  <c r="V206" i="99" s="1"/>
  <c r="W206" i="99" s="1"/>
  <c r="S205" i="99"/>
  <c r="P205" i="99"/>
  <c r="V205" i="99" s="1"/>
  <c r="W205" i="99" s="1"/>
  <c r="S204" i="99"/>
  <c r="P204" i="99"/>
  <c r="V204" i="99" s="1"/>
  <c r="W204" i="99" s="1"/>
  <c r="S203" i="99"/>
  <c r="P203" i="99"/>
  <c r="V203" i="99" s="1"/>
  <c r="W203" i="99" s="1"/>
  <c r="S202" i="99"/>
  <c r="P202" i="99"/>
  <c r="V202" i="99" s="1"/>
  <c r="W202" i="99" s="1"/>
  <c r="S201" i="99"/>
  <c r="P201" i="99"/>
  <c r="V201" i="99" s="1"/>
  <c r="W201" i="99" s="1"/>
  <c r="S200" i="99"/>
  <c r="P200" i="99"/>
  <c r="V200" i="99" s="1"/>
  <c r="W200" i="99" s="1"/>
  <c r="S199" i="99"/>
  <c r="P199" i="99"/>
  <c r="V199" i="99" s="1"/>
  <c r="W199" i="99" s="1"/>
  <c r="S198" i="99"/>
  <c r="P198" i="99"/>
  <c r="V198" i="99" s="1"/>
  <c r="W198" i="99" s="1"/>
  <c r="S197" i="99"/>
  <c r="P197" i="99"/>
  <c r="V197" i="99" s="1"/>
  <c r="W197" i="99" s="1"/>
  <c r="S196" i="99"/>
  <c r="P196" i="99"/>
  <c r="V196" i="99" s="1"/>
  <c r="W196" i="99" s="1"/>
  <c r="S195" i="99"/>
  <c r="P195" i="99"/>
  <c r="V195" i="99" s="1"/>
  <c r="W195" i="99" s="1"/>
  <c r="S194" i="99"/>
  <c r="P194" i="99"/>
  <c r="V194" i="99" s="1"/>
  <c r="W194" i="99" s="1"/>
  <c r="S193" i="99"/>
  <c r="P193" i="99"/>
  <c r="V193" i="99" s="1"/>
  <c r="W193" i="99" s="1"/>
  <c r="S192" i="99"/>
  <c r="P192" i="99"/>
  <c r="V192" i="99" s="1"/>
  <c r="W192" i="99" s="1"/>
  <c r="Q191" i="99"/>
  <c r="S191" i="99" s="1"/>
  <c r="P191" i="99"/>
  <c r="V191" i="99" s="1"/>
  <c r="W191" i="99" s="1"/>
  <c r="S190" i="99"/>
  <c r="P190" i="99"/>
  <c r="V190" i="99" s="1"/>
  <c r="W190" i="99" s="1"/>
  <c r="S189" i="99"/>
  <c r="P189" i="99"/>
  <c r="V189" i="99" s="1"/>
  <c r="W189" i="99" s="1"/>
  <c r="S188" i="99"/>
  <c r="P188" i="99"/>
  <c r="V188" i="99" s="1"/>
  <c r="W188" i="99" s="1"/>
  <c r="S187" i="99"/>
  <c r="P187" i="99"/>
  <c r="V187" i="99" s="1"/>
  <c r="W187" i="99" s="1"/>
  <c r="S186" i="99"/>
  <c r="P186" i="99"/>
  <c r="V186" i="99" s="1"/>
  <c r="W186" i="99" s="1"/>
  <c r="S185" i="99"/>
  <c r="P185" i="99"/>
  <c r="V185" i="99" s="1"/>
  <c r="W185" i="99" s="1"/>
  <c r="S184" i="99"/>
  <c r="P184" i="99"/>
  <c r="V184" i="99" s="1"/>
  <c r="W184" i="99" s="1"/>
  <c r="S183" i="99"/>
  <c r="P183" i="99"/>
  <c r="V183" i="99" s="1"/>
  <c r="W183" i="99" s="1"/>
  <c r="S182" i="99"/>
  <c r="E182" i="99"/>
  <c r="P182" i="99" s="1"/>
  <c r="Q181" i="99"/>
  <c r="S181" i="99" s="1"/>
  <c r="P181" i="99"/>
  <c r="V181" i="99" s="1"/>
  <c r="W181" i="99" s="1"/>
  <c r="S180" i="99"/>
  <c r="E180" i="99"/>
  <c r="P180" i="99" s="1"/>
  <c r="Q179" i="99"/>
  <c r="S179" i="99" s="1"/>
  <c r="P179" i="99"/>
  <c r="V179" i="99" s="1"/>
  <c r="W179" i="99" s="1"/>
  <c r="S178" i="99"/>
  <c r="P178" i="99"/>
  <c r="V178" i="99" s="1"/>
  <c r="W178" i="99" s="1"/>
  <c r="Q177" i="99"/>
  <c r="S177" i="99" s="1"/>
  <c r="E177" i="99"/>
  <c r="P177" i="99" s="1"/>
  <c r="S176" i="99"/>
  <c r="E176" i="99"/>
  <c r="P176" i="99" s="1"/>
  <c r="Q175" i="99"/>
  <c r="S175" i="99" s="1"/>
  <c r="P175" i="99"/>
  <c r="V175" i="99" s="1"/>
  <c r="W175" i="99" s="1"/>
  <c r="S174" i="99"/>
  <c r="E174" i="99"/>
  <c r="P174" i="99" s="1"/>
  <c r="Q173" i="99"/>
  <c r="S173" i="99" s="1"/>
  <c r="P173" i="99"/>
  <c r="V173" i="99" s="1"/>
  <c r="W173" i="99" s="1"/>
  <c r="S172" i="99"/>
  <c r="E172" i="99"/>
  <c r="P172" i="99" s="1"/>
  <c r="Q171" i="99"/>
  <c r="S171" i="99" s="1"/>
  <c r="P171" i="99"/>
  <c r="V171" i="99" s="1"/>
  <c r="W171" i="99" s="1"/>
  <c r="S170" i="99"/>
  <c r="E170" i="99"/>
  <c r="P170" i="99" s="1"/>
  <c r="Q169" i="99"/>
  <c r="S169" i="99" s="1"/>
  <c r="P169" i="99"/>
  <c r="V169" i="99" s="1"/>
  <c r="W169" i="99" s="1"/>
  <c r="S168" i="99"/>
  <c r="P168" i="99"/>
  <c r="V168" i="99" s="1"/>
  <c r="W168" i="99" s="1"/>
  <c r="Q167" i="99"/>
  <c r="S167" i="99" s="1"/>
  <c r="E167" i="99"/>
  <c r="P167" i="99" s="1"/>
  <c r="S166" i="99"/>
  <c r="P166" i="99"/>
  <c r="V166" i="99" s="1"/>
  <c r="W166" i="99" s="1"/>
  <c r="Q165" i="99"/>
  <c r="S165" i="99" s="1"/>
  <c r="P165" i="99"/>
  <c r="V165" i="99" s="1"/>
  <c r="W165" i="99" s="1"/>
  <c r="S164" i="99"/>
  <c r="P164" i="99"/>
  <c r="V164" i="99" s="1"/>
  <c r="W164" i="99" s="1"/>
  <c r="S163" i="99"/>
  <c r="P163" i="99"/>
  <c r="V163" i="99" s="1"/>
  <c r="W163" i="99" s="1"/>
  <c r="S162" i="99"/>
  <c r="P162" i="99"/>
  <c r="V162" i="99" s="1"/>
  <c r="W162" i="99" s="1"/>
  <c r="S161" i="99"/>
  <c r="P161" i="99"/>
  <c r="V161" i="99" s="1"/>
  <c r="W161" i="99" s="1"/>
  <c r="S160" i="99"/>
  <c r="P160" i="99"/>
  <c r="V160" i="99" s="1"/>
  <c r="W160" i="99" s="1"/>
  <c r="Q159" i="99"/>
  <c r="S159" i="99" s="1"/>
  <c r="P159" i="99"/>
  <c r="V159" i="99" s="1"/>
  <c r="W159" i="99" s="1"/>
  <c r="S158" i="99"/>
  <c r="P158" i="99"/>
  <c r="V158" i="99" s="1"/>
  <c r="W158" i="99" s="1"/>
  <c r="S157" i="99"/>
  <c r="P157" i="99"/>
  <c r="V157" i="99" s="1"/>
  <c r="W157" i="99" s="1"/>
  <c r="S156" i="99"/>
  <c r="P156" i="99"/>
  <c r="V156" i="99" s="1"/>
  <c r="W156" i="99" s="1"/>
  <c r="S155" i="99"/>
  <c r="P155" i="99"/>
  <c r="V155" i="99" s="1"/>
  <c r="W155" i="99" s="1"/>
  <c r="S154" i="99"/>
  <c r="P154" i="99"/>
  <c r="V154" i="99" s="1"/>
  <c r="W154" i="99" s="1"/>
  <c r="S153" i="99"/>
  <c r="P153" i="99"/>
  <c r="V153" i="99" s="1"/>
  <c r="W153" i="99" s="1"/>
  <c r="S152" i="99"/>
  <c r="P152" i="99"/>
  <c r="V152" i="99" s="1"/>
  <c r="W152" i="99" s="1"/>
  <c r="S151" i="99"/>
  <c r="P151" i="99"/>
  <c r="V151" i="99" s="1"/>
  <c r="W151" i="99" s="1"/>
  <c r="S150" i="99"/>
  <c r="P150" i="99"/>
  <c r="V150" i="99" s="1"/>
  <c r="W150" i="99" s="1"/>
  <c r="S149" i="99"/>
  <c r="P149" i="99"/>
  <c r="V149" i="99" s="1"/>
  <c r="W149" i="99" s="1"/>
  <c r="S148" i="99"/>
  <c r="P148" i="99"/>
  <c r="S147" i="99"/>
  <c r="P147" i="99"/>
  <c r="V147" i="99" s="1"/>
  <c r="W147" i="99" s="1"/>
  <c r="S146" i="99"/>
  <c r="P146" i="99"/>
  <c r="Q145" i="99"/>
  <c r="S145" i="99" s="1"/>
  <c r="P145" i="99"/>
  <c r="V145" i="99" s="1"/>
  <c r="W145" i="99" s="1"/>
  <c r="S144" i="99"/>
  <c r="P144" i="99"/>
  <c r="V144" i="99" s="1"/>
  <c r="W144" i="99" s="1"/>
  <c r="S143" i="99"/>
  <c r="P143" i="99"/>
  <c r="S142" i="99"/>
  <c r="P142" i="99"/>
  <c r="V142" i="99" s="1"/>
  <c r="W142" i="99" s="1"/>
  <c r="S141" i="99"/>
  <c r="P141" i="99"/>
  <c r="S140" i="99"/>
  <c r="P140" i="99"/>
  <c r="V140" i="99" s="1"/>
  <c r="W140" i="99" s="1"/>
  <c r="S139" i="99"/>
  <c r="P139" i="99"/>
  <c r="S138" i="99"/>
  <c r="P138" i="99"/>
  <c r="V138" i="99" s="1"/>
  <c r="W138" i="99" s="1"/>
  <c r="S137" i="99"/>
  <c r="P137" i="99"/>
  <c r="S136" i="99"/>
  <c r="P136" i="99"/>
  <c r="V136" i="99" s="1"/>
  <c r="W136" i="99" s="1"/>
  <c r="S135" i="99"/>
  <c r="P135" i="99"/>
  <c r="S134" i="99"/>
  <c r="P134" i="99"/>
  <c r="V134" i="99" s="1"/>
  <c r="W134" i="99" s="1"/>
  <c r="S133" i="99"/>
  <c r="P133" i="99"/>
  <c r="S132" i="99"/>
  <c r="P132" i="99"/>
  <c r="V132" i="99" s="1"/>
  <c r="W132" i="99" s="1"/>
  <c r="S131" i="99"/>
  <c r="P131" i="99"/>
  <c r="S130" i="99"/>
  <c r="P130" i="99"/>
  <c r="V130" i="99" s="1"/>
  <c r="W130" i="99" s="1"/>
  <c r="S129" i="99"/>
  <c r="P129" i="99"/>
  <c r="S128" i="99"/>
  <c r="P128" i="99"/>
  <c r="V128" i="99" s="1"/>
  <c r="W128" i="99" s="1"/>
  <c r="S127" i="99"/>
  <c r="P127" i="99"/>
  <c r="Q126" i="99"/>
  <c r="S126" i="99" s="1"/>
  <c r="E126" i="99"/>
  <c r="P126" i="99" s="1"/>
  <c r="S125" i="99"/>
  <c r="E125" i="99"/>
  <c r="P125" i="99" s="1"/>
  <c r="S124" i="99"/>
  <c r="P124" i="99"/>
  <c r="S123" i="99"/>
  <c r="P123" i="99"/>
  <c r="V123" i="99" s="1"/>
  <c r="W123" i="99" s="1"/>
  <c r="S122" i="99"/>
  <c r="P122" i="99"/>
  <c r="V122" i="99" s="1"/>
  <c r="W122" i="99" s="1"/>
  <c r="Q121" i="99"/>
  <c r="S121" i="99" s="1"/>
  <c r="I121" i="99"/>
  <c r="I479" i="99" s="1"/>
  <c r="S120" i="99"/>
  <c r="E120" i="99"/>
  <c r="P120" i="99" s="1"/>
  <c r="Q119" i="99"/>
  <c r="S119" i="99" s="1"/>
  <c r="P119" i="99"/>
  <c r="R119" i="99" s="1"/>
  <c r="S118" i="99"/>
  <c r="P118" i="99"/>
  <c r="V118" i="99" s="1"/>
  <c r="W118" i="99" s="1"/>
  <c r="S117" i="99"/>
  <c r="P117" i="99"/>
  <c r="V117" i="99" s="1"/>
  <c r="W117" i="99" s="1"/>
  <c r="S116" i="99"/>
  <c r="P116" i="99"/>
  <c r="V116" i="99" s="1"/>
  <c r="W116" i="99" s="1"/>
  <c r="S115" i="99"/>
  <c r="P115" i="99"/>
  <c r="V115" i="99" s="1"/>
  <c r="W115" i="99" s="1"/>
  <c r="S114" i="99"/>
  <c r="P114" i="99"/>
  <c r="V114" i="99" s="1"/>
  <c r="W114" i="99" s="1"/>
  <c r="Q113" i="99"/>
  <c r="S113" i="99" s="1"/>
  <c r="E113" i="99"/>
  <c r="S112" i="99"/>
  <c r="P112" i="99"/>
  <c r="V112" i="99" s="1"/>
  <c r="W112" i="99" s="1"/>
  <c r="Q111" i="99"/>
  <c r="S111" i="99" s="1"/>
  <c r="P111" i="99"/>
  <c r="V111" i="99" s="1"/>
  <c r="W111" i="99" s="1"/>
  <c r="S110" i="99"/>
  <c r="P110" i="99"/>
  <c r="V110" i="99" s="1"/>
  <c r="W110" i="99" s="1"/>
  <c r="S109" i="99"/>
  <c r="P109" i="99"/>
  <c r="V109" i="99" s="1"/>
  <c r="W109" i="99" s="1"/>
  <c r="S108" i="99"/>
  <c r="P108" i="99"/>
  <c r="V108" i="99" s="1"/>
  <c r="W108" i="99" s="1"/>
  <c r="Q107" i="99"/>
  <c r="S107" i="99" s="1"/>
  <c r="P107" i="99"/>
  <c r="V107" i="99" s="1"/>
  <c r="W107" i="99" s="1"/>
  <c r="S106" i="99"/>
  <c r="P106" i="99"/>
  <c r="V106" i="99" s="1"/>
  <c r="W106" i="99" s="1"/>
  <c r="S105" i="99"/>
  <c r="P105" i="99"/>
  <c r="V105" i="99" s="1"/>
  <c r="W105" i="99" s="1"/>
  <c r="S104" i="99"/>
  <c r="P104" i="99"/>
  <c r="V104" i="99" s="1"/>
  <c r="W104" i="99" s="1"/>
  <c r="S103" i="99"/>
  <c r="P103" i="99"/>
  <c r="V103" i="99" s="1"/>
  <c r="W103" i="99" s="1"/>
  <c r="S102" i="99"/>
  <c r="P102" i="99"/>
  <c r="V102" i="99" s="1"/>
  <c r="W102" i="99" s="1"/>
  <c r="S101" i="99"/>
  <c r="P101" i="99"/>
  <c r="V101" i="99" s="1"/>
  <c r="W101" i="99" s="1"/>
  <c r="Q100" i="99"/>
  <c r="S100" i="99" s="1"/>
  <c r="P100" i="99"/>
  <c r="V100" i="99" s="1"/>
  <c r="W100" i="99" s="1"/>
  <c r="S99" i="99"/>
  <c r="P99" i="99"/>
  <c r="V99" i="99" s="1"/>
  <c r="W99" i="99" s="1"/>
  <c r="S98" i="99"/>
  <c r="P98" i="99"/>
  <c r="V98" i="99" s="1"/>
  <c r="W98" i="99" s="1"/>
  <c r="S97" i="99"/>
  <c r="P97" i="99"/>
  <c r="V97" i="99" s="1"/>
  <c r="W97" i="99" s="1"/>
  <c r="S96" i="99"/>
  <c r="P96" i="99"/>
  <c r="V96" i="99" s="1"/>
  <c r="W96" i="99" s="1"/>
  <c r="S95" i="99"/>
  <c r="P95" i="99"/>
  <c r="V95" i="99" s="1"/>
  <c r="W95" i="99" s="1"/>
  <c r="S94" i="99"/>
  <c r="P94" i="99"/>
  <c r="V94" i="99" s="1"/>
  <c r="W94" i="99" s="1"/>
  <c r="S93" i="99"/>
  <c r="P93" i="99"/>
  <c r="V93" i="99" s="1"/>
  <c r="W93" i="99" s="1"/>
  <c r="S92" i="99"/>
  <c r="P92" i="99"/>
  <c r="V92" i="99" s="1"/>
  <c r="W92" i="99" s="1"/>
  <c r="S91" i="99"/>
  <c r="P91" i="99"/>
  <c r="V91" i="99" s="1"/>
  <c r="W91" i="99" s="1"/>
  <c r="Q90" i="99"/>
  <c r="S90" i="99" s="1"/>
  <c r="P90" i="99"/>
  <c r="V90" i="99" s="1"/>
  <c r="W90" i="99" s="1"/>
  <c r="S89" i="99"/>
  <c r="P89" i="99"/>
  <c r="V89" i="99" s="1"/>
  <c r="W89" i="99" s="1"/>
  <c r="S88" i="99"/>
  <c r="P88" i="99"/>
  <c r="V88" i="99" s="1"/>
  <c r="W88" i="99" s="1"/>
  <c r="S87" i="99"/>
  <c r="P87" i="99"/>
  <c r="V87" i="99" s="1"/>
  <c r="W87" i="99" s="1"/>
  <c r="S86" i="99"/>
  <c r="P86" i="99"/>
  <c r="V86" i="99" s="1"/>
  <c r="W86" i="99" s="1"/>
  <c r="S85" i="99"/>
  <c r="P85" i="99"/>
  <c r="V85" i="99" s="1"/>
  <c r="W85" i="99" s="1"/>
  <c r="S84" i="99"/>
  <c r="P84" i="99"/>
  <c r="V84" i="99" s="1"/>
  <c r="W84" i="99" s="1"/>
  <c r="S83" i="99"/>
  <c r="P83" i="99"/>
  <c r="V83" i="99" s="1"/>
  <c r="W83" i="99" s="1"/>
  <c r="S82" i="99"/>
  <c r="P82" i="99"/>
  <c r="V82" i="99" s="1"/>
  <c r="W82" i="99" s="1"/>
  <c r="Q81" i="99"/>
  <c r="S81" i="99" s="1"/>
  <c r="P81" i="99"/>
  <c r="V81" i="99" s="1"/>
  <c r="W81" i="99" s="1"/>
  <c r="S80" i="99"/>
  <c r="P80" i="99"/>
  <c r="V80" i="99" s="1"/>
  <c r="W80" i="99" s="1"/>
  <c r="S79" i="99"/>
  <c r="P79" i="99"/>
  <c r="V79" i="99" s="1"/>
  <c r="W79" i="99" s="1"/>
  <c r="Q78" i="99"/>
  <c r="S78" i="99" s="1"/>
  <c r="P78" i="99"/>
  <c r="V78" i="99" s="1"/>
  <c r="W78" i="99" s="1"/>
  <c r="S77" i="99"/>
  <c r="P77" i="99"/>
  <c r="V77" i="99" s="1"/>
  <c r="W77" i="99" s="1"/>
  <c r="Q76" i="99"/>
  <c r="S76" i="99" s="1"/>
  <c r="P76" i="99"/>
  <c r="V76" i="99" s="1"/>
  <c r="W76" i="99" s="1"/>
  <c r="Q75" i="99"/>
  <c r="S75" i="99" s="1"/>
  <c r="P75" i="99"/>
  <c r="V75" i="99" s="1"/>
  <c r="W75" i="99" s="1"/>
  <c r="S74" i="99"/>
  <c r="P74" i="99"/>
  <c r="V74" i="99" s="1"/>
  <c r="W74" i="99" s="1"/>
  <c r="Q73" i="99"/>
  <c r="S73" i="99" s="1"/>
  <c r="P73" i="99"/>
  <c r="V73" i="99" s="1"/>
  <c r="W73" i="99" s="1"/>
  <c r="S72" i="99"/>
  <c r="P72" i="99"/>
  <c r="V72" i="99" s="1"/>
  <c r="W72" i="99" s="1"/>
  <c r="S71" i="99"/>
  <c r="P71" i="99"/>
  <c r="V71" i="99" s="1"/>
  <c r="W71" i="99" s="1"/>
  <c r="S70" i="99"/>
  <c r="P70" i="99"/>
  <c r="V70" i="99" s="1"/>
  <c r="W70" i="99" s="1"/>
  <c r="S69" i="99"/>
  <c r="P69" i="99"/>
  <c r="V69" i="99" s="1"/>
  <c r="W69" i="99" s="1"/>
  <c r="S68" i="99"/>
  <c r="P68" i="99"/>
  <c r="V68" i="99" s="1"/>
  <c r="W68" i="99" s="1"/>
  <c r="S67" i="99"/>
  <c r="P67" i="99"/>
  <c r="V67" i="99" s="1"/>
  <c r="W67" i="99" s="1"/>
  <c r="S66" i="99"/>
  <c r="P66" i="99"/>
  <c r="V66" i="99" s="1"/>
  <c r="W66" i="99" s="1"/>
  <c r="S65" i="99"/>
  <c r="P65" i="99"/>
  <c r="V65" i="99" s="1"/>
  <c r="W65" i="99" s="1"/>
  <c r="S64" i="99"/>
  <c r="P64" i="99"/>
  <c r="V64" i="99" s="1"/>
  <c r="W64" i="99" s="1"/>
  <c r="S63" i="99"/>
  <c r="P63" i="99"/>
  <c r="V63" i="99" s="1"/>
  <c r="W63" i="99" s="1"/>
  <c r="Q62" i="99"/>
  <c r="S62" i="99" s="1"/>
  <c r="P62" i="99"/>
  <c r="V62" i="99" s="1"/>
  <c r="W62" i="99" s="1"/>
  <c r="S61" i="99"/>
  <c r="P61" i="99"/>
  <c r="V61" i="99" s="1"/>
  <c r="W61" i="99" s="1"/>
  <c r="S60" i="99"/>
  <c r="P60" i="99"/>
  <c r="V60" i="99" s="1"/>
  <c r="W60" i="99" s="1"/>
  <c r="Q59" i="99"/>
  <c r="S59" i="99" s="1"/>
  <c r="P59" i="99"/>
  <c r="V59" i="99" s="1"/>
  <c r="W59" i="99" s="1"/>
  <c r="S58" i="99"/>
  <c r="P58" i="99"/>
  <c r="V58" i="99" s="1"/>
  <c r="W58" i="99" s="1"/>
  <c r="S57" i="99"/>
  <c r="P57" i="99"/>
  <c r="V57" i="99" s="1"/>
  <c r="W57" i="99" s="1"/>
  <c r="S56" i="99"/>
  <c r="P56" i="99"/>
  <c r="V56" i="99" s="1"/>
  <c r="W56" i="99" s="1"/>
  <c r="S55" i="99"/>
  <c r="P55" i="99"/>
  <c r="V55" i="99" s="1"/>
  <c r="W55" i="99" s="1"/>
  <c r="Q54" i="99"/>
  <c r="S54" i="99" s="1"/>
  <c r="P54" i="99"/>
  <c r="V54" i="99" s="1"/>
  <c r="W54" i="99" s="1"/>
  <c r="Q53" i="99"/>
  <c r="S53" i="99" s="1"/>
  <c r="P53" i="99"/>
  <c r="V53" i="99" s="1"/>
  <c r="W53" i="99" s="1"/>
  <c r="S52" i="99"/>
  <c r="P52" i="99"/>
  <c r="V52" i="99" s="1"/>
  <c r="W52" i="99" s="1"/>
  <c r="S51" i="99"/>
  <c r="P51" i="99"/>
  <c r="V51" i="99" s="1"/>
  <c r="W51" i="99" s="1"/>
  <c r="S50" i="99"/>
  <c r="P50" i="99"/>
  <c r="V50" i="99" s="1"/>
  <c r="W50" i="99" s="1"/>
  <c r="S49" i="99"/>
  <c r="P49" i="99"/>
  <c r="V49" i="99" s="1"/>
  <c r="W49" i="99" s="1"/>
  <c r="Q48" i="99"/>
  <c r="S48" i="99" s="1"/>
  <c r="P48" i="99"/>
  <c r="V48" i="99" s="1"/>
  <c r="W48" i="99" s="1"/>
  <c r="S47" i="99"/>
  <c r="P47" i="99"/>
  <c r="V47" i="99" s="1"/>
  <c r="W47" i="99" s="1"/>
  <c r="S46" i="99"/>
  <c r="P46" i="99"/>
  <c r="V46" i="99" s="1"/>
  <c r="W46" i="99" s="1"/>
  <c r="S45" i="99"/>
  <c r="P45" i="99"/>
  <c r="V45" i="99" s="1"/>
  <c r="W45" i="99" s="1"/>
  <c r="S44" i="99"/>
  <c r="P44" i="99"/>
  <c r="V44" i="99" s="1"/>
  <c r="W44" i="99" s="1"/>
  <c r="S43" i="99"/>
  <c r="P43" i="99"/>
  <c r="V43" i="99" s="1"/>
  <c r="W43" i="99" s="1"/>
  <c r="S42" i="99"/>
  <c r="P42" i="99"/>
  <c r="V42" i="99" s="1"/>
  <c r="W42" i="99" s="1"/>
  <c r="S41" i="99"/>
  <c r="P41" i="99"/>
  <c r="V41" i="99" s="1"/>
  <c r="W41" i="99" s="1"/>
  <c r="Q40" i="99"/>
  <c r="S40" i="99" s="1"/>
  <c r="P40" i="99"/>
  <c r="R40" i="99" s="1"/>
  <c r="S39" i="99"/>
  <c r="P39" i="99"/>
  <c r="V39" i="99" s="1"/>
  <c r="W39" i="99" s="1"/>
  <c r="S38" i="99"/>
  <c r="P38" i="99"/>
  <c r="V38" i="99" s="1"/>
  <c r="W38" i="99" s="1"/>
  <c r="Q37" i="99"/>
  <c r="S37" i="99" s="1"/>
  <c r="P37" i="99"/>
  <c r="V37" i="99" s="1"/>
  <c r="W37" i="99" s="1"/>
  <c r="S36" i="99"/>
  <c r="P36" i="99"/>
  <c r="V36" i="99" s="1"/>
  <c r="W36" i="99" s="1"/>
  <c r="S35" i="99"/>
  <c r="P35" i="99"/>
  <c r="V35" i="99" s="1"/>
  <c r="W35" i="99" s="1"/>
  <c r="S34" i="99"/>
  <c r="P34" i="99"/>
  <c r="V34" i="99" s="1"/>
  <c r="W34" i="99" s="1"/>
  <c r="S33" i="99"/>
  <c r="P33" i="99"/>
  <c r="V33" i="99" s="1"/>
  <c r="W33" i="99" s="1"/>
  <c r="S32" i="99"/>
  <c r="P32" i="99"/>
  <c r="V32" i="99" s="1"/>
  <c r="W32" i="99" s="1"/>
  <c r="Q31" i="99"/>
  <c r="S31" i="99" s="1"/>
  <c r="P31" i="99"/>
  <c r="V31" i="99" s="1"/>
  <c r="W31" i="99" s="1"/>
  <c r="S30" i="99"/>
  <c r="P30" i="99"/>
  <c r="V30" i="99" s="1"/>
  <c r="W30" i="99" s="1"/>
  <c r="Q29" i="99"/>
  <c r="S29" i="99" s="1"/>
  <c r="P29" i="99"/>
  <c r="V29" i="99" s="1"/>
  <c r="W29" i="99" s="1"/>
  <c r="Q28" i="99"/>
  <c r="S28" i="99" s="1"/>
  <c r="P28" i="99"/>
  <c r="V28" i="99" s="1"/>
  <c r="W28" i="99" s="1"/>
  <c r="S27" i="99"/>
  <c r="P27" i="99"/>
  <c r="V27" i="99" s="1"/>
  <c r="W27" i="99" s="1"/>
  <c r="S26" i="99"/>
  <c r="P26" i="99"/>
  <c r="V26" i="99" s="1"/>
  <c r="W26" i="99" s="1"/>
  <c r="S25" i="99"/>
  <c r="P25" i="99"/>
  <c r="V25" i="99" s="1"/>
  <c r="W25" i="99" s="1"/>
  <c r="Q24" i="99"/>
  <c r="S24" i="99" s="1"/>
  <c r="P24" i="99"/>
  <c r="V24" i="99" s="1"/>
  <c r="W24" i="99" s="1"/>
  <c r="S23" i="99"/>
  <c r="P23" i="99"/>
  <c r="V23" i="99" s="1"/>
  <c r="W23" i="99" s="1"/>
  <c r="S22" i="99"/>
  <c r="P22" i="99"/>
  <c r="V22" i="99" s="1"/>
  <c r="W22" i="99" s="1"/>
  <c r="S21" i="99"/>
  <c r="P21" i="99"/>
  <c r="V21" i="99" s="1"/>
  <c r="W21" i="99" s="1"/>
  <c r="S20" i="99"/>
  <c r="P20" i="99"/>
  <c r="V20" i="99" s="1"/>
  <c r="W20" i="99" s="1"/>
  <c r="Q19" i="99"/>
  <c r="S19" i="99" s="1"/>
  <c r="P19" i="99"/>
  <c r="V19" i="99" s="1"/>
  <c r="W19" i="99" s="1"/>
  <c r="Q18" i="99"/>
  <c r="S18" i="99" s="1"/>
  <c r="P18" i="99"/>
  <c r="V18" i="99" s="1"/>
  <c r="W18" i="99" s="1"/>
  <c r="S17" i="99"/>
  <c r="P17" i="99"/>
  <c r="V17" i="99" s="1"/>
  <c r="W17" i="99" s="1"/>
  <c r="Q16" i="99"/>
  <c r="S16" i="99" s="1"/>
  <c r="P16" i="99"/>
  <c r="V16" i="99" s="1"/>
  <c r="W16" i="99" s="1"/>
  <c r="S15" i="99"/>
  <c r="P15" i="99"/>
  <c r="V15" i="99" s="1"/>
  <c r="W15" i="99" s="1"/>
  <c r="Q14" i="99"/>
  <c r="S14" i="99" s="1"/>
  <c r="P14" i="99"/>
  <c r="V14" i="99" s="1"/>
  <c r="W14" i="99" s="1"/>
  <c r="S13" i="99"/>
  <c r="P13" i="99"/>
  <c r="V13" i="99" s="1"/>
  <c r="W13" i="99" s="1"/>
  <c r="Q12" i="99"/>
  <c r="S12" i="99" s="1"/>
  <c r="P12" i="99"/>
  <c r="V12" i="99" s="1"/>
  <c r="W12" i="99" s="1"/>
  <c r="S11" i="99"/>
  <c r="P11" i="99"/>
  <c r="V11" i="99" s="1"/>
  <c r="W11" i="99" s="1"/>
  <c r="S10" i="99"/>
  <c r="P10" i="99"/>
  <c r="V10" i="99" s="1"/>
  <c r="W10" i="99" s="1"/>
  <c r="S9" i="99"/>
  <c r="P9" i="99"/>
  <c r="V9" i="99" s="1"/>
  <c r="W9" i="99" s="1"/>
  <c r="Q8" i="99"/>
  <c r="S8" i="99" s="1"/>
  <c r="P8" i="99"/>
  <c r="V8" i="99" s="1"/>
  <c r="W8" i="99" s="1"/>
  <c r="S7" i="99"/>
  <c r="P7" i="99"/>
  <c r="V7" i="99" s="1"/>
  <c r="W7" i="99" s="1"/>
  <c r="S6" i="99"/>
  <c r="P6" i="99"/>
  <c r="V6" i="99" s="1"/>
  <c r="W6" i="99" s="1"/>
  <c r="S5" i="99"/>
  <c r="P5" i="99"/>
  <c r="V5" i="99" s="1"/>
  <c r="W5" i="99" s="1"/>
  <c r="Q4" i="99"/>
  <c r="S4" i="99" s="1"/>
  <c r="P4" i="99"/>
  <c r="V4" i="99" s="1"/>
  <c r="W4" i="99" s="1"/>
  <c r="S3" i="99"/>
  <c r="P3" i="99"/>
  <c r="V3" i="99" s="1"/>
  <c r="W3" i="99" s="1"/>
  <c r="R351" i="99" l="1"/>
  <c r="V369" i="99"/>
  <c r="W369" i="99" s="1"/>
  <c r="R371" i="99"/>
  <c r="K14" i="174"/>
  <c r="AF5" i="91"/>
  <c r="V364" i="99"/>
  <c r="W364" i="99" s="1"/>
  <c r="V353" i="99"/>
  <c r="W353" i="99" s="1"/>
  <c r="R355" i="99"/>
  <c r="S128" i="154"/>
  <c r="M5" i="91"/>
  <c r="V360" i="99"/>
  <c r="W360" i="99" s="1"/>
  <c r="S352" i="151"/>
  <c r="J23" i="65"/>
  <c r="L23" i="65" s="1"/>
  <c r="J27" i="65"/>
  <c r="L27" i="65" s="1"/>
  <c r="J26" i="65"/>
  <c r="L26" i="65" s="1"/>
  <c r="J12" i="65"/>
  <c r="L12" i="65" s="1"/>
  <c r="I19" i="65"/>
  <c r="J19" i="65" s="1"/>
  <c r="L19" i="65" s="1"/>
  <c r="J25" i="65"/>
  <c r="L25" i="65" s="1"/>
  <c r="J28" i="65"/>
  <c r="L28" i="65" s="1"/>
  <c r="J22" i="65"/>
  <c r="L22" i="65" s="1"/>
  <c r="I30" i="65"/>
  <c r="J30" i="65" s="1"/>
  <c r="L30" i="65" s="1"/>
  <c r="Q40" i="48"/>
  <c r="Q43" i="48" s="1"/>
  <c r="Q48" i="48" s="1"/>
  <c r="L21" i="65"/>
  <c r="F57" i="65"/>
  <c r="F61" i="65" s="1"/>
  <c r="M48" i="48"/>
  <c r="W17" i="44"/>
  <c r="T12" i="58"/>
  <c r="H28" i="58"/>
  <c r="H30" i="58" s="1"/>
  <c r="G11" i="160" s="1"/>
  <c r="J30" i="162"/>
  <c r="H26" i="162"/>
  <c r="W35" i="44"/>
  <c r="R24" i="44"/>
  <c r="W16" i="44"/>
  <c r="H12" i="67"/>
  <c r="AQ4" i="91" s="1"/>
  <c r="L15" i="166"/>
  <c r="C8" i="196" s="1"/>
  <c r="Y127" i="154"/>
  <c r="H57" i="65"/>
  <c r="H61" i="65" s="1"/>
  <c r="M545" i="154"/>
  <c r="Q300" i="154"/>
  <c r="W300" i="154" s="1"/>
  <c r="X300" i="154" s="1"/>
  <c r="S30" i="151"/>
  <c r="Y30" i="151" s="1"/>
  <c r="Z30" i="151" s="1"/>
  <c r="S347" i="151"/>
  <c r="Y347" i="151" s="1"/>
  <c r="Z347" i="151" s="1"/>
  <c r="AK25" i="81"/>
  <c r="AK27" i="81" s="1"/>
  <c r="AQ33" i="166"/>
  <c r="E479" i="99"/>
  <c r="E36" i="44"/>
  <c r="AL25" i="81"/>
  <c r="AH26" i="81" s="1"/>
  <c r="M9" i="91"/>
  <c r="M16" i="91"/>
  <c r="Y128" i="154"/>
  <c r="J19" i="162"/>
  <c r="J22" i="162" s="1"/>
  <c r="L48" i="48"/>
  <c r="K43" i="48"/>
  <c r="K48" i="48" s="1"/>
  <c r="AO31" i="166"/>
  <c r="AO33" i="166" s="1"/>
  <c r="AN31" i="166"/>
  <c r="AL31" i="166" s="1"/>
  <c r="H81" i="59"/>
  <c r="H80" i="59"/>
  <c r="T28" i="58"/>
  <c r="T30" i="58" s="1"/>
  <c r="G13" i="160" s="1"/>
  <c r="H33" i="59"/>
  <c r="M36" i="44"/>
  <c r="I18" i="160"/>
  <c r="M15" i="174" s="1"/>
  <c r="M22" i="174" s="1"/>
  <c r="Q21" i="174" s="1"/>
  <c r="I36" i="44"/>
  <c r="V35" i="129"/>
  <c r="H82" i="59"/>
  <c r="S453" i="151"/>
  <c r="Y453" i="151" s="1"/>
  <c r="Z453" i="151" s="1"/>
  <c r="S460" i="151"/>
  <c r="H10" i="67"/>
  <c r="AQ2" i="91" s="1"/>
  <c r="AQ28" i="91"/>
  <c r="H25" i="82"/>
  <c r="U370" i="151"/>
  <c r="F545" i="154"/>
  <c r="S493" i="154"/>
  <c r="S495" i="154"/>
  <c r="S497" i="154"/>
  <c r="Y497" i="154" s="1"/>
  <c r="S498" i="154"/>
  <c r="Y498" i="154" s="1"/>
  <c r="O535" i="124"/>
  <c r="K535" i="124"/>
  <c r="S180" i="124"/>
  <c r="S182" i="124"/>
  <c r="S184" i="124"/>
  <c r="S186" i="124"/>
  <c r="S188" i="124"/>
  <c r="S191" i="124"/>
  <c r="S193" i="124"/>
  <c r="S195" i="124"/>
  <c r="S197" i="124"/>
  <c r="S199" i="124"/>
  <c r="S201" i="124"/>
  <c r="S203" i="124"/>
  <c r="S205" i="124"/>
  <c r="S207" i="124"/>
  <c r="S209" i="124"/>
  <c r="S211" i="124"/>
  <c r="S213" i="124"/>
  <c r="S215" i="124"/>
  <c r="S217" i="124"/>
  <c r="S219" i="124"/>
  <c r="S221" i="124"/>
  <c r="S223" i="124"/>
  <c r="S225" i="124"/>
  <c r="S227" i="124"/>
  <c r="S229" i="124"/>
  <c r="S231" i="124"/>
  <c r="S233" i="124"/>
  <c r="S235" i="124"/>
  <c r="S374" i="124"/>
  <c r="S376" i="124"/>
  <c r="I535" i="124"/>
  <c r="Q432" i="124"/>
  <c r="Q433" i="124"/>
  <c r="Q443" i="124"/>
  <c r="S444" i="124"/>
  <c r="S447" i="124"/>
  <c r="Q450" i="124"/>
  <c r="S452" i="124"/>
  <c r="Q454" i="124"/>
  <c r="S454" i="124" s="1"/>
  <c r="Q479" i="124"/>
  <c r="S488" i="124"/>
  <c r="Q502" i="124"/>
  <c r="K558" i="158"/>
  <c r="Y515" i="158"/>
  <c r="Z515" i="158" s="1"/>
  <c r="R193" i="99"/>
  <c r="R195" i="99"/>
  <c r="R197" i="99"/>
  <c r="R199" i="99"/>
  <c r="R201" i="99"/>
  <c r="R203" i="99"/>
  <c r="R205" i="99"/>
  <c r="R207" i="99"/>
  <c r="R209" i="99"/>
  <c r="V211" i="99"/>
  <c r="W211" i="99" s="1"/>
  <c r="R211" i="99"/>
  <c r="V213" i="99"/>
  <c r="W213" i="99" s="1"/>
  <c r="R213" i="99"/>
  <c r="V215" i="99"/>
  <c r="W215" i="99" s="1"/>
  <c r="R215" i="99"/>
  <c r="V217" i="99"/>
  <c r="W217" i="99" s="1"/>
  <c r="R217" i="99"/>
  <c r="V219" i="99"/>
  <c r="W219" i="99" s="1"/>
  <c r="R219" i="99"/>
  <c r="V221" i="99"/>
  <c r="W221" i="99" s="1"/>
  <c r="R221" i="99"/>
  <c r="V223" i="99"/>
  <c r="W223" i="99" s="1"/>
  <c r="R223" i="99"/>
  <c r="V225" i="99"/>
  <c r="W225" i="99" s="1"/>
  <c r="R225" i="99"/>
  <c r="V227" i="99"/>
  <c r="W227" i="99" s="1"/>
  <c r="R227" i="99"/>
  <c r="V229" i="99"/>
  <c r="W229" i="99" s="1"/>
  <c r="R229" i="99"/>
  <c r="V231" i="99"/>
  <c r="W231" i="99" s="1"/>
  <c r="R231" i="99"/>
  <c r="V233" i="99"/>
  <c r="W233" i="99" s="1"/>
  <c r="R233" i="99"/>
  <c r="V235" i="99"/>
  <c r="W235" i="99" s="1"/>
  <c r="R235" i="99"/>
  <c r="V237" i="99"/>
  <c r="W237" i="99" s="1"/>
  <c r="R237" i="99"/>
  <c r="V239" i="99"/>
  <c r="W239" i="99" s="1"/>
  <c r="R239" i="99"/>
  <c r="V241" i="99"/>
  <c r="W241" i="99" s="1"/>
  <c r="R241" i="99"/>
  <c r="V243" i="99"/>
  <c r="W243" i="99" s="1"/>
  <c r="R243" i="99"/>
  <c r="V245" i="99"/>
  <c r="W245" i="99" s="1"/>
  <c r="R245" i="99"/>
  <c r="V247" i="99"/>
  <c r="W247" i="99" s="1"/>
  <c r="R247" i="99"/>
  <c r="V249" i="99"/>
  <c r="W249" i="99" s="1"/>
  <c r="R249" i="99"/>
  <c r="V251" i="99"/>
  <c r="W251" i="99" s="1"/>
  <c r="R251" i="99"/>
  <c r="V254" i="99"/>
  <c r="W254" i="99" s="1"/>
  <c r="R254" i="99"/>
  <c r="V256" i="99"/>
  <c r="W256" i="99" s="1"/>
  <c r="R256" i="99"/>
  <c r="S48" i="124"/>
  <c r="S50" i="124"/>
  <c r="S52" i="124"/>
  <c r="S54" i="124"/>
  <c r="S56" i="124"/>
  <c r="N534" i="124"/>
  <c r="U68" i="158"/>
  <c r="U69" i="158"/>
  <c r="U70" i="158"/>
  <c r="U71" i="158"/>
  <c r="U72" i="158"/>
  <c r="U73" i="158"/>
  <c r="U74" i="158"/>
  <c r="U75" i="158"/>
  <c r="U512" i="158"/>
  <c r="U513" i="158"/>
  <c r="U514" i="158"/>
  <c r="U515" i="158"/>
  <c r="S3" i="154"/>
  <c r="S4" i="154"/>
  <c r="Y4" i="154" s="1"/>
  <c r="S5" i="154"/>
  <c r="Y5" i="154" s="1"/>
  <c r="S6" i="154"/>
  <c r="Y6" i="154" s="1"/>
  <c r="S7" i="154"/>
  <c r="Y7" i="154" s="1"/>
  <c r="S8" i="154"/>
  <c r="Y8" i="154" s="1"/>
  <c r="S9" i="154"/>
  <c r="Y9" i="154" s="1"/>
  <c r="S10" i="154"/>
  <c r="Y10" i="154" s="1"/>
  <c r="S11" i="154"/>
  <c r="Y11" i="154" s="1"/>
  <c r="S12" i="154"/>
  <c r="Y12" i="154" s="1"/>
  <c r="S13" i="154"/>
  <c r="Y13" i="154" s="1"/>
  <c r="S14" i="154"/>
  <c r="Y14" i="154" s="1"/>
  <c r="S15" i="154"/>
  <c r="Y15" i="154" s="1"/>
  <c r="S16" i="154"/>
  <c r="Y16" i="154" s="1"/>
  <c r="S17" i="154"/>
  <c r="Y17" i="154" s="1"/>
  <c r="S18" i="154"/>
  <c r="Y18" i="154" s="1"/>
  <c r="S19" i="154"/>
  <c r="Y19" i="154" s="1"/>
  <c r="S20" i="154"/>
  <c r="Y20" i="154" s="1"/>
  <c r="S21" i="154"/>
  <c r="Y21" i="154" s="1"/>
  <c r="S22" i="154"/>
  <c r="Y22" i="154" s="1"/>
  <c r="S23" i="154"/>
  <c r="Y23" i="154" s="1"/>
  <c r="S24" i="154"/>
  <c r="Y24" i="154" s="1"/>
  <c r="S25" i="154"/>
  <c r="Y25" i="154" s="1"/>
  <c r="S26" i="154"/>
  <c r="Y26" i="154" s="1"/>
  <c r="S27" i="154"/>
  <c r="Y27" i="154" s="1"/>
  <c r="S28" i="154"/>
  <c r="Y28" i="154" s="1"/>
  <c r="S29" i="154"/>
  <c r="Y29" i="154" s="1"/>
  <c r="S30" i="154"/>
  <c r="Y30" i="154" s="1"/>
  <c r="S31" i="154"/>
  <c r="Y31" i="154" s="1"/>
  <c r="S32" i="154"/>
  <c r="Y32" i="154" s="1"/>
  <c r="S33" i="154"/>
  <c r="Y33" i="154" s="1"/>
  <c r="S34" i="154"/>
  <c r="Y34" i="154" s="1"/>
  <c r="S35" i="154"/>
  <c r="Y35" i="154" s="1"/>
  <c r="S36" i="154"/>
  <c r="Y36" i="154" s="1"/>
  <c r="S37" i="154"/>
  <c r="Y37" i="154" s="1"/>
  <c r="S38" i="154"/>
  <c r="Y38" i="154" s="1"/>
  <c r="S39" i="154"/>
  <c r="Y39" i="154" s="1"/>
  <c r="S40" i="154"/>
  <c r="Y40" i="154" s="1"/>
  <c r="S41" i="154"/>
  <c r="Y41" i="154" s="1"/>
  <c r="S42" i="154"/>
  <c r="Y42" i="154" s="1"/>
  <c r="S43" i="154"/>
  <c r="Y43" i="154" s="1"/>
  <c r="S44" i="154"/>
  <c r="Y44" i="154" s="1"/>
  <c r="S45" i="154"/>
  <c r="Y45" i="154" s="1"/>
  <c r="S46" i="154"/>
  <c r="Y46" i="154" s="1"/>
  <c r="W47" i="154"/>
  <c r="X47" i="154" s="1"/>
  <c r="S47" i="154"/>
  <c r="W48" i="154"/>
  <c r="X48" i="154" s="1"/>
  <c r="S48" i="154"/>
  <c r="W49" i="154"/>
  <c r="X49" i="154" s="1"/>
  <c r="S49" i="154"/>
  <c r="W50" i="154"/>
  <c r="X50" i="154" s="1"/>
  <c r="S50" i="154"/>
  <c r="W51" i="154"/>
  <c r="X51" i="154" s="1"/>
  <c r="S51" i="154"/>
  <c r="W52" i="154"/>
  <c r="X52" i="154" s="1"/>
  <c r="S52" i="154"/>
  <c r="W53" i="154"/>
  <c r="X53" i="154" s="1"/>
  <c r="S53" i="154"/>
  <c r="W54" i="154"/>
  <c r="X54" i="154" s="1"/>
  <c r="S54" i="154"/>
  <c r="W55" i="154"/>
  <c r="X55" i="154" s="1"/>
  <c r="S55" i="154"/>
  <c r="W56" i="154"/>
  <c r="X56" i="154" s="1"/>
  <c r="S56" i="154"/>
  <c r="W57" i="154"/>
  <c r="X57" i="154" s="1"/>
  <c r="S57" i="154"/>
  <c r="W58" i="154"/>
  <c r="X58" i="154" s="1"/>
  <c r="S58" i="154"/>
  <c r="W59" i="154"/>
  <c r="X59" i="154" s="1"/>
  <c r="S59" i="154"/>
  <c r="W60" i="154"/>
  <c r="X60" i="154" s="1"/>
  <c r="S60" i="154"/>
  <c r="W61" i="154"/>
  <c r="X61" i="154" s="1"/>
  <c r="S61" i="154"/>
  <c r="W62" i="154"/>
  <c r="X62" i="154" s="1"/>
  <c r="S62" i="154"/>
  <c r="W63" i="154"/>
  <c r="X63" i="154" s="1"/>
  <c r="S63" i="154"/>
  <c r="W64" i="154"/>
  <c r="X64" i="154" s="1"/>
  <c r="S64" i="154"/>
  <c r="W65" i="154"/>
  <c r="X65" i="154" s="1"/>
  <c r="S65" i="154"/>
  <c r="W66" i="154"/>
  <c r="X66" i="154" s="1"/>
  <c r="S66" i="154"/>
  <c r="W67" i="154"/>
  <c r="X67" i="154" s="1"/>
  <c r="S67" i="154"/>
  <c r="W68" i="154"/>
  <c r="X68" i="154" s="1"/>
  <c r="S68" i="154"/>
  <c r="W69" i="154"/>
  <c r="X69" i="154" s="1"/>
  <c r="S69" i="154"/>
  <c r="W70" i="154"/>
  <c r="X70" i="154" s="1"/>
  <c r="S70" i="154"/>
  <c r="W71" i="154"/>
  <c r="X71" i="154" s="1"/>
  <c r="S71" i="154"/>
  <c r="W72" i="154"/>
  <c r="X72" i="154" s="1"/>
  <c r="S72" i="154"/>
  <c r="W73" i="154"/>
  <c r="X73" i="154" s="1"/>
  <c r="S73" i="154"/>
  <c r="W74" i="154"/>
  <c r="X74" i="154" s="1"/>
  <c r="S74" i="154"/>
  <c r="W75" i="154"/>
  <c r="X75" i="154" s="1"/>
  <c r="S75" i="154"/>
  <c r="W76" i="154"/>
  <c r="X76" i="154" s="1"/>
  <c r="S76" i="154"/>
  <c r="W77" i="154"/>
  <c r="X77" i="154" s="1"/>
  <c r="S77" i="154"/>
  <c r="W78" i="154"/>
  <c r="X78" i="154" s="1"/>
  <c r="S78" i="154"/>
  <c r="W79" i="154"/>
  <c r="X79" i="154" s="1"/>
  <c r="S79" i="154"/>
  <c r="H560" i="151"/>
  <c r="S120" i="151"/>
  <c r="S121" i="151"/>
  <c r="U121" i="151" s="1"/>
  <c r="S130" i="151"/>
  <c r="Y130" i="151" s="1"/>
  <c r="Z130" i="151" s="1"/>
  <c r="S188" i="151"/>
  <c r="Y188" i="151" s="1"/>
  <c r="Z188" i="151" s="1"/>
  <c r="S192" i="151"/>
  <c r="Y192" i="151" s="1"/>
  <c r="Z192" i="151" s="1"/>
  <c r="S194" i="151"/>
  <c r="Y194" i="151" s="1"/>
  <c r="Z194" i="151" s="1"/>
  <c r="U509" i="151"/>
  <c r="H242" i="2"/>
  <c r="R40" i="48"/>
  <c r="R43" i="48" s="1"/>
  <c r="R48" i="48" s="1"/>
  <c r="R166" i="99"/>
  <c r="R168" i="99"/>
  <c r="R178" i="99"/>
  <c r="R184" i="99"/>
  <c r="R186" i="99"/>
  <c r="R188" i="99"/>
  <c r="R190" i="99"/>
  <c r="R398" i="99"/>
  <c r="P409" i="99"/>
  <c r="R411" i="99"/>
  <c r="R413" i="99"/>
  <c r="R415" i="99"/>
  <c r="R417" i="99"/>
  <c r="R419" i="99"/>
  <c r="R422" i="99"/>
  <c r="R425" i="99"/>
  <c r="R427" i="99"/>
  <c r="R429" i="99"/>
  <c r="R431" i="99"/>
  <c r="P443" i="99"/>
  <c r="R444" i="99"/>
  <c r="R445" i="99"/>
  <c r="S92" i="124"/>
  <c r="W95" i="124"/>
  <c r="X95" i="124" s="1"/>
  <c r="S95" i="124"/>
  <c r="W97" i="124"/>
  <c r="X97" i="124" s="1"/>
  <c r="S97" i="124"/>
  <c r="W99" i="124"/>
  <c r="X99" i="124" s="1"/>
  <c r="S99" i="124"/>
  <c r="W101" i="124"/>
  <c r="X101" i="124" s="1"/>
  <c r="S101" i="124"/>
  <c r="W103" i="124"/>
  <c r="X103" i="124" s="1"/>
  <c r="S103" i="124"/>
  <c r="U295" i="158"/>
  <c r="U296" i="158"/>
  <c r="U297" i="158"/>
  <c r="U298" i="158"/>
  <c r="U299" i="158"/>
  <c r="U300" i="158"/>
  <c r="U301" i="158"/>
  <c r="U302" i="158"/>
  <c r="U303" i="158"/>
  <c r="U304" i="158"/>
  <c r="U305" i="158"/>
  <c r="U306" i="158"/>
  <c r="U307" i="158"/>
  <c r="U308" i="158"/>
  <c r="U309" i="158"/>
  <c r="U310" i="158"/>
  <c r="U311" i="158"/>
  <c r="U312" i="158"/>
  <c r="U313" i="158"/>
  <c r="U314" i="158"/>
  <c r="U315" i="158"/>
  <c r="U316" i="158"/>
  <c r="U317" i="158"/>
  <c r="U318" i="158"/>
  <c r="U319" i="158"/>
  <c r="U320" i="158"/>
  <c r="U321" i="158"/>
  <c r="U322" i="158"/>
  <c r="U323" i="158"/>
  <c r="U324" i="158"/>
  <c r="U325" i="158"/>
  <c r="U326" i="158"/>
  <c r="U327" i="158"/>
  <c r="U328" i="158"/>
  <c r="U439" i="158"/>
  <c r="U440" i="158"/>
  <c r="U441" i="158"/>
  <c r="U442" i="158"/>
  <c r="U443" i="158"/>
  <c r="U444" i="158"/>
  <c r="U445" i="158"/>
  <c r="U446" i="158"/>
  <c r="U447" i="158"/>
  <c r="U448" i="158"/>
  <c r="Y70" i="151"/>
  <c r="Z70" i="151" s="1"/>
  <c r="S131" i="151"/>
  <c r="Y131" i="151" s="1"/>
  <c r="Z131" i="151" s="1"/>
  <c r="S285" i="124"/>
  <c r="S287" i="124"/>
  <c r="S289" i="124"/>
  <c r="S291" i="124"/>
  <c r="S293" i="124"/>
  <c r="S295" i="124"/>
  <c r="S297" i="124"/>
  <c r="S299" i="124"/>
  <c r="S301" i="124"/>
  <c r="S303" i="124"/>
  <c r="S305" i="124"/>
  <c r="S307" i="124"/>
  <c r="S309" i="124"/>
  <c r="S311" i="124"/>
  <c r="S313" i="124"/>
  <c r="S315" i="124"/>
  <c r="S317" i="124"/>
  <c r="S319" i="124"/>
  <c r="S321" i="124"/>
  <c r="S323" i="124"/>
  <c r="S408" i="154"/>
  <c r="Y408" i="154" s="1"/>
  <c r="S409" i="154"/>
  <c r="Y409" i="154" s="1"/>
  <c r="S412" i="154"/>
  <c r="Y412" i="154" s="1"/>
  <c r="S413" i="154"/>
  <c r="Y413" i="154" s="1"/>
  <c r="S424" i="154"/>
  <c r="Y424" i="154" s="1"/>
  <c r="S425" i="154"/>
  <c r="Y425" i="154" s="1"/>
  <c r="S428" i="154"/>
  <c r="Y428" i="154" s="1"/>
  <c r="AF3" i="91"/>
  <c r="AT15" i="91"/>
  <c r="AW15" i="91"/>
  <c r="M18" i="91"/>
  <c r="M20" i="91"/>
  <c r="AT30" i="91"/>
  <c r="AW30" i="91"/>
  <c r="AW39" i="91" s="1"/>
  <c r="AQ37" i="91"/>
  <c r="AB17" i="91" s="1"/>
  <c r="H247" i="3"/>
  <c r="J247" i="3"/>
  <c r="L247" i="3"/>
  <c r="N247" i="3"/>
  <c r="P247" i="3"/>
  <c r="R247" i="3"/>
  <c r="T247" i="3"/>
  <c r="V247" i="3"/>
  <c r="Y44" i="151"/>
  <c r="Z44" i="151" s="1"/>
  <c r="U119" i="151"/>
  <c r="M41" i="161"/>
  <c r="AA212" i="175"/>
  <c r="AB212" i="175" s="1"/>
  <c r="P45" i="51"/>
  <c r="R114" i="99"/>
  <c r="R116" i="99"/>
  <c r="R118" i="99"/>
  <c r="R122" i="99"/>
  <c r="V124" i="99"/>
  <c r="W124" i="99" s="1"/>
  <c r="R124" i="99"/>
  <c r="V127" i="99"/>
  <c r="W127" i="99" s="1"/>
  <c r="R127" i="99"/>
  <c r="V129" i="99"/>
  <c r="W129" i="99" s="1"/>
  <c r="R129" i="99"/>
  <c r="V131" i="99"/>
  <c r="W131" i="99" s="1"/>
  <c r="R131" i="99"/>
  <c r="V133" i="99"/>
  <c r="W133" i="99" s="1"/>
  <c r="R133" i="99"/>
  <c r="V135" i="99"/>
  <c r="W135" i="99" s="1"/>
  <c r="R135" i="99"/>
  <c r="V137" i="99"/>
  <c r="W137" i="99" s="1"/>
  <c r="R137" i="99"/>
  <c r="V139" i="99"/>
  <c r="W139" i="99" s="1"/>
  <c r="R139" i="99"/>
  <c r="V141" i="99"/>
  <c r="W141" i="99" s="1"/>
  <c r="R141" i="99"/>
  <c r="V143" i="99"/>
  <c r="W143" i="99" s="1"/>
  <c r="R143" i="99"/>
  <c r="V146" i="99"/>
  <c r="W146" i="99" s="1"/>
  <c r="R146" i="99"/>
  <c r="V148" i="99"/>
  <c r="W148" i="99" s="1"/>
  <c r="R148" i="99"/>
  <c r="T534" i="124"/>
  <c r="S4" i="124"/>
  <c r="S6" i="124"/>
  <c r="S8" i="124"/>
  <c r="S10" i="124"/>
  <c r="S12" i="124"/>
  <c r="S14" i="124"/>
  <c r="S16" i="124"/>
  <c r="S18" i="124"/>
  <c r="S20" i="124"/>
  <c r="S22" i="124"/>
  <c r="S24" i="124"/>
  <c r="S27" i="124"/>
  <c r="S106" i="124"/>
  <c r="S108" i="124"/>
  <c r="S127" i="124"/>
  <c r="S129" i="124"/>
  <c r="Q394" i="124"/>
  <c r="W394" i="124" s="1"/>
  <c r="X394" i="124" s="1"/>
  <c r="S395" i="124"/>
  <c r="S397" i="124"/>
  <c r="S399" i="124"/>
  <c r="Q402" i="124"/>
  <c r="S402" i="124" s="1"/>
  <c r="Y281" i="158"/>
  <c r="Z281" i="158" s="1"/>
  <c r="U281" i="158"/>
  <c r="Y283" i="158"/>
  <c r="Z283" i="158" s="1"/>
  <c r="U283" i="158"/>
  <c r="Y285" i="158"/>
  <c r="Z285" i="158" s="1"/>
  <c r="U285" i="158"/>
  <c r="Y287" i="158"/>
  <c r="Z287" i="158" s="1"/>
  <c r="U287" i="158"/>
  <c r="Y289" i="158"/>
  <c r="Z289" i="158" s="1"/>
  <c r="U289" i="158"/>
  <c r="Y291" i="158"/>
  <c r="Z291" i="158" s="1"/>
  <c r="U291" i="158"/>
  <c r="R150" i="99"/>
  <c r="R152" i="99"/>
  <c r="R154" i="99"/>
  <c r="R156" i="99"/>
  <c r="R158" i="99"/>
  <c r="R161" i="99"/>
  <c r="R163" i="99"/>
  <c r="R383" i="99"/>
  <c r="R386" i="99"/>
  <c r="R388" i="99"/>
  <c r="R390" i="99"/>
  <c r="R458" i="99"/>
  <c r="R460" i="99"/>
  <c r="R462" i="99"/>
  <c r="R464" i="99"/>
  <c r="R466" i="99"/>
  <c r="R468" i="99"/>
  <c r="R470" i="99"/>
  <c r="R472" i="99"/>
  <c r="R474" i="99"/>
  <c r="R476" i="99"/>
  <c r="R478" i="99"/>
  <c r="S355" i="124"/>
  <c r="S357" i="124"/>
  <c r="S359" i="124"/>
  <c r="S362" i="124"/>
  <c r="S364" i="124"/>
  <c r="Y133" i="158"/>
  <c r="Z133" i="158" s="1"/>
  <c r="Y134" i="158"/>
  <c r="Z134" i="158" s="1"/>
  <c r="Y135" i="158"/>
  <c r="Z135" i="158" s="1"/>
  <c r="U136" i="158"/>
  <c r="U137" i="158"/>
  <c r="U138" i="158"/>
  <c r="U139" i="158"/>
  <c r="U201" i="158"/>
  <c r="U202" i="158"/>
  <c r="U203" i="158"/>
  <c r="U204" i="158"/>
  <c r="U205" i="158"/>
  <c r="U206" i="158"/>
  <c r="U207" i="158"/>
  <c r="U208" i="158"/>
  <c r="U209" i="158"/>
  <c r="U210" i="158"/>
  <c r="U211" i="158"/>
  <c r="U212" i="158"/>
  <c r="U213" i="158"/>
  <c r="U214" i="158"/>
  <c r="U215" i="158"/>
  <c r="U216" i="158"/>
  <c r="U217" i="158"/>
  <c r="U218" i="158"/>
  <c r="U219" i="158"/>
  <c r="U220" i="158"/>
  <c r="U221" i="158"/>
  <c r="U222" i="158"/>
  <c r="U223" i="158"/>
  <c r="U224" i="158"/>
  <c r="U225" i="158"/>
  <c r="U226" i="158"/>
  <c r="U227" i="158"/>
  <c r="U228" i="158"/>
  <c r="U229" i="158"/>
  <c r="U230" i="158"/>
  <c r="U231" i="158"/>
  <c r="U232" i="158"/>
  <c r="U233" i="158"/>
  <c r="U234" i="158"/>
  <c r="U235" i="158"/>
  <c r="U236" i="158"/>
  <c r="U237" i="158"/>
  <c r="U238" i="158"/>
  <c r="U239" i="158"/>
  <c r="U240" i="158"/>
  <c r="U241" i="158"/>
  <c r="U242" i="158"/>
  <c r="U243" i="158"/>
  <c r="U244" i="158"/>
  <c r="U245" i="158"/>
  <c r="U246" i="158"/>
  <c r="U247" i="158"/>
  <c r="U248" i="158"/>
  <c r="U249" i="158"/>
  <c r="U250" i="158"/>
  <c r="U251" i="158"/>
  <c r="U252" i="158"/>
  <c r="U253" i="158"/>
  <c r="U254" i="158"/>
  <c r="U255" i="158"/>
  <c r="U256" i="158"/>
  <c r="U257" i="158"/>
  <c r="U258" i="158"/>
  <c r="U259" i="158"/>
  <c r="U260" i="158"/>
  <c r="U261" i="158"/>
  <c r="U262" i="158"/>
  <c r="U263" i="158"/>
  <c r="U264" i="158"/>
  <c r="U265" i="158"/>
  <c r="U266" i="158"/>
  <c r="U267" i="158"/>
  <c r="U268" i="158"/>
  <c r="U269" i="158"/>
  <c r="U270" i="158"/>
  <c r="U271" i="158"/>
  <c r="U272" i="158"/>
  <c r="U273" i="158"/>
  <c r="U274" i="158"/>
  <c r="U275" i="158"/>
  <c r="U276" i="158"/>
  <c r="U277" i="158"/>
  <c r="U278" i="158"/>
  <c r="U279" i="158"/>
  <c r="U280" i="158"/>
  <c r="Y282" i="158"/>
  <c r="Z282" i="158" s="1"/>
  <c r="U282" i="158"/>
  <c r="Y284" i="158"/>
  <c r="Z284" i="158" s="1"/>
  <c r="U284" i="158"/>
  <c r="Y286" i="158"/>
  <c r="Z286" i="158" s="1"/>
  <c r="U286" i="158"/>
  <c r="Y288" i="158"/>
  <c r="Z288" i="158" s="1"/>
  <c r="U288" i="158"/>
  <c r="Y290" i="158"/>
  <c r="Z290" i="158" s="1"/>
  <c r="U290" i="158"/>
  <c r="Y292" i="158"/>
  <c r="Z292" i="158" s="1"/>
  <c r="U292" i="158"/>
  <c r="U453" i="158"/>
  <c r="U454" i="158"/>
  <c r="U455" i="158"/>
  <c r="U456" i="158"/>
  <c r="U457" i="158"/>
  <c r="U458" i="158"/>
  <c r="S465" i="158"/>
  <c r="S140" i="151"/>
  <c r="Y140" i="151" s="1"/>
  <c r="Z140" i="151" s="1"/>
  <c r="S157" i="151"/>
  <c r="S172" i="151"/>
  <c r="Y172" i="151" s="1"/>
  <c r="Z172" i="151" s="1"/>
  <c r="U183" i="151"/>
  <c r="N43" i="48"/>
  <c r="N48" i="48" s="1"/>
  <c r="Q22" i="44" s="1"/>
  <c r="U293" i="158"/>
  <c r="U294" i="158"/>
  <c r="S385" i="154"/>
  <c r="Y385" i="154" s="1"/>
  <c r="S386" i="154"/>
  <c r="Y386" i="154" s="1"/>
  <c r="S389" i="154"/>
  <c r="Y389" i="154" s="1"/>
  <c r="S390" i="154"/>
  <c r="Y390" i="154" s="1"/>
  <c r="S393" i="154"/>
  <c r="Y393" i="154" s="1"/>
  <c r="S394" i="154"/>
  <c r="Y394" i="154" s="1"/>
  <c r="S398" i="154"/>
  <c r="Y398" i="154" s="1"/>
  <c r="S399" i="154"/>
  <c r="Y399" i="154" s="1"/>
  <c r="S456" i="154"/>
  <c r="Y456" i="154" s="1"/>
  <c r="S457" i="154"/>
  <c r="Y457" i="154" s="1"/>
  <c r="W461" i="154"/>
  <c r="X461" i="154" s="1"/>
  <c r="S462" i="154"/>
  <c r="Y462" i="154" s="1"/>
  <c r="S465" i="154"/>
  <c r="Y465" i="154" s="1"/>
  <c r="S466" i="154"/>
  <c r="Y466" i="154" s="1"/>
  <c r="S469" i="154"/>
  <c r="Y469" i="154" s="1"/>
  <c r="S470" i="154"/>
  <c r="Y470" i="154" s="1"/>
  <c r="S473" i="154"/>
  <c r="Y473" i="154" s="1"/>
  <c r="S474" i="154"/>
  <c r="Y474" i="154" s="1"/>
  <c r="S486" i="154"/>
  <c r="Y486" i="154" s="1"/>
  <c r="S487" i="154"/>
  <c r="Y487" i="154" s="1"/>
  <c r="S48" i="151"/>
  <c r="S82" i="151"/>
  <c r="U82" i="151" s="1"/>
  <c r="S110" i="151"/>
  <c r="U33" i="166"/>
  <c r="AS15" i="91"/>
  <c r="AV15" i="91"/>
  <c r="AX15" i="91"/>
  <c r="M12" i="91"/>
  <c r="M22" i="91"/>
  <c r="AU30" i="91"/>
  <c r="AS30" i="91"/>
  <c r="AS39" i="91" s="1"/>
  <c r="AS40" i="91" s="1"/>
  <c r="AV30" i="91"/>
  <c r="G247" i="3"/>
  <c r="I247" i="3"/>
  <c r="K247" i="3"/>
  <c r="M247" i="3"/>
  <c r="O247" i="3"/>
  <c r="Q247" i="3"/>
  <c r="S247" i="3"/>
  <c r="U247" i="3"/>
  <c r="W247" i="3"/>
  <c r="O43" i="48"/>
  <c r="O48" i="48" s="1"/>
  <c r="U14" i="151"/>
  <c r="Y42" i="151"/>
  <c r="Z42" i="151" s="1"/>
  <c r="Y68" i="151"/>
  <c r="Z68" i="151" s="1"/>
  <c r="U368" i="151"/>
  <c r="Y504" i="151"/>
  <c r="Z504" i="151" s="1"/>
  <c r="U76" i="151"/>
  <c r="U302" i="151"/>
  <c r="U366" i="151"/>
  <c r="U46" i="151"/>
  <c r="Y72" i="151"/>
  <c r="Z72" i="151" s="1"/>
  <c r="Y74" i="151"/>
  <c r="Z74" i="151" s="1"/>
  <c r="U185" i="151"/>
  <c r="U187" i="151"/>
  <c r="U372" i="151"/>
  <c r="Y176" i="151"/>
  <c r="Z176" i="151" s="1"/>
  <c r="Y178" i="151"/>
  <c r="Z178" i="151" s="1"/>
  <c r="Y180" i="151"/>
  <c r="Z180" i="151" s="1"/>
  <c r="U182" i="151"/>
  <c r="U184" i="151"/>
  <c r="U312" i="151"/>
  <c r="U314" i="151"/>
  <c r="U316" i="151"/>
  <c r="U318" i="151"/>
  <c r="Y363" i="151"/>
  <c r="Z363" i="151" s="1"/>
  <c r="Y481" i="151"/>
  <c r="Z481" i="151" s="1"/>
  <c r="U485" i="151"/>
  <c r="U487" i="151"/>
  <c r="U489" i="151"/>
  <c r="Y505" i="151"/>
  <c r="Z505" i="151" s="1"/>
  <c r="Y41" i="151"/>
  <c r="Z41" i="151" s="1"/>
  <c r="Y43" i="151"/>
  <c r="Z43" i="151" s="1"/>
  <c r="U45" i="151"/>
  <c r="U47" i="151"/>
  <c r="Y67" i="151"/>
  <c r="Z67" i="151" s="1"/>
  <c r="Y69" i="151"/>
  <c r="Z69" i="151" s="1"/>
  <c r="Y71" i="151"/>
  <c r="Z71" i="151" s="1"/>
  <c r="U75" i="151"/>
  <c r="U77" i="151"/>
  <c r="U299" i="151"/>
  <c r="U301" i="151"/>
  <c r="U367" i="151"/>
  <c r="U369" i="151"/>
  <c r="U371" i="151"/>
  <c r="U508" i="151"/>
  <c r="Y175" i="151"/>
  <c r="Z175" i="151" s="1"/>
  <c r="Y177" i="151"/>
  <c r="Z177" i="151" s="1"/>
  <c r="Y179" i="151"/>
  <c r="Z179" i="151" s="1"/>
  <c r="Y181" i="151"/>
  <c r="Z181" i="151" s="1"/>
  <c r="U311" i="151"/>
  <c r="U313" i="151"/>
  <c r="U315" i="151"/>
  <c r="U317" i="151"/>
  <c r="U319" i="151"/>
  <c r="Y362" i="151"/>
  <c r="Z362" i="151" s="1"/>
  <c r="Y364" i="151"/>
  <c r="Z364" i="151" s="1"/>
  <c r="Y482" i="151"/>
  <c r="Z482" i="151" s="1"/>
  <c r="U484" i="151"/>
  <c r="U486" i="151"/>
  <c r="U488" i="151"/>
  <c r="U490" i="151"/>
  <c r="N32" i="57"/>
  <c r="R3" i="99"/>
  <c r="R6" i="99"/>
  <c r="R9" i="99"/>
  <c r="R11" i="99"/>
  <c r="R15" i="99"/>
  <c r="R20" i="99"/>
  <c r="R22" i="99"/>
  <c r="R25" i="99"/>
  <c r="R27" i="99"/>
  <c r="R32" i="99"/>
  <c r="R34" i="99"/>
  <c r="R36" i="99"/>
  <c r="R39" i="99"/>
  <c r="R42" i="99"/>
  <c r="R44" i="99"/>
  <c r="R46" i="99"/>
  <c r="R49" i="99"/>
  <c r="R51" i="99"/>
  <c r="R55" i="99"/>
  <c r="R57" i="99"/>
  <c r="R60" i="99"/>
  <c r="R63" i="99"/>
  <c r="R65" i="99"/>
  <c r="R67" i="99"/>
  <c r="R69" i="99"/>
  <c r="R71" i="99"/>
  <c r="R74" i="99"/>
  <c r="R79" i="99"/>
  <c r="R82" i="99"/>
  <c r="R84" i="99"/>
  <c r="R86" i="99"/>
  <c r="R88" i="99"/>
  <c r="R91" i="99"/>
  <c r="R93" i="99"/>
  <c r="R95" i="99"/>
  <c r="R97" i="99"/>
  <c r="R99" i="99"/>
  <c r="R102" i="99"/>
  <c r="R104" i="99"/>
  <c r="R106" i="99"/>
  <c r="R109" i="99"/>
  <c r="R112" i="99"/>
  <c r="V258" i="99"/>
  <c r="W258" i="99" s="1"/>
  <c r="R258" i="99"/>
  <c r="V260" i="99"/>
  <c r="W260" i="99" s="1"/>
  <c r="R260" i="99"/>
  <c r="V262" i="99"/>
  <c r="W262" i="99" s="1"/>
  <c r="R262" i="99"/>
  <c r="V264" i="99"/>
  <c r="W264" i="99" s="1"/>
  <c r="R264" i="99"/>
  <c r="V268" i="99"/>
  <c r="W268" i="99" s="1"/>
  <c r="R268" i="99"/>
  <c r="V270" i="99"/>
  <c r="W270" i="99" s="1"/>
  <c r="R270" i="99"/>
  <c r="V272" i="99"/>
  <c r="W272" i="99" s="1"/>
  <c r="R272" i="99"/>
  <c r="V274" i="99"/>
  <c r="W274" i="99" s="1"/>
  <c r="R274" i="99"/>
  <c r="V276" i="99"/>
  <c r="W276" i="99" s="1"/>
  <c r="R276" i="99"/>
  <c r="V278" i="99"/>
  <c r="W278" i="99" s="1"/>
  <c r="R278" i="99"/>
  <c r="V280" i="99"/>
  <c r="W280" i="99" s="1"/>
  <c r="R280" i="99"/>
  <c r="V282" i="99"/>
  <c r="W282" i="99" s="1"/>
  <c r="R282" i="99"/>
  <c r="V284" i="99"/>
  <c r="W284" i="99" s="1"/>
  <c r="R284" i="99"/>
  <c r="V287" i="99"/>
  <c r="W287" i="99" s="1"/>
  <c r="R287" i="99"/>
  <c r="V289" i="99"/>
  <c r="W289" i="99" s="1"/>
  <c r="R289" i="99"/>
  <c r="V293" i="99"/>
  <c r="W293" i="99" s="1"/>
  <c r="R293" i="99"/>
  <c r="V295" i="99"/>
  <c r="W295" i="99" s="1"/>
  <c r="R295" i="99"/>
  <c r="V298" i="99"/>
  <c r="W298" i="99" s="1"/>
  <c r="R298" i="99"/>
  <c r="V300" i="99"/>
  <c r="W300" i="99" s="1"/>
  <c r="R300" i="99"/>
  <c r="V302" i="99"/>
  <c r="W302" i="99" s="1"/>
  <c r="R302" i="99"/>
  <c r="V304" i="99"/>
  <c r="W304" i="99" s="1"/>
  <c r="R304" i="99"/>
  <c r="R483" i="99" s="1"/>
  <c r="V307" i="99"/>
  <c r="W307" i="99" s="1"/>
  <c r="R307" i="99"/>
  <c r="V309" i="99"/>
  <c r="W309" i="99" s="1"/>
  <c r="R309" i="99"/>
  <c r="V311" i="99"/>
  <c r="W311" i="99" s="1"/>
  <c r="R311" i="99"/>
  <c r="V313" i="99"/>
  <c r="W313" i="99" s="1"/>
  <c r="R313" i="99"/>
  <c r="V315" i="99"/>
  <c r="W315" i="99" s="1"/>
  <c r="R315" i="99"/>
  <c r="V317" i="99"/>
  <c r="W317" i="99" s="1"/>
  <c r="R317" i="99"/>
  <c r="V319" i="99"/>
  <c r="W319" i="99" s="1"/>
  <c r="R319" i="99"/>
  <c r="V321" i="99"/>
  <c r="W321" i="99" s="1"/>
  <c r="R321" i="99"/>
  <c r="V323" i="99"/>
  <c r="W323" i="99" s="1"/>
  <c r="R323" i="99"/>
  <c r="V325" i="99"/>
  <c r="W325" i="99" s="1"/>
  <c r="R325" i="99"/>
  <c r="V327" i="99"/>
  <c r="W327" i="99" s="1"/>
  <c r="R327" i="99"/>
  <c r="V329" i="99"/>
  <c r="W329" i="99" s="1"/>
  <c r="R329" i="99"/>
  <c r="V331" i="99"/>
  <c r="W331" i="99" s="1"/>
  <c r="R331" i="99"/>
  <c r="V333" i="99"/>
  <c r="W333" i="99" s="1"/>
  <c r="R333" i="99"/>
  <c r="V335" i="99"/>
  <c r="W335" i="99" s="1"/>
  <c r="R335" i="99"/>
  <c r="V337" i="99"/>
  <c r="W337" i="99" s="1"/>
  <c r="R337" i="99"/>
  <c r="V339" i="99"/>
  <c r="W339" i="99" s="1"/>
  <c r="R339" i="99"/>
  <c r="V341" i="99"/>
  <c r="W341" i="99" s="1"/>
  <c r="R341" i="99"/>
  <c r="V343" i="99"/>
  <c r="W343" i="99" s="1"/>
  <c r="R343" i="99"/>
  <c r="V345" i="99"/>
  <c r="W345" i="99" s="1"/>
  <c r="R345" i="99"/>
  <c r="Q479" i="99"/>
  <c r="W114" i="124"/>
  <c r="X114" i="124" s="1"/>
  <c r="S114" i="124"/>
  <c r="W117" i="124"/>
  <c r="X117" i="124" s="1"/>
  <c r="S117" i="124"/>
  <c r="W119" i="124"/>
  <c r="X119" i="124" s="1"/>
  <c r="S119" i="124"/>
  <c r="W121" i="124"/>
  <c r="X121" i="124" s="1"/>
  <c r="S121" i="124"/>
  <c r="W123" i="124"/>
  <c r="X123" i="124" s="1"/>
  <c r="S123" i="124"/>
  <c r="W238" i="124"/>
  <c r="X238" i="124" s="1"/>
  <c r="S238" i="124"/>
  <c r="W240" i="124"/>
  <c r="X240" i="124" s="1"/>
  <c r="S240" i="124"/>
  <c r="W242" i="124"/>
  <c r="X242" i="124" s="1"/>
  <c r="S242" i="124"/>
  <c r="R347" i="99"/>
  <c r="R380" i="99"/>
  <c r="R393" i="99"/>
  <c r="R395" i="99"/>
  <c r="T395" i="99"/>
  <c r="V395" i="99" s="1"/>
  <c r="W395" i="99" s="1"/>
  <c r="R405" i="99"/>
  <c r="R407" i="99"/>
  <c r="R434" i="99"/>
  <c r="R438" i="99"/>
  <c r="R440" i="99"/>
  <c r="R442" i="99"/>
  <c r="V444" i="99"/>
  <c r="W444" i="99" s="1"/>
  <c r="V445" i="99"/>
  <c r="W445" i="99" s="1"/>
  <c r="R450" i="99"/>
  <c r="U450" i="99"/>
  <c r="V450" i="99" s="1"/>
  <c r="W450" i="99" s="1"/>
  <c r="R451" i="99"/>
  <c r="R453" i="99"/>
  <c r="T453" i="99"/>
  <c r="V453" i="99" s="1"/>
  <c r="W453" i="99" s="1"/>
  <c r="H534" i="124"/>
  <c r="G535" i="124"/>
  <c r="S31" i="124"/>
  <c r="S33" i="124"/>
  <c r="S35" i="124"/>
  <c r="S37" i="124"/>
  <c r="S39" i="124"/>
  <c r="S41" i="124"/>
  <c r="S43" i="124"/>
  <c r="S45" i="124"/>
  <c r="S59" i="124"/>
  <c r="S61" i="124"/>
  <c r="S63" i="124"/>
  <c r="S66" i="124"/>
  <c r="S68" i="124"/>
  <c r="S70" i="124"/>
  <c r="S73" i="124"/>
  <c r="S75" i="124"/>
  <c r="S78" i="124"/>
  <c r="S80" i="124"/>
  <c r="S83" i="124"/>
  <c r="S85" i="124"/>
  <c r="S89" i="124"/>
  <c r="W132" i="124"/>
  <c r="X132" i="124" s="1"/>
  <c r="S132" i="124"/>
  <c r="W134" i="124"/>
  <c r="X134" i="124" s="1"/>
  <c r="S134" i="124"/>
  <c r="W136" i="124"/>
  <c r="X136" i="124" s="1"/>
  <c r="S136" i="124"/>
  <c r="W138" i="124"/>
  <c r="X138" i="124" s="1"/>
  <c r="S138" i="124"/>
  <c r="W140" i="124"/>
  <c r="X140" i="124" s="1"/>
  <c r="S140" i="124"/>
  <c r="W142" i="124"/>
  <c r="X142" i="124" s="1"/>
  <c r="S142" i="124"/>
  <c r="W144" i="124"/>
  <c r="X144" i="124" s="1"/>
  <c r="S144" i="124"/>
  <c r="W146" i="124"/>
  <c r="X146" i="124" s="1"/>
  <c r="S146" i="124"/>
  <c r="W148" i="124"/>
  <c r="X148" i="124" s="1"/>
  <c r="S148" i="124"/>
  <c r="W150" i="124"/>
  <c r="X150" i="124" s="1"/>
  <c r="S150" i="124"/>
  <c r="W152" i="124"/>
  <c r="X152" i="124" s="1"/>
  <c r="S152" i="124"/>
  <c r="W154" i="124"/>
  <c r="X154" i="124" s="1"/>
  <c r="S154" i="124"/>
  <c r="W156" i="124"/>
  <c r="X156" i="124" s="1"/>
  <c r="S156" i="124"/>
  <c r="W158" i="124"/>
  <c r="X158" i="124" s="1"/>
  <c r="S158" i="124"/>
  <c r="W160" i="124"/>
  <c r="X160" i="124" s="1"/>
  <c r="S160" i="124"/>
  <c r="W162" i="124"/>
  <c r="X162" i="124" s="1"/>
  <c r="S162" i="124"/>
  <c r="W164" i="124"/>
  <c r="X164" i="124" s="1"/>
  <c r="S164" i="124"/>
  <c r="W167" i="124"/>
  <c r="X167" i="124" s="1"/>
  <c r="S167" i="124"/>
  <c r="W169" i="124"/>
  <c r="X169" i="124" s="1"/>
  <c r="S169" i="124"/>
  <c r="W171" i="124"/>
  <c r="X171" i="124" s="1"/>
  <c r="S171" i="124"/>
  <c r="W173" i="124"/>
  <c r="X173" i="124" s="1"/>
  <c r="S173" i="124"/>
  <c r="W175" i="124"/>
  <c r="X175" i="124" s="1"/>
  <c r="S175" i="124"/>
  <c r="W177" i="124"/>
  <c r="X177" i="124" s="1"/>
  <c r="S177" i="124"/>
  <c r="L534" i="124"/>
  <c r="Q179" i="124"/>
  <c r="W179" i="124" s="1"/>
  <c r="X179" i="124" s="1"/>
  <c r="Q131" i="124"/>
  <c r="W131" i="124" s="1"/>
  <c r="X131" i="124" s="1"/>
  <c r="S244" i="124"/>
  <c r="S246" i="124"/>
  <c r="S248" i="124"/>
  <c r="S250" i="124"/>
  <c r="S252" i="124"/>
  <c r="S254" i="124"/>
  <c r="S256" i="124"/>
  <c r="S258" i="124"/>
  <c r="S260" i="124"/>
  <c r="S262" i="124"/>
  <c r="S264" i="124"/>
  <c r="S266" i="124"/>
  <c r="S268" i="124"/>
  <c r="S270" i="124"/>
  <c r="S272" i="124"/>
  <c r="S274" i="124"/>
  <c r="S276" i="124"/>
  <c r="S278" i="124"/>
  <c r="S280" i="124"/>
  <c r="S282" i="124"/>
  <c r="S328" i="124"/>
  <c r="S330" i="124"/>
  <c r="N22" i="67" s="1"/>
  <c r="S332" i="124"/>
  <c r="S334" i="124"/>
  <c r="S336" i="124"/>
  <c r="S338" i="124"/>
  <c r="S340" i="124"/>
  <c r="S342" i="124"/>
  <c r="S344" i="124"/>
  <c r="S346" i="124"/>
  <c r="S348" i="124"/>
  <c r="S350" i="124"/>
  <c r="S352" i="124"/>
  <c r="S368" i="124"/>
  <c r="S371" i="124"/>
  <c r="Q377" i="124"/>
  <c r="S377" i="124" s="1"/>
  <c r="S378" i="124"/>
  <c r="S380" i="124"/>
  <c r="S382" i="124"/>
  <c r="S384" i="124"/>
  <c r="S386" i="124"/>
  <c r="S388" i="124"/>
  <c r="S390" i="124"/>
  <c r="S392" i="124"/>
  <c r="Q403" i="124"/>
  <c r="S404" i="124"/>
  <c r="S406" i="124"/>
  <c r="S408" i="124"/>
  <c r="S410" i="124"/>
  <c r="S412" i="124"/>
  <c r="S414" i="124"/>
  <c r="S416" i="124"/>
  <c r="S418" i="124"/>
  <c r="S420" i="124"/>
  <c r="S424" i="124"/>
  <c r="L10" i="125" s="1"/>
  <c r="S426" i="124"/>
  <c r="S429" i="124"/>
  <c r="S431" i="124"/>
  <c r="Q434" i="124"/>
  <c r="S436" i="124"/>
  <c r="S441" i="124"/>
  <c r="Q449" i="124"/>
  <c r="S449" i="124" s="1"/>
  <c r="Q453" i="124"/>
  <c r="Q456" i="124"/>
  <c r="W456" i="124" s="1"/>
  <c r="X456" i="124" s="1"/>
  <c r="S458" i="124"/>
  <c r="S460" i="124"/>
  <c r="S462" i="124"/>
  <c r="S464" i="124"/>
  <c r="S466" i="124"/>
  <c r="S468" i="124"/>
  <c r="S470" i="124"/>
  <c r="S472" i="124"/>
  <c r="S474" i="124"/>
  <c r="S476" i="124"/>
  <c r="S478" i="124"/>
  <c r="Q482" i="124"/>
  <c r="S482" i="124" s="1"/>
  <c r="S483" i="124"/>
  <c r="S484" i="124"/>
  <c r="S485" i="124"/>
  <c r="S486" i="124"/>
  <c r="S493" i="124"/>
  <c r="S495" i="124"/>
  <c r="S497" i="124"/>
  <c r="S499" i="124"/>
  <c r="S501" i="124"/>
  <c r="Q503" i="124"/>
  <c r="S503" i="124" s="1"/>
  <c r="S505" i="124"/>
  <c r="S507" i="124"/>
  <c r="S509" i="124"/>
  <c r="S511" i="124"/>
  <c r="S513" i="124"/>
  <c r="S515" i="124"/>
  <c r="S517" i="124"/>
  <c r="S519" i="124"/>
  <c r="S521" i="124"/>
  <c r="S523" i="124"/>
  <c r="S525" i="124"/>
  <c r="S527" i="124"/>
  <c r="S529" i="124"/>
  <c r="S531" i="124"/>
  <c r="S533" i="124"/>
  <c r="U4" i="158"/>
  <c r="U5" i="158"/>
  <c r="U6" i="158"/>
  <c r="U8" i="158"/>
  <c r="U9" i="158"/>
  <c r="U10" i="158"/>
  <c r="U11" i="158"/>
  <c r="U12" i="158"/>
  <c r="U13" i="158"/>
  <c r="U14" i="158"/>
  <c r="U15" i="158"/>
  <c r="U16" i="158"/>
  <c r="U17" i="158"/>
  <c r="U18" i="158"/>
  <c r="U19" i="158"/>
  <c r="U20" i="158"/>
  <c r="U21" i="158"/>
  <c r="U22" i="158"/>
  <c r="U23" i="158"/>
  <c r="U24" i="158"/>
  <c r="Y25" i="158"/>
  <c r="Z25" i="158" s="1"/>
  <c r="Y26" i="158"/>
  <c r="Z26" i="158" s="1"/>
  <c r="Y27" i="158"/>
  <c r="Z27" i="158" s="1"/>
  <c r="Y28" i="158"/>
  <c r="Z28" i="158" s="1"/>
  <c r="Y29" i="158"/>
  <c r="Z29" i="158" s="1"/>
  <c r="Y30" i="158"/>
  <c r="Z30" i="158" s="1"/>
  <c r="Y31" i="158"/>
  <c r="Z31" i="158" s="1"/>
  <c r="Y32" i="158"/>
  <c r="Z32" i="158" s="1"/>
  <c r="Y33" i="158"/>
  <c r="Z33" i="158" s="1"/>
  <c r="Y34" i="158"/>
  <c r="Z34" i="158" s="1"/>
  <c r="Y35" i="158"/>
  <c r="Z35" i="158" s="1"/>
  <c r="Y36" i="158"/>
  <c r="Z36" i="158" s="1"/>
  <c r="Y37" i="158"/>
  <c r="Z37" i="158" s="1"/>
  <c r="Y38" i="158"/>
  <c r="Z38" i="158" s="1"/>
  <c r="Y39" i="158"/>
  <c r="Z39" i="158" s="1"/>
  <c r="Y40" i="158"/>
  <c r="Z40" i="158" s="1"/>
  <c r="Y41" i="158"/>
  <c r="Z41" i="158" s="1"/>
  <c r="Y42" i="158"/>
  <c r="Z42" i="158" s="1"/>
  <c r="Y43" i="158"/>
  <c r="Z43" i="158" s="1"/>
  <c r="U45" i="158"/>
  <c r="U46" i="158"/>
  <c r="U47" i="158"/>
  <c r="U48" i="158"/>
  <c r="U49" i="158"/>
  <c r="U50" i="158"/>
  <c r="U51" i="158"/>
  <c r="U52" i="158"/>
  <c r="U53" i="158"/>
  <c r="U54" i="158"/>
  <c r="U55" i="158"/>
  <c r="U56" i="158"/>
  <c r="U57" i="158"/>
  <c r="U58" i="158"/>
  <c r="U59" i="158"/>
  <c r="U60" i="158"/>
  <c r="U61" i="158"/>
  <c r="U62" i="158"/>
  <c r="U63" i="158"/>
  <c r="U64" i="158"/>
  <c r="U65" i="158"/>
  <c r="U66" i="158"/>
  <c r="U67" i="158"/>
  <c r="Y77" i="158"/>
  <c r="Z77" i="158" s="1"/>
  <c r="U77" i="158"/>
  <c r="Y80" i="158"/>
  <c r="Z80" i="158" s="1"/>
  <c r="U80" i="158"/>
  <c r="Y82" i="158"/>
  <c r="Z82" i="158" s="1"/>
  <c r="U82" i="158"/>
  <c r="Y84" i="158"/>
  <c r="Z84" i="158" s="1"/>
  <c r="U84" i="158"/>
  <c r="Y86" i="158"/>
  <c r="Z86" i="158" s="1"/>
  <c r="U86" i="158"/>
  <c r="Y88" i="158"/>
  <c r="Z88" i="158" s="1"/>
  <c r="U88" i="158"/>
  <c r="Y90" i="158"/>
  <c r="Z90" i="158" s="1"/>
  <c r="U90" i="158"/>
  <c r="Y92" i="158"/>
  <c r="Z92" i="158" s="1"/>
  <c r="U92" i="158"/>
  <c r="Y94" i="158"/>
  <c r="Z94" i="158" s="1"/>
  <c r="U94" i="158"/>
  <c r="Y96" i="158"/>
  <c r="Z96" i="158" s="1"/>
  <c r="U96" i="158"/>
  <c r="Y98" i="158"/>
  <c r="Z98" i="158" s="1"/>
  <c r="U98" i="158"/>
  <c r="Y100" i="158"/>
  <c r="Z100" i="158" s="1"/>
  <c r="U100" i="158"/>
  <c r="Y102" i="158"/>
  <c r="Z102" i="158" s="1"/>
  <c r="U102" i="158"/>
  <c r="Y104" i="158"/>
  <c r="Z104" i="158" s="1"/>
  <c r="U104" i="158"/>
  <c r="Y106" i="158"/>
  <c r="Z106" i="158" s="1"/>
  <c r="U106" i="158"/>
  <c r="Y108" i="158"/>
  <c r="Z108" i="158" s="1"/>
  <c r="U108" i="158"/>
  <c r="Y110" i="158"/>
  <c r="Z110" i="158" s="1"/>
  <c r="U110" i="158"/>
  <c r="Y112" i="158"/>
  <c r="Z112" i="158" s="1"/>
  <c r="U112" i="158"/>
  <c r="Y114" i="158"/>
  <c r="Z114" i="158" s="1"/>
  <c r="U114" i="158"/>
  <c r="Y116" i="158"/>
  <c r="Z116" i="158" s="1"/>
  <c r="U116" i="158"/>
  <c r="Y118" i="158"/>
  <c r="Z118" i="158" s="1"/>
  <c r="U118" i="158"/>
  <c r="Y120" i="158"/>
  <c r="Z120" i="158" s="1"/>
  <c r="U120" i="158"/>
  <c r="Y122" i="158"/>
  <c r="Z122" i="158" s="1"/>
  <c r="U122" i="158"/>
  <c r="Y124" i="158"/>
  <c r="Z124" i="158" s="1"/>
  <c r="U124" i="158"/>
  <c r="Y126" i="158"/>
  <c r="Z126" i="158" s="1"/>
  <c r="U126" i="158"/>
  <c r="Y128" i="158"/>
  <c r="Z128" i="158" s="1"/>
  <c r="U128" i="158"/>
  <c r="Y130" i="158"/>
  <c r="Z130" i="158" s="1"/>
  <c r="U130" i="158"/>
  <c r="Y158" i="158"/>
  <c r="Z158" i="158" s="1"/>
  <c r="U158" i="158"/>
  <c r="W483" i="124"/>
  <c r="X483" i="124" s="1"/>
  <c r="W484" i="124"/>
  <c r="X484" i="124" s="1"/>
  <c r="W485" i="124"/>
  <c r="X485" i="124" s="1"/>
  <c r="W486" i="124"/>
  <c r="X486" i="124" s="1"/>
  <c r="P534" i="124"/>
  <c r="Y76" i="158"/>
  <c r="Z76" i="158" s="1"/>
  <c r="U76" i="158"/>
  <c r="Y78" i="158"/>
  <c r="Z78" i="158" s="1"/>
  <c r="U78" i="158"/>
  <c r="Y81" i="158"/>
  <c r="Z81" i="158" s="1"/>
  <c r="U81" i="158"/>
  <c r="Y83" i="158"/>
  <c r="Z83" i="158" s="1"/>
  <c r="U83" i="158"/>
  <c r="Y85" i="158"/>
  <c r="Z85" i="158" s="1"/>
  <c r="U85" i="158"/>
  <c r="Y87" i="158"/>
  <c r="Z87" i="158" s="1"/>
  <c r="U87" i="158"/>
  <c r="Y89" i="158"/>
  <c r="Z89" i="158" s="1"/>
  <c r="U89" i="158"/>
  <c r="Y91" i="158"/>
  <c r="Z91" i="158" s="1"/>
  <c r="U91" i="158"/>
  <c r="Y93" i="158"/>
  <c r="Z93" i="158" s="1"/>
  <c r="U93" i="158"/>
  <c r="Y95" i="158"/>
  <c r="Z95" i="158" s="1"/>
  <c r="U95" i="158"/>
  <c r="Y97" i="158"/>
  <c r="Z97" i="158" s="1"/>
  <c r="U97" i="158"/>
  <c r="Y99" i="158"/>
  <c r="Z99" i="158" s="1"/>
  <c r="U99" i="158"/>
  <c r="Y101" i="158"/>
  <c r="Z101" i="158" s="1"/>
  <c r="U101" i="158"/>
  <c r="Y103" i="158"/>
  <c r="Z103" i="158" s="1"/>
  <c r="U103" i="158"/>
  <c r="Y105" i="158"/>
  <c r="Z105" i="158" s="1"/>
  <c r="U105" i="158"/>
  <c r="Y107" i="158"/>
  <c r="Z107" i="158" s="1"/>
  <c r="U107" i="158"/>
  <c r="Y109" i="158"/>
  <c r="Z109" i="158" s="1"/>
  <c r="U109" i="158"/>
  <c r="Y111" i="158"/>
  <c r="Z111" i="158" s="1"/>
  <c r="U111" i="158"/>
  <c r="Y113" i="158"/>
  <c r="Z113" i="158" s="1"/>
  <c r="U113" i="158"/>
  <c r="Y115" i="158"/>
  <c r="Z115" i="158" s="1"/>
  <c r="U115" i="158"/>
  <c r="Y117" i="158"/>
  <c r="Z117" i="158" s="1"/>
  <c r="U117" i="158"/>
  <c r="Y119" i="158"/>
  <c r="Z119" i="158" s="1"/>
  <c r="U119" i="158"/>
  <c r="Y121" i="158"/>
  <c r="Z121" i="158" s="1"/>
  <c r="U121" i="158"/>
  <c r="Y123" i="158"/>
  <c r="Z123" i="158" s="1"/>
  <c r="U123" i="158"/>
  <c r="Y125" i="158"/>
  <c r="Z125" i="158" s="1"/>
  <c r="U125" i="158"/>
  <c r="Y127" i="158"/>
  <c r="Z127" i="158" s="1"/>
  <c r="U127" i="158"/>
  <c r="Y129" i="158"/>
  <c r="Z129" i="158" s="1"/>
  <c r="U129" i="158"/>
  <c r="P559" i="158"/>
  <c r="S132" i="158"/>
  <c r="U159" i="158"/>
  <c r="U160" i="158"/>
  <c r="U161" i="158"/>
  <c r="U162" i="158"/>
  <c r="U163" i="158"/>
  <c r="U164" i="158"/>
  <c r="U165" i="158"/>
  <c r="U166" i="158"/>
  <c r="U167" i="158"/>
  <c r="U168" i="158"/>
  <c r="U169" i="158"/>
  <c r="U170" i="158"/>
  <c r="U171" i="158"/>
  <c r="U172" i="158"/>
  <c r="U173" i="158"/>
  <c r="U174" i="158"/>
  <c r="U175" i="158"/>
  <c r="U176" i="158"/>
  <c r="U177" i="158"/>
  <c r="U178" i="158"/>
  <c r="U179" i="158"/>
  <c r="U180" i="158"/>
  <c r="U181" i="158"/>
  <c r="U193" i="158"/>
  <c r="U194" i="158"/>
  <c r="U195" i="158"/>
  <c r="U196" i="158"/>
  <c r="U197" i="158"/>
  <c r="U198" i="158"/>
  <c r="U199" i="158"/>
  <c r="U200" i="158"/>
  <c r="N545" i="154"/>
  <c r="K544" i="154"/>
  <c r="S383" i="154"/>
  <c r="Y383" i="154" s="1"/>
  <c r="S384" i="154"/>
  <c r="Y384" i="154" s="1"/>
  <c r="S387" i="154"/>
  <c r="Y387" i="154" s="1"/>
  <c r="S388" i="154"/>
  <c r="Y388" i="154" s="1"/>
  <c r="S391" i="154"/>
  <c r="Y391" i="154" s="1"/>
  <c r="S392" i="154"/>
  <c r="Y392" i="154" s="1"/>
  <c r="S395" i="154"/>
  <c r="Y395" i="154" s="1"/>
  <c r="Q396" i="154"/>
  <c r="Q405" i="154"/>
  <c r="Q406" i="154"/>
  <c r="W406" i="154" s="1"/>
  <c r="X406" i="154" s="1"/>
  <c r="S407" i="154"/>
  <c r="Y407" i="154" s="1"/>
  <c r="S410" i="154"/>
  <c r="Y410" i="154" s="1"/>
  <c r="S411" i="154"/>
  <c r="Y411" i="154" s="1"/>
  <c r="S414" i="154"/>
  <c r="Y414" i="154" s="1"/>
  <c r="S426" i="154"/>
  <c r="Y426" i="154" s="1"/>
  <c r="S427" i="154"/>
  <c r="Y427" i="154" s="1"/>
  <c r="Q437" i="154"/>
  <c r="S437" i="154" s="1"/>
  <c r="S438" i="154"/>
  <c r="Y438" i="154" s="1"/>
  <c r="Q448" i="154"/>
  <c r="S448" i="154" s="1"/>
  <c r="S453" i="154"/>
  <c r="Y453" i="154" s="1"/>
  <c r="S458" i="154"/>
  <c r="Y458" i="154" s="1"/>
  <c r="Y461" i="154"/>
  <c r="S463" i="154"/>
  <c r="Y463" i="154" s="1"/>
  <c r="S464" i="154"/>
  <c r="Y464" i="154" s="1"/>
  <c r="S467" i="154"/>
  <c r="Y467" i="154" s="1"/>
  <c r="S468" i="154"/>
  <c r="Y468" i="154" s="1"/>
  <c r="S471" i="154"/>
  <c r="Y471" i="154" s="1"/>
  <c r="S472" i="154"/>
  <c r="Y472" i="154" s="1"/>
  <c r="S490" i="154"/>
  <c r="W495" i="154"/>
  <c r="X495" i="154" s="1"/>
  <c r="S499" i="154"/>
  <c r="Y17" i="151"/>
  <c r="Z17" i="151" s="1"/>
  <c r="U17" i="151"/>
  <c r="Y19" i="151"/>
  <c r="Z19" i="151" s="1"/>
  <c r="U19" i="151"/>
  <c r="Y21" i="151"/>
  <c r="Z21" i="151" s="1"/>
  <c r="U21" i="151"/>
  <c r="Y23" i="151"/>
  <c r="Z23" i="151" s="1"/>
  <c r="U23" i="151"/>
  <c r="K559" i="151"/>
  <c r="K560" i="151"/>
  <c r="U361" i="151"/>
  <c r="Y361" i="151"/>
  <c r="Z361" i="151" s="1"/>
  <c r="U335" i="158"/>
  <c r="U336" i="158"/>
  <c r="U337" i="158"/>
  <c r="U338" i="158"/>
  <c r="U339" i="158"/>
  <c r="U340" i="158"/>
  <c r="U341" i="158"/>
  <c r="U342" i="158"/>
  <c r="U343" i="158"/>
  <c r="U344" i="158"/>
  <c r="U345" i="158"/>
  <c r="U346" i="158"/>
  <c r="U347" i="158"/>
  <c r="U349" i="158"/>
  <c r="U350" i="158"/>
  <c r="U351" i="158"/>
  <c r="U352" i="158"/>
  <c r="U353" i="158"/>
  <c r="U354" i="158"/>
  <c r="U355" i="158"/>
  <c r="U356" i="158"/>
  <c r="U357" i="158"/>
  <c r="U358" i="158"/>
  <c r="U359" i="158"/>
  <c r="U360" i="158"/>
  <c r="U361" i="158"/>
  <c r="U362" i="158"/>
  <c r="U363" i="158"/>
  <c r="U364" i="158"/>
  <c r="U365" i="158"/>
  <c r="U366" i="158"/>
  <c r="U367" i="158"/>
  <c r="U368" i="158"/>
  <c r="U369" i="158"/>
  <c r="U370" i="158"/>
  <c r="U371" i="158"/>
  <c r="U372" i="158"/>
  <c r="U373" i="158"/>
  <c r="U374" i="158"/>
  <c r="U375" i="158"/>
  <c r="U376" i="158"/>
  <c r="U377" i="158"/>
  <c r="U378" i="158"/>
  <c r="U379" i="158"/>
  <c r="U380" i="158"/>
  <c r="U381" i="158"/>
  <c r="U382" i="158"/>
  <c r="U383" i="158"/>
  <c r="U384" i="158"/>
  <c r="U385" i="158"/>
  <c r="U386" i="158"/>
  <c r="U387" i="158"/>
  <c r="U388" i="158"/>
  <c r="U389" i="158"/>
  <c r="U409" i="158"/>
  <c r="U410" i="158"/>
  <c r="U411" i="158"/>
  <c r="U412" i="158"/>
  <c r="U413" i="158"/>
  <c r="U414" i="158"/>
  <c r="U415" i="158"/>
  <c r="U416" i="158"/>
  <c r="S417" i="158"/>
  <c r="S467" i="158"/>
  <c r="Y467" i="158" s="1"/>
  <c r="Z467" i="158" s="1"/>
  <c r="U474" i="158"/>
  <c r="U475" i="158"/>
  <c r="U476" i="158"/>
  <c r="U477" i="158"/>
  <c r="U478" i="158"/>
  <c r="U479" i="158"/>
  <c r="U480" i="158"/>
  <c r="U481" i="158"/>
  <c r="U482" i="158"/>
  <c r="U483" i="158"/>
  <c r="U484" i="158"/>
  <c r="U485" i="158"/>
  <c r="U486" i="158"/>
  <c r="U487" i="158"/>
  <c r="U488" i="158"/>
  <c r="U489" i="158"/>
  <c r="U490" i="158"/>
  <c r="U491" i="158"/>
  <c r="U492" i="158"/>
  <c r="U493" i="158"/>
  <c r="U494" i="158"/>
  <c r="U495" i="158"/>
  <c r="U496" i="158"/>
  <c r="U497" i="158"/>
  <c r="U498" i="158"/>
  <c r="U499" i="158"/>
  <c r="U500" i="158"/>
  <c r="U501" i="158"/>
  <c r="U502" i="158"/>
  <c r="U503" i="158"/>
  <c r="S506" i="158"/>
  <c r="W490" i="154"/>
  <c r="X490" i="154" s="1"/>
  <c r="Y16" i="151"/>
  <c r="Z16" i="151" s="1"/>
  <c r="U16" i="151"/>
  <c r="Y18" i="151"/>
  <c r="Z18" i="151" s="1"/>
  <c r="U18" i="151"/>
  <c r="Y20" i="151"/>
  <c r="Z20" i="151" s="1"/>
  <c r="U20" i="151"/>
  <c r="Y22" i="151"/>
  <c r="Z22" i="151" s="1"/>
  <c r="U22" i="151"/>
  <c r="U66" i="151"/>
  <c r="Y66" i="151"/>
  <c r="Z66" i="151" s="1"/>
  <c r="Y384" i="151"/>
  <c r="Z384" i="151" s="1"/>
  <c r="U384" i="151"/>
  <c r="Y386" i="151"/>
  <c r="Z386" i="151" s="1"/>
  <c r="U386" i="151"/>
  <c r="Y388" i="151"/>
  <c r="Z388" i="151" s="1"/>
  <c r="U388" i="151"/>
  <c r="Y391" i="151"/>
  <c r="Z391" i="151" s="1"/>
  <c r="U391" i="151"/>
  <c r="Y393" i="151"/>
  <c r="Z393" i="151" s="1"/>
  <c r="U393" i="151"/>
  <c r="Y395" i="151"/>
  <c r="Z395" i="151" s="1"/>
  <c r="U395" i="151"/>
  <c r="Y397" i="151"/>
  <c r="Z397" i="151" s="1"/>
  <c r="U397" i="151"/>
  <c r="Y399" i="151"/>
  <c r="Z399" i="151" s="1"/>
  <c r="U399" i="151"/>
  <c r="U410" i="151"/>
  <c r="Y410" i="151"/>
  <c r="Z410" i="151" s="1"/>
  <c r="Y412" i="151"/>
  <c r="Z412" i="151" s="1"/>
  <c r="U412" i="151"/>
  <c r="U423" i="151"/>
  <c r="Y423" i="151"/>
  <c r="Z423" i="151" s="1"/>
  <c r="U425" i="151"/>
  <c r="Y425" i="151"/>
  <c r="Z425" i="151" s="1"/>
  <c r="Y427" i="151"/>
  <c r="Z427" i="151" s="1"/>
  <c r="U427" i="151"/>
  <c r="Y429" i="151"/>
  <c r="Z429" i="151" s="1"/>
  <c r="U429" i="151"/>
  <c r="Y431" i="151"/>
  <c r="Z431" i="151" s="1"/>
  <c r="U431" i="151"/>
  <c r="Y433" i="151"/>
  <c r="Z433" i="151" s="1"/>
  <c r="U433" i="151"/>
  <c r="Y436" i="151"/>
  <c r="Z436" i="151" s="1"/>
  <c r="U436" i="151"/>
  <c r="Y438" i="151"/>
  <c r="Z438" i="151" s="1"/>
  <c r="U438" i="151"/>
  <c r="J559" i="151"/>
  <c r="J560" i="151"/>
  <c r="G560" i="151"/>
  <c r="S73" i="151"/>
  <c r="U73" i="151" s="1"/>
  <c r="S78" i="151"/>
  <c r="Y78" i="151" s="1"/>
  <c r="Z78" i="151" s="1"/>
  <c r="L560" i="151"/>
  <c r="S84" i="151"/>
  <c r="U84" i="151" s="1"/>
  <c r="S85" i="151"/>
  <c r="U85" i="151" s="1"/>
  <c r="U107" i="151"/>
  <c r="U108" i="151"/>
  <c r="S109" i="151"/>
  <c r="U109" i="151" s="1"/>
  <c r="P559" i="151"/>
  <c r="P560" i="151"/>
  <c r="S117" i="151"/>
  <c r="U117" i="151" s="1"/>
  <c r="S118" i="151"/>
  <c r="O560" i="151"/>
  <c r="S135" i="151"/>
  <c r="Y135" i="151" s="1"/>
  <c r="Z135" i="151" s="1"/>
  <c r="Y138" i="151"/>
  <c r="Z138" i="151" s="1"/>
  <c r="Y139" i="151"/>
  <c r="Z139" i="151" s="1"/>
  <c r="U140" i="151"/>
  <c r="U141" i="151"/>
  <c r="U142" i="151"/>
  <c r="U143" i="151"/>
  <c r="U144" i="151"/>
  <c r="U145" i="151"/>
  <c r="U146" i="151"/>
  <c r="U147" i="151"/>
  <c r="U148" i="151"/>
  <c r="U149" i="151"/>
  <c r="U150" i="151"/>
  <c r="S174" i="151"/>
  <c r="U174" i="151" s="1"/>
  <c r="S190" i="151"/>
  <c r="Y190" i="151" s="1"/>
  <c r="Z190" i="151" s="1"/>
  <c r="Y191" i="151"/>
  <c r="Z191" i="151" s="1"/>
  <c r="U192" i="151"/>
  <c r="S196" i="151"/>
  <c r="Y196" i="151" s="1"/>
  <c r="Z196" i="151" s="1"/>
  <c r="S300" i="151"/>
  <c r="Y300" i="151" s="1"/>
  <c r="Z300" i="151" s="1"/>
  <c r="Y329" i="151"/>
  <c r="Z329" i="151" s="1"/>
  <c r="Y330" i="151"/>
  <c r="Z330" i="151" s="1"/>
  <c r="Y331" i="151"/>
  <c r="Z331" i="151" s="1"/>
  <c r="Y332" i="151"/>
  <c r="Z332" i="151" s="1"/>
  <c r="U333" i="151"/>
  <c r="U334" i="151"/>
  <c r="U335" i="151"/>
  <c r="U336" i="151"/>
  <c r="U337" i="151"/>
  <c r="U338" i="151"/>
  <c r="U339" i="151"/>
  <c r="U340" i="151"/>
  <c r="U341" i="151"/>
  <c r="U342" i="151"/>
  <c r="U343" i="151"/>
  <c r="U344" i="151"/>
  <c r="U345" i="151"/>
  <c r="U346" i="151"/>
  <c r="U349" i="151"/>
  <c r="U350" i="151"/>
  <c r="S365" i="151"/>
  <c r="Y380" i="151"/>
  <c r="Z380" i="151" s="1"/>
  <c r="Y381" i="151"/>
  <c r="Z381" i="151" s="1"/>
  <c r="Y382" i="151"/>
  <c r="Z382" i="151" s="1"/>
  <c r="Y383" i="151"/>
  <c r="Z383" i="151" s="1"/>
  <c r="Y385" i="151"/>
  <c r="Z385" i="151" s="1"/>
  <c r="U385" i="151"/>
  <c r="Y387" i="151"/>
  <c r="Z387" i="151" s="1"/>
  <c r="U387" i="151"/>
  <c r="Y389" i="151"/>
  <c r="Z389" i="151" s="1"/>
  <c r="U389" i="151"/>
  <c r="Y392" i="151"/>
  <c r="Z392" i="151" s="1"/>
  <c r="U392" i="151"/>
  <c r="Y394" i="151"/>
  <c r="Z394" i="151" s="1"/>
  <c r="U394" i="151"/>
  <c r="Y396" i="151"/>
  <c r="Z396" i="151" s="1"/>
  <c r="U396" i="151"/>
  <c r="Y398" i="151"/>
  <c r="Z398" i="151" s="1"/>
  <c r="U398" i="151"/>
  <c r="Y411" i="151"/>
  <c r="Z411" i="151" s="1"/>
  <c r="U411" i="151"/>
  <c r="Y413" i="151"/>
  <c r="Z413" i="151" s="1"/>
  <c r="U413" i="151"/>
  <c r="U424" i="151"/>
  <c r="Y424" i="151"/>
  <c r="Z424" i="151" s="1"/>
  <c r="Y426" i="151"/>
  <c r="Z426" i="151" s="1"/>
  <c r="U426" i="151"/>
  <c r="Y428" i="151"/>
  <c r="Z428" i="151" s="1"/>
  <c r="U428" i="151"/>
  <c r="Y430" i="151"/>
  <c r="Z430" i="151" s="1"/>
  <c r="U430" i="151"/>
  <c r="Y432" i="151"/>
  <c r="Z432" i="151" s="1"/>
  <c r="U432" i="151"/>
  <c r="Y434" i="151"/>
  <c r="Z434" i="151" s="1"/>
  <c r="U434" i="151"/>
  <c r="Y437" i="151"/>
  <c r="Z437" i="151" s="1"/>
  <c r="U437" i="151"/>
  <c r="Y439" i="151"/>
  <c r="Z439" i="151" s="1"/>
  <c r="U439" i="151"/>
  <c r="U466" i="151"/>
  <c r="Y466" i="151"/>
  <c r="Z466" i="151" s="1"/>
  <c r="I560" i="151"/>
  <c r="S446" i="151"/>
  <c r="U446" i="151" s="1"/>
  <c r="S449" i="151"/>
  <c r="U449" i="151" s="1"/>
  <c r="S450" i="151"/>
  <c r="Y450" i="151" s="1"/>
  <c r="Z450" i="151" s="1"/>
  <c r="S451" i="151"/>
  <c r="U451" i="151" s="1"/>
  <c r="S452" i="151"/>
  <c r="Q559" i="151"/>
  <c r="U467" i="151"/>
  <c r="U468" i="151"/>
  <c r="U469" i="151"/>
  <c r="U470" i="151"/>
  <c r="U471" i="151"/>
  <c r="S479" i="151"/>
  <c r="U479" i="151" s="1"/>
  <c r="S480" i="151"/>
  <c r="Y480" i="151" s="1"/>
  <c r="Z480" i="151" s="1"/>
  <c r="S483" i="151"/>
  <c r="Y483" i="151" s="1"/>
  <c r="Z483" i="151" s="1"/>
  <c r="S503" i="151"/>
  <c r="U503" i="151" s="1"/>
  <c r="S506" i="151"/>
  <c r="S507" i="151"/>
  <c r="Y507" i="151" s="1"/>
  <c r="Z507" i="151" s="1"/>
  <c r="S510" i="151"/>
  <c r="Y510" i="151" s="1"/>
  <c r="Z510" i="151" s="1"/>
  <c r="S517" i="151"/>
  <c r="Y517" i="151" s="1"/>
  <c r="Z517" i="151" s="1"/>
  <c r="Y523" i="151"/>
  <c r="Z523" i="151" s="1"/>
  <c r="U524" i="151"/>
  <c r="G32" i="57"/>
  <c r="L36" i="44"/>
  <c r="K36" i="44"/>
  <c r="AB11" i="167"/>
  <c r="AB12" i="167"/>
  <c r="AB13" i="167"/>
  <c r="AB14" i="167"/>
  <c r="AL33" i="166"/>
  <c r="M3" i="91"/>
  <c r="AT39" i="91"/>
  <c r="AT40" i="91" s="1"/>
  <c r="O15" i="167"/>
  <c r="T33" i="166"/>
  <c r="AF20" i="91"/>
  <c r="AQ23" i="91"/>
  <c r="AW40" i="91"/>
  <c r="R34" i="57"/>
  <c r="I9" i="83" s="1"/>
  <c r="AQ42" i="91" s="1"/>
  <c r="AH32" i="166"/>
  <c r="AJ31" i="166"/>
  <c r="AJ32" i="166"/>
  <c r="AP33" i="166"/>
  <c r="AN33" i="166"/>
  <c r="AM31" i="166"/>
  <c r="AK31" i="166" s="1"/>
  <c r="AI31" i="166" s="1"/>
  <c r="AG31" i="166" s="1"/>
  <c r="H13" i="67"/>
  <c r="R27" i="81"/>
  <c r="AI25" i="81"/>
  <c r="AG25" i="81" s="1"/>
  <c r="AE25" i="81" s="1"/>
  <c r="AC25" i="81" s="1"/>
  <c r="AJ25" i="81"/>
  <c r="J39" i="59"/>
  <c r="H92" i="59"/>
  <c r="M23" i="161"/>
  <c r="I41" i="161"/>
  <c r="I42" i="161" s="1"/>
  <c r="J21" i="82"/>
  <c r="J24" i="82" s="1"/>
  <c r="J26" i="82" s="1"/>
  <c r="J28" i="82" s="1"/>
  <c r="U3" i="151"/>
  <c r="Y225" i="151"/>
  <c r="Z225" i="151" s="1"/>
  <c r="U225" i="151"/>
  <c r="Y227" i="151"/>
  <c r="Z227" i="151" s="1"/>
  <c r="U227" i="151"/>
  <c r="Y229" i="151"/>
  <c r="Z229" i="151" s="1"/>
  <c r="U229" i="151"/>
  <c r="Y231" i="151"/>
  <c r="Z231" i="151" s="1"/>
  <c r="U231" i="151"/>
  <c r="Y233" i="151"/>
  <c r="Z233" i="151" s="1"/>
  <c r="U233" i="151"/>
  <c r="Y235" i="151"/>
  <c r="Z235" i="151" s="1"/>
  <c r="U235" i="151"/>
  <c r="Y237" i="151"/>
  <c r="Z237" i="151" s="1"/>
  <c r="U237" i="151"/>
  <c r="Y239" i="151"/>
  <c r="Z239" i="151" s="1"/>
  <c r="U239" i="151"/>
  <c r="Y241" i="151"/>
  <c r="Z241" i="151" s="1"/>
  <c r="U241" i="151"/>
  <c r="Y243" i="151"/>
  <c r="Z243" i="151" s="1"/>
  <c r="U243" i="151"/>
  <c r="Y245" i="151"/>
  <c r="Z245" i="151" s="1"/>
  <c r="U245" i="151"/>
  <c r="Y247" i="151"/>
  <c r="Z247" i="151" s="1"/>
  <c r="U247" i="151"/>
  <c r="Y249" i="151"/>
  <c r="Z249" i="151" s="1"/>
  <c r="U249" i="151"/>
  <c r="Y251" i="151"/>
  <c r="Z251" i="151" s="1"/>
  <c r="U251" i="151"/>
  <c r="Y253" i="151"/>
  <c r="Z253" i="151" s="1"/>
  <c r="U253" i="151"/>
  <c r="Y255" i="151"/>
  <c r="Z255" i="151" s="1"/>
  <c r="U255" i="151"/>
  <c r="Y257" i="151"/>
  <c r="Z257" i="151" s="1"/>
  <c r="U257" i="151"/>
  <c r="Y259" i="151"/>
  <c r="Z259" i="151" s="1"/>
  <c r="U259" i="151"/>
  <c r="U304" i="151"/>
  <c r="Y304" i="151"/>
  <c r="Z304" i="151" s="1"/>
  <c r="Y306" i="151"/>
  <c r="Z306" i="151" s="1"/>
  <c r="U306" i="151"/>
  <c r="Y308" i="151"/>
  <c r="Z308" i="151" s="1"/>
  <c r="U308" i="151"/>
  <c r="U321" i="151"/>
  <c r="Y321" i="151"/>
  <c r="Z321" i="151" s="1"/>
  <c r="Y323" i="151"/>
  <c r="Z323" i="151" s="1"/>
  <c r="U323" i="151"/>
  <c r="Y325" i="151"/>
  <c r="Z325" i="151" s="1"/>
  <c r="U325" i="151"/>
  <c r="Y327" i="151"/>
  <c r="Z327" i="151" s="1"/>
  <c r="U327" i="151"/>
  <c r="U351" i="151"/>
  <c r="Y351" i="151"/>
  <c r="Z351" i="151" s="1"/>
  <c r="U354" i="151"/>
  <c r="Y354" i="151"/>
  <c r="Z354" i="151" s="1"/>
  <c r="Y356" i="151"/>
  <c r="Z356" i="151" s="1"/>
  <c r="U356" i="151"/>
  <c r="Y358" i="151"/>
  <c r="Z358" i="151" s="1"/>
  <c r="U358" i="151"/>
  <c r="Y360" i="151"/>
  <c r="Z360" i="151" s="1"/>
  <c r="U360" i="151"/>
  <c r="Y378" i="151"/>
  <c r="Z378" i="151" s="1"/>
  <c r="U378" i="151"/>
  <c r="U400" i="151"/>
  <c r="Y400" i="151"/>
  <c r="Z400" i="151" s="1"/>
  <c r="U402" i="151"/>
  <c r="Y402" i="151"/>
  <c r="Z402" i="151" s="1"/>
  <c r="U404" i="151"/>
  <c r="Y404" i="151"/>
  <c r="Z404" i="151" s="1"/>
  <c r="U406" i="151"/>
  <c r="Y406" i="151"/>
  <c r="Z406" i="151" s="1"/>
  <c r="Y408" i="151"/>
  <c r="Z408" i="151" s="1"/>
  <c r="U408" i="151"/>
  <c r="Y9" i="151"/>
  <c r="Z9" i="151" s="1"/>
  <c r="Y10" i="151"/>
  <c r="Z10" i="151" s="1"/>
  <c r="Y11" i="151"/>
  <c r="Z11" i="151" s="1"/>
  <c r="Y12" i="151"/>
  <c r="Z12" i="151" s="1"/>
  <c r="U27" i="151"/>
  <c r="U28" i="151"/>
  <c r="U29" i="151"/>
  <c r="U31" i="151"/>
  <c r="U32" i="151"/>
  <c r="U33" i="151"/>
  <c r="U34" i="151"/>
  <c r="U35" i="151"/>
  <c r="U36" i="151"/>
  <c r="U37" i="151"/>
  <c r="U38" i="151"/>
  <c r="U39" i="151"/>
  <c r="U40" i="151"/>
  <c r="Y49" i="151"/>
  <c r="Z49" i="151" s="1"/>
  <c r="U50" i="151"/>
  <c r="U51" i="151"/>
  <c r="U52" i="151"/>
  <c r="U53" i="151"/>
  <c r="U54" i="151"/>
  <c r="U55" i="151"/>
  <c r="U56" i="151"/>
  <c r="U57" i="151"/>
  <c r="U58" i="151"/>
  <c r="U59" i="151"/>
  <c r="U63" i="151"/>
  <c r="U64" i="151"/>
  <c r="U65" i="151"/>
  <c r="Y80" i="151"/>
  <c r="Z80" i="151" s="1"/>
  <c r="Y81" i="151"/>
  <c r="Z81" i="151" s="1"/>
  <c r="Y83" i="151"/>
  <c r="Z83" i="151" s="1"/>
  <c r="Y86" i="151"/>
  <c r="Z86" i="151" s="1"/>
  <c r="Y87" i="151"/>
  <c r="Z87" i="151" s="1"/>
  <c r="U93" i="151"/>
  <c r="U94" i="151"/>
  <c r="U116" i="151"/>
  <c r="U137" i="151"/>
  <c r="Y151" i="151"/>
  <c r="Z151" i="151" s="1"/>
  <c r="Y152" i="151"/>
  <c r="Z152" i="151" s="1"/>
  <c r="U153" i="151"/>
  <c r="U154" i="151"/>
  <c r="U155" i="151"/>
  <c r="U156" i="151"/>
  <c r="U173" i="151"/>
  <c r="U189" i="151"/>
  <c r="Y193" i="151"/>
  <c r="Z193" i="151" s="1"/>
  <c r="U195" i="151"/>
  <c r="U197" i="151"/>
  <c r="U198" i="151"/>
  <c r="U199" i="151"/>
  <c r="U200" i="151"/>
  <c r="U201" i="151"/>
  <c r="U202" i="151"/>
  <c r="U203" i="151"/>
  <c r="U204" i="151"/>
  <c r="U205" i="151"/>
  <c r="U206" i="151"/>
  <c r="U207" i="151"/>
  <c r="U208" i="151"/>
  <c r="U209" i="151"/>
  <c r="U210" i="151"/>
  <c r="U211" i="151"/>
  <c r="U212" i="151"/>
  <c r="U213" i="151"/>
  <c r="U214" i="151"/>
  <c r="U215" i="151"/>
  <c r="U216" i="151"/>
  <c r="U217" i="151"/>
  <c r="U218" i="151"/>
  <c r="U219" i="151"/>
  <c r="U220" i="151"/>
  <c r="U221" i="151"/>
  <c r="U222" i="151"/>
  <c r="U223" i="151"/>
  <c r="U224" i="151"/>
  <c r="Y226" i="151"/>
  <c r="Z226" i="151" s="1"/>
  <c r="U226" i="151"/>
  <c r="Y228" i="151"/>
  <c r="Z228" i="151" s="1"/>
  <c r="U228" i="151"/>
  <c r="Y230" i="151"/>
  <c r="Z230" i="151" s="1"/>
  <c r="U230" i="151"/>
  <c r="Y232" i="151"/>
  <c r="Z232" i="151" s="1"/>
  <c r="U232" i="151"/>
  <c r="Y234" i="151"/>
  <c r="Z234" i="151" s="1"/>
  <c r="U234" i="151"/>
  <c r="Y236" i="151"/>
  <c r="Z236" i="151" s="1"/>
  <c r="U236" i="151"/>
  <c r="Y238" i="151"/>
  <c r="Z238" i="151" s="1"/>
  <c r="U238" i="151"/>
  <c r="Y240" i="151"/>
  <c r="Z240" i="151" s="1"/>
  <c r="U240" i="151"/>
  <c r="Y242" i="151"/>
  <c r="Z242" i="151" s="1"/>
  <c r="U242" i="151"/>
  <c r="Y244" i="151"/>
  <c r="Z244" i="151" s="1"/>
  <c r="U244" i="151"/>
  <c r="Y246" i="151"/>
  <c r="Z246" i="151" s="1"/>
  <c r="U246" i="151"/>
  <c r="Y248" i="151"/>
  <c r="Z248" i="151" s="1"/>
  <c r="U248" i="151"/>
  <c r="Y250" i="151"/>
  <c r="Z250" i="151" s="1"/>
  <c r="U250" i="151"/>
  <c r="Y252" i="151"/>
  <c r="Z252" i="151" s="1"/>
  <c r="U252" i="151"/>
  <c r="Y254" i="151"/>
  <c r="Z254" i="151" s="1"/>
  <c r="U254" i="151"/>
  <c r="Y256" i="151"/>
  <c r="Z256" i="151" s="1"/>
  <c r="U256" i="151"/>
  <c r="Y258" i="151"/>
  <c r="Z258" i="151" s="1"/>
  <c r="U258" i="151"/>
  <c r="U303" i="151"/>
  <c r="Y303" i="151"/>
  <c r="Z303" i="151" s="1"/>
  <c r="Y305" i="151"/>
  <c r="Z305" i="151" s="1"/>
  <c r="U305" i="151"/>
  <c r="Y307" i="151"/>
  <c r="Z307" i="151" s="1"/>
  <c r="U307" i="151"/>
  <c r="U320" i="151"/>
  <c r="Y320" i="151"/>
  <c r="Z320" i="151" s="1"/>
  <c r="Y322" i="151"/>
  <c r="Z322" i="151" s="1"/>
  <c r="U322" i="151"/>
  <c r="Y324" i="151"/>
  <c r="Z324" i="151" s="1"/>
  <c r="U324" i="151"/>
  <c r="Y326" i="151"/>
  <c r="Z326" i="151" s="1"/>
  <c r="U326" i="151"/>
  <c r="Y328" i="151"/>
  <c r="Z328" i="151" s="1"/>
  <c r="U328" i="151"/>
  <c r="U353" i="151"/>
  <c r="Y353" i="151"/>
  <c r="Z353" i="151" s="1"/>
  <c r="U355" i="151"/>
  <c r="Y355" i="151"/>
  <c r="Z355" i="151" s="1"/>
  <c r="Y357" i="151"/>
  <c r="Z357" i="151" s="1"/>
  <c r="U357" i="151"/>
  <c r="Y359" i="151"/>
  <c r="Z359" i="151" s="1"/>
  <c r="U359" i="151"/>
  <c r="Y377" i="151"/>
  <c r="Z377" i="151" s="1"/>
  <c r="U377" i="151"/>
  <c r="Y379" i="151"/>
  <c r="Z379" i="151" s="1"/>
  <c r="U379" i="151"/>
  <c r="U401" i="151"/>
  <c r="Y401" i="151"/>
  <c r="Z401" i="151" s="1"/>
  <c r="U403" i="151"/>
  <c r="Y403" i="151"/>
  <c r="Z403" i="151" s="1"/>
  <c r="U405" i="151"/>
  <c r="Y405" i="151"/>
  <c r="Z405" i="151" s="1"/>
  <c r="Y407" i="151"/>
  <c r="Z407" i="151" s="1"/>
  <c r="U407" i="151"/>
  <c r="Y409" i="151"/>
  <c r="Z409" i="151" s="1"/>
  <c r="U409" i="151"/>
  <c r="Y415" i="151"/>
  <c r="Z415" i="151" s="1"/>
  <c r="U415" i="151"/>
  <c r="Y420" i="151"/>
  <c r="Z420" i="151" s="1"/>
  <c r="U420" i="151"/>
  <c r="Y422" i="151"/>
  <c r="Z422" i="151" s="1"/>
  <c r="U422" i="151"/>
  <c r="U441" i="151"/>
  <c r="Y441" i="151"/>
  <c r="Z441" i="151" s="1"/>
  <c r="U443" i="151"/>
  <c r="Y443" i="151"/>
  <c r="Z443" i="151" s="1"/>
  <c r="U445" i="151"/>
  <c r="Y445" i="151"/>
  <c r="Z445" i="151" s="1"/>
  <c r="U448" i="151"/>
  <c r="Y448" i="151"/>
  <c r="Z448" i="151" s="1"/>
  <c r="U454" i="151"/>
  <c r="Y454" i="151"/>
  <c r="Z454" i="151" s="1"/>
  <c r="U456" i="151"/>
  <c r="Y456" i="151"/>
  <c r="Z456" i="151" s="1"/>
  <c r="U458" i="151"/>
  <c r="Y458" i="151"/>
  <c r="Z458" i="151" s="1"/>
  <c r="U461" i="151"/>
  <c r="Y461" i="151"/>
  <c r="Z461" i="151" s="1"/>
  <c r="U463" i="151"/>
  <c r="Y463" i="151"/>
  <c r="Z463" i="151" s="1"/>
  <c r="Y465" i="151"/>
  <c r="Z465" i="151" s="1"/>
  <c r="U465" i="151"/>
  <c r="U473" i="151"/>
  <c r="Y473" i="151"/>
  <c r="Z473" i="151" s="1"/>
  <c r="U475" i="151"/>
  <c r="Y475" i="151"/>
  <c r="Z475" i="151" s="1"/>
  <c r="U477" i="151"/>
  <c r="Y477" i="151"/>
  <c r="Z477" i="151" s="1"/>
  <c r="U491" i="151"/>
  <c r="Y491" i="151"/>
  <c r="Z491" i="151" s="1"/>
  <c r="Y493" i="151"/>
  <c r="Z493" i="151" s="1"/>
  <c r="U493" i="151"/>
  <c r="Y495" i="151"/>
  <c r="Z495" i="151" s="1"/>
  <c r="U495" i="151"/>
  <c r="Y497" i="151"/>
  <c r="Z497" i="151" s="1"/>
  <c r="U497" i="151"/>
  <c r="Y499" i="151"/>
  <c r="Z499" i="151" s="1"/>
  <c r="U499" i="151"/>
  <c r="Y501" i="151"/>
  <c r="Z501" i="151" s="1"/>
  <c r="U501" i="151"/>
  <c r="Y522" i="151"/>
  <c r="Z522" i="151" s="1"/>
  <c r="U522" i="151"/>
  <c r="Y526" i="151"/>
  <c r="Z526" i="151" s="1"/>
  <c r="U526" i="151"/>
  <c r="Y528" i="151"/>
  <c r="Z528" i="151" s="1"/>
  <c r="U528" i="151"/>
  <c r="Y530" i="151"/>
  <c r="Z530" i="151" s="1"/>
  <c r="U530" i="151"/>
  <c r="Y532" i="151"/>
  <c r="Z532" i="151" s="1"/>
  <c r="U532" i="151"/>
  <c r="Y534" i="151"/>
  <c r="Z534" i="151" s="1"/>
  <c r="U534" i="151"/>
  <c r="Y536" i="151"/>
  <c r="Z536" i="151" s="1"/>
  <c r="U536" i="151"/>
  <c r="Y538" i="151"/>
  <c r="Z538" i="151" s="1"/>
  <c r="U538" i="151"/>
  <c r="Y540" i="151"/>
  <c r="Z540" i="151" s="1"/>
  <c r="U540" i="151"/>
  <c r="Y542" i="151"/>
  <c r="Z542" i="151" s="1"/>
  <c r="U542" i="151"/>
  <c r="Y544" i="151"/>
  <c r="Z544" i="151" s="1"/>
  <c r="U544" i="151"/>
  <c r="Y546" i="151"/>
  <c r="Z546" i="151" s="1"/>
  <c r="U546" i="151"/>
  <c r="Y548" i="151"/>
  <c r="Z548" i="151" s="1"/>
  <c r="U548" i="151"/>
  <c r="Y550" i="151"/>
  <c r="Z550" i="151" s="1"/>
  <c r="U550" i="151"/>
  <c r="Y552" i="151"/>
  <c r="Z552" i="151" s="1"/>
  <c r="U552" i="151"/>
  <c r="Y554" i="151"/>
  <c r="Z554" i="151" s="1"/>
  <c r="U554" i="151"/>
  <c r="Y556" i="151"/>
  <c r="Z556" i="151" s="1"/>
  <c r="U556" i="151"/>
  <c r="Y558" i="151"/>
  <c r="Z558" i="151" s="1"/>
  <c r="U558" i="151"/>
  <c r="U414" i="151"/>
  <c r="Y414" i="151"/>
  <c r="Z414" i="151" s="1"/>
  <c r="Y416" i="151"/>
  <c r="Z416" i="151" s="1"/>
  <c r="U416" i="151"/>
  <c r="Y421" i="151"/>
  <c r="Z421" i="151" s="1"/>
  <c r="U421" i="151"/>
  <c r="U440" i="151"/>
  <c r="Y440" i="151"/>
  <c r="Z440" i="151" s="1"/>
  <c r="U442" i="151"/>
  <c r="Y442" i="151"/>
  <c r="Z442" i="151" s="1"/>
  <c r="U444" i="151"/>
  <c r="Y444" i="151"/>
  <c r="Z444" i="151" s="1"/>
  <c r="U447" i="151"/>
  <c r="Y447" i="151"/>
  <c r="Z447" i="151" s="1"/>
  <c r="U455" i="151"/>
  <c r="Y455" i="151"/>
  <c r="Z455" i="151" s="1"/>
  <c r="U457" i="151"/>
  <c r="Y457" i="151"/>
  <c r="Z457" i="151" s="1"/>
  <c r="U459" i="151"/>
  <c r="Y459" i="151"/>
  <c r="Z459" i="151" s="1"/>
  <c r="U462" i="151"/>
  <c r="Y462" i="151"/>
  <c r="Z462" i="151" s="1"/>
  <c r="U464" i="151"/>
  <c r="Y464" i="151"/>
  <c r="Z464" i="151" s="1"/>
  <c r="U472" i="151"/>
  <c r="Y472" i="151"/>
  <c r="Z472" i="151" s="1"/>
  <c r="U474" i="151"/>
  <c r="Y474" i="151"/>
  <c r="Z474" i="151" s="1"/>
  <c r="U476" i="151"/>
  <c r="Y476" i="151"/>
  <c r="Z476" i="151" s="1"/>
  <c r="Y478" i="151"/>
  <c r="Z478" i="151" s="1"/>
  <c r="U478" i="151"/>
  <c r="Y492" i="151"/>
  <c r="Z492" i="151" s="1"/>
  <c r="U492" i="151"/>
  <c r="Y494" i="151"/>
  <c r="Z494" i="151" s="1"/>
  <c r="U494" i="151"/>
  <c r="Y496" i="151"/>
  <c r="Z496" i="151" s="1"/>
  <c r="U496" i="151"/>
  <c r="Y498" i="151"/>
  <c r="Z498" i="151" s="1"/>
  <c r="U498" i="151"/>
  <c r="Y500" i="151"/>
  <c r="Z500" i="151" s="1"/>
  <c r="U500" i="151"/>
  <c r="Y502" i="151"/>
  <c r="Z502" i="151" s="1"/>
  <c r="U502" i="151"/>
  <c r="U525" i="151"/>
  <c r="Y525" i="151"/>
  <c r="Z525" i="151" s="1"/>
  <c r="Y527" i="151"/>
  <c r="Z527" i="151" s="1"/>
  <c r="U527" i="151"/>
  <c r="Y529" i="151"/>
  <c r="Z529" i="151" s="1"/>
  <c r="U529" i="151"/>
  <c r="Y531" i="151"/>
  <c r="Z531" i="151" s="1"/>
  <c r="U531" i="151"/>
  <c r="Y533" i="151"/>
  <c r="Z533" i="151" s="1"/>
  <c r="U533" i="151"/>
  <c r="Y535" i="151"/>
  <c r="Z535" i="151" s="1"/>
  <c r="U535" i="151"/>
  <c r="Y537" i="151"/>
  <c r="Z537" i="151" s="1"/>
  <c r="U537" i="151"/>
  <c r="Y539" i="151"/>
  <c r="Z539" i="151" s="1"/>
  <c r="U539" i="151"/>
  <c r="Y541" i="151"/>
  <c r="Z541" i="151" s="1"/>
  <c r="U541" i="151"/>
  <c r="Y543" i="151"/>
  <c r="Z543" i="151" s="1"/>
  <c r="U543" i="151"/>
  <c r="Y545" i="151"/>
  <c r="Z545" i="151" s="1"/>
  <c r="U545" i="151"/>
  <c r="Y547" i="151"/>
  <c r="Z547" i="151" s="1"/>
  <c r="U547" i="151"/>
  <c r="Y549" i="151"/>
  <c r="Z549" i="151" s="1"/>
  <c r="U549" i="151"/>
  <c r="Y551" i="151"/>
  <c r="Z551" i="151" s="1"/>
  <c r="U551" i="151"/>
  <c r="Y553" i="151"/>
  <c r="Z553" i="151" s="1"/>
  <c r="U553" i="151"/>
  <c r="Y555" i="151"/>
  <c r="Z555" i="151" s="1"/>
  <c r="U555" i="151"/>
  <c r="Y557" i="151"/>
  <c r="Z557" i="151" s="1"/>
  <c r="U557" i="151"/>
  <c r="S435" i="151"/>
  <c r="Y435" i="151" s="1"/>
  <c r="Z435" i="151" s="1"/>
  <c r="AJ27" i="81"/>
  <c r="AL27" i="81"/>
  <c r="AN27" i="81"/>
  <c r="I39" i="81"/>
  <c r="H21" i="82"/>
  <c r="H24" i="82" s="1"/>
  <c r="H26" i="82" s="1"/>
  <c r="AA75" i="175"/>
  <c r="AB75" i="175" s="1"/>
  <c r="AA566" i="175"/>
  <c r="AB566" i="175" s="1"/>
  <c r="AA568" i="175"/>
  <c r="AB568" i="175" s="1"/>
  <c r="AA169" i="175"/>
  <c r="AB169" i="175" s="1"/>
  <c r="AA115" i="175"/>
  <c r="AB115" i="175" s="1"/>
  <c r="AA119" i="175"/>
  <c r="AB119" i="175" s="1"/>
  <c r="AA230" i="175"/>
  <c r="AB230" i="175" s="1"/>
  <c r="AA89" i="175"/>
  <c r="AB89" i="175" s="1"/>
  <c r="AA126" i="175"/>
  <c r="AB126" i="175" s="1"/>
  <c r="AA164" i="175"/>
  <c r="AB164" i="175" s="1"/>
  <c r="AA64" i="175"/>
  <c r="AB64" i="175" s="1"/>
  <c r="AB81" i="175"/>
  <c r="AA56" i="175"/>
  <c r="AB56" i="175" s="1"/>
  <c r="AA141" i="175"/>
  <c r="AB141" i="175" s="1"/>
  <c r="AA330" i="175"/>
  <c r="AB330" i="175" s="1"/>
  <c r="AA332" i="175"/>
  <c r="AB332" i="175" s="1"/>
  <c r="AA334" i="175"/>
  <c r="AB334" i="175" s="1"/>
  <c r="AA336" i="175"/>
  <c r="AB336" i="175" s="1"/>
  <c r="AA142" i="175"/>
  <c r="AB142" i="175" s="1"/>
  <c r="AA340" i="175"/>
  <c r="AB340" i="175" s="1"/>
  <c r="AA342" i="175"/>
  <c r="AB342" i="175" s="1"/>
  <c r="AA344" i="175"/>
  <c r="AB344" i="175" s="1"/>
  <c r="AA84" i="175"/>
  <c r="AB84" i="175" s="1"/>
  <c r="AA348" i="175"/>
  <c r="AB348" i="175" s="1"/>
  <c r="AA350" i="175"/>
  <c r="AB350" i="175" s="1"/>
  <c r="AA352" i="175"/>
  <c r="AB352" i="175" s="1"/>
  <c r="AA354" i="175"/>
  <c r="AB354" i="175" s="1"/>
  <c r="AA356" i="175"/>
  <c r="AB356" i="175" s="1"/>
  <c r="AA358" i="175"/>
  <c r="AB358" i="175" s="1"/>
  <c r="AA360" i="175"/>
  <c r="AB360" i="175" s="1"/>
  <c r="AA362" i="175"/>
  <c r="AB362" i="175" s="1"/>
  <c r="AA364" i="175"/>
  <c r="AB364" i="175" s="1"/>
  <c r="AA366" i="175"/>
  <c r="AB366" i="175" s="1"/>
  <c r="AA368" i="175"/>
  <c r="AB368" i="175" s="1"/>
  <c r="AA231" i="175"/>
  <c r="AB231" i="175" s="1"/>
  <c r="AA372" i="175"/>
  <c r="AB372" i="175" s="1"/>
  <c r="AA376" i="175"/>
  <c r="AB376" i="175" s="1"/>
  <c r="AA378" i="175"/>
  <c r="AB378" i="175" s="1"/>
  <c r="AA380" i="175"/>
  <c r="AB380" i="175" s="1"/>
  <c r="AA383" i="175"/>
  <c r="AB383" i="175" s="1"/>
  <c r="AA385" i="175"/>
  <c r="AB385" i="175" s="1"/>
  <c r="AA550" i="175"/>
  <c r="AB550" i="175" s="1"/>
  <c r="AA567" i="175"/>
  <c r="AB567" i="175" s="1"/>
  <c r="AA569" i="175"/>
  <c r="AB569" i="175" s="1"/>
  <c r="AA114" i="175"/>
  <c r="AB114" i="175" s="1"/>
  <c r="AA182" i="175"/>
  <c r="AB182" i="175" s="1"/>
  <c r="AA123" i="175"/>
  <c r="AB123" i="175" s="1"/>
  <c r="AA125" i="175"/>
  <c r="AB125" i="175" s="1"/>
  <c r="AA582" i="175"/>
  <c r="AB582" i="175" s="1"/>
  <c r="AA131" i="175"/>
  <c r="AB131" i="175" s="1"/>
  <c r="AA85" i="175"/>
  <c r="AB85" i="175" s="1"/>
  <c r="AA90" i="175"/>
  <c r="AB90" i="175" s="1"/>
  <c r="AA59" i="175"/>
  <c r="AB59" i="175" s="1"/>
  <c r="AA132" i="175"/>
  <c r="AB132" i="175" s="1"/>
  <c r="AA327" i="175"/>
  <c r="AB327" i="175" s="1"/>
  <c r="AA329" i="175"/>
  <c r="AB329" i="175" s="1"/>
  <c r="AA331" i="175"/>
  <c r="AB331" i="175" s="1"/>
  <c r="AA333" i="175"/>
  <c r="AB333" i="175" s="1"/>
  <c r="AA335" i="175"/>
  <c r="AB335" i="175" s="1"/>
  <c r="AA337" i="175"/>
  <c r="AB337" i="175" s="1"/>
  <c r="AA339" i="175"/>
  <c r="AB339" i="175" s="1"/>
  <c r="AA341" i="175"/>
  <c r="AB341" i="175" s="1"/>
  <c r="AA343" i="175"/>
  <c r="AB343" i="175" s="1"/>
  <c r="AA345" i="175"/>
  <c r="AB345" i="175" s="1"/>
  <c r="AA347" i="175"/>
  <c r="AB347" i="175" s="1"/>
  <c r="AA349" i="175"/>
  <c r="AB349" i="175" s="1"/>
  <c r="AA145" i="175"/>
  <c r="AB145" i="175" s="1"/>
  <c r="AA353" i="175"/>
  <c r="AB353" i="175" s="1"/>
  <c r="AA355" i="175"/>
  <c r="AB355" i="175" s="1"/>
  <c r="AA357" i="175"/>
  <c r="AB357" i="175" s="1"/>
  <c r="AA359" i="175"/>
  <c r="AB359" i="175" s="1"/>
  <c r="AA361" i="175"/>
  <c r="AB361" i="175" s="1"/>
  <c r="AA363" i="175"/>
  <c r="AB363" i="175" s="1"/>
  <c r="AA365" i="175"/>
  <c r="AB365" i="175" s="1"/>
  <c r="AA6" i="175"/>
  <c r="AB6" i="175" s="1"/>
  <c r="AA369" i="175"/>
  <c r="AB369" i="175" s="1"/>
  <c r="AA371" i="175"/>
  <c r="AB371" i="175" s="1"/>
  <c r="AA375" i="175"/>
  <c r="AB375" i="175" s="1"/>
  <c r="AA377" i="175"/>
  <c r="AB377" i="175" s="1"/>
  <c r="AA379" i="175"/>
  <c r="AB379" i="175" s="1"/>
  <c r="AA382" i="175"/>
  <c r="AB382" i="175" s="1"/>
  <c r="AA384" i="175"/>
  <c r="AB384" i="175" s="1"/>
  <c r="AA386" i="175"/>
  <c r="AB386" i="175" s="1"/>
  <c r="AA442" i="175"/>
  <c r="AB442" i="175" s="1"/>
  <c r="AA552" i="175"/>
  <c r="AB552" i="175" s="1"/>
  <c r="AA290" i="175"/>
  <c r="AB290" i="175" s="1"/>
  <c r="AA291" i="175"/>
  <c r="AB291" i="175" s="1"/>
  <c r="AA449" i="175"/>
  <c r="AB449" i="175" s="1"/>
  <c r="AA459" i="175"/>
  <c r="AB459" i="175" s="1"/>
  <c r="AA292" i="175"/>
  <c r="AB292" i="175" s="1"/>
  <c r="AA139" i="175"/>
  <c r="AB139" i="175" s="1"/>
  <c r="AA293" i="175"/>
  <c r="AB293" i="175" s="1"/>
  <c r="AA297" i="175"/>
  <c r="AB297" i="175" s="1"/>
  <c r="AA298" i="175"/>
  <c r="AB298" i="175" s="1"/>
  <c r="AA462" i="175"/>
  <c r="AB462" i="175" s="1"/>
  <c r="AA301" i="175"/>
  <c r="AB301" i="175" s="1"/>
  <c r="AA303" i="175"/>
  <c r="AB303" i="175" s="1"/>
  <c r="AA475" i="175"/>
  <c r="AB475" i="175" s="1"/>
  <c r="AA170" i="175"/>
  <c r="AB170" i="175" s="1"/>
  <c r="AA482" i="175"/>
  <c r="AB482" i="175" s="1"/>
  <c r="AA483" i="175"/>
  <c r="AB483" i="175" s="1"/>
  <c r="AA485" i="175"/>
  <c r="AB485" i="175" s="1"/>
  <c r="AA486" i="175"/>
  <c r="AB486" i="175" s="1"/>
  <c r="AA312" i="175"/>
  <c r="AB312" i="175" s="1"/>
  <c r="AA491" i="175"/>
  <c r="AB491" i="175" s="1"/>
  <c r="AA314" i="175"/>
  <c r="AB314" i="175" s="1"/>
  <c r="AA544" i="175"/>
  <c r="AB544" i="175" s="1"/>
  <c r="AA66" i="175"/>
  <c r="AB66" i="175" s="1"/>
  <c r="AA87" i="175"/>
  <c r="AB87" i="175" s="1"/>
  <c r="AA464" i="175"/>
  <c r="AB464" i="175" s="1"/>
  <c r="AA146" i="175"/>
  <c r="AB146" i="175" s="1"/>
  <c r="AA39" i="175"/>
  <c r="AB39" i="175" s="1"/>
  <c r="AA69" i="175"/>
  <c r="AB69" i="175" s="1"/>
  <c r="AA25" i="175"/>
  <c r="AB25" i="175" s="1"/>
  <c r="AA174" i="175"/>
  <c r="AB174" i="175" s="1"/>
  <c r="AA44" i="175"/>
  <c r="AB44" i="175" s="1"/>
  <c r="AA120" i="175"/>
  <c r="AB120" i="175" s="1"/>
  <c r="AA36" i="175"/>
  <c r="AB36" i="175" s="1"/>
  <c r="AA288" i="175"/>
  <c r="AB288" i="175" s="1"/>
  <c r="AA289" i="175"/>
  <c r="AB289" i="175" s="1"/>
  <c r="AA443" i="175"/>
  <c r="AB443" i="175" s="1"/>
  <c r="AA444" i="175"/>
  <c r="AB444" i="175" s="1"/>
  <c r="AA461" i="175"/>
  <c r="AB461" i="175" s="1"/>
  <c r="AA452" i="175"/>
  <c r="AB452" i="175" s="1"/>
  <c r="AA95" i="175"/>
  <c r="AB95" i="175" s="1"/>
  <c r="AA296" i="175"/>
  <c r="AB296" i="175" s="1"/>
  <c r="AA473" i="175"/>
  <c r="AB473" i="175" s="1"/>
  <c r="AA299" i="175"/>
  <c r="AB299" i="175" s="1"/>
  <c r="AA300" i="175"/>
  <c r="AB300" i="175" s="1"/>
  <c r="AA302" i="175"/>
  <c r="AB302" i="175" s="1"/>
  <c r="AA304" i="175"/>
  <c r="AB304" i="175" s="1"/>
  <c r="AA306" i="175"/>
  <c r="AB306" i="175" s="1"/>
  <c r="AA307" i="175"/>
  <c r="AB307" i="175" s="1"/>
  <c r="AA173" i="175"/>
  <c r="AB173" i="175" s="1"/>
  <c r="AA308" i="175"/>
  <c r="AB308" i="175" s="1"/>
  <c r="AA484" i="175"/>
  <c r="AB484" i="175" s="1"/>
  <c r="AA309" i="175"/>
  <c r="AB309" i="175" s="1"/>
  <c r="AA310" i="175"/>
  <c r="AB310" i="175" s="1"/>
  <c r="AA487" i="175"/>
  <c r="AB487" i="175" s="1"/>
  <c r="AA313" i="175"/>
  <c r="AB313" i="175" s="1"/>
  <c r="AA511" i="175"/>
  <c r="AB511" i="175" s="1"/>
  <c r="AA242" i="175"/>
  <c r="AB242" i="175" s="1"/>
  <c r="AA238" i="175"/>
  <c r="AB238" i="175" s="1"/>
  <c r="AA241" i="175"/>
  <c r="AB241" i="175" s="1"/>
  <c r="AA315" i="175"/>
  <c r="AB315" i="175" s="1"/>
  <c r="AA163" i="175"/>
  <c r="AB163" i="175" s="1"/>
  <c r="AA68" i="175"/>
  <c r="AB68" i="175" s="1"/>
  <c r="AA24" i="175"/>
  <c r="AB24" i="175" s="1"/>
  <c r="AA26" i="175"/>
  <c r="AB26" i="175" s="1"/>
  <c r="AA42" i="175"/>
  <c r="AB42" i="175" s="1"/>
  <c r="AA116" i="175"/>
  <c r="AB116" i="175" s="1"/>
  <c r="AA175" i="175"/>
  <c r="AB175" i="175" s="1"/>
  <c r="AA91" i="175"/>
  <c r="AB91" i="175" s="1"/>
  <c r="AA122" i="175"/>
  <c r="AB122" i="175" s="1"/>
  <c r="AA138" i="175"/>
  <c r="AB138" i="175" s="1"/>
  <c r="AA157" i="175"/>
  <c r="AB157" i="175" s="1"/>
  <c r="AA73" i="175"/>
  <c r="AB73" i="175" s="1"/>
  <c r="AA137" i="175"/>
  <c r="AB137" i="175" s="1"/>
  <c r="AA35" i="175"/>
  <c r="AB35" i="175" s="1"/>
  <c r="AA166" i="175"/>
  <c r="AB166" i="175" s="1"/>
  <c r="AA60" i="175"/>
  <c r="AB60" i="175" s="1"/>
  <c r="AA94" i="175"/>
  <c r="AB94" i="175" s="1"/>
  <c r="AA467" i="175"/>
  <c r="AB467" i="175" s="1"/>
  <c r="AA468" i="175"/>
  <c r="AB468" i="175" s="1"/>
  <c r="AA469" i="175"/>
  <c r="AB469" i="175" s="1"/>
  <c r="AA183" i="175"/>
  <c r="AB183" i="175" s="1"/>
  <c r="AA470" i="175"/>
  <c r="AB470" i="175" s="1"/>
  <c r="AA186" i="175"/>
  <c r="AB186" i="175" s="1"/>
  <c r="AA118" i="175"/>
  <c r="AB118" i="175" s="1"/>
  <c r="AA34" i="175"/>
  <c r="AB34" i="175" s="1"/>
  <c r="AA117" i="175"/>
  <c r="AB117" i="175" s="1"/>
  <c r="AA477" i="175"/>
  <c r="AB477" i="175" s="1"/>
  <c r="AA190" i="175"/>
  <c r="AB190" i="175" s="1"/>
  <c r="AA62" i="175"/>
  <c r="AB62" i="175" s="1"/>
  <c r="AA50" i="175"/>
  <c r="AB50" i="175" s="1"/>
  <c r="AA49" i="175"/>
  <c r="AB49" i="175" s="1"/>
  <c r="AA61" i="175"/>
  <c r="AB61" i="175" s="1"/>
  <c r="AA21" i="175"/>
  <c r="AB21" i="175" s="1"/>
  <c r="AA41" i="175"/>
  <c r="AB41" i="175" s="1"/>
  <c r="AA53" i="175"/>
  <c r="AB53" i="175" s="1"/>
  <c r="AA58" i="175"/>
  <c r="AB58" i="175" s="1"/>
  <c r="AA192" i="175"/>
  <c r="AB192" i="175" s="1"/>
  <c r="AA153" i="175"/>
  <c r="AB153" i="175" s="1"/>
  <c r="AA196" i="175"/>
  <c r="AB196" i="175" s="1"/>
  <c r="AA481" i="175"/>
  <c r="AB481" i="175" s="1"/>
  <c r="AA197" i="175"/>
  <c r="AB197" i="175" s="1"/>
  <c r="AA200" i="175"/>
  <c r="AB200" i="175" s="1"/>
  <c r="AA490" i="175"/>
  <c r="AB490" i="175" s="1"/>
  <c r="AA203" i="175"/>
  <c r="AB203" i="175" s="1"/>
  <c r="AA205" i="175"/>
  <c r="AB205" i="175" s="1"/>
  <c r="AA209" i="175"/>
  <c r="AB209" i="175" s="1"/>
  <c r="AA493" i="175"/>
  <c r="AB493" i="175" s="1"/>
  <c r="AA130" i="175"/>
  <c r="AB130" i="175" s="1"/>
  <c r="AA497" i="175"/>
  <c r="AB497" i="175" s="1"/>
  <c r="AA33" i="175"/>
  <c r="AB33" i="175" s="1"/>
  <c r="AA465" i="175"/>
  <c r="AB465" i="175" s="1"/>
  <c r="AA176" i="175"/>
  <c r="AB176" i="175" s="1"/>
  <c r="AA177" i="175"/>
  <c r="AB177" i="175" s="1"/>
  <c r="AA133" i="175"/>
  <c r="AB133" i="175" s="1"/>
  <c r="AA100" i="175"/>
  <c r="AB100" i="175" s="1"/>
  <c r="AA466" i="175"/>
  <c r="AB466" i="175" s="1"/>
  <c r="AA165" i="175"/>
  <c r="AB165" i="175" s="1"/>
  <c r="AA178" i="175"/>
  <c r="AB178" i="175" s="1"/>
  <c r="AA179" i="175"/>
  <c r="AB179" i="175" s="1"/>
  <c r="AA140" i="175"/>
  <c r="AB140" i="175" s="1"/>
  <c r="AA135" i="175"/>
  <c r="AB135" i="175" s="1"/>
  <c r="AA162" i="175"/>
  <c r="AB162" i="175" s="1"/>
  <c r="AA181" i="175"/>
  <c r="AB181" i="175" s="1"/>
  <c r="AA158" i="175"/>
  <c r="AB158" i="175" s="1"/>
  <c r="AA185" i="175"/>
  <c r="AB185" i="175" s="1"/>
  <c r="AA38" i="175"/>
  <c r="AB38" i="175" s="1"/>
  <c r="AA37" i="175"/>
  <c r="AB37" i="175" s="1"/>
  <c r="AA187" i="175"/>
  <c r="AB187" i="175" s="1"/>
  <c r="AA471" i="175"/>
  <c r="AB471" i="175" s="1"/>
  <c r="AA83" i="175"/>
  <c r="AB83" i="175" s="1"/>
  <c r="AA586" i="175"/>
  <c r="AB586" i="175" s="1"/>
  <c r="AA453" i="175"/>
  <c r="AB453" i="175" s="1"/>
  <c r="AA451" i="175"/>
  <c r="AB451" i="175" s="1"/>
  <c r="AA583" i="175"/>
  <c r="AB583" i="175" s="1"/>
  <c r="AA19" i="175"/>
  <c r="AB19" i="175" s="1"/>
  <c r="AA40" i="175"/>
  <c r="AB40" i="175" s="1"/>
  <c r="AA456" i="175"/>
  <c r="AB456" i="175" s="1"/>
  <c r="O15" i="150"/>
  <c r="AA51" i="175"/>
  <c r="AB51" i="175" s="1"/>
  <c r="AA478" i="175"/>
  <c r="AB478" i="175" s="1"/>
  <c r="AA127" i="175"/>
  <c r="AB127" i="175" s="1"/>
  <c r="AA195" i="175"/>
  <c r="AB195" i="175" s="1"/>
  <c r="AA479" i="175"/>
  <c r="AB479" i="175" s="1"/>
  <c r="AA488" i="175"/>
  <c r="AB488" i="175" s="1"/>
  <c r="AA489" i="175"/>
  <c r="AB489" i="175" s="1"/>
  <c r="AA201" i="175"/>
  <c r="AB201" i="175" s="1"/>
  <c r="AA124" i="175"/>
  <c r="AB124" i="175" s="1"/>
  <c r="AA143" i="175"/>
  <c r="AB143" i="175" s="1"/>
  <c r="AA207" i="175"/>
  <c r="AB207" i="175" s="1"/>
  <c r="AA492" i="175"/>
  <c r="AB492" i="175" s="1"/>
  <c r="AA210" i="175"/>
  <c r="AB210" i="175" s="1"/>
  <c r="AA494" i="175"/>
  <c r="AB494" i="175" s="1"/>
  <c r="AA167" i="175"/>
  <c r="AB167" i="175" s="1"/>
  <c r="H18" i="162"/>
  <c r="W28" i="49"/>
  <c r="AA388" i="175"/>
  <c r="AB388" i="175" s="1"/>
  <c r="AA390" i="175"/>
  <c r="AB390" i="175" s="1"/>
  <c r="AA392" i="175"/>
  <c r="AB392" i="175" s="1"/>
  <c r="AA394" i="175"/>
  <c r="AB394" i="175" s="1"/>
  <c r="AA396" i="175"/>
  <c r="AB396" i="175" s="1"/>
  <c r="AA398" i="175"/>
  <c r="AB398" i="175" s="1"/>
  <c r="AA400" i="175"/>
  <c r="AB400" i="175" s="1"/>
  <c r="AA402" i="175"/>
  <c r="AB402" i="175" s="1"/>
  <c r="AA404" i="175"/>
  <c r="AB404" i="175" s="1"/>
  <c r="AA406" i="175"/>
  <c r="AB406" i="175" s="1"/>
  <c r="AA408" i="175"/>
  <c r="AB408" i="175" s="1"/>
  <c r="AA410" i="175"/>
  <c r="AB410" i="175" s="1"/>
  <c r="AA412" i="175"/>
  <c r="AB412" i="175" s="1"/>
  <c r="AA414" i="175"/>
  <c r="AB414" i="175" s="1"/>
  <c r="AA416" i="175"/>
  <c r="AB416" i="175" s="1"/>
  <c r="AA419" i="175"/>
  <c r="AB419" i="175" s="1"/>
  <c r="AA421" i="175"/>
  <c r="AB421" i="175" s="1"/>
  <c r="L26" i="106"/>
  <c r="AA65" i="175"/>
  <c r="AB65" i="175" s="1"/>
  <c r="AA425" i="175"/>
  <c r="AB425" i="175" s="1"/>
  <c r="AA47" i="175"/>
  <c r="AB47" i="175" s="1"/>
  <c r="AA429" i="175"/>
  <c r="AB429" i="175" s="1"/>
  <c r="AA86" i="175"/>
  <c r="AB86" i="175" s="1"/>
  <c r="AA433" i="175"/>
  <c r="AB433" i="175" s="1"/>
  <c r="AA436" i="175"/>
  <c r="AB436" i="175" s="1"/>
  <c r="AA438" i="175"/>
  <c r="AB438" i="175" s="1"/>
  <c r="AA440" i="175"/>
  <c r="AB440" i="175" s="1"/>
  <c r="AA144" i="175"/>
  <c r="AB144" i="175" s="1"/>
  <c r="AA67" i="175"/>
  <c r="AB67" i="175" s="1"/>
  <c r="AA446" i="175"/>
  <c r="AB446" i="175" s="1"/>
  <c r="N9" i="50"/>
  <c r="AA448" i="175"/>
  <c r="AB448" i="175" s="1"/>
  <c r="G23" i="81"/>
  <c r="AA193" i="175"/>
  <c r="AB193" i="175" s="1"/>
  <c r="AA194" i="175"/>
  <c r="AB194" i="175" s="1"/>
  <c r="AA199" i="175"/>
  <c r="AB199" i="175" s="1"/>
  <c r="AA202" i="175"/>
  <c r="AB202" i="175" s="1"/>
  <c r="AA234" i="175"/>
  <c r="AB234" i="175" s="1"/>
  <c r="AA88" i="175"/>
  <c r="AB88" i="175" s="1"/>
  <c r="AA74" i="175"/>
  <c r="AB74" i="175" s="1"/>
  <c r="AA214" i="175"/>
  <c r="AB214" i="175" s="1"/>
  <c r="AA237" i="175"/>
  <c r="AB237" i="175" s="1"/>
  <c r="AA235" i="175"/>
  <c r="AB235" i="175" s="1"/>
  <c r="AA387" i="175"/>
  <c r="AB387" i="175" s="1"/>
  <c r="AA389" i="175"/>
  <c r="AB389" i="175" s="1"/>
  <c r="AA391" i="175"/>
  <c r="AB391" i="175" s="1"/>
  <c r="AA393" i="175"/>
  <c r="AB393" i="175" s="1"/>
  <c r="AA395" i="175"/>
  <c r="AB395" i="175" s="1"/>
  <c r="AA397" i="175"/>
  <c r="AB397" i="175" s="1"/>
  <c r="AA399" i="175"/>
  <c r="AB399" i="175" s="1"/>
  <c r="AA401" i="175"/>
  <c r="AB401" i="175" s="1"/>
  <c r="AA403" i="175"/>
  <c r="AB403" i="175" s="1"/>
  <c r="AA405" i="175"/>
  <c r="AB405" i="175" s="1"/>
  <c r="AA407" i="175"/>
  <c r="AB407" i="175" s="1"/>
  <c r="AA409" i="175"/>
  <c r="AB409" i="175" s="1"/>
  <c r="AA411" i="175"/>
  <c r="AB411" i="175" s="1"/>
  <c r="AA413" i="175"/>
  <c r="AB413" i="175" s="1"/>
  <c r="AA415" i="175"/>
  <c r="AB415" i="175" s="1"/>
  <c r="AA417" i="175"/>
  <c r="AB417" i="175" s="1"/>
  <c r="AA420" i="175"/>
  <c r="AB420" i="175" s="1"/>
  <c r="AA54" i="175"/>
  <c r="AB54" i="175" s="1"/>
  <c r="AA77" i="175"/>
  <c r="AB77" i="175" s="1"/>
  <c r="AA426" i="175"/>
  <c r="AB426" i="175" s="1"/>
  <c r="J10" i="166"/>
  <c r="AA428" i="175"/>
  <c r="AB428" i="175" s="1"/>
  <c r="AA430" i="175"/>
  <c r="AB430" i="175" s="1"/>
  <c r="AA432" i="175"/>
  <c r="AB432" i="175" s="1"/>
  <c r="AA121" i="175"/>
  <c r="AB121" i="175" s="1"/>
  <c r="AA437" i="175"/>
  <c r="AB437" i="175" s="1"/>
  <c r="AA72" i="175"/>
  <c r="AB72" i="175" s="1"/>
  <c r="AA93" i="175"/>
  <c r="AB93" i="175" s="1"/>
  <c r="AA63" i="175"/>
  <c r="AB63" i="175" s="1"/>
  <c r="AA445" i="175"/>
  <c r="AB445" i="175" s="1"/>
  <c r="AA447" i="175"/>
  <c r="AB447" i="175" s="1"/>
  <c r="AA160" i="175"/>
  <c r="AB160" i="175" s="1"/>
  <c r="AA233" i="175"/>
  <c r="AB233" i="175" s="1"/>
  <c r="AA198" i="175"/>
  <c r="AB198" i="175" s="1"/>
  <c r="AA457" i="175"/>
  <c r="AB457" i="175" s="1"/>
  <c r="AA204" i="175"/>
  <c r="AB204" i="175" s="1"/>
  <c r="AA4" i="175"/>
  <c r="AB4" i="175" s="1"/>
  <c r="AA98" i="175"/>
  <c r="AB98" i="175" s="1"/>
  <c r="AA149" i="175"/>
  <c r="AB149" i="175" s="1"/>
  <c r="AA10" i="175"/>
  <c r="AB10" i="175" s="1"/>
  <c r="AA474" i="175"/>
  <c r="AB474" i="175" s="1"/>
  <c r="AA476" i="175"/>
  <c r="AB476" i="175" s="1"/>
  <c r="V384" i="99"/>
  <c r="W384" i="99" s="1"/>
  <c r="R384" i="99"/>
  <c r="W93" i="124"/>
  <c r="X93" i="124" s="1"/>
  <c r="S93" i="124"/>
  <c r="W115" i="124"/>
  <c r="X115" i="124" s="1"/>
  <c r="S115" i="124"/>
  <c r="W165" i="124"/>
  <c r="X165" i="124" s="1"/>
  <c r="S165" i="124"/>
  <c r="W369" i="124"/>
  <c r="X369" i="124" s="1"/>
  <c r="S369" i="124"/>
  <c r="W402" i="124"/>
  <c r="X402" i="124" s="1"/>
  <c r="W432" i="124"/>
  <c r="X432" i="124" s="1"/>
  <c r="S432" i="124"/>
  <c r="W433" i="124"/>
  <c r="X433" i="124" s="1"/>
  <c r="S433" i="124"/>
  <c r="W437" i="124"/>
  <c r="X437" i="124" s="1"/>
  <c r="S437" i="124"/>
  <c r="W438" i="124"/>
  <c r="X438" i="124" s="1"/>
  <c r="S438" i="124"/>
  <c r="W439" i="124"/>
  <c r="X439" i="124" s="1"/>
  <c r="S439" i="124"/>
  <c r="W442" i="124"/>
  <c r="X442" i="124" s="1"/>
  <c r="S442" i="124"/>
  <c r="W443" i="124"/>
  <c r="X443" i="124" s="1"/>
  <c r="S443" i="124"/>
  <c r="W450" i="124"/>
  <c r="X450" i="124" s="1"/>
  <c r="S450" i="124"/>
  <c r="W454" i="124"/>
  <c r="X454" i="124" s="1"/>
  <c r="V479" i="124"/>
  <c r="W479" i="124" s="1"/>
  <c r="X479" i="124" s="1"/>
  <c r="S479" i="124"/>
  <c r="W502" i="124"/>
  <c r="X502" i="124" s="1"/>
  <c r="S502" i="124"/>
  <c r="V120" i="99"/>
  <c r="W120" i="99" s="1"/>
  <c r="R120" i="99"/>
  <c r="V125" i="99"/>
  <c r="W125" i="99" s="1"/>
  <c r="R125" i="99"/>
  <c r="V126" i="99"/>
  <c r="W126" i="99" s="1"/>
  <c r="R126" i="99"/>
  <c r="V167" i="99"/>
  <c r="W167" i="99" s="1"/>
  <c r="R167" i="99"/>
  <c r="V170" i="99"/>
  <c r="W170" i="99" s="1"/>
  <c r="R170" i="99"/>
  <c r="V172" i="99"/>
  <c r="W172" i="99" s="1"/>
  <c r="R172" i="99"/>
  <c r="V174" i="99"/>
  <c r="W174" i="99" s="1"/>
  <c r="R174" i="99"/>
  <c r="R176" i="99"/>
  <c r="V176" i="99"/>
  <c r="W176" i="99" s="1"/>
  <c r="V177" i="99"/>
  <c r="W177" i="99" s="1"/>
  <c r="R177" i="99"/>
  <c r="V180" i="99"/>
  <c r="W180" i="99" s="1"/>
  <c r="R180" i="99"/>
  <c r="V182" i="99"/>
  <c r="W182" i="99" s="1"/>
  <c r="R182" i="99"/>
  <c r="V252" i="99"/>
  <c r="W252" i="99" s="1"/>
  <c r="R252" i="99"/>
  <c r="V285" i="99"/>
  <c r="W285" i="99" s="1"/>
  <c r="R285" i="99"/>
  <c r="V404" i="99"/>
  <c r="W404" i="99" s="1"/>
  <c r="R404" i="99"/>
  <c r="V409" i="99"/>
  <c r="W409" i="99" s="1"/>
  <c r="R409" i="99"/>
  <c r="V435" i="99"/>
  <c r="W435" i="99" s="1"/>
  <c r="R435" i="99"/>
  <c r="V436" i="99"/>
  <c r="W436" i="99" s="1"/>
  <c r="R436" i="99"/>
  <c r="U443" i="99"/>
  <c r="R443" i="99"/>
  <c r="V443" i="99"/>
  <c r="W443" i="99" s="1"/>
  <c r="W64" i="124"/>
  <c r="X64" i="124" s="1"/>
  <c r="S64" i="124"/>
  <c r="W76" i="124"/>
  <c r="X76" i="124" s="1"/>
  <c r="S76" i="124"/>
  <c r="W81" i="124"/>
  <c r="X81" i="124" s="1"/>
  <c r="S81" i="124"/>
  <c r="W109" i="124"/>
  <c r="X109" i="124" s="1"/>
  <c r="S109" i="124"/>
  <c r="W189" i="124"/>
  <c r="X189" i="124" s="1"/>
  <c r="S189" i="124"/>
  <c r="W324" i="124"/>
  <c r="X324" i="124" s="1"/>
  <c r="S324" i="124"/>
  <c r="W360" i="124"/>
  <c r="X360" i="124" s="1"/>
  <c r="S360" i="124"/>
  <c r="W365" i="124"/>
  <c r="X365" i="124" s="1"/>
  <c r="S365" i="124"/>
  <c r="W377" i="124"/>
  <c r="X377" i="124" s="1"/>
  <c r="W403" i="124"/>
  <c r="X403" i="124" s="1"/>
  <c r="S403" i="124"/>
  <c r="W434" i="124"/>
  <c r="X434" i="124" s="1"/>
  <c r="S434" i="124"/>
  <c r="W445" i="124"/>
  <c r="X445" i="124" s="1"/>
  <c r="S445" i="124"/>
  <c r="W448" i="124"/>
  <c r="X448" i="124" s="1"/>
  <c r="S448" i="124"/>
  <c r="W449" i="124"/>
  <c r="X449" i="124" s="1"/>
  <c r="W453" i="124"/>
  <c r="X453" i="124" s="1"/>
  <c r="S453" i="124"/>
  <c r="W482" i="124"/>
  <c r="X482" i="124" s="1"/>
  <c r="W503" i="124"/>
  <c r="X503" i="124" s="1"/>
  <c r="R4" i="99"/>
  <c r="R12" i="99"/>
  <c r="R16" i="99"/>
  <c r="R29" i="99"/>
  <c r="R37" i="99"/>
  <c r="V40" i="99"/>
  <c r="W40" i="99" s="1"/>
  <c r="R75" i="99"/>
  <c r="R100" i="99"/>
  <c r="R107" i="99"/>
  <c r="V119" i="99"/>
  <c r="W119" i="99" s="1"/>
  <c r="R173" i="99"/>
  <c r="R175" i="99"/>
  <c r="R179" i="99"/>
  <c r="R181" i="99"/>
  <c r="R191" i="99"/>
  <c r="R290" i="99"/>
  <c r="R5" i="99"/>
  <c r="R7" i="99"/>
  <c r="R8" i="99"/>
  <c r="R10" i="99"/>
  <c r="R13" i="99"/>
  <c r="R14" i="99"/>
  <c r="R17" i="99"/>
  <c r="R18" i="99"/>
  <c r="R19" i="99"/>
  <c r="R21" i="99"/>
  <c r="R23" i="99"/>
  <c r="R24" i="99"/>
  <c r="R26" i="99"/>
  <c r="R30" i="99"/>
  <c r="R31" i="99"/>
  <c r="R33" i="99"/>
  <c r="R35" i="99"/>
  <c r="R38" i="99"/>
  <c r="R41" i="99"/>
  <c r="R43" i="99"/>
  <c r="R45" i="99"/>
  <c r="R47" i="99"/>
  <c r="R48" i="99"/>
  <c r="R50" i="99"/>
  <c r="R52" i="99"/>
  <c r="R53" i="99"/>
  <c r="R54" i="99"/>
  <c r="R56" i="99"/>
  <c r="R58" i="99"/>
  <c r="R59" i="99"/>
  <c r="R61" i="99"/>
  <c r="R62" i="99"/>
  <c r="R64" i="99"/>
  <c r="R66" i="99"/>
  <c r="R68" i="99"/>
  <c r="R70" i="99"/>
  <c r="R72" i="99"/>
  <c r="R73" i="99"/>
  <c r="R77" i="99"/>
  <c r="R78" i="99"/>
  <c r="R80" i="99"/>
  <c r="R81" i="99"/>
  <c r="R83" i="99"/>
  <c r="R85" i="99"/>
  <c r="R87" i="99"/>
  <c r="R89" i="99"/>
  <c r="R90" i="99"/>
  <c r="R92" i="99"/>
  <c r="R94" i="99"/>
  <c r="R96" i="99"/>
  <c r="R98" i="99"/>
  <c r="R101" i="99"/>
  <c r="R103" i="99"/>
  <c r="R105" i="99"/>
  <c r="R108" i="99"/>
  <c r="R110" i="99"/>
  <c r="R111" i="99"/>
  <c r="P113" i="99"/>
  <c r="R115" i="99"/>
  <c r="R117" i="99"/>
  <c r="P121" i="99"/>
  <c r="R123" i="99"/>
  <c r="R128" i="99"/>
  <c r="R130" i="99"/>
  <c r="R132" i="99"/>
  <c r="R134" i="99"/>
  <c r="R136" i="99"/>
  <c r="R138" i="99"/>
  <c r="R140" i="99"/>
  <c r="R142" i="99"/>
  <c r="R144" i="99"/>
  <c r="R145" i="99"/>
  <c r="R147" i="99"/>
  <c r="R149" i="99"/>
  <c r="R151" i="99"/>
  <c r="R153" i="99"/>
  <c r="R155" i="99"/>
  <c r="R157" i="99"/>
  <c r="R160" i="99"/>
  <c r="R162" i="99"/>
  <c r="R164" i="99"/>
  <c r="R165" i="99"/>
  <c r="R183" i="99"/>
  <c r="R185" i="99"/>
  <c r="R187" i="99"/>
  <c r="R189" i="99"/>
  <c r="R192" i="99"/>
  <c r="R194" i="99"/>
  <c r="R196" i="99"/>
  <c r="R198" i="99"/>
  <c r="R200" i="99"/>
  <c r="R202" i="99"/>
  <c r="R204" i="99"/>
  <c r="R206" i="99"/>
  <c r="R208" i="99"/>
  <c r="R210" i="99"/>
  <c r="R212" i="99"/>
  <c r="R214" i="99"/>
  <c r="R216" i="99"/>
  <c r="R218" i="99"/>
  <c r="R220" i="99"/>
  <c r="R222" i="99"/>
  <c r="R224" i="99"/>
  <c r="R226" i="99"/>
  <c r="R228" i="99"/>
  <c r="R230" i="99"/>
  <c r="R232" i="99"/>
  <c r="R234" i="99"/>
  <c r="R236" i="99"/>
  <c r="R238" i="99"/>
  <c r="R240" i="99"/>
  <c r="R242" i="99"/>
  <c r="R244" i="99"/>
  <c r="R246" i="99"/>
  <c r="R248" i="99"/>
  <c r="R250" i="99"/>
  <c r="R253" i="99"/>
  <c r="R255" i="99"/>
  <c r="R257" i="99"/>
  <c r="R259" i="99"/>
  <c r="R261" i="99"/>
  <c r="R263" i="99"/>
  <c r="R265" i="99"/>
  <c r="R266" i="99"/>
  <c r="R267" i="99"/>
  <c r="R269" i="99"/>
  <c r="R271" i="99"/>
  <c r="R273" i="99"/>
  <c r="R275" i="99"/>
  <c r="R277" i="99"/>
  <c r="R279" i="99"/>
  <c r="R281" i="99"/>
  <c r="R283" i="99"/>
  <c r="R286" i="99"/>
  <c r="R288" i="99"/>
  <c r="R292" i="99"/>
  <c r="R294" i="99"/>
  <c r="R297" i="99"/>
  <c r="R299" i="99"/>
  <c r="R301" i="99"/>
  <c r="R303" i="99"/>
  <c r="R306" i="99"/>
  <c r="R308" i="99"/>
  <c r="R310" i="99"/>
  <c r="R312" i="99"/>
  <c r="R314" i="99"/>
  <c r="R316" i="99"/>
  <c r="R318" i="99"/>
  <c r="R320" i="99"/>
  <c r="R322" i="99"/>
  <c r="R324" i="99"/>
  <c r="R326" i="99"/>
  <c r="R328" i="99"/>
  <c r="R330" i="99"/>
  <c r="R332" i="99"/>
  <c r="R334" i="99"/>
  <c r="R336" i="99"/>
  <c r="R338" i="99"/>
  <c r="R340" i="99"/>
  <c r="R342" i="99"/>
  <c r="R344" i="99"/>
  <c r="R346" i="99"/>
  <c r="R348" i="99"/>
  <c r="R350" i="99"/>
  <c r="R352" i="99"/>
  <c r="R354" i="99"/>
  <c r="R356" i="99"/>
  <c r="R357" i="99"/>
  <c r="R359" i="99"/>
  <c r="R361" i="99"/>
  <c r="R363" i="99"/>
  <c r="R367" i="99"/>
  <c r="R368" i="99"/>
  <c r="R370" i="99"/>
  <c r="R375" i="99"/>
  <c r="R378" i="99"/>
  <c r="R379" i="99"/>
  <c r="R381" i="99"/>
  <c r="R385" i="99"/>
  <c r="R387" i="99"/>
  <c r="R389" i="99"/>
  <c r="R391" i="99"/>
  <c r="R394" i="99"/>
  <c r="R397" i="99"/>
  <c r="R399" i="99"/>
  <c r="R400" i="99"/>
  <c r="R401" i="99"/>
  <c r="R402" i="99"/>
  <c r="R406" i="99"/>
  <c r="R410" i="99"/>
  <c r="R412" i="99"/>
  <c r="R414" i="99"/>
  <c r="R416" i="99"/>
  <c r="R418" i="99"/>
  <c r="R420" i="99"/>
  <c r="R421" i="99"/>
  <c r="R423" i="99"/>
  <c r="R424" i="99"/>
  <c r="R426" i="99"/>
  <c r="R428" i="99"/>
  <c r="R430" i="99"/>
  <c r="R432" i="99"/>
  <c r="R433" i="99"/>
  <c r="R437" i="99"/>
  <c r="R439" i="99"/>
  <c r="R441" i="99"/>
  <c r="R447" i="99"/>
  <c r="T447" i="99"/>
  <c r="V447" i="99" s="1"/>
  <c r="W447" i="99" s="1"/>
  <c r="R448" i="99"/>
  <c r="T448" i="99"/>
  <c r="V449" i="99"/>
  <c r="W449" i="99" s="1"/>
  <c r="R452" i="99"/>
  <c r="R455" i="99"/>
  <c r="R457" i="99"/>
  <c r="R459" i="99"/>
  <c r="R461" i="99"/>
  <c r="R463" i="99"/>
  <c r="R465" i="99"/>
  <c r="R467" i="99"/>
  <c r="R469" i="99"/>
  <c r="R471" i="99"/>
  <c r="R473" i="99"/>
  <c r="R475" i="99"/>
  <c r="R477" i="99"/>
  <c r="P479" i="99"/>
  <c r="S3" i="124"/>
  <c r="W3" i="124"/>
  <c r="S5" i="124"/>
  <c r="S7" i="124"/>
  <c r="S9" i="124"/>
  <c r="S11" i="124"/>
  <c r="S13" i="124"/>
  <c r="S15" i="124"/>
  <c r="S17" i="124"/>
  <c r="S19" i="124"/>
  <c r="S21" i="124"/>
  <c r="S23" i="124"/>
  <c r="Q25" i="124"/>
  <c r="S26" i="124"/>
  <c r="S28" i="124"/>
  <c r="Q29" i="124"/>
  <c r="S30" i="124"/>
  <c r="S32" i="124"/>
  <c r="S34" i="124"/>
  <c r="S36" i="124"/>
  <c r="S38" i="124"/>
  <c r="S40" i="124"/>
  <c r="S42" i="124"/>
  <c r="S44" i="124"/>
  <c r="S46" i="124"/>
  <c r="S47" i="124"/>
  <c r="S49" i="124"/>
  <c r="S51" i="124"/>
  <c r="S53" i="124"/>
  <c r="S55" i="124"/>
  <c r="S57" i="124"/>
  <c r="S58" i="124"/>
  <c r="S60" i="124"/>
  <c r="S62" i="124"/>
  <c r="S65" i="124"/>
  <c r="S67" i="124"/>
  <c r="S69" i="124"/>
  <c r="Q71" i="124"/>
  <c r="S72" i="124"/>
  <c r="S74" i="124"/>
  <c r="S77" i="124"/>
  <c r="S79" i="124"/>
  <c r="S82" i="124"/>
  <c r="S84" i="124"/>
  <c r="S86" i="124"/>
  <c r="S87" i="124"/>
  <c r="S88" i="124"/>
  <c r="S90" i="124"/>
  <c r="S91" i="124"/>
  <c r="S94" i="124"/>
  <c r="S96" i="124"/>
  <c r="S98" i="124"/>
  <c r="S100" i="124"/>
  <c r="S102" i="124"/>
  <c r="S104" i="124"/>
  <c r="S105" i="124"/>
  <c r="S107" i="124"/>
  <c r="S110" i="124"/>
  <c r="S111" i="124"/>
  <c r="S112" i="124"/>
  <c r="S113" i="124"/>
  <c r="S116" i="124"/>
  <c r="S118" i="124"/>
  <c r="S120" i="124"/>
  <c r="S122" i="124"/>
  <c r="S124" i="124"/>
  <c r="S125" i="124"/>
  <c r="S128" i="124"/>
  <c r="Q130" i="124"/>
  <c r="S133" i="124"/>
  <c r="S135" i="124"/>
  <c r="S137" i="124"/>
  <c r="S139" i="124"/>
  <c r="S141" i="124"/>
  <c r="S143" i="124"/>
  <c r="S145" i="124"/>
  <c r="S147" i="124"/>
  <c r="S149" i="124"/>
  <c r="S151" i="124"/>
  <c r="S153" i="124"/>
  <c r="S155" i="124"/>
  <c r="S157" i="124"/>
  <c r="S159" i="124"/>
  <c r="S161" i="124"/>
  <c r="S163" i="124"/>
  <c r="S166" i="124"/>
  <c r="S168" i="124"/>
  <c r="S170" i="124"/>
  <c r="S172" i="124"/>
  <c r="S174" i="124"/>
  <c r="S176" i="124"/>
  <c r="S178" i="124"/>
  <c r="S179" i="124"/>
  <c r="S181" i="124"/>
  <c r="S183" i="124"/>
  <c r="S185" i="124"/>
  <c r="S187" i="124"/>
  <c r="S190" i="124"/>
  <c r="S192" i="124"/>
  <c r="S194" i="124"/>
  <c r="S196" i="124"/>
  <c r="S198" i="124"/>
  <c r="S200" i="124"/>
  <c r="S202" i="124"/>
  <c r="S204" i="124"/>
  <c r="S206" i="124"/>
  <c r="S208" i="124"/>
  <c r="S210" i="124"/>
  <c r="S212" i="124"/>
  <c r="S214" i="124"/>
  <c r="S216" i="124"/>
  <c r="S218" i="124"/>
  <c r="S220" i="124"/>
  <c r="S222" i="124"/>
  <c r="S224" i="124"/>
  <c r="S226" i="124"/>
  <c r="S228" i="124"/>
  <c r="S230" i="124"/>
  <c r="S232" i="124"/>
  <c r="S234" i="124"/>
  <c r="S236" i="124"/>
  <c r="S237" i="124"/>
  <c r="S239" i="124"/>
  <c r="S241" i="124"/>
  <c r="S243" i="124"/>
  <c r="S245" i="124"/>
  <c r="S247" i="124"/>
  <c r="S249" i="124"/>
  <c r="S251" i="124"/>
  <c r="S253" i="124"/>
  <c r="S255" i="124"/>
  <c r="S257" i="124"/>
  <c r="S259" i="124"/>
  <c r="S261" i="124"/>
  <c r="S263" i="124"/>
  <c r="S265" i="124"/>
  <c r="S267" i="124"/>
  <c r="S269" i="124"/>
  <c r="S271" i="124"/>
  <c r="S273" i="124"/>
  <c r="S275" i="124"/>
  <c r="S277" i="124"/>
  <c r="S279" i="124"/>
  <c r="S281" i="124"/>
  <c r="S283" i="124"/>
  <c r="S284" i="124"/>
  <c r="S286" i="124"/>
  <c r="S288" i="124"/>
  <c r="S290" i="124"/>
  <c r="S292" i="124"/>
  <c r="S294" i="124"/>
  <c r="S296" i="124"/>
  <c r="S298" i="124"/>
  <c r="S300" i="124"/>
  <c r="S302" i="124"/>
  <c r="S304" i="124"/>
  <c r="S306" i="124"/>
  <c r="S308" i="124"/>
  <c r="S310" i="124"/>
  <c r="S312" i="124"/>
  <c r="S314" i="124"/>
  <c r="S316" i="124"/>
  <c r="S318" i="124"/>
  <c r="S320" i="124"/>
  <c r="S322" i="124"/>
  <c r="S325" i="124"/>
  <c r="S327" i="124"/>
  <c r="S329" i="124"/>
  <c r="S331" i="124"/>
  <c r="S333" i="124"/>
  <c r="S335" i="124"/>
  <c r="S337" i="124"/>
  <c r="S339" i="124"/>
  <c r="S341" i="124"/>
  <c r="S343" i="124"/>
  <c r="S345" i="124"/>
  <c r="S347" i="124"/>
  <c r="S349" i="124"/>
  <c r="S351" i="124"/>
  <c r="S353" i="124"/>
  <c r="S354" i="124"/>
  <c r="S356" i="124"/>
  <c r="S358" i="124"/>
  <c r="S361" i="124"/>
  <c r="S363" i="124"/>
  <c r="S366" i="124"/>
  <c r="S367" i="124"/>
  <c r="S370" i="124"/>
  <c r="S372" i="124"/>
  <c r="S373" i="124"/>
  <c r="S375" i="124"/>
  <c r="S379" i="124"/>
  <c r="S381" i="124"/>
  <c r="S383" i="124"/>
  <c r="S385" i="124"/>
  <c r="S387" i="124"/>
  <c r="S389" i="124"/>
  <c r="S391" i="124"/>
  <c r="Q393" i="124"/>
  <c r="S396" i="124"/>
  <c r="S398" i="124"/>
  <c r="S400" i="124"/>
  <c r="S401" i="124"/>
  <c r="S405" i="124"/>
  <c r="S407" i="124"/>
  <c r="S409" i="124"/>
  <c r="S411" i="124"/>
  <c r="S413" i="124"/>
  <c r="S415" i="124"/>
  <c r="S417" i="124"/>
  <c r="S419" i="124"/>
  <c r="S421" i="124"/>
  <c r="S422" i="124"/>
  <c r="S423" i="124"/>
  <c r="S425" i="124"/>
  <c r="S427" i="124"/>
  <c r="U427" i="124"/>
  <c r="S428" i="124"/>
  <c r="S430" i="124"/>
  <c r="S435" i="124"/>
  <c r="S440" i="124"/>
  <c r="S446" i="124"/>
  <c r="S451" i="124"/>
  <c r="S455" i="124"/>
  <c r="S457" i="124"/>
  <c r="S459" i="124"/>
  <c r="S461" i="124"/>
  <c r="S463" i="124"/>
  <c r="S465" i="124"/>
  <c r="S467" i="124"/>
  <c r="S469" i="124"/>
  <c r="S471" i="124"/>
  <c r="S473" i="124"/>
  <c r="S475" i="124"/>
  <c r="S477" i="124"/>
  <c r="S480" i="124"/>
  <c r="U480" i="124"/>
  <c r="V491" i="124" s="1"/>
  <c r="S481" i="124"/>
  <c r="U481" i="124"/>
  <c r="W481" i="124" s="1"/>
  <c r="X481" i="124" s="1"/>
  <c r="S487" i="124"/>
  <c r="S489" i="124"/>
  <c r="U489" i="124"/>
  <c r="S490" i="124"/>
  <c r="S492" i="124"/>
  <c r="S494" i="124"/>
  <c r="S496" i="124"/>
  <c r="S498" i="124"/>
  <c r="S500" i="124"/>
  <c r="S504" i="124"/>
  <c r="S506" i="124"/>
  <c r="S508" i="124"/>
  <c r="S510" i="124"/>
  <c r="S512" i="124"/>
  <c r="S514" i="124"/>
  <c r="S516" i="124"/>
  <c r="S518" i="124"/>
  <c r="S520" i="124"/>
  <c r="S522" i="124"/>
  <c r="S524" i="124"/>
  <c r="S526" i="124"/>
  <c r="S528" i="124"/>
  <c r="S530" i="124"/>
  <c r="S532" i="124"/>
  <c r="G534" i="124"/>
  <c r="I534" i="124"/>
  <c r="K534" i="124"/>
  <c r="O534" i="124"/>
  <c r="H535" i="124"/>
  <c r="J535" i="124"/>
  <c r="L535" i="124"/>
  <c r="N535" i="124"/>
  <c r="T535" i="124"/>
  <c r="M558" i="158"/>
  <c r="M559" i="158"/>
  <c r="Y140" i="158"/>
  <c r="Z140" i="158" s="1"/>
  <c r="Y141" i="158"/>
  <c r="Z141" i="158" s="1"/>
  <c r="Y142" i="158"/>
  <c r="Z142" i="158" s="1"/>
  <c r="Y143" i="158"/>
  <c r="Z143" i="158" s="1"/>
  <c r="Y144" i="158"/>
  <c r="Z144" i="158" s="1"/>
  <c r="Y145" i="158"/>
  <c r="Z145" i="158" s="1"/>
  <c r="Y146" i="158"/>
  <c r="Z146" i="158" s="1"/>
  <c r="Y147" i="158"/>
  <c r="Z147" i="158" s="1"/>
  <c r="Y148" i="158"/>
  <c r="Z148" i="158" s="1"/>
  <c r="Y149" i="158"/>
  <c r="Z149" i="158" s="1"/>
  <c r="Y150" i="158"/>
  <c r="Z150" i="158" s="1"/>
  <c r="Y151" i="158"/>
  <c r="Z151" i="158" s="1"/>
  <c r="Y152" i="158"/>
  <c r="Z152" i="158" s="1"/>
  <c r="Y153" i="158"/>
  <c r="Z153" i="158" s="1"/>
  <c r="Y154" i="158"/>
  <c r="Z154" i="158" s="1"/>
  <c r="Y155" i="158"/>
  <c r="Z155" i="158" s="1"/>
  <c r="Y156" i="158"/>
  <c r="Z156" i="158" s="1"/>
  <c r="Y182" i="158"/>
  <c r="Z182" i="158" s="1"/>
  <c r="Y183" i="158"/>
  <c r="Z183" i="158" s="1"/>
  <c r="Y184" i="158"/>
  <c r="Z184" i="158" s="1"/>
  <c r="Y185" i="158"/>
  <c r="Z185" i="158" s="1"/>
  <c r="Y186" i="158"/>
  <c r="Z186" i="158" s="1"/>
  <c r="Y187" i="158"/>
  <c r="Z187" i="158" s="1"/>
  <c r="Y188" i="158"/>
  <c r="Z188" i="158" s="1"/>
  <c r="Y189" i="158"/>
  <c r="Z189" i="158" s="1"/>
  <c r="Y190" i="158"/>
  <c r="Z190" i="158" s="1"/>
  <c r="Y191" i="158"/>
  <c r="Z191" i="158" s="1"/>
  <c r="U192" i="158"/>
  <c r="U334" i="158"/>
  <c r="Y334" i="158"/>
  <c r="Z334" i="158" s="1"/>
  <c r="U408" i="158"/>
  <c r="Y408" i="158"/>
  <c r="Z408" i="158" s="1"/>
  <c r="Y417" i="158"/>
  <c r="Z417" i="158" s="1"/>
  <c r="U417" i="158"/>
  <c r="U436" i="158"/>
  <c r="Y436" i="158"/>
  <c r="Z436" i="158" s="1"/>
  <c r="U450" i="158"/>
  <c r="Y450" i="158"/>
  <c r="Z450" i="158" s="1"/>
  <c r="Y506" i="158"/>
  <c r="Z506" i="158" s="1"/>
  <c r="U506" i="158"/>
  <c r="W104" i="154"/>
  <c r="X104" i="154" s="1"/>
  <c r="S104" i="154"/>
  <c r="S300" i="154"/>
  <c r="U110" i="151"/>
  <c r="Y110" i="151"/>
  <c r="Z110" i="151" s="1"/>
  <c r="U157" i="151"/>
  <c r="Y157" i="151"/>
  <c r="Z157" i="151" s="1"/>
  <c r="R28" i="99"/>
  <c r="R76" i="99"/>
  <c r="R159" i="99"/>
  <c r="R169" i="99"/>
  <c r="R171" i="99"/>
  <c r="R291" i="99"/>
  <c r="R296" i="99"/>
  <c r="R305" i="99"/>
  <c r="R349" i="99"/>
  <c r="R365" i="99"/>
  <c r="R366" i="99"/>
  <c r="R372" i="99"/>
  <c r="R373" i="99"/>
  <c r="R374" i="99"/>
  <c r="R376" i="99"/>
  <c r="R377" i="99"/>
  <c r="R396" i="99"/>
  <c r="R403" i="99"/>
  <c r="R408" i="99"/>
  <c r="R446" i="99"/>
  <c r="R449" i="99"/>
  <c r="R456" i="99"/>
  <c r="R479" i="99" s="1"/>
  <c r="Q126" i="124"/>
  <c r="AP32" i="91"/>
  <c r="W22" i="67"/>
  <c r="Y3" i="158"/>
  <c r="N559" i="158"/>
  <c r="N558" i="158"/>
  <c r="S157" i="158"/>
  <c r="U438" i="158"/>
  <c r="Y438" i="158"/>
  <c r="Z438" i="158" s="1"/>
  <c r="U452" i="158"/>
  <c r="Y452" i="158"/>
  <c r="Z452" i="158" s="1"/>
  <c r="Y465" i="158"/>
  <c r="Z465" i="158" s="1"/>
  <c r="U465" i="158"/>
  <c r="Y473" i="158"/>
  <c r="Z473" i="158" s="1"/>
  <c r="U473" i="158"/>
  <c r="U508" i="158"/>
  <c r="Y508" i="158"/>
  <c r="Z508" i="158" s="1"/>
  <c r="U511" i="158"/>
  <c r="Y511" i="158"/>
  <c r="Z511" i="158" s="1"/>
  <c r="W101" i="154"/>
  <c r="X101" i="154" s="1"/>
  <c r="S101" i="154"/>
  <c r="W126" i="154"/>
  <c r="X126" i="154" s="1"/>
  <c r="S126" i="154"/>
  <c r="W437" i="154"/>
  <c r="X437" i="154" s="1"/>
  <c r="W448" i="154"/>
  <c r="X448" i="154" s="1"/>
  <c r="U48" i="151"/>
  <c r="Y48" i="151"/>
  <c r="Z48" i="151" s="1"/>
  <c r="Y85" i="151"/>
  <c r="Z85" i="151" s="1"/>
  <c r="U120" i="151"/>
  <c r="Y120" i="151"/>
  <c r="Z120" i="151" s="1"/>
  <c r="Y121" i="151"/>
  <c r="Z121" i="151" s="1"/>
  <c r="U130" i="151"/>
  <c r="S131" i="158"/>
  <c r="U329" i="158"/>
  <c r="U330" i="158"/>
  <c r="U331" i="158"/>
  <c r="U332" i="158"/>
  <c r="U333" i="158"/>
  <c r="U390" i="158"/>
  <c r="U391" i="158"/>
  <c r="U392" i="158"/>
  <c r="U393" i="158"/>
  <c r="U394" i="158"/>
  <c r="U395" i="158"/>
  <c r="U396" i="158"/>
  <c r="U397" i="158"/>
  <c r="U398" i="158"/>
  <c r="U399" i="158"/>
  <c r="U400" i="158"/>
  <c r="U401" i="158"/>
  <c r="U402" i="158"/>
  <c r="U403" i="158"/>
  <c r="U404" i="158"/>
  <c r="U405" i="158"/>
  <c r="U406" i="158"/>
  <c r="U407" i="158"/>
  <c r="U418" i="158"/>
  <c r="U419" i="158"/>
  <c r="U420" i="158"/>
  <c r="U421" i="158"/>
  <c r="U422" i="158"/>
  <c r="U423" i="158"/>
  <c r="U424" i="158"/>
  <c r="U425" i="158"/>
  <c r="U426" i="158"/>
  <c r="U427" i="158"/>
  <c r="U428" i="158"/>
  <c r="U429" i="158"/>
  <c r="U430" i="158"/>
  <c r="U431" i="158"/>
  <c r="U432" i="158"/>
  <c r="U433" i="158"/>
  <c r="U434" i="158"/>
  <c r="I435" i="158"/>
  <c r="U437" i="158"/>
  <c r="U449" i="158"/>
  <c r="U451" i="158"/>
  <c r="U459" i="158"/>
  <c r="U460" i="158"/>
  <c r="U461" i="158"/>
  <c r="U462" i="158"/>
  <c r="U463" i="158"/>
  <c r="U464" i="158"/>
  <c r="U466" i="158"/>
  <c r="U468" i="158"/>
  <c r="U469" i="158"/>
  <c r="U470" i="158"/>
  <c r="U471" i="158"/>
  <c r="U472" i="158"/>
  <c r="U504" i="158"/>
  <c r="U505" i="158"/>
  <c r="U507" i="158"/>
  <c r="U509" i="158"/>
  <c r="U510" i="158"/>
  <c r="U516" i="158"/>
  <c r="U517" i="158"/>
  <c r="U518" i="158"/>
  <c r="U519" i="158"/>
  <c r="U520" i="158"/>
  <c r="U521" i="158"/>
  <c r="U522" i="158"/>
  <c r="U523" i="158"/>
  <c r="U524" i="158"/>
  <c r="U525" i="158"/>
  <c r="U526" i="158"/>
  <c r="U527" i="158"/>
  <c r="U528" i="158"/>
  <c r="U529" i="158"/>
  <c r="U530" i="158"/>
  <c r="U531" i="158"/>
  <c r="U532" i="158"/>
  <c r="U533" i="158"/>
  <c r="U534" i="158"/>
  <c r="U535" i="158"/>
  <c r="U536" i="158"/>
  <c r="U537" i="158"/>
  <c r="U538" i="158"/>
  <c r="U539" i="158"/>
  <c r="U540" i="158"/>
  <c r="U541" i="158"/>
  <c r="U542" i="158"/>
  <c r="U543" i="158"/>
  <c r="U544" i="158"/>
  <c r="U545" i="158"/>
  <c r="U546" i="158"/>
  <c r="U547" i="158"/>
  <c r="U548" i="158"/>
  <c r="U549" i="158"/>
  <c r="U550" i="158"/>
  <c r="U551" i="158"/>
  <c r="U552" i="158"/>
  <c r="U553" i="158"/>
  <c r="U554" i="158"/>
  <c r="U555" i="158"/>
  <c r="U556" i="158"/>
  <c r="U557" i="158"/>
  <c r="P558" i="158"/>
  <c r="T558" i="158"/>
  <c r="K559" i="158"/>
  <c r="T545" i="154"/>
  <c r="T544" i="154"/>
  <c r="X3" i="154"/>
  <c r="L545" i="154"/>
  <c r="L544" i="154"/>
  <c r="S80" i="154"/>
  <c r="Y80" i="154" s="1"/>
  <c r="S81" i="154"/>
  <c r="Y81" i="154" s="1"/>
  <c r="S82" i="154"/>
  <c r="Y82" i="154" s="1"/>
  <c r="S83" i="154"/>
  <c r="Y83" i="154" s="1"/>
  <c r="S84" i="154"/>
  <c r="Y84" i="154" s="1"/>
  <c r="S85" i="154"/>
  <c r="Y85" i="154" s="1"/>
  <c r="S86" i="154"/>
  <c r="Y86" i="154" s="1"/>
  <c r="S87" i="154"/>
  <c r="Y87" i="154" s="1"/>
  <c r="S88" i="154"/>
  <c r="Y88" i="154" s="1"/>
  <c r="S89" i="154"/>
  <c r="Y89" i="154" s="1"/>
  <c r="S90" i="154"/>
  <c r="Y90" i="154" s="1"/>
  <c r="S91" i="154"/>
  <c r="Y91" i="154" s="1"/>
  <c r="S92" i="154"/>
  <c r="Y92" i="154" s="1"/>
  <c r="S93" i="154"/>
  <c r="Y93" i="154" s="1"/>
  <c r="S94" i="154"/>
  <c r="Y94" i="154" s="1"/>
  <c r="S95" i="154"/>
  <c r="Y95" i="154" s="1"/>
  <c r="S96" i="154"/>
  <c r="Y96" i="154" s="1"/>
  <c r="S97" i="154"/>
  <c r="Y97" i="154" s="1"/>
  <c r="S98" i="154"/>
  <c r="Y98" i="154" s="1"/>
  <c r="S99" i="154"/>
  <c r="Y99" i="154" s="1"/>
  <c r="S100" i="154"/>
  <c r="Y100" i="154" s="1"/>
  <c r="S102" i="154"/>
  <c r="Y102" i="154" s="1"/>
  <c r="S103" i="154"/>
  <c r="Y103" i="154" s="1"/>
  <c r="S105" i="154"/>
  <c r="Y105" i="154" s="1"/>
  <c r="S106" i="154"/>
  <c r="Y106" i="154" s="1"/>
  <c r="S107" i="154"/>
  <c r="Y107" i="154" s="1"/>
  <c r="S108" i="154"/>
  <c r="Y108" i="154" s="1"/>
  <c r="S109" i="154"/>
  <c r="Y109" i="154" s="1"/>
  <c r="S110" i="154"/>
  <c r="Y110" i="154" s="1"/>
  <c r="S111" i="154"/>
  <c r="Y111" i="154" s="1"/>
  <c r="S112" i="154"/>
  <c r="Y112" i="154" s="1"/>
  <c r="S113" i="154"/>
  <c r="Y113" i="154" s="1"/>
  <c r="S114" i="154"/>
  <c r="Y114" i="154" s="1"/>
  <c r="S115" i="154"/>
  <c r="Y115" i="154" s="1"/>
  <c r="S116" i="154"/>
  <c r="Y116" i="154" s="1"/>
  <c r="S117" i="154"/>
  <c r="Y117" i="154" s="1"/>
  <c r="S118" i="154"/>
  <c r="Y118" i="154" s="1"/>
  <c r="S119" i="154"/>
  <c r="Y119" i="154" s="1"/>
  <c r="S120" i="154"/>
  <c r="Y120" i="154" s="1"/>
  <c r="S121" i="154"/>
  <c r="Y121" i="154" s="1"/>
  <c r="S122" i="154"/>
  <c r="Y122" i="154" s="1"/>
  <c r="S123" i="154"/>
  <c r="Y123" i="154" s="1"/>
  <c r="S124" i="154"/>
  <c r="Y124" i="154" s="1"/>
  <c r="S125" i="154"/>
  <c r="Y125" i="154" s="1"/>
  <c r="S129" i="154"/>
  <c r="Y129" i="154" s="1"/>
  <c r="Q130" i="154"/>
  <c r="S131" i="154"/>
  <c r="Y131" i="154" s="1"/>
  <c r="S132" i="154"/>
  <c r="Y132" i="154" s="1"/>
  <c r="S133" i="154"/>
  <c r="Y133" i="154" s="1"/>
  <c r="S134" i="154"/>
  <c r="Y134" i="154" s="1"/>
  <c r="S135" i="154"/>
  <c r="Y135" i="154" s="1"/>
  <c r="S136" i="154"/>
  <c r="Y136" i="154" s="1"/>
  <c r="S137" i="154"/>
  <c r="Y137" i="154" s="1"/>
  <c r="S138" i="154"/>
  <c r="Y138" i="154" s="1"/>
  <c r="S139" i="154"/>
  <c r="Y139" i="154" s="1"/>
  <c r="S140" i="154"/>
  <c r="Y140" i="154" s="1"/>
  <c r="S141" i="154"/>
  <c r="Y141" i="154" s="1"/>
  <c r="S142" i="154"/>
  <c r="Y142" i="154" s="1"/>
  <c r="S143" i="154"/>
  <c r="Y143" i="154" s="1"/>
  <c r="S144" i="154"/>
  <c r="Y144" i="154" s="1"/>
  <c r="S145" i="154"/>
  <c r="Y145" i="154" s="1"/>
  <c r="S146" i="154"/>
  <c r="Y146" i="154" s="1"/>
  <c r="S147" i="154"/>
  <c r="Y147" i="154" s="1"/>
  <c r="S148" i="154"/>
  <c r="Y148" i="154" s="1"/>
  <c r="S149" i="154"/>
  <c r="Y149" i="154" s="1"/>
  <c r="S150" i="154"/>
  <c r="Y150" i="154" s="1"/>
  <c r="S151" i="154"/>
  <c r="Y151" i="154" s="1"/>
  <c r="S152" i="154"/>
  <c r="Y152" i="154" s="1"/>
  <c r="S153" i="154"/>
  <c r="Y153" i="154" s="1"/>
  <c r="S154" i="154"/>
  <c r="Y154" i="154" s="1"/>
  <c r="S155" i="154"/>
  <c r="Y155" i="154" s="1"/>
  <c r="S156" i="154"/>
  <c r="Y156" i="154" s="1"/>
  <c r="S157" i="154"/>
  <c r="Y157" i="154" s="1"/>
  <c r="S158" i="154"/>
  <c r="Y158" i="154" s="1"/>
  <c r="S159" i="154"/>
  <c r="Y159" i="154" s="1"/>
  <c r="W160" i="154"/>
  <c r="X160" i="154" s="1"/>
  <c r="S160" i="154"/>
  <c r="W162" i="154"/>
  <c r="X162" i="154" s="1"/>
  <c r="S162" i="154"/>
  <c r="W164" i="154"/>
  <c r="X164" i="154" s="1"/>
  <c r="S164" i="154"/>
  <c r="W166" i="154"/>
  <c r="X166" i="154" s="1"/>
  <c r="S166" i="154"/>
  <c r="W168" i="154"/>
  <c r="X168" i="154" s="1"/>
  <c r="S168" i="154"/>
  <c r="W170" i="154"/>
  <c r="X170" i="154" s="1"/>
  <c r="S170" i="154"/>
  <c r="W172" i="154"/>
  <c r="X172" i="154" s="1"/>
  <c r="S172" i="154"/>
  <c r="W174" i="154"/>
  <c r="X174" i="154" s="1"/>
  <c r="S174" i="154"/>
  <c r="W176" i="154"/>
  <c r="X176" i="154" s="1"/>
  <c r="S176" i="154"/>
  <c r="W178" i="154"/>
  <c r="X178" i="154" s="1"/>
  <c r="S178" i="154"/>
  <c r="W180" i="154"/>
  <c r="X180" i="154" s="1"/>
  <c r="S180" i="154"/>
  <c r="W182" i="154"/>
  <c r="X182" i="154" s="1"/>
  <c r="S182" i="154"/>
  <c r="W184" i="154"/>
  <c r="X184" i="154" s="1"/>
  <c r="S184" i="154"/>
  <c r="S185" i="154"/>
  <c r="Y185" i="154" s="1"/>
  <c r="W187" i="154"/>
  <c r="X187" i="154" s="1"/>
  <c r="S187" i="154"/>
  <c r="W189" i="154"/>
  <c r="X189" i="154" s="1"/>
  <c r="S189" i="154"/>
  <c r="W191" i="154"/>
  <c r="X191" i="154" s="1"/>
  <c r="S191" i="154"/>
  <c r="W193" i="154"/>
  <c r="X193" i="154" s="1"/>
  <c r="S193" i="154"/>
  <c r="W195" i="154"/>
  <c r="X195" i="154" s="1"/>
  <c r="S195" i="154"/>
  <c r="W197" i="154"/>
  <c r="X197" i="154" s="1"/>
  <c r="S197" i="154"/>
  <c r="W199" i="154"/>
  <c r="X199" i="154" s="1"/>
  <c r="S199" i="154"/>
  <c r="W201" i="154"/>
  <c r="X201" i="154" s="1"/>
  <c r="S201" i="154"/>
  <c r="W203" i="154"/>
  <c r="X203" i="154" s="1"/>
  <c r="S203" i="154"/>
  <c r="W205" i="154"/>
  <c r="X205" i="154" s="1"/>
  <c r="S205" i="154"/>
  <c r="W207" i="154"/>
  <c r="X207" i="154" s="1"/>
  <c r="S207" i="154"/>
  <c r="W209" i="154"/>
  <c r="X209" i="154" s="1"/>
  <c r="S209" i="154"/>
  <c r="W211" i="154"/>
  <c r="X211" i="154" s="1"/>
  <c r="S211" i="154"/>
  <c r="W213" i="154"/>
  <c r="X213" i="154" s="1"/>
  <c r="S213" i="154"/>
  <c r="W215" i="154"/>
  <c r="X215" i="154" s="1"/>
  <c r="S215" i="154"/>
  <c r="W217" i="154"/>
  <c r="X217" i="154" s="1"/>
  <c r="S217" i="154"/>
  <c r="W219" i="154"/>
  <c r="X219" i="154" s="1"/>
  <c r="S219" i="154"/>
  <c r="W221" i="154"/>
  <c r="X221" i="154" s="1"/>
  <c r="S221" i="154"/>
  <c r="W223" i="154"/>
  <c r="X223" i="154" s="1"/>
  <c r="S223" i="154"/>
  <c r="W225" i="154"/>
  <c r="X225" i="154" s="1"/>
  <c r="S225" i="154"/>
  <c r="W227" i="154"/>
  <c r="X227" i="154" s="1"/>
  <c r="S227" i="154"/>
  <c r="W229" i="154"/>
  <c r="X229" i="154" s="1"/>
  <c r="S229" i="154"/>
  <c r="W231" i="154"/>
  <c r="X231" i="154" s="1"/>
  <c r="S231" i="154"/>
  <c r="W233" i="154"/>
  <c r="X233" i="154" s="1"/>
  <c r="S233" i="154"/>
  <c r="W235" i="154"/>
  <c r="X235" i="154" s="1"/>
  <c r="S235" i="154"/>
  <c r="W237" i="154"/>
  <c r="X237" i="154" s="1"/>
  <c r="S237" i="154"/>
  <c r="W239" i="154"/>
  <c r="X239" i="154" s="1"/>
  <c r="S239" i="154"/>
  <c r="W241" i="154"/>
  <c r="X241" i="154" s="1"/>
  <c r="S241" i="154"/>
  <c r="W243" i="154"/>
  <c r="X243" i="154" s="1"/>
  <c r="S243" i="154"/>
  <c r="W245" i="154"/>
  <c r="X245" i="154" s="1"/>
  <c r="S245" i="154"/>
  <c r="W247" i="154"/>
  <c r="X247" i="154" s="1"/>
  <c r="S247" i="154"/>
  <c r="W249" i="154"/>
  <c r="X249" i="154" s="1"/>
  <c r="S249" i="154"/>
  <c r="W251" i="154"/>
  <c r="X251" i="154" s="1"/>
  <c r="S251" i="154"/>
  <c r="W253" i="154"/>
  <c r="X253" i="154" s="1"/>
  <c r="S253" i="154"/>
  <c r="W255" i="154"/>
  <c r="X255" i="154" s="1"/>
  <c r="S255" i="154"/>
  <c r="W257" i="154"/>
  <c r="X257" i="154" s="1"/>
  <c r="S257" i="154"/>
  <c r="W259" i="154"/>
  <c r="X259" i="154" s="1"/>
  <c r="S259" i="154"/>
  <c r="W261" i="154"/>
  <c r="X261" i="154" s="1"/>
  <c r="S261" i="154"/>
  <c r="W263" i="154"/>
  <c r="X263" i="154" s="1"/>
  <c r="S263" i="154"/>
  <c r="W265" i="154"/>
  <c r="X265" i="154" s="1"/>
  <c r="S265" i="154"/>
  <c r="W267" i="154"/>
  <c r="X267" i="154" s="1"/>
  <c r="S267" i="154"/>
  <c r="W269" i="154"/>
  <c r="X269" i="154" s="1"/>
  <c r="S269" i="154"/>
  <c r="W271" i="154"/>
  <c r="X271" i="154" s="1"/>
  <c r="S271" i="154"/>
  <c r="W273" i="154"/>
  <c r="X273" i="154" s="1"/>
  <c r="S273" i="154"/>
  <c r="W275" i="154"/>
  <c r="X275" i="154" s="1"/>
  <c r="S275" i="154"/>
  <c r="W277" i="154"/>
  <c r="X277" i="154" s="1"/>
  <c r="S277" i="154"/>
  <c r="W279" i="154"/>
  <c r="X279" i="154" s="1"/>
  <c r="S279" i="154"/>
  <c r="W281" i="154"/>
  <c r="X281" i="154" s="1"/>
  <c r="S281" i="154"/>
  <c r="W283" i="154"/>
  <c r="X283" i="154" s="1"/>
  <c r="S283" i="154"/>
  <c r="W285" i="154"/>
  <c r="X285" i="154" s="1"/>
  <c r="S285" i="154"/>
  <c r="W287" i="154"/>
  <c r="X287" i="154" s="1"/>
  <c r="S287" i="154"/>
  <c r="W289" i="154"/>
  <c r="X289" i="154" s="1"/>
  <c r="S289" i="154"/>
  <c r="W291" i="154"/>
  <c r="X291" i="154" s="1"/>
  <c r="S291" i="154"/>
  <c r="W293" i="154"/>
  <c r="X293" i="154" s="1"/>
  <c r="S293" i="154"/>
  <c r="W295" i="154"/>
  <c r="X295" i="154" s="1"/>
  <c r="S295" i="154"/>
  <c r="W297" i="154"/>
  <c r="X297" i="154" s="1"/>
  <c r="S297" i="154"/>
  <c r="W299" i="154"/>
  <c r="X299" i="154" s="1"/>
  <c r="S299" i="154"/>
  <c r="W301" i="154"/>
  <c r="X301" i="154" s="1"/>
  <c r="S301" i="154"/>
  <c r="W303" i="154"/>
  <c r="X303" i="154" s="1"/>
  <c r="S303" i="154"/>
  <c r="W305" i="154"/>
  <c r="X305" i="154" s="1"/>
  <c r="S305" i="154"/>
  <c r="W307" i="154"/>
  <c r="X307" i="154" s="1"/>
  <c r="S307" i="154"/>
  <c r="W309" i="154"/>
  <c r="X309" i="154" s="1"/>
  <c r="S309" i="154"/>
  <c r="W311" i="154"/>
  <c r="X311" i="154" s="1"/>
  <c r="S311" i="154"/>
  <c r="W313" i="154"/>
  <c r="X313" i="154" s="1"/>
  <c r="S313" i="154"/>
  <c r="W315" i="154"/>
  <c r="X315" i="154" s="1"/>
  <c r="S315" i="154"/>
  <c r="W317" i="154"/>
  <c r="X317" i="154" s="1"/>
  <c r="S317" i="154"/>
  <c r="W319" i="154"/>
  <c r="X319" i="154" s="1"/>
  <c r="S319" i="154"/>
  <c r="W321" i="154"/>
  <c r="X321" i="154" s="1"/>
  <c r="S321" i="154"/>
  <c r="W323" i="154"/>
  <c r="X323" i="154" s="1"/>
  <c r="S323" i="154"/>
  <c r="W325" i="154"/>
  <c r="X325" i="154" s="1"/>
  <c r="S325" i="154"/>
  <c r="W327" i="154"/>
  <c r="X327" i="154" s="1"/>
  <c r="S327" i="154"/>
  <c r="W329" i="154"/>
  <c r="X329" i="154" s="1"/>
  <c r="S329" i="154"/>
  <c r="W331" i="154"/>
  <c r="X331" i="154" s="1"/>
  <c r="S331" i="154"/>
  <c r="W333" i="154"/>
  <c r="X333" i="154" s="1"/>
  <c r="S333" i="154"/>
  <c r="W335" i="154"/>
  <c r="X335" i="154" s="1"/>
  <c r="S335" i="154"/>
  <c r="W337" i="154"/>
  <c r="X337" i="154" s="1"/>
  <c r="S337" i="154"/>
  <c r="W339" i="154"/>
  <c r="X339" i="154" s="1"/>
  <c r="S339" i="154"/>
  <c r="W341" i="154"/>
  <c r="X341" i="154" s="1"/>
  <c r="S341" i="154"/>
  <c r="W343" i="154"/>
  <c r="X343" i="154" s="1"/>
  <c r="S343" i="154"/>
  <c r="W345" i="154"/>
  <c r="X345" i="154" s="1"/>
  <c r="S345" i="154"/>
  <c r="W347" i="154"/>
  <c r="X347" i="154" s="1"/>
  <c r="S347" i="154"/>
  <c r="W349" i="154"/>
  <c r="X349" i="154" s="1"/>
  <c r="S349" i="154"/>
  <c r="W351" i="154"/>
  <c r="X351" i="154" s="1"/>
  <c r="S351" i="154"/>
  <c r="W353" i="154"/>
  <c r="X353" i="154" s="1"/>
  <c r="S353" i="154"/>
  <c r="W355" i="154"/>
  <c r="X355" i="154" s="1"/>
  <c r="S355" i="154"/>
  <c r="W357" i="154"/>
  <c r="X357" i="154" s="1"/>
  <c r="S357" i="154"/>
  <c r="W359" i="154"/>
  <c r="X359" i="154" s="1"/>
  <c r="S359" i="154"/>
  <c r="W361" i="154"/>
  <c r="X361" i="154" s="1"/>
  <c r="S361" i="154"/>
  <c r="W363" i="154"/>
  <c r="X363" i="154" s="1"/>
  <c r="S363" i="154"/>
  <c r="W365" i="154"/>
  <c r="X365" i="154" s="1"/>
  <c r="S365" i="154"/>
  <c r="W367" i="154"/>
  <c r="X367" i="154" s="1"/>
  <c r="S367" i="154"/>
  <c r="W369" i="154"/>
  <c r="X369" i="154" s="1"/>
  <c r="S369" i="154"/>
  <c r="W371" i="154"/>
  <c r="X371" i="154" s="1"/>
  <c r="S371" i="154"/>
  <c r="W373" i="154"/>
  <c r="X373" i="154" s="1"/>
  <c r="S373" i="154"/>
  <c r="W375" i="154"/>
  <c r="X375" i="154" s="1"/>
  <c r="S375" i="154"/>
  <c r="W377" i="154"/>
  <c r="X377" i="154" s="1"/>
  <c r="S377" i="154"/>
  <c r="W379" i="154"/>
  <c r="X379" i="154" s="1"/>
  <c r="S379" i="154"/>
  <c r="W381" i="154"/>
  <c r="X381" i="154" s="1"/>
  <c r="S381" i="154"/>
  <c r="S382" i="154"/>
  <c r="Y382" i="154" s="1"/>
  <c r="W396" i="154"/>
  <c r="X396" i="154" s="1"/>
  <c r="S396" i="154"/>
  <c r="S397" i="154"/>
  <c r="Y397" i="154" s="1"/>
  <c r="W401" i="154"/>
  <c r="X401" i="154" s="1"/>
  <c r="S401" i="154"/>
  <c r="W403" i="154"/>
  <c r="X403" i="154" s="1"/>
  <c r="S403" i="154"/>
  <c r="W416" i="154"/>
  <c r="X416" i="154" s="1"/>
  <c r="S416" i="154"/>
  <c r="W418" i="154"/>
  <c r="X418" i="154" s="1"/>
  <c r="S418" i="154"/>
  <c r="W420" i="154"/>
  <c r="X420" i="154" s="1"/>
  <c r="S420" i="154"/>
  <c r="W422" i="154"/>
  <c r="X422" i="154" s="1"/>
  <c r="S422" i="154"/>
  <c r="W430" i="154"/>
  <c r="X430" i="154" s="1"/>
  <c r="S430" i="154"/>
  <c r="U432" i="154"/>
  <c r="W432" i="154" s="1"/>
  <c r="X432" i="154" s="1"/>
  <c r="S432" i="154"/>
  <c r="W434" i="154"/>
  <c r="X434" i="154" s="1"/>
  <c r="S434" i="154"/>
  <c r="W436" i="154"/>
  <c r="X436" i="154" s="1"/>
  <c r="S436" i="154"/>
  <c r="W439" i="154"/>
  <c r="X439" i="154" s="1"/>
  <c r="S439" i="154"/>
  <c r="W441" i="154"/>
  <c r="X441" i="154" s="1"/>
  <c r="S441" i="154"/>
  <c r="W443" i="154"/>
  <c r="X443" i="154" s="1"/>
  <c r="S443" i="154"/>
  <c r="W445" i="154"/>
  <c r="X445" i="154" s="1"/>
  <c r="S445" i="154"/>
  <c r="W447" i="154"/>
  <c r="X447" i="154" s="1"/>
  <c r="S447" i="154"/>
  <c r="W449" i="154"/>
  <c r="X449" i="154" s="1"/>
  <c r="S449" i="154"/>
  <c r="W451" i="154"/>
  <c r="X451" i="154" s="1"/>
  <c r="S451" i="154"/>
  <c r="W454" i="154"/>
  <c r="X454" i="154" s="1"/>
  <c r="S454" i="154"/>
  <c r="S455" i="154"/>
  <c r="Y455" i="154" s="1"/>
  <c r="W459" i="154"/>
  <c r="X459" i="154" s="1"/>
  <c r="S459" i="154"/>
  <c r="W476" i="154"/>
  <c r="X476" i="154" s="1"/>
  <c r="S476" i="154"/>
  <c r="W478" i="154"/>
  <c r="X478" i="154" s="1"/>
  <c r="S478" i="154"/>
  <c r="W480" i="154"/>
  <c r="X480" i="154" s="1"/>
  <c r="S480" i="154"/>
  <c r="W482" i="154"/>
  <c r="X482" i="154" s="1"/>
  <c r="S482" i="154"/>
  <c r="W484" i="154"/>
  <c r="X484" i="154" s="1"/>
  <c r="S484" i="154"/>
  <c r="S485" i="154"/>
  <c r="Y485" i="154" s="1"/>
  <c r="Q488" i="154"/>
  <c r="Y490" i="154"/>
  <c r="U491" i="154"/>
  <c r="W491" i="154" s="1"/>
  <c r="X491" i="154" s="1"/>
  <c r="S491" i="154"/>
  <c r="Q492" i="154"/>
  <c r="W493" i="154"/>
  <c r="X493" i="154" s="1"/>
  <c r="Y495" i="154"/>
  <c r="U496" i="154"/>
  <c r="W496" i="154" s="1"/>
  <c r="X496" i="154" s="1"/>
  <c r="S496" i="154"/>
  <c r="W499" i="154"/>
  <c r="X499" i="154" s="1"/>
  <c r="Y499" i="154" s="1"/>
  <c r="W502" i="154"/>
  <c r="X502" i="154" s="1"/>
  <c r="S502" i="154"/>
  <c r="W504" i="154"/>
  <c r="X504" i="154" s="1"/>
  <c r="S504" i="154"/>
  <c r="W506" i="154"/>
  <c r="X506" i="154" s="1"/>
  <c r="S506" i="154"/>
  <c r="W508" i="154"/>
  <c r="X508" i="154" s="1"/>
  <c r="S508" i="154"/>
  <c r="W510" i="154"/>
  <c r="X510" i="154" s="1"/>
  <c r="S510" i="154"/>
  <c r="W512" i="154"/>
  <c r="X512" i="154" s="1"/>
  <c r="S512" i="154"/>
  <c r="W514" i="154"/>
  <c r="X514" i="154" s="1"/>
  <c r="S514" i="154"/>
  <c r="W516" i="154"/>
  <c r="X516" i="154" s="1"/>
  <c r="S516" i="154"/>
  <c r="W518" i="154"/>
  <c r="X518" i="154" s="1"/>
  <c r="S518" i="154"/>
  <c r="W520" i="154"/>
  <c r="X520" i="154" s="1"/>
  <c r="S520" i="154"/>
  <c r="W522" i="154"/>
  <c r="X522" i="154" s="1"/>
  <c r="S522" i="154"/>
  <c r="W524" i="154"/>
  <c r="X524" i="154" s="1"/>
  <c r="S524" i="154"/>
  <c r="W526" i="154"/>
  <c r="X526" i="154" s="1"/>
  <c r="S526" i="154"/>
  <c r="W528" i="154"/>
  <c r="X528" i="154" s="1"/>
  <c r="S528" i="154"/>
  <c r="W530" i="154"/>
  <c r="X530" i="154" s="1"/>
  <c r="S530" i="154"/>
  <c r="W532" i="154"/>
  <c r="X532" i="154" s="1"/>
  <c r="S532" i="154"/>
  <c r="W534" i="154"/>
  <c r="X534" i="154" s="1"/>
  <c r="S534" i="154"/>
  <c r="W536" i="154"/>
  <c r="X536" i="154" s="1"/>
  <c r="S536" i="154"/>
  <c r="W538" i="154"/>
  <c r="X538" i="154" s="1"/>
  <c r="S538" i="154"/>
  <c r="W540" i="154"/>
  <c r="X540" i="154" s="1"/>
  <c r="S540" i="154"/>
  <c r="W542" i="154"/>
  <c r="X542" i="154" s="1"/>
  <c r="S542" i="154"/>
  <c r="W543" i="154"/>
  <c r="X543" i="154" s="1"/>
  <c r="Y543" i="154" s="1"/>
  <c r="M544" i="154"/>
  <c r="K545" i="154"/>
  <c r="Y3" i="151"/>
  <c r="Z3" i="151" s="1"/>
  <c r="Y4" i="151"/>
  <c r="Z4" i="151" s="1"/>
  <c r="Y5" i="151"/>
  <c r="Z5" i="151" s="1"/>
  <c r="Y6" i="151"/>
  <c r="Z6" i="151" s="1"/>
  <c r="Y7" i="151"/>
  <c r="Z7" i="151" s="1"/>
  <c r="H559" i="151"/>
  <c r="S13" i="151"/>
  <c r="S15" i="151"/>
  <c r="Y24" i="151"/>
  <c r="Z24" i="151" s="1"/>
  <c r="U25" i="151"/>
  <c r="Y60" i="151"/>
  <c r="Z60" i="151" s="1"/>
  <c r="Y61" i="151"/>
  <c r="Z61" i="151" s="1"/>
  <c r="U62" i="151"/>
  <c r="Y88" i="151"/>
  <c r="Z88" i="151" s="1"/>
  <c r="U88" i="151"/>
  <c r="U90" i="151"/>
  <c r="Y90" i="151"/>
  <c r="Z90" i="151" s="1"/>
  <c r="Y92" i="151"/>
  <c r="Z92" i="151" s="1"/>
  <c r="U92" i="151"/>
  <c r="U95" i="151"/>
  <c r="Y95" i="151"/>
  <c r="Z95" i="151" s="1"/>
  <c r="U97" i="151"/>
  <c r="Y97" i="151"/>
  <c r="Z97" i="151" s="1"/>
  <c r="U99" i="151"/>
  <c r="Y99" i="151"/>
  <c r="Z99" i="151" s="1"/>
  <c r="U101" i="151"/>
  <c r="Y101" i="151"/>
  <c r="Z101" i="151" s="1"/>
  <c r="U103" i="151"/>
  <c r="Y103" i="151"/>
  <c r="Z103" i="151" s="1"/>
  <c r="U105" i="151"/>
  <c r="Y105" i="151"/>
  <c r="Z105" i="151" s="1"/>
  <c r="U112" i="151"/>
  <c r="Y112" i="151"/>
  <c r="Z112" i="151" s="1"/>
  <c r="U114" i="151"/>
  <c r="Y114" i="151"/>
  <c r="Z114" i="151" s="1"/>
  <c r="U123" i="151"/>
  <c r="Y123" i="151"/>
  <c r="Z123" i="151" s="1"/>
  <c r="U125" i="151"/>
  <c r="Y125" i="151"/>
  <c r="Z125" i="151" s="1"/>
  <c r="U127" i="151"/>
  <c r="Y127" i="151"/>
  <c r="Z127" i="151" s="1"/>
  <c r="U129" i="151"/>
  <c r="Y129" i="151"/>
  <c r="Z129" i="151" s="1"/>
  <c r="U131" i="151"/>
  <c r="U133" i="151"/>
  <c r="Y133" i="151"/>
  <c r="Z133" i="151" s="1"/>
  <c r="U158" i="151"/>
  <c r="Y158" i="151"/>
  <c r="Z158" i="151" s="1"/>
  <c r="U160" i="151"/>
  <c r="Y160" i="151"/>
  <c r="Z160" i="151" s="1"/>
  <c r="U162" i="151"/>
  <c r="Y162" i="151"/>
  <c r="Z162" i="151" s="1"/>
  <c r="U164" i="151"/>
  <c r="Y164" i="151"/>
  <c r="Z164" i="151" s="1"/>
  <c r="U166" i="151"/>
  <c r="Y166" i="151"/>
  <c r="Z166" i="151" s="1"/>
  <c r="U168" i="151"/>
  <c r="Y168" i="151"/>
  <c r="Z168" i="151" s="1"/>
  <c r="U170" i="151"/>
  <c r="Y170" i="151"/>
  <c r="Z170" i="151" s="1"/>
  <c r="S435" i="158"/>
  <c r="V473" i="158"/>
  <c r="Y3" i="154"/>
  <c r="J545" i="154"/>
  <c r="J544" i="154"/>
  <c r="W161" i="154"/>
  <c r="X161" i="154" s="1"/>
  <c r="S161" i="154"/>
  <c r="W163" i="154"/>
  <c r="X163" i="154" s="1"/>
  <c r="S163" i="154"/>
  <c r="W165" i="154"/>
  <c r="X165" i="154" s="1"/>
  <c r="S165" i="154"/>
  <c r="W167" i="154"/>
  <c r="X167" i="154" s="1"/>
  <c r="S167" i="154"/>
  <c r="W169" i="154"/>
  <c r="X169" i="154" s="1"/>
  <c r="S169" i="154"/>
  <c r="W171" i="154"/>
  <c r="X171" i="154" s="1"/>
  <c r="S171" i="154"/>
  <c r="W173" i="154"/>
  <c r="X173" i="154" s="1"/>
  <c r="S173" i="154"/>
  <c r="W175" i="154"/>
  <c r="X175" i="154" s="1"/>
  <c r="S175" i="154"/>
  <c r="W177" i="154"/>
  <c r="X177" i="154" s="1"/>
  <c r="S177" i="154"/>
  <c r="W179" i="154"/>
  <c r="X179" i="154" s="1"/>
  <c r="S179" i="154"/>
  <c r="W181" i="154"/>
  <c r="X181" i="154" s="1"/>
  <c r="S181" i="154"/>
  <c r="W183" i="154"/>
  <c r="X183" i="154" s="1"/>
  <c r="S183" i="154"/>
  <c r="W186" i="154"/>
  <c r="X186" i="154" s="1"/>
  <c r="S186" i="154"/>
  <c r="W188" i="154"/>
  <c r="X188" i="154" s="1"/>
  <c r="S188" i="154"/>
  <c r="W190" i="154"/>
  <c r="X190" i="154" s="1"/>
  <c r="S190" i="154"/>
  <c r="W192" i="154"/>
  <c r="X192" i="154" s="1"/>
  <c r="S192" i="154"/>
  <c r="W194" i="154"/>
  <c r="X194" i="154" s="1"/>
  <c r="S194" i="154"/>
  <c r="W196" i="154"/>
  <c r="X196" i="154" s="1"/>
  <c r="S196" i="154"/>
  <c r="W198" i="154"/>
  <c r="X198" i="154" s="1"/>
  <c r="S198" i="154"/>
  <c r="W200" i="154"/>
  <c r="X200" i="154" s="1"/>
  <c r="S200" i="154"/>
  <c r="W202" i="154"/>
  <c r="X202" i="154" s="1"/>
  <c r="S202" i="154"/>
  <c r="W204" i="154"/>
  <c r="X204" i="154" s="1"/>
  <c r="S204" i="154"/>
  <c r="W206" i="154"/>
  <c r="X206" i="154" s="1"/>
  <c r="S206" i="154"/>
  <c r="W208" i="154"/>
  <c r="X208" i="154" s="1"/>
  <c r="S208" i="154"/>
  <c r="W210" i="154"/>
  <c r="X210" i="154" s="1"/>
  <c r="S210" i="154"/>
  <c r="W212" i="154"/>
  <c r="X212" i="154" s="1"/>
  <c r="S212" i="154"/>
  <c r="W214" i="154"/>
  <c r="X214" i="154" s="1"/>
  <c r="S214" i="154"/>
  <c r="W216" i="154"/>
  <c r="X216" i="154" s="1"/>
  <c r="S216" i="154"/>
  <c r="W218" i="154"/>
  <c r="X218" i="154" s="1"/>
  <c r="S218" i="154"/>
  <c r="W220" i="154"/>
  <c r="X220" i="154" s="1"/>
  <c r="S220" i="154"/>
  <c r="W222" i="154"/>
  <c r="X222" i="154" s="1"/>
  <c r="S222" i="154"/>
  <c r="W224" i="154"/>
  <c r="X224" i="154" s="1"/>
  <c r="S224" i="154"/>
  <c r="W226" i="154"/>
  <c r="X226" i="154" s="1"/>
  <c r="S226" i="154"/>
  <c r="W228" i="154"/>
  <c r="X228" i="154" s="1"/>
  <c r="S228" i="154"/>
  <c r="W230" i="154"/>
  <c r="X230" i="154" s="1"/>
  <c r="S230" i="154"/>
  <c r="W232" i="154"/>
  <c r="X232" i="154" s="1"/>
  <c r="S232" i="154"/>
  <c r="W234" i="154"/>
  <c r="X234" i="154" s="1"/>
  <c r="S234" i="154"/>
  <c r="W236" i="154"/>
  <c r="X236" i="154" s="1"/>
  <c r="S236" i="154"/>
  <c r="W238" i="154"/>
  <c r="X238" i="154" s="1"/>
  <c r="S238" i="154"/>
  <c r="W240" i="154"/>
  <c r="X240" i="154" s="1"/>
  <c r="S240" i="154"/>
  <c r="W242" i="154"/>
  <c r="X242" i="154" s="1"/>
  <c r="S242" i="154"/>
  <c r="W244" i="154"/>
  <c r="X244" i="154" s="1"/>
  <c r="S244" i="154"/>
  <c r="W246" i="154"/>
  <c r="X246" i="154" s="1"/>
  <c r="S246" i="154"/>
  <c r="W248" i="154"/>
  <c r="X248" i="154" s="1"/>
  <c r="S248" i="154"/>
  <c r="W250" i="154"/>
  <c r="X250" i="154" s="1"/>
  <c r="S250" i="154"/>
  <c r="W252" i="154"/>
  <c r="X252" i="154" s="1"/>
  <c r="S252" i="154"/>
  <c r="W254" i="154"/>
  <c r="X254" i="154" s="1"/>
  <c r="S254" i="154"/>
  <c r="W256" i="154"/>
  <c r="X256" i="154" s="1"/>
  <c r="S256" i="154"/>
  <c r="W258" i="154"/>
  <c r="X258" i="154" s="1"/>
  <c r="S258" i="154"/>
  <c r="W260" i="154"/>
  <c r="X260" i="154" s="1"/>
  <c r="S260" i="154"/>
  <c r="W262" i="154"/>
  <c r="X262" i="154" s="1"/>
  <c r="S262" i="154"/>
  <c r="W264" i="154"/>
  <c r="X264" i="154" s="1"/>
  <c r="S264" i="154"/>
  <c r="W266" i="154"/>
  <c r="X266" i="154" s="1"/>
  <c r="S266" i="154"/>
  <c r="W268" i="154"/>
  <c r="X268" i="154" s="1"/>
  <c r="S268" i="154"/>
  <c r="W270" i="154"/>
  <c r="X270" i="154" s="1"/>
  <c r="S270" i="154"/>
  <c r="W272" i="154"/>
  <c r="X272" i="154" s="1"/>
  <c r="S272" i="154"/>
  <c r="W274" i="154"/>
  <c r="X274" i="154" s="1"/>
  <c r="S274" i="154"/>
  <c r="W276" i="154"/>
  <c r="X276" i="154" s="1"/>
  <c r="S276" i="154"/>
  <c r="W278" i="154"/>
  <c r="X278" i="154" s="1"/>
  <c r="S278" i="154"/>
  <c r="W280" i="154"/>
  <c r="X280" i="154" s="1"/>
  <c r="S280" i="154"/>
  <c r="W282" i="154"/>
  <c r="X282" i="154" s="1"/>
  <c r="S282" i="154"/>
  <c r="W284" i="154"/>
  <c r="X284" i="154" s="1"/>
  <c r="S284" i="154"/>
  <c r="W286" i="154"/>
  <c r="X286" i="154" s="1"/>
  <c r="S286" i="154"/>
  <c r="W288" i="154"/>
  <c r="X288" i="154" s="1"/>
  <c r="S288" i="154"/>
  <c r="W290" i="154"/>
  <c r="X290" i="154" s="1"/>
  <c r="S290" i="154"/>
  <c r="W292" i="154"/>
  <c r="X292" i="154" s="1"/>
  <c r="S292" i="154"/>
  <c r="W294" i="154"/>
  <c r="X294" i="154" s="1"/>
  <c r="S294" i="154"/>
  <c r="W296" i="154"/>
  <c r="X296" i="154" s="1"/>
  <c r="S296" i="154"/>
  <c r="W298" i="154"/>
  <c r="X298" i="154" s="1"/>
  <c r="S298" i="154"/>
  <c r="W302" i="154"/>
  <c r="X302" i="154" s="1"/>
  <c r="S302" i="154"/>
  <c r="W304" i="154"/>
  <c r="X304" i="154" s="1"/>
  <c r="S304" i="154"/>
  <c r="W306" i="154"/>
  <c r="X306" i="154" s="1"/>
  <c r="S306" i="154"/>
  <c r="W308" i="154"/>
  <c r="X308" i="154" s="1"/>
  <c r="S308" i="154"/>
  <c r="W310" i="154"/>
  <c r="X310" i="154" s="1"/>
  <c r="S310" i="154"/>
  <c r="W312" i="154"/>
  <c r="X312" i="154" s="1"/>
  <c r="S312" i="154"/>
  <c r="W314" i="154"/>
  <c r="X314" i="154" s="1"/>
  <c r="S314" i="154"/>
  <c r="W316" i="154"/>
  <c r="X316" i="154" s="1"/>
  <c r="S316" i="154"/>
  <c r="W318" i="154"/>
  <c r="X318" i="154" s="1"/>
  <c r="S318" i="154"/>
  <c r="W320" i="154"/>
  <c r="X320" i="154" s="1"/>
  <c r="S320" i="154"/>
  <c r="W322" i="154"/>
  <c r="X322" i="154" s="1"/>
  <c r="S322" i="154"/>
  <c r="W324" i="154"/>
  <c r="X324" i="154" s="1"/>
  <c r="S324" i="154"/>
  <c r="W326" i="154"/>
  <c r="X326" i="154" s="1"/>
  <c r="S326" i="154"/>
  <c r="W328" i="154"/>
  <c r="X328" i="154" s="1"/>
  <c r="S328" i="154"/>
  <c r="W330" i="154"/>
  <c r="X330" i="154" s="1"/>
  <c r="S330" i="154"/>
  <c r="W332" i="154"/>
  <c r="X332" i="154" s="1"/>
  <c r="S332" i="154"/>
  <c r="W334" i="154"/>
  <c r="X334" i="154" s="1"/>
  <c r="S334" i="154"/>
  <c r="W336" i="154"/>
  <c r="X336" i="154" s="1"/>
  <c r="S336" i="154"/>
  <c r="W338" i="154"/>
  <c r="X338" i="154" s="1"/>
  <c r="S338" i="154"/>
  <c r="W340" i="154"/>
  <c r="X340" i="154" s="1"/>
  <c r="S340" i="154"/>
  <c r="W342" i="154"/>
  <c r="X342" i="154" s="1"/>
  <c r="S342" i="154"/>
  <c r="W344" i="154"/>
  <c r="X344" i="154" s="1"/>
  <c r="S344" i="154"/>
  <c r="W346" i="154"/>
  <c r="X346" i="154" s="1"/>
  <c r="S346" i="154"/>
  <c r="W348" i="154"/>
  <c r="X348" i="154" s="1"/>
  <c r="S348" i="154"/>
  <c r="W350" i="154"/>
  <c r="X350" i="154" s="1"/>
  <c r="S350" i="154"/>
  <c r="W352" i="154"/>
  <c r="X352" i="154" s="1"/>
  <c r="S352" i="154"/>
  <c r="W354" i="154"/>
  <c r="X354" i="154" s="1"/>
  <c r="S354" i="154"/>
  <c r="W356" i="154"/>
  <c r="X356" i="154" s="1"/>
  <c r="S356" i="154"/>
  <c r="W358" i="154"/>
  <c r="X358" i="154" s="1"/>
  <c r="S358" i="154"/>
  <c r="W360" i="154"/>
  <c r="X360" i="154" s="1"/>
  <c r="S360" i="154"/>
  <c r="W362" i="154"/>
  <c r="X362" i="154" s="1"/>
  <c r="S362" i="154"/>
  <c r="W364" i="154"/>
  <c r="X364" i="154" s="1"/>
  <c r="S364" i="154"/>
  <c r="W366" i="154"/>
  <c r="X366" i="154" s="1"/>
  <c r="S366" i="154"/>
  <c r="W368" i="154"/>
  <c r="X368" i="154" s="1"/>
  <c r="S368" i="154"/>
  <c r="W370" i="154"/>
  <c r="X370" i="154" s="1"/>
  <c r="S370" i="154"/>
  <c r="W372" i="154"/>
  <c r="X372" i="154" s="1"/>
  <c r="S372" i="154"/>
  <c r="W374" i="154"/>
  <c r="X374" i="154" s="1"/>
  <c r="S374" i="154"/>
  <c r="W376" i="154"/>
  <c r="X376" i="154" s="1"/>
  <c r="S376" i="154"/>
  <c r="W378" i="154"/>
  <c r="X378" i="154" s="1"/>
  <c r="S378" i="154"/>
  <c r="Q380" i="154"/>
  <c r="W400" i="154"/>
  <c r="X400" i="154" s="1"/>
  <c r="S400" i="154"/>
  <c r="W402" i="154"/>
  <c r="X402" i="154" s="1"/>
  <c r="S402" i="154"/>
  <c r="W404" i="154"/>
  <c r="X404" i="154" s="1"/>
  <c r="S404" i="154"/>
  <c r="S406" i="154"/>
  <c r="Y406" i="154" s="1"/>
  <c r="W417" i="154"/>
  <c r="X417" i="154" s="1"/>
  <c r="S417" i="154"/>
  <c r="W419" i="154"/>
  <c r="X419" i="154" s="1"/>
  <c r="S419" i="154"/>
  <c r="W421" i="154"/>
  <c r="X421" i="154" s="1"/>
  <c r="S421" i="154"/>
  <c r="W423" i="154"/>
  <c r="X423" i="154" s="1"/>
  <c r="S423" i="154"/>
  <c r="W431" i="154"/>
  <c r="X431" i="154" s="1"/>
  <c r="S431" i="154"/>
  <c r="W433" i="154"/>
  <c r="X433" i="154" s="1"/>
  <c r="S433" i="154"/>
  <c r="W435" i="154"/>
  <c r="X435" i="154" s="1"/>
  <c r="S435" i="154"/>
  <c r="W440" i="154"/>
  <c r="X440" i="154" s="1"/>
  <c r="S440" i="154"/>
  <c r="W442" i="154"/>
  <c r="X442" i="154" s="1"/>
  <c r="S442" i="154"/>
  <c r="W444" i="154"/>
  <c r="X444" i="154" s="1"/>
  <c r="S444" i="154"/>
  <c r="W446" i="154"/>
  <c r="X446" i="154" s="1"/>
  <c r="S446" i="154"/>
  <c r="W450" i="154"/>
  <c r="X450" i="154" s="1"/>
  <c r="S450" i="154"/>
  <c r="W452" i="154"/>
  <c r="X452" i="154" s="1"/>
  <c r="S452" i="154"/>
  <c r="W460" i="154"/>
  <c r="X460" i="154" s="1"/>
  <c r="S460" i="154"/>
  <c r="W475" i="154"/>
  <c r="X475" i="154" s="1"/>
  <c r="S475" i="154"/>
  <c r="W477" i="154"/>
  <c r="X477" i="154" s="1"/>
  <c r="S477" i="154"/>
  <c r="W479" i="154"/>
  <c r="X479" i="154" s="1"/>
  <c r="S479" i="154"/>
  <c r="W481" i="154"/>
  <c r="X481" i="154" s="1"/>
  <c r="S481" i="154"/>
  <c r="W483" i="154"/>
  <c r="X483" i="154" s="1"/>
  <c r="S483" i="154"/>
  <c r="U494" i="154"/>
  <c r="W494" i="154" s="1"/>
  <c r="X494" i="154" s="1"/>
  <c r="S494" i="154"/>
  <c r="W503" i="154"/>
  <c r="X503" i="154" s="1"/>
  <c r="S503" i="154"/>
  <c r="W505" i="154"/>
  <c r="X505" i="154" s="1"/>
  <c r="S505" i="154"/>
  <c r="W507" i="154"/>
  <c r="X507" i="154" s="1"/>
  <c r="S507" i="154"/>
  <c r="W509" i="154"/>
  <c r="X509" i="154" s="1"/>
  <c r="S509" i="154"/>
  <c r="W511" i="154"/>
  <c r="X511" i="154" s="1"/>
  <c r="S511" i="154"/>
  <c r="W513" i="154"/>
  <c r="X513" i="154" s="1"/>
  <c r="S513" i="154"/>
  <c r="W515" i="154"/>
  <c r="X515" i="154" s="1"/>
  <c r="S515" i="154"/>
  <c r="W517" i="154"/>
  <c r="X517" i="154" s="1"/>
  <c r="S517" i="154"/>
  <c r="W519" i="154"/>
  <c r="X519" i="154" s="1"/>
  <c r="S519" i="154"/>
  <c r="W521" i="154"/>
  <c r="X521" i="154" s="1"/>
  <c r="S521" i="154"/>
  <c r="W523" i="154"/>
  <c r="X523" i="154" s="1"/>
  <c r="S523" i="154"/>
  <c r="W525" i="154"/>
  <c r="X525" i="154" s="1"/>
  <c r="S525" i="154"/>
  <c r="W527" i="154"/>
  <c r="X527" i="154" s="1"/>
  <c r="S527" i="154"/>
  <c r="W529" i="154"/>
  <c r="X529" i="154" s="1"/>
  <c r="S529" i="154"/>
  <c r="W531" i="154"/>
  <c r="X531" i="154" s="1"/>
  <c r="S531" i="154"/>
  <c r="W533" i="154"/>
  <c r="X533" i="154" s="1"/>
  <c r="S533" i="154"/>
  <c r="W535" i="154"/>
  <c r="X535" i="154" s="1"/>
  <c r="S535" i="154"/>
  <c r="W537" i="154"/>
  <c r="X537" i="154" s="1"/>
  <c r="S537" i="154"/>
  <c r="W539" i="154"/>
  <c r="X539" i="154" s="1"/>
  <c r="S539" i="154"/>
  <c r="W541" i="154"/>
  <c r="X541" i="154" s="1"/>
  <c r="S541" i="154"/>
  <c r="U30" i="151"/>
  <c r="U78" i="151"/>
  <c r="U89" i="151"/>
  <c r="Y89" i="151"/>
  <c r="Z89" i="151" s="1"/>
  <c r="U91" i="151"/>
  <c r="Y91" i="151"/>
  <c r="Z91" i="151" s="1"/>
  <c r="U96" i="151"/>
  <c r="Y96" i="151"/>
  <c r="Z96" i="151" s="1"/>
  <c r="U98" i="151"/>
  <c r="Y98" i="151"/>
  <c r="Z98" i="151" s="1"/>
  <c r="U100" i="151"/>
  <c r="Y100" i="151"/>
  <c r="Z100" i="151" s="1"/>
  <c r="U102" i="151"/>
  <c r="Y102" i="151"/>
  <c r="Z102" i="151" s="1"/>
  <c r="U104" i="151"/>
  <c r="Y104" i="151"/>
  <c r="Z104" i="151" s="1"/>
  <c r="Y106" i="151"/>
  <c r="Z106" i="151" s="1"/>
  <c r="U106" i="151"/>
  <c r="U111" i="151"/>
  <c r="Y111" i="151"/>
  <c r="Z111" i="151" s="1"/>
  <c r="U113" i="151"/>
  <c r="Y113" i="151"/>
  <c r="Z113" i="151" s="1"/>
  <c r="Y115" i="151"/>
  <c r="Z115" i="151" s="1"/>
  <c r="U115" i="151"/>
  <c r="U122" i="151"/>
  <c r="Y122" i="151"/>
  <c r="Z122" i="151" s="1"/>
  <c r="U124" i="151"/>
  <c r="Y124" i="151"/>
  <c r="Z124" i="151" s="1"/>
  <c r="U126" i="151"/>
  <c r="Y126" i="151"/>
  <c r="Z126" i="151" s="1"/>
  <c r="U128" i="151"/>
  <c r="Y128" i="151"/>
  <c r="Z128" i="151" s="1"/>
  <c r="U132" i="151"/>
  <c r="Y132" i="151"/>
  <c r="Z132" i="151" s="1"/>
  <c r="U134" i="151"/>
  <c r="Y134" i="151"/>
  <c r="Z134" i="151" s="1"/>
  <c r="U159" i="151"/>
  <c r="Y159" i="151"/>
  <c r="Z159" i="151" s="1"/>
  <c r="U161" i="151"/>
  <c r="Y161" i="151"/>
  <c r="Z161" i="151" s="1"/>
  <c r="U163" i="151"/>
  <c r="Y163" i="151"/>
  <c r="Z163" i="151" s="1"/>
  <c r="U165" i="151"/>
  <c r="Y165" i="151"/>
  <c r="Z165" i="151" s="1"/>
  <c r="U167" i="151"/>
  <c r="Y167" i="151"/>
  <c r="Z167" i="151" s="1"/>
  <c r="U169" i="151"/>
  <c r="Y169" i="151"/>
  <c r="Z169" i="151" s="1"/>
  <c r="U171" i="151"/>
  <c r="Y171" i="151"/>
  <c r="Z171" i="151" s="1"/>
  <c r="U188" i="151"/>
  <c r="U194" i="151"/>
  <c r="U190" i="151"/>
  <c r="U347" i="151"/>
  <c r="U480" i="151"/>
  <c r="Y503" i="151"/>
  <c r="Z503" i="151" s="1"/>
  <c r="F544" i="154"/>
  <c r="N544" i="154"/>
  <c r="G559" i="151"/>
  <c r="S26" i="151"/>
  <c r="I559" i="151"/>
  <c r="L559" i="151"/>
  <c r="N559" i="151"/>
  <c r="S136" i="151"/>
  <c r="S186" i="151"/>
  <c r="Y260" i="151"/>
  <c r="Z260" i="151" s="1"/>
  <c r="Y261" i="151"/>
  <c r="Z261" i="151" s="1"/>
  <c r="Y262" i="151"/>
  <c r="Z262" i="151" s="1"/>
  <c r="Y263" i="151"/>
  <c r="Z263" i="151" s="1"/>
  <c r="Y264" i="151"/>
  <c r="Z264" i="151" s="1"/>
  <c r="Y265" i="151"/>
  <c r="Z265" i="151" s="1"/>
  <c r="Y266" i="151"/>
  <c r="Z266" i="151" s="1"/>
  <c r="Y267" i="151"/>
  <c r="Z267" i="151" s="1"/>
  <c r="Y268" i="151"/>
  <c r="Z268" i="151" s="1"/>
  <c r="Y269" i="151"/>
  <c r="Z269" i="151" s="1"/>
  <c r="Y270" i="151"/>
  <c r="Z270" i="151" s="1"/>
  <c r="Y271" i="151"/>
  <c r="Z271" i="151" s="1"/>
  <c r="Y272" i="151"/>
  <c r="Z272" i="151" s="1"/>
  <c r="Y273" i="151"/>
  <c r="Z273" i="151" s="1"/>
  <c r="Y274" i="151"/>
  <c r="Z274" i="151" s="1"/>
  <c r="Y275" i="151"/>
  <c r="Z275" i="151" s="1"/>
  <c r="Y276" i="151"/>
  <c r="Z276" i="151" s="1"/>
  <c r="Y277" i="151"/>
  <c r="Z277" i="151" s="1"/>
  <c r="Y278" i="151"/>
  <c r="Z278" i="151" s="1"/>
  <c r="Y279" i="151"/>
  <c r="Z279" i="151" s="1"/>
  <c r="Y280" i="151"/>
  <c r="Z280" i="151" s="1"/>
  <c r="Y281" i="151"/>
  <c r="Z281" i="151" s="1"/>
  <c r="Y282" i="151"/>
  <c r="Z282" i="151" s="1"/>
  <c r="Y283" i="151"/>
  <c r="Z283" i="151" s="1"/>
  <c r="Y284" i="151"/>
  <c r="Z284" i="151" s="1"/>
  <c r="Y285" i="151"/>
  <c r="Z285" i="151" s="1"/>
  <c r="Y286" i="151"/>
  <c r="Z286" i="151" s="1"/>
  <c r="Y287" i="151"/>
  <c r="Z287" i="151" s="1"/>
  <c r="Y288" i="151"/>
  <c r="Z288" i="151" s="1"/>
  <c r="Y289" i="151"/>
  <c r="Z289" i="151" s="1"/>
  <c r="Y290" i="151"/>
  <c r="Z290" i="151" s="1"/>
  <c r="Y291" i="151"/>
  <c r="Z291" i="151" s="1"/>
  <c r="Y292" i="151"/>
  <c r="Z292" i="151" s="1"/>
  <c r="Y293" i="151"/>
  <c r="Z293" i="151" s="1"/>
  <c r="Y294" i="151"/>
  <c r="Z294" i="151" s="1"/>
  <c r="Y295" i="151"/>
  <c r="Z295" i="151" s="1"/>
  <c r="U296" i="151"/>
  <c r="Y297" i="151"/>
  <c r="Z297" i="151" s="1"/>
  <c r="U298" i="151"/>
  <c r="U36" i="44"/>
  <c r="Y309" i="151"/>
  <c r="Z309" i="151" s="1"/>
  <c r="U310" i="151"/>
  <c r="U352" i="151"/>
  <c r="Y352" i="151"/>
  <c r="Z352" i="151" s="1"/>
  <c r="Y446" i="151"/>
  <c r="Z446" i="151" s="1"/>
  <c r="U453" i="151"/>
  <c r="U460" i="151"/>
  <c r="Y460" i="151"/>
  <c r="Z460" i="151" s="1"/>
  <c r="O559" i="151"/>
  <c r="Y373" i="151"/>
  <c r="Z373" i="151" s="1"/>
  <c r="Y374" i="151"/>
  <c r="Z374" i="151" s="1"/>
  <c r="Y375" i="151"/>
  <c r="Z375" i="151" s="1"/>
  <c r="U376" i="151"/>
  <c r="S390" i="151"/>
  <c r="Y417" i="151"/>
  <c r="Z417" i="151" s="1"/>
  <c r="Y418" i="151"/>
  <c r="Z418" i="151" s="1"/>
  <c r="U419" i="151"/>
  <c r="E25" i="83"/>
  <c r="G26" i="83" s="1"/>
  <c r="N100" i="59"/>
  <c r="N106" i="59"/>
  <c r="Y512" i="151"/>
  <c r="Z512" i="151" s="1"/>
  <c r="Y513" i="151"/>
  <c r="Z513" i="151" s="1"/>
  <c r="Y514" i="151"/>
  <c r="Z514" i="151" s="1"/>
  <c r="Y515" i="151"/>
  <c r="Z515" i="151" s="1"/>
  <c r="Y516" i="151"/>
  <c r="Z516" i="151" s="1"/>
  <c r="S518" i="151"/>
  <c r="S519" i="151"/>
  <c r="S520" i="151"/>
  <c r="S521" i="151"/>
  <c r="AA455" i="175"/>
  <c r="AB455" i="175" s="1"/>
  <c r="AA150" i="175"/>
  <c r="AB150" i="175" s="1"/>
  <c r="AA463" i="175"/>
  <c r="AB463" i="175" s="1"/>
  <c r="AA23" i="175"/>
  <c r="AB23" i="175" s="1"/>
  <c r="AA43" i="175"/>
  <c r="AB43" i="175" s="1"/>
  <c r="AA48" i="175"/>
  <c r="AB48" i="175" s="1"/>
  <c r="AA13" i="175"/>
  <c r="AB13" i="175" s="1"/>
  <c r="AA18" i="175"/>
  <c r="AB18" i="175" s="1"/>
  <c r="AA16" i="175"/>
  <c r="AB16" i="175" s="1"/>
  <c r="AA215" i="175"/>
  <c r="AB215" i="175" s="1"/>
  <c r="AA206" i="175"/>
  <c r="AB206" i="175" s="1"/>
  <c r="AA322" i="175"/>
  <c r="AB322" i="175" s="1"/>
  <c r="AA324" i="175"/>
  <c r="AB324" i="175" s="1"/>
  <c r="AA319" i="175"/>
  <c r="AB319" i="175" s="1"/>
  <c r="AA321" i="175"/>
  <c r="AB321" i="175" s="1"/>
  <c r="AA328" i="175"/>
  <c r="AB328" i="175" s="1"/>
  <c r="AA96" i="175"/>
  <c r="AB96" i="175" s="1"/>
  <c r="AA188" i="175"/>
  <c r="AB188" i="175" s="1"/>
  <c r="AA351" i="175"/>
  <c r="AB351" i="175" s="1"/>
  <c r="AA226" i="175"/>
  <c r="AB226" i="175" s="1"/>
  <c r="AA427" i="175"/>
  <c r="AB427" i="175" s="1"/>
  <c r="AA520" i="175"/>
  <c r="AB520" i="175" s="1"/>
  <c r="AA522" i="175"/>
  <c r="AB522" i="175" s="1"/>
  <c r="AA524" i="175"/>
  <c r="AB524" i="175" s="1"/>
  <c r="AA526" i="175"/>
  <c r="AB526" i="175" s="1"/>
  <c r="AA528" i="175"/>
  <c r="AB528" i="175" s="1"/>
  <c r="AA530" i="175"/>
  <c r="AB530" i="175" s="1"/>
  <c r="AA532" i="175"/>
  <c r="AB532" i="175" s="1"/>
  <c r="AA533" i="175"/>
  <c r="AB533" i="175" s="1"/>
  <c r="AA535" i="175"/>
  <c r="AB535" i="175" s="1"/>
  <c r="AA537" i="175"/>
  <c r="AB537" i="175" s="1"/>
  <c r="AA29" i="175"/>
  <c r="AB29" i="175" s="1"/>
  <c r="AA541" i="175"/>
  <c r="AB541" i="175" s="1"/>
  <c r="AA543" i="175"/>
  <c r="AB543" i="175" s="1"/>
  <c r="AA219" i="175"/>
  <c r="AB219" i="175" s="1"/>
  <c r="AA547" i="175"/>
  <c r="AB547" i="175" s="1"/>
  <c r="AA113" i="175"/>
  <c r="AB113" i="175" s="1"/>
  <c r="AA168" i="175"/>
  <c r="AB168" i="175" s="1"/>
  <c r="AA156" i="175"/>
  <c r="AB156" i="175" s="1"/>
  <c r="AA556" i="175"/>
  <c r="AB556" i="175" s="1"/>
  <c r="AA558" i="175"/>
  <c r="AB558" i="175" s="1"/>
  <c r="AA561" i="175"/>
  <c r="AB561" i="175" s="1"/>
  <c r="AA563" i="175"/>
  <c r="AB563" i="175" s="1"/>
  <c r="AA565" i="175"/>
  <c r="AB565" i="175" s="1"/>
  <c r="AA155" i="175"/>
  <c r="AB155" i="175" s="1"/>
  <c r="AA161" i="175"/>
  <c r="AB161" i="175" s="1"/>
  <c r="AA571" i="175"/>
  <c r="AB571" i="175" s="1"/>
  <c r="AA573" i="175"/>
  <c r="AB573" i="175" s="1"/>
  <c r="AA575" i="175"/>
  <c r="AB575" i="175" s="1"/>
  <c r="AA577" i="175"/>
  <c r="AB577" i="175" s="1"/>
  <c r="AA579" i="175"/>
  <c r="AB579" i="175" s="1"/>
  <c r="AA581" i="175"/>
  <c r="AB581" i="175" s="1"/>
  <c r="AA172" i="175"/>
  <c r="AB172" i="175" s="1"/>
  <c r="AA585" i="175"/>
  <c r="AB585" i="175" s="1"/>
  <c r="AA587" i="175"/>
  <c r="AB587" i="175" s="1"/>
  <c r="AA589" i="175"/>
  <c r="AB589" i="175" s="1"/>
  <c r="AA592" i="175"/>
  <c r="AB592" i="175" s="1"/>
  <c r="Y511" i="151"/>
  <c r="AA458" i="175"/>
  <c r="AA52" i="175"/>
  <c r="AB52" i="175" s="1"/>
  <c r="AA17" i="175"/>
  <c r="AB17" i="175" s="1"/>
  <c r="AA28" i="175"/>
  <c r="AB28" i="175" s="1"/>
  <c r="AA46" i="175"/>
  <c r="AB46" i="175" s="1"/>
  <c r="AA12" i="175"/>
  <c r="AB12" i="175" s="1"/>
  <c r="AA14" i="175"/>
  <c r="AB14" i="175" s="1"/>
  <c r="AA15" i="175"/>
  <c r="AB15" i="175" s="1"/>
  <c r="AA20" i="175"/>
  <c r="AB20" i="175" s="1"/>
  <c r="AA217" i="175"/>
  <c r="AB217" i="175" s="1"/>
  <c r="AA208" i="175"/>
  <c r="AB208" i="175" s="1"/>
  <c r="AA323" i="175"/>
  <c r="AB323" i="175" s="1"/>
  <c r="AA316" i="175"/>
  <c r="AB316" i="175" s="1"/>
  <c r="AA320" i="175"/>
  <c r="AB320" i="175" s="1"/>
  <c r="AA326" i="175"/>
  <c r="AB326" i="175" s="1"/>
  <c r="AA338" i="175"/>
  <c r="AB338" i="175" s="1"/>
  <c r="AA78" i="175"/>
  <c r="AB78" i="175" s="1"/>
  <c r="AA346" i="175"/>
  <c r="AB346" i="175" s="1"/>
  <c r="AA225" i="175"/>
  <c r="AB225" i="175" s="1"/>
  <c r="AA424" i="175"/>
  <c r="AB424" i="175" s="1"/>
  <c r="AA191" i="175"/>
  <c r="AB191" i="175" s="1"/>
  <c r="AA521" i="175"/>
  <c r="AB521" i="175" s="1"/>
  <c r="AA151" i="175"/>
  <c r="AB151" i="175" s="1"/>
  <c r="AA525" i="175"/>
  <c r="AB525" i="175" s="1"/>
  <c r="AA527" i="175"/>
  <c r="AB527" i="175" s="1"/>
  <c r="AA529" i="175"/>
  <c r="AB529" i="175" s="1"/>
  <c r="AA531" i="175"/>
  <c r="AB531" i="175" s="1"/>
  <c r="AA534" i="175"/>
  <c r="AB534" i="175" s="1"/>
  <c r="AA536" i="175"/>
  <c r="AB536" i="175" s="1"/>
  <c r="AA538" i="175"/>
  <c r="AB538" i="175" s="1"/>
  <c r="AA540" i="175"/>
  <c r="AB540" i="175" s="1"/>
  <c r="I16" i="182"/>
  <c r="AA542" i="175"/>
  <c r="AB542" i="175" s="1"/>
  <c r="AA71" i="175"/>
  <c r="AB71" i="175" s="1"/>
  <c r="AA546" i="175"/>
  <c r="AB546" i="175" s="1"/>
  <c r="AA548" i="175"/>
  <c r="AB548" i="175" s="1"/>
  <c r="AA184" i="175"/>
  <c r="AB184" i="175" s="1"/>
  <c r="AA148" i="175"/>
  <c r="AB148" i="175" s="1"/>
  <c r="AA555" i="175"/>
  <c r="AB555" i="175" s="1"/>
  <c r="AA557" i="175"/>
  <c r="AB557" i="175" s="1"/>
  <c r="AA559" i="175"/>
  <c r="AB559" i="175" s="1"/>
  <c r="AA562" i="175"/>
  <c r="AB562" i="175" s="1"/>
  <c r="AA564" i="175"/>
  <c r="AB564" i="175" s="1"/>
  <c r="AA154" i="175"/>
  <c r="AB154" i="175" s="1"/>
  <c r="AA159" i="175"/>
  <c r="AB159" i="175" s="1"/>
  <c r="AA570" i="175"/>
  <c r="AB570" i="175" s="1"/>
  <c r="AA572" i="175"/>
  <c r="AB572" i="175" s="1"/>
  <c r="AA574" i="175"/>
  <c r="AB574" i="175" s="1"/>
  <c r="AA576" i="175"/>
  <c r="AB576" i="175" s="1"/>
  <c r="AA578" i="175"/>
  <c r="AB578" i="175" s="1"/>
  <c r="AA580" i="175"/>
  <c r="AB580" i="175" s="1"/>
  <c r="AA171" i="175"/>
  <c r="AB171" i="175" s="1"/>
  <c r="AA584" i="175"/>
  <c r="AB584" i="175" s="1"/>
  <c r="AA180" i="175"/>
  <c r="AB180" i="175" s="1"/>
  <c r="AA588" i="175"/>
  <c r="AB588" i="175" s="1"/>
  <c r="AA590" i="175"/>
  <c r="AB590" i="175" s="1"/>
  <c r="AA591" i="175"/>
  <c r="AB591" i="175" s="1"/>
  <c r="S18" i="67"/>
  <c r="H67" i="59"/>
  <c r="AQ7" i="91"/>
  <c r="AD3" i="91"/>
  <c r="AB3" i="91"/>
  <c r="AQ13" i="91"/>
  <c r="P19" i="67"/>
  <c r="H20" i="67"/>
  <c r="U35" i="67"/>
  <c r="N30" i="58"/>
  <c r="I10" i="83" s="1"/>
  <c r="H19" i="59"/>
  <c r="H39" i="59"/>
  <c r="AB10" i="167"/>
  <c r="J13" i="106"/>
  <c r="J14" i="106" s="1"/>
  <c r="T34" i="166"/>
  <c r="H20" i="59"/>
  <c r="H51" i="59"/>
  <c r="H49" i="59" s="1"/>
  <c r="H69" i="59"/>
  <c r="H94" i="59"/>
  <c r="K18" i="167"/>
  <c r="K19" i="167" s="1"/>
  <c r="H13" i="106"/>
  <c r="H14" i="106" s="1"/>
  <c r="L13" i="106"/>
  <c r="L14" i="106" s="1"/>
  <c r="L11" i="125"/>
  <c r="AC26" i="81"/>
  <c r="AC27" i="81" s="1"/>
  <c r="AE26" i="81"/>
  <c r="AE27" i="81" s="1"/>
  <c r="AG26" i="81"/>
  <c r="AG27" i="81" s="1"/>
  <c r="AI26" i="81"/>
  <c r="AI27" i="81" s="1"/>
  <c r="AY40" i="91"/>
  <c r="AI32" i="166"/>
  <c r="AI33" i="166" s="1"/>
  <c r="AK32" i="166"/>
  <c r="AM32" i="166"/>
  <c r="AM33" i="166" s="1"/>
  <c r="AR15" i="91"/>
  <c r="AU39" i="91"/>
  <c r="AU40" i="91" s="1"/>
  <c r="I50" i="65"/>
  <c r="J50" i="65" s="1"/>
  <c r="O14" i="91"/>
  <c r="M14" i="91" s="1"/>
  <c r="AX40" i="91"/>
  <c r="AV39" i="91"/>
  <c r="AV40" i="91" s="1"/>
  <c r="U40" i="91"/>
  <c r="W40" i="91" s="1"/>
  <c r="W38" i="91"/>
  <c r="S18" i="44" l="1"/>
  <c r="W19" i="44" s="1"/>
  <c r="G34" i="150"/>
  <c r="J34" i="150" s="1"/>
  <c r="J38" i="150" s="1"/>
  <c r="J40" i="150" s="1"/>
  <c r="G17" i="203"/>
  <c r="I57" i="65"/>
  <c r="S24" i="44"/>
  <c r="N30" i="50" s="1"/>
  <c r="N23" i="50"/>
  <c r="W22" i="44"/>
  <c r="P38" i="50"/>
  <c r="P56" i="50" s="1"/>
  <c r="AB9" i="91"/>
  <c r="AG32" i="166"/>
  <c r="AG33" i="166" s="1"/>
  <c r="AB15" i="167"/>
  <c r="Y117" i="151"/>
  <c r="Z117" i="151" s="1"/>
  <c r="S456" i="124"/>
  <c r="S131" i="124"/>
  <c r="S394" i="124"/>
  <c r="U467" i="158"/>
  <c r="AK33" i="166"/>
  <c r="Y451" i="151"/>
  <c r="Z451" i="151" s="1"/>
  <c r="Y493" i="154"/>
  <c r="U382" i="99"/>
  <c r="AQ30" i="91"/>
  <c r="AB7" i="91" s="1"/>
  <c r="G14" i="161"/>
  <c r="B11" i="196" s="1"/>
  <c r="D11" i="196" s="1"/>
  <c r="G11" i="196" s="1"/>
  <c r="I11" i="196" s="1"/>
  <c r="P108" i="51"/>
  <c r="P14" i="201"/>
  <c r="P34" i="51"/>
  <c r="H18" i="59"/>
  <c r="I11" i="83"/>
  <c r="I13" i="83" s="1"/>
  <c r="M16" i="167"/>
  <c r="F12" i="181"/>
  <c r="S115" i="51"/>
  <c r="Y483" i="154"/>
  <c r="Y481" i="154"/>
  <c r="Y479" i="154"/>
  <c r="Y477" i="154"/>
  <c r="Y475" i="154"/>
  <c r="Y460" i="154"/>
  <c r="Y452" i="154"/>
  <c r="Y450" i="154"/>
  <c r="Y446" i="154"/>
  <c r="Y444" i="154"/>
  <c r="Y442" i="154"/>
  <c r="Y440" i="154"/>
  <c r="Y435" i="154"/>
  <c r="Y433" i="154"/>
  <c r="Y431" i="154"/>
  <c r="Y378" i="154"/>
  <c r="Y376" i="154"/>
  <c r="Y374" i="154"/>
  <c r="Y372" i="154"/>
  <c r="Y370" i="154"/>
  <c r="Y368" i="154"/>
  <c r="Y366" i="154"/>
  <c r="Y364" i="154"/>
  <c r="Y362" i="154"/>
  <c r="Y360" i="154"/>
  <c r="Y358" i="154"/>
  <c r="Y356" i="154"/>
  <c r="Y354" i="154"/>
  <c r="Y352" i="154"/>
  <c r="Y350" i="154"/>
  <c r="Y348" i="154"/>
  <c r="Y346" i="154"/>
  <c r="Y344" i="154"/>
  <c r="Y342" i="154"/>
  <c r="Y340" i="154"/>
  <c r="Y338" i="154"/>
  <c r="Y336" i="154"/>
  <c r="Y334" i="154"/>
  <c r="U172" i="151"/>
  <c r="Y82" i="151"/>
  <c r="Z82" i="151" s="1"/>
  <c r="Y73" i="151"/>
  <c r="Z73" i="151" s="1"/>
  <c r="U435" i="151"/>
  <c r="Y449" i="151"/>
  <c r="Z449" i="151" s="1"/>
  <c r="U483" i="151"/>
  <c r="Y479" i="151"/>
  <c r="Z479" i="151" s="1"/>
  <c r="Y332" i="154"/>
  <c r="Y330" i="154"/>
  <c r="Y328" i="154"/>
  <c r="Y326" i="154"/>
  <c r="Y324" i="154"/>
  <c r="Y322" i="154"/>
  <c r="Y320" i="154"/>
  <c r="Y318" i="154"/>
  <c r="Y316" i="154"/>
  <c r="Y314" i="154"/>
  <c r="Y312" i="154"/>
  <c r="Y310" i="154"/>
  <c r="Y308" i="154"/>
  <c r="Y306" i="154"/>
  <c r="Y304" i="154"/>
  <c r="Y302" i="154"/>
  <c r="Y298" i="154"/>
  <c r="Y296" i="154"/>
  <c r="Y294" i="154"/>
  <c r="Y292" i="154"/>
  <c r="Y290" i="154"/>
  <c r="Y288" i="154"/>
  <c r="Y286" i="154"/>
  <c r="Y284" i="154"/>
  <c r="Y282" i="154"/>
  <c r="Y280" i="154"/>
  <c r="Y278" i="154"/>
  <c r="Y276" i="154"/>
  <c r="Y274" i="154"/>
  <c r="Y272" i="154"/>
  <c r="Y270" i="154"/>
  <c r="Y268" i="154"/>
  <c r="Y266" i="154"/>
  <c r="Y264" i="154"/>
  <c r="Y262" i="154"/>
  <c r="Y260" i="154"/>
  <c r="Y258" i="154"/>
  <c r="Y256" i="154"/>
  <c r="Y254" i="154"/>
  <c r="Y252" i="154"/>
  <c r="Y250" i="154"/>
  <c r="Y248" i="154"/>
  <c r="Y246" i="154"/>
  <c r="Y244" i="154"/>
  <c r="Y242" i="154"/>
  <c r="Y240" i="154"/>
  <c r="Y238" i="154"/>
  <c r="Y236" i="154"/>
  <c r="Y234" i="154"/>
  <c r="Y232" i="154"/>
  <c r="Y230" i="154"/>
  <c r="Y228" i="154"/>
  <c r="Y226" i="154"/>
  <c r="Y224" i="154"/>
  <c r="Y222" i="154"/>
  <c r="Y220" i="154"/>
  <c r="Y218" i="154"/>
  <c r="Y216" i="154"/>
  <c r="Y214" i="154"/>
  <c r="Y212" i="154"/>
  <c r="Y210" i="154"/>
  <c r="Y208" i="154"/>
  <c r="Y206" i="154"/>
  <c r="Y204" i="154"/>
  <c r="Y202" i="154"/>
  <c r="Y200" i="154"/>
  <c r="Y198" i="154"/>
  <c r="Y196" i="154"/>
  <c r="Y194" i="154"/>
  <c r="Y192" i="154"/>
  <c r="Y190" i="154"/>
  <c r="Y188" i="154"/>
  <c r="Y186" i="154"/>
  <c r="Y183" i="154"/>
  <c r="Y181" i="154"/>
  <c r="Y179" i="154"/>
  <c r="Y177" i="154"/>
  <c r="Y175" i="154"/>
  <c r="Y173" i="154"/>
  <c r="Y171" i="154"/>
  <c r="Y169" i="154"/>
  <c r="Y167" i="154"/>
  <c r="Y165" i="154"/>
  <c r="Y163" i="154"/>
  <c r="Y161" i="154"/>
  <c r="I25" i="83"/>
  <c r="I26" i="83" s="1"/>
  <c r="R482" i="99"/>
  <c r="Y79" i="154"/>
  <c r="Y78" i="154"/>
  <c r="Y77" i="154"/>
  <c r="Y76" i="154"/>
  <c r="Y75" i="154"/>
  <c r="Y74" i="154"/>
  <c r="Y73" i="154"/>
  <c r="Y72" i="154"/>
  <c r="Y71" i="154"/>
  <c r="Y70" i="154"/>
  <c r="Y69" i="154"/>
  <c r="Y68" i="154"/>
  <c r="Y67" i="154"/>
  <c r="Y66" i="154"/>
  <c r="Y65" i="154"/>
  <c r="Y64" i="154"/>
  <c r="Y63" i="154"/>
  <c r="Y62" i="154"/>
  <c r="Y61" i="154"/>
  <c r="Y60" i="154"/>
  <c r="Y59" i="154"/>
  <c r="Y58" i="154"/>
  <c r="Y57" i="154"/>
  <c r="Y56" i="154"/>
  <c r="Y55" i="154"/>
  <c r="Y54" i="154"/>
  <c r="Y53" i="154"/>
  <c r="Y52" i="154"/>
  <c r="Y51" i="154"/>
  <c r="Y50" i="154"/>
  <c r="Y49" i="154"/>
  <c r="Y48" i="154"/>
  <c r="Y47" i="154"/>
  <c r="L39" i="44"/>
  <c r="L43" i="44"/>
  <c r="Y496" i="154"/>
  <c r="Y491" i="154"/>
  <c r="Y454" i="154"/>
  <c r="Y451" i="154"/>
  <c r="Y449" i="154"/>
  <c r="Y447" i="154"/>
  <c r="Y445" i="154"/>
  <c r="Y443" i="154"/>
  <c r="Y441" i="154"/>
  <c r="Y439" i="154"/>
  <c r="Y436" i="154"/>
  <c r="Y434" i="154"/>
  <c r="Y396" i="154"/>
  <c r="Y184" i="154"/>
  <c r="Y182" i="154"/>
  <c r="Y180" i="154"/>
  <c r="Y178" i="154"/>
  <c r="Y176" i="154"/>
  <c r="Y174" i="154"/>
  <c r="Y172" i="154"/>
  <c r="Y170" i="154"/>
  <c r="Y168" i="154"/>
  <c r="Y166" i="154"/>
  <c r="Y164" i="154"/>
  <c r="Y162" i="154"/>
  <c r="Y160" i="154"/>
  <c r="F31" i="54"/>
  <c r="U510" i="151"/>
  <c r="U300" i="151"/>
  <c r="J10" i="83"/>
  <c r="G10" i="83" s="1"/>
  <c r="AP43" i="91" s="1"/>
  <c r="J38" i="44"/>
  <c r="T38" i="44"/>
  <c r="U450" i="151"/>
  <c r="G43" i="57"/>
  <c r="K41" i="57" s="1"/>
  <c r="AC18" i="167"/>
  <c r="O17" i="167"/>
  <c r="AC14" i="167"/>
  <c r="J11" i="160"/>
  <c r="F17" i="67"/>
  <c r="S17" i="67" s="1"/>
  <c r="U517" i="151"/>
  <c r="O18" i="167"/>
  <c r="G18" i="167" s="1"/>
  <c r="U135" i="151"/>
  <c r="AC17" i="167"/>
  <c r="Y84" i="151"/>
  <c r="Z84" i="151" s="1"/>
  <c r="AC11" i="167"/>
  <c r="Y109" i="151"/>
  <c r="Z109" i="151" s="1"/>
  <c r="Y174" i="151"/>
  <c r="Z174" i="151" s="1"/>
  <c r="U507" i="151"/>
  <c r="U196" i="151"/>
  <c r="P44" i="51"/>
  <c r="S560" i="151"/>
  <c r="AB6" i="91"/>
  <c r="AB4" i="91"/>
  <c r="Y506" i="151"/>
  <c r="Z506" i="151" s="1"/>
  <c r="U506" i="151"/>
  <c r="W405" i="154"/>
  <c r="X405" i="154" s="1"/>
  <c r="S405" i="154"/>
  <c r="U132" i="158"/>
  <c r="Y132" i="158"/>
  <c r="Z132" i="158" s="1"/>
  <c r="K32" i="57"/>
  <c r="Y541" i="154"/>
  <c r="Y539" i="154"/>
  <c r="Y537" i="154"/>
  <c r="Y535" i="154"/>
  <c r="Y533" i="154"/>
  <c r="Y531" i="154"/>
  <c r="Y529" i="154"/>
  <c r="Y527" i="154"/>
  <c r="Y525" i="154"/>
  <c r="Y523" i="154"/>
  <c r="Y521" i="154"/>
  <c r="Y519" i="154"/>
  <c r="Y517" i="154"/>
  <c r="Y515" i="154"/>
  <c r="Y513" i="154"/>
  <c r="Y511" i="154"/>
  <c r="Y509" i="154"/>
  <c r="Y507" i="154"/>
  <c r="Y505" i="154"/>
  <c r="Y503" i="154"/>
  <c r="Y422" i="154"/>
  <c r="Y420" i="154"/>
  <c r="Y418" i="154"/>
  <c r="Y416" i="154"/>
  <c r="Y448" i="154"/>
  <c r="Y437" i="154"/>
  <c r="Y126" i="154"/>
  <c r="Y101" i="154"/>
  <c r="V490" i="124"/>
  <c r="AJ33" i="166"/>
  <c r="Y452" i="151"/>
  <c r="Z452" i="151" s="1"/>
  <c r="U452" i="151"/>
  <c r="Y365" i="151"/>
  <c r="Z365" i="151" s="1"/>
  <c r="U365" i="151"/>
  <c r="AC12" i="167" s="1"/>
  <c r="AC10" i="167"/>
  <c r="Y118" i="151"/>
  <c r="Z118" i="151" s="1"/>
  <c r="U118" i="151"/>
  <c r="AF32" i="166"/>
  <c r="AH31" i="166"/>
  <c r="AF31" i="166" s="1"/>
  <c r="AF26" i="81"/>
  <c r="AH25" i="81"/>
  <c r="E38" i="44"/>
  <c r="AC13" i="167"/>
  <c r="S559" i="151"/>
  <c r="O14" i="150"/>
  <c r="O13" i="150"/>
  <c r="K34" i="150" s="1"/>
  <c r="J31" i="166"/>
  <c r="J13" i="166"/>
  <c r="G25" i="81"/>
  <c r="G24" i="81"/>
  <c r="B10" i="196"/>
  <c r="D10" i="196" s="1"/>
  <c r="G10" i="196" s="1"/>
  <c r="U38" i="44"/>
  <c r="N13" i="106"/>
  <c r="N14" i="106" s="1"/>
  <c r="G13" i="161" s="1"/>
  <c r="B14" i="196" s="1"/>
  <c r="D14" i="196" s="1"/>
  <c r="Q13" i="150"/>
  <c r="K38" i="44"/>
  <c r="H86" i="59"/>
  <c r="N56" i="57"/>
  <c r="K33" i="57" s="1"/>
  <c r="G38" i="44"/>
  <c r="I38" i="44"/>
  <c r="M38" i="44"/>
  <c r="S38" i="44"/>
  <c r="U392" i="99"/>
  <c r="V392" i="99" s="1"/>
  <c r="W392" i="99" s="1"/>
  <c r="V382" i="99"/>
  <c r="W382" i="99" s="1"/>
  <c r="AR40" i="91"/>
  <c r="AH23" i="91"/>
  <c r="AF22" i="91" s="1"/>
  <c r="AH19" i="91"/>
  <c r="AF18" i="91" s="1"/>
  <c r="AH15" i="91"/>
  <c r="AF14" i="91" s="1"/>
  <c r="AH10" i="91"/>
  <c r="AF9" i="91" s="1"/>
  <c r="AH8" i="91"/>
  <c r="AF7" i="91" s="1"/>
  <c r="G39" i="81"/>
  <c r="G21" i="81" s="1"/>
  <c r="Q21" i="81" s="1"/>
  <c r="AQ15" i="91"/>
  <c r="AB5" i="91"/>
  <c r="Z5" i="91" s="1"/>
  <c r="U43" i="67"/>
  <c r="U39" i="67"/>
  <c r="P43" i="51"/>
  <c r="Y520" i="151"/>
  <c r="Z520" i="151" s="1"/>
  <c r="U520" i="151"/>
  <c r="Y518" i="151"/>
  <c r="Z518" i="151" s="1"/>
  <c r="U518" i="151"/>
  <c r="Y390" i="151"/>
  <c r="Z390" i="151" s="1"/>
  <c r="U390" i="151"/>
  <c r="G17" i="167"/>
  <c r="AB17" i="167"/>
  <c r="Y136" i="151"/>
  <c r="Z136" i="151" s="1"/>
  <c r="U136" i="151"/>
  <c r="Y26" i="151"/>
  <c r="Z26" i="151" s="1"/>
  <c r="U26" i="151"/>
  <c r="Y435" i="158"/>
  <c r="Z435" i="158" s="1"/>
  <c r="U435" i="158"/>
  <c r="Y15" i="151"/>
  <c r="Z15" i="151" s="1"/>
  <c r="U15" i="151"/>
  <c r="W492" i="154"/>
  <c r="X492" i="154" s="1"/>
  <c r="S492" i="154"/>
  <c r="Y131" i="158"/>
  <c r="Z131" i="158" s="1"/>
  <c r="U131" i="158"/>
  <c r="Y157" i="158"/>
  <c r="Z157" i="158" s="1"/>
  <c r="U157" i="158"/>
  <c r="S559" i="158"/>
  <c r="W393" i="124"/>
  <c r="X393" i="124" s="1"/>
  <c r="S393" i="124"/>
  <c r="W130" i="124"/>
  <c r="X130" i="124" s="1"/>
  <c r="S130" i="124"/>
  <c r="W25" i="124"/>
  <c r="X25" i="124" s="1"/>
  <c r="S25" i="124"/>
  <c r="V113" i="99"/>
  <c r="W113" i="99" s="1"/>
  <c r="R113" i="99"/>
  <c r="W489" i="124"/>
  <c r="X489" i="124" s="1"/>
  <c r="W480" i="124"/>
  <c r="X480" i="124" s="1"/>
  <c r="V448" i="99"/>
  <c r="W448" i="99" s="1"/>
  <c r="W427" i="124"/>
  <c r="X427" i="124" s="1"/>
  <c r="U454" i="99"/>
  <c r="Z511" i="151"/>
  <c r="Z3" i="91"/>
  <c r="AB21" i="91"/>
  <c r="AB18" i="91"/>
  <c r="AB13" i="91"/>
  <c r="AQ44" i="91"/>
  <c r="AB458" i="175"/>
  <c r="Y521" i="151"/>
  <c r="Z521" i="151" s="1"/>
  <c r="U521" i="151"/>
  <c r="Y519" i="151"/>
  <c r="Z519" i="151" s="1"/>
  <c r="U519" i="151"/>
  <c r="AB18" i="167"/>
  <c r="Y186" i="151"/>
  <c r="Z186" i="151" s="1"/>
  <c r="U186" i="151"/>
  <c r="Y494" i="154"/>
  <c r="Y423" i="154"/>
  <c r="Y421" i="154"/>
  <c r="Y419" i="154"/>
  <c r="Y417" i="154"/>
  <c r="Y404" i="154"/>
  <c r="Y402" i="154"/>
  <c r="Y400" i="154"/>
  <c r="W380" i="154"/>
  <c r="X380" i="154" s="1"/>
  <c r="S380" i="154"/>
  <c r="V559" i="158"/>
  <c r="V558" i="158"/>
  <c r="Y13" i="151"/>
  <c r="Z13" i="151" s="1"/>
  <c r="U13" i="151"/>
  <c r="Q545" i="154"/>
  <c r="Q547" i="154" s="1"/>
  <c r="Y542" i="154"/>
  <c r="Y540" i="154"/>
  <c r="Y538" i="154"/>
  <c r="Y536" i="154"/>
  <c r="Y534" i="154"/>
  <c r="Y532" i="154"/>
  <c r="Y530" i="154"/>
  <c r="Y528" i="154"/>
  <c r="Y526" i="154"/>
  <c r="Y524" i="154"/>
  <c r="Y522" i="154"/>
  <c r="Y520" i="154"/>
  <c r="Y518" i="154"/>
  <c r="Y516" i="154"/>
  <c r="Y514" i="154"/>
  <c r="Y512" i="154"/>
  <c r="Y510" i="154"/>
  <c r="Y508" i="154"/>
  <c r="Y506" i="154"/>
  <c r="Y504" i="154"/>
  <c r="Y502" i="154"/>
  <c r="V488" i="154"/>
  <c r="V500" i="154" s="1"/>
  <c r="S488" i="154"/>
  <c r="Y484" i="154"/>
  <c r="Y482" i="154"/>
  <c r="Y480" i="154"/>
  <c r="Y478" i="154"/>
  <c r="Y476" i="154"/>
  <c r="Y459" i="154"/>
  <c r="Y432" i="154"/>
  <c r="Y430" i="154"/>
  <c r="Y403" i="154"/>
  <c r="Y401" i="154"/>
  <c r="Y381" i="154"/>
  <c r="Y379" i="154"/>
  <c r="Y377" i="154"/>
  <c r="Y375" i="154"/>
  <c r="Y373" i="154"/>
  <c r="Y371" i="154"/>
  <c r="Y369" i="154"/>
  <c r="Y367" i="154"/>
  <c r="Y365" i="154"/>
  <c r="Y363" i="154"/>
  <c r="Y361" i="154"/>
  <c r="Y359" i="154"/>
  <c r="Y357" i="154"/>
  <c r="Y355" i="154"/>
  <c r="Y353" i="154"/>
  <c r="Y351" i="154"/>
  <c r="Y349" i="154"/>
  <c r="Y347" i="154"/>
  <c r="Y345" i="154"/>
  <c r="Y343" i="154"/>
  <c r="Y341" i="154"/>
  <c r="Y339" i="154"/>
  <c r="Y337" i="154"/>
  <c r="Y335" i="154"/>
  <c r="Y333" i="154"/>
  <c r="Y331" i="154"/>
  <c r="Y329" i="154"/>
  <c r="Y327" i="154"/>
  <c r="Y325" i="154"/>
  <c r="Y323" i="154"/>
  <c r="Y321" i="154"/>
  <c r="Y319" i="154"/>
  <c r="Y317" i="154"/>
  <c r="Y315" i="154"/>
  <c r="Y313" i="154"/>
  <c r="Y311" i="154"/>
  <c r="Y309" i="154"/>
  <c r="Y307" i="154"/>
  <c r="Y305" i="154"/>
  <c r="Y303" i="154"/>
  <c r="Y301" i="154"/>
  <c r="Y299" i="154"/>
  <c r="Y297" i="154"/>
  <c r="Y295" i="154"/>
  <c r="Y293" i="154"/>
  <c r="Y291" i="154"/>
  <c r="Y289" i="154"/>
  <c r="Y287" i="154"/>
  <c r="Y285" i="154"/>
  <c r="Y283" i="154"/>
  <c r="Y281" i="154"/>
  <c r="Y279" i="154"/>
  <c r="Y277" i="154"/>
  <c r="Y275" i="154"/>
  <c r="Y273" i="154"/>
  <c r="Y271" i="154"/>
  <c r="Y269" i="154"/>
  <c r="Y267" i="154"/>
  <c r="Y265" i="154"/>
  <c r="Y263" i="154"/>
  <c r="Y261" i="154"/>
  <c r="Y259" i="154"/>
  <c r="Y257" i="154"/>
  <c r="Y255" i="154"/>
  <c r="Y253" i="154"/>
  <c r="Y251" i="154"/>
  <c r="Y249" i="154"/>
  <c r="Y247" i="154"/>
  <c r="Y245" i="154"/>
  <c r="Y243" i="154"/>
  <c r="Y241" i="154"/>
  <c r="Y239" i="154"/>
  <c r="Y237" i="154"/>
  <c r="Y235" i="154"/>
  <c r="Y233" i="154"/>
  <c r="Y231" i="154"/>
  <c r="Y229" i="154"/>
  <c r="Y227" i="154"/>
  <c r="Y225" i="154"/>
  <c r="Y223" i="154"/>
  <c r="Y221" i="154"/>
  <c r="Y219" i="154"/>
  <c r="Y217" i="154"/>
  <c r="Y215" i="154"/>
  <c r="Y213" i="154"/>
  <c r="Y211" i="154"/>
  <c r="Y209" i="154"/>
  <c r="Y207" i="154"/>
  <c r="Y205" i="154"/>
  <c r="Y203" i="154"/>
  <c r="Y201" i="154"/>
  <c r="Y199" i="154"/>
  <c r="Y197" i="154"/>
  <c r="Y195" i="154"/>
  <c r="Y193" i="154"/>
  <c r="Y191" i="154"/>
  <c r="Y189" i="154"/>
  <c r="Y187" i="154"/>
  <c r="W130" i="154"/>
  <c r="S130" i="154"/>
  <c r="I558" i="158"/>
  <c r="I559" i="158"/>
  <c r="Z3" i="158"/>
  <c r="S558" i="158"/>
  <c r="W126" i="124"/>
  <c r="X126" i="124" s="1"/>
  <c r="S126" i="124"/>
  <c r="Y300" i="154"/>
  <c r="Y104" i="154"/>
  <c r="Q544" i="154"/>
  <c r="Q534" i="124"/>
  <c r="U491" i="124"/>
  <c r="W491" i="124" s="1"/>
  <c r="X491" i="124" s="1"/>
  <c r="U490" i="124"/>
  <c r="W71" i="124"/>
  <c r="X71" i="124" s="1"/>
  <c r="S71" i="124"/>
  <c r="W29" i="124"/>
  <c r="X29" i="124" s="1"/>
  <c r="S29" i="124"/>
  <c r="X3" i="124"/>
  <c r="V121" i="99"/>
  <c r="W121" i="99" s="1"/>
  <c r="R121" i="99"/>
  <c r="R481" i="99" s="1"/>
  <c r="V534" i="124"/>
  <c r="Q535" i="124"/>
  <c r="W18" i="44" l="1"/>
  <c r="K26" i="174" s="1"/>
  <c r="G18" i="203"/>
  <c r="J17" i="203"/>
  <c r="J18" i="203" s="1"/>
  <c r="S544" i="154"/>
  <c r="I61" i="65"/>
  <c r="J61" i="65" s="1"/>
  <c r="L61" i="65" s="1"/>
  <c r="J57" i="65"/>
  <c r="L57" i="65" s="1"/>
  <c r="S36" i="44"/>
  <c r="Q44" i="44" s="1"/>
  <c r="G20" i="203"/>
  <c r="J20" i="203"/>
  <c r="AQ39" i="91"/>
  <c r="AQ40" i="91" s="1"/>
  <c r="H16" i="166"/>
  <c r="J15" i="166"/>
  <c r="G19" i="161" s="1"/>
  <c r="B8" i="196" s="1"/>
  <c r="D8" i="196" s="1"/>
  <c r="G8" i="196" s="1"/>
  <c r="I8" i="196" s="1"/>
  <c r="B19" i="196"/>
  <c r="D19" i="196" s="1"/>
  <c r="G19" i="196" s="1"/>
  <c r="I19" i="196" s="1"/>
  <c r="S117" i="51"/>
  <c r="O20" i="174" s="1"/>
  <c r="P32" i="51"/>
  <c r="F34" i="181" s="1"/>
  <c r="P34" i="181" s="1"/>
  <c r="P37" i="181"/>
  <c r="L50" i="65"/>
  <c r="R11" i="58"/>
  <c r="V11" i="58" s="1"/>
  <c r="X11" i="58" s="1"/>
  <c r="I17" i="182"/>
  <c r="I19" i="182" s="1"/>
  <c r="U39" i="44"/>
  <c r="O12" i="150"/>
  <c r="K42" i="57"/>
  <c r="R15" i="161"/>
  <c r="L17" i="164"/>
  <c r="I39" i="44"/>
  <c r="I43" i="44"/>
  <c r="E39" i="44"/>
  <c r="E43" i="44"/>
  <c r="J39" i="44"/>
  <c r="J43" i="44"/>
  <c r="M39" i="44"/>
  <c r="M43" i="44"/>
  <c r="G39" i="44"/>
  <c r="G43" i="44"/>
  <c r="K39" i="44"/>
  <c r="K43" i="44"/>
  <c r="T39" i="44"/>
  <c r="T43" i="44"/>
  <c r="U43" i="44"/>
  <c r="AP9" i="91"/>
  <c r="S534" i="124"/>
  <c r="Y558" i="158"/>
  <c r="J12" i="160"/>
  <c r="J13" i="160" s="1"/>
  <c r="S535" i="124"/>
  <c r="AH33" i="166"/>
  <c r="Y405" i="154"/>
  <c r="I14" i="83"/>
  <c r="AQ47" i="91" s="1"/>
  <c r="N104" i="59"/>
  <c r="U534" i="124"/>
  <c r="Y492" i="154"/>
  <c r="AC15" i="167"/>
  <c r="AF33" i="166"/>
  <c r="AD26" i="81"/>
  <c r="AF25" i="81"/>
  <c r="AH27" i="81"/>
  <c r="F30" i="181"/>
  <c r="Z559" i="151"/>
  <c r="U560" i="151"/>
  <c r="U559" i="151"/>
  <c r="Y559" i="151"/>
  <c r="F12" i="67"/>
  <c r="AP4" i="91" s="1"/>
  <c r="J33" i="166"/>
  <c r="G27" i="81"/>
  <c r="F16" i="67"/>
  <c r="O38" i="44"/>
  <c r="W490" i="124"/>
  <c r="Z558" i="158"/>
  <c r="AC3" i="158"/>
  <c r="S545" i="154"/>
  <c r="W488" i="154"/>
  <c r="X488" i="154" s="1"/>
  <c r="Y488" i="154" s="1"/>
  <c r="Y380" i="154"/>
  <c r="T456" i="99"/>
  <c r="T479" i="99" s="1"/>
  <c r="T454" i="99"/>
  <c r="V454" i="99" s="1"/>
  <c r="W454" i="99" s="1"/>
  <c r="T455" i="99"/>
  <c r="U559" i="158"/>
  <c r="U558" i="158"/>
  <c r="N17" i="67"/>
  <c r="AB23" i="91"/>
  <c r="AB19" i="91"/>
  <c r="Z18" i="91" s="1"/>
  <c r="AB15" i="91"/>
  <c r="AB8" i="91"/>
  <c r="Z7" i="91" s="1"/>
  <c r="AB10" i="91"/>
  <c r="Z9" i="91" s="1"/>
  <c r="X130" i="154"/>
  <c r="Y130" i="154" s="1"/>
  <c r="U501" i="154"/>
  <c r="V415" i="154"/>
  <c r="W500" i="154"/>
  <c r="X500" i="154" s="1"/>
  <c r="Y500" i="154" s="1"/>
  <c r="AQ46" i="91"/>
  <c r="AB22" i="91"/>
  <c r="AB20" i="91"/>
  <c r="Z20" i="91" s="1"/>
  <c r="K34" i="57"/>
  <c r="G10" i="160" s="1"/>
  <c r="R10" i="58"/>
  <c r="O16" i="167"/>
  <c r="AC16" i="167"/>
  <c r="J21" i="203" l="1"/>
  <c r="G21" i="203"/>
  <c r="W24" i="44"/>
  <c r="S39" i="44"/>
  <c r="Q27" i="81"/>
  <c r="G18" i="161"/>
  <c r="G12" i="160"/>
  <c r="E10" i="178"/>
  <c r="F10" i="178" s="1"/>
  <c r="G10" i="178" s="1"/>
  <c r="W38" i="44"/>
  <c r="G12" i="161" s="1"/>
  <c r="Z22" i="91"/>
  <c r="K17" i="174"/>
  <c r="M42" i="161"/>
  <c r="M43" i="161" s="1"/>
  <c r="AC19" i="167"/>
  <c r="O39" i="44"/>
  <c r="O43" i="44"/>
  <c r="AQ48" i="91"/>
  <c r="AQ49" i="91" s="1"/>
  <c r="AQ50" i="91" s="1"/>
  <c r="I15" i="83"/>
  <c r="I17" i="83" s="1"/>
  <c r="I21" i="83" s="1"/>
  <c r="I27" i="83" s="1"/>
  <c r="AD25" i="81"/>
  <c r="AD27" i="81" s="1"/>
  <c r="AF27" i="81"/>
  <c r="Q9" i="150"/>
  <c r="S12" i="67"/>
  <c r="U37" i="67" s="1"/>
  <c r="H28" i="82"/>
  <c r="G21" i="161"/>
  <c r="K36" i="174" s="1"/>
  <c r="F10" i="67"/>
  <c r="F13" i="67"/>
  <c r="S16" i="67"/>
  <c r="AP12" i="91"/>
  <c r="Y20" i="167"/>
  <c r="R12" i="58"/>
  <c r="V12" i="58" s="1"/>
  <c r="V10" i="58"/>
  <c r="X10" i="58" s="1"/>
  <c r="V429" i="154"/>
  <c r="W429" i="154" s="1"/>
  <c r="X429" i="154" s="1"/>
  <c r="Y429" i="154" s="1"/>
  <c r="W415" i="154"/>
  <c r="AP27" i="91"/>
  <c r="W17" i="67"/>
  <c r="AB16" i="167"/>
  <c r="O19" i="167"/>
  <c r="G9" i="83"/>
  <c r="W501" i="154"/>
  <c r="X501" i="154" s="1"/>
  <c r="Y501" i="154" s="1"/>
  <c r="U544" i="154"/>
  <c r="V455" i="99"/>
  <c r="W455" i="99" s="1"/>
  <c r="U456" i="99"/>
  <c r="X490" i="124"/>
  <c r="X534" i="124" s="1"/>
  <c r="W534" i="124"/>
  <c r="G14" i="160" l="1"/>
  <c r="G16" i="160" s="1"/>
  <c r="G17" i="160" s="1"/>
  <c r="G18" i="160" s="1"/>
  <c r="L19" i="164" s="1"/>
  <c r="B12" i="196"/>
  <c r="D12" i="196" s="1"/>
  <c r="G12" i="196" s="1"/>
  <c r="J12" i="196" s="1"/>
  <c r="J30" i="196" s="1"/>
  <c r="E12" i="178"/>
  <c r="F12" i="178" s="1"/>
  <c r="G12" i="178" s="1"/>
  <c r="K18" i="174"/>
  <c r="B7" i="196"/>
  <c r="D7" i="196" s="1"/>
  <c r="E18" i="161"/>
  <c r="I23" i="83"/>
  <c r="V544" i="154"/>
  <c r="AP2" i="91"/>
  <c r="U3" i="91" s="1"/>
  <c r="S10" i="67"/>
  <c r="S13" i="67"/>
  <c r="U38" i="67" s="1"/>
  <c r="AP5" i="91"/>
  <c r="F19" i="67"/>
  <c r="AP11" i="91" s="1"/>
  <c r="U479" i="99"/>
  <c r="V456" i="99"/>
  <c r="I28" i="83"/>
  <c r="P25" i="67"/>
  <c r="P26" i="67" s="1"/>
  <c r="AQ51" i="91"/>
  <c r="AQ52" i="91" s="1"/>
  <c r="AB12" i="91"/>
  <c r="AP42" i="91"/>
  <c r="G11" i="83"/>
  <c r="G13" i="83" s="1"/>
  <c r="AB19" i="167"/>
  <c r="AB20" i="167"/>
  <c r="AC20" i="167" s="1"/>
  <c r="X415" i="154"/>
  <c r="W544" i="154"/>
  <c r="G16" i="161" l="1"/>
  <c r="E13" i="178"/>
  <c r="G7" i="196"/>
  <c r="S19" i="67"/>
  <c r="U40" i="67" s="1"/>
  <c r="F20" i="67"/>
  <c r="S20" i="67" s="1"/>
  <c r="U41" i="67" s="1"/>
  <c r="AP44" i="91"/>
  <c r="U21" i="91"/>
  <c r="U18" i="91"/>
  <c r="U13" i="91"/>
  <c r="V479" i="99"/>
  <c r="W456" i="99"/>
  <c r="W479" i="99" s="1"/>
  <c r="Y415" i="154"/>
  <c r="X544" i="154"/>
  <c r="Y544" i="154" s="1"/>
  <c r="AB16" i="91"/>
  <c r="Z16" i="91" s="1"/>
  <c r="Z12" i="91"/>
  <c r="AB14" i="91"/>
  <c r="Z14" i="91" s="1"/>
  <c r="AQ53" i="91"/>
  <c r="F13" i="178" l="1"/>
  <c r="G13" i="178" s="1"/>
  <c r="E20" i="192"/>
  <c r="E10" i="193" s="1"/>
  <c r="E12" i="190"/>
  <c r="F12" i="190" s="1"/>
  <c r="G12" i="190" s="1"/>
  <c r="I7" i="196"/>
  <c r="K9" i="174"/>
  <c r="AP13" i="91"/>
  <c r="U22" i="91"/>
  <c r="AP46" i="91"/>
  <c r="U20" i="91"/>
  <c r="S20" i="91" s="1"/>
  <c r="E12" i="193" l="1"/>
  <c r="F12" i="193" s="1"/>
  <c r="G12" i="193" s="1"/>
  <c r="E11" i="193"/>
  <c r="F11" i="193" s="1"/>
  <c r="G11" i="193" s="1"/>
  <c r="F20" i="192"/>
  <c r="G20" i="192" s="1"/>
  <c r="L24" i="164"/>
  <c r="F10" i="193"/>
  <c r="G10" i="193" s="1"/>
  <c r="K15" i="174"/>
  <c r="E13" i="193" l="1"/>
  <c r="E16" i="193" s="1"/>
  <c r="F16" i="193" s="1"/>
  <c r="G30" i="161"/>
  <c r="G31" i="161" s="1"/>
  <c r="O19" i="164"/>
  <c r="O24" i="164" s="1"/>
  <c r="AA22" i="175"/>
  <c r="F13" i="193" l="1"/>
  <c r="G13" i="193" s="1"/>
  <c r="E15" i="193"/>
  <c r="E17" i="193" s="1"/>
  <c r="F17" i="193" s="1"/>
  <c r="K38" i="174"/>
  <c r="AB22" i="175"/>
  <c r="F15" i="193" l="1"/>
  <c r="Q24" i="44"/>
  <c r="Q36" i="44" s="1"/>
  <c r="Q43" i="44" s="1"/>
  <c r="G16" i="167"/>
  <c r="G19" i="167" s="1"/>
  <c r="Q39" i="44" l="1"/>
  <c r="W36" i="44"/>
  <c r="H29" i="162"/>
  <c r="K21" i="167"/>
  <c r="I25" i="167"/>
  <c r="G14" i="83"/>
  <c r="I593" i="175"/>
  <c r="U8" i="175"/>
  <c r="W8" i="175" s="1"/>
  <c r="U9" i="175"/>
  <c r="W9" i="175" s="1"/>
  <c r="U7" i="175"/>
  <c r="W7" i="175" s="1"/>
  <c r="E31" i="54" l="1"/>
  <c r="W43" i="44"/>
  <c r="W39" i="44"/>
  <c r="AP47" i="91"/>
  <c r="AP48" i="91" s="1"/>
  <c r="AP49" i="91" s="1"/>
  <c r="G15" i="83"/>
  <c r="U593" i="175"/>
  <c r="AA5" i="175"/>
  <c r="AB5" i="175" s="1"/>
  <c r="W593" i="175"/>
  <c r="AA7" i="175"/>
  <c r="AB7" i="175" s="1"/>
  <c r="AA9" i="175"/>
  <c r="AB9" i="175" s="1"/>
  <c r="AA8" i="175"/>
  <c r="AB8" i="175" s="1"/>
  <c r="E33" i="54" l="1"/>
  <c r="I31" i="150" s="1"/>
  <c r="K31" i="150" s="1"/>
  <c r="G16" i="83"/>
  <c r="G22" i="83" s="1"/>
  <c r="AP50" i="91"/>
  <c r="AP51" i="91" s="1"/>
  <c r="AP52" i="91" s="1"/>
  <c r="AP53" i="91" s="1"/>
  <c r="Q10" i="150"/>
  <c r="E34" i="54"/>
  <c r="O10" i="150"/>
  <c r="M10" i="150" l="1"/>
  <c r="M11" i="150" s="1"/>
  <c r="M19" i="150" s="1"/>
  <c r="I12" i="203"/>
  <c r="E11" i="54"/>
  <c r="E14" i="54" s="1"/>
  <c r="G17" i="83"/>
  <c r="G21" i="83" s="1"/>
  <c r="O11" i="150"/>
  <c r="O19" i="150" s="1"/>
  <c r="N16" i="67"/>
  <c r="K12" i="203" l="1"/>
  <c r="K13" i="203" s="1"/>
  <c r="K21" i="203" s="1"/>
  <c r="I13" i="203"/>
  <c r="I21" i="203" s="1"/>
  <c r="G34" i="161"/>
  <c r="B17" i="196" s="1"/>
  <c r="D17" i="196" s="1"/>
  <c r="G17" i="196" s="1"/>
  <c r="N36" i="181"/>
  <c r="N39" i="181" s="1"/>
  <c r="P36" i="181"/>
  <c r="U12" i="91"/>
  <c r="U14" i="91" s="1"/>
  <c r="G27" i="83"/>
  <c r="N25" i="67" s="1"/>
  <c r="G23" i="83"/>
  <c r="N19" i="67"/>
  <c r="W16" i="67"/>
  <c r="U47" i="67" s="1"/>
  <c r="AP25" i="91"/>
  <c r="R34" i="161" l="1"/>
  <c r="G36" i="161"/>
  <c r="S12" i="91"/>
  <c r="U16" i="91"/>
  <c r="W25" i="67"/>
  <c r="AP36" i="91"/>
  <c r="N26" i="67"/>
  <c r="W19" i="67"/>
  <c r="U48" i="67" s="1"/>
  <c r="AP28" i="91"/>
  <c r="AP37" i="91" l="1"/>
  <c r="W26" i="67"/>
  <c r="U49" i="67" s="1"/>
  <c r="U9" i="91" l="1"/>
  <c r="U17" i="91"/>
  <c r="S16" i="91" s="1"/>
  <c r="R46" i="51"/>
  <c r="P46" i="51"/>
  <c r="F35" i="181" s="1"/>
  <c r="P35" i="181" s="1"/>
  <c r="P39" i="181" l="1"/>
  <c r="L46" i="51"/>
  <c r="L47" i="51" s="1"/>
  <c r="N10" i="67"/>
  <c r="P47" i="51"/>
  <c r="Q18" i="174"/>
  <c r="R47" i="51"/>
  <c r="P10" i="67"/>
  <c r="P14" i="67" s="1"/>
  <c r="P20" i="67" s="1"/>
  <c r="P27" i="67" s="1"/>
  <c r="F39" i="181" l="1"/>
  <c r="G38" i="161"/>
  <c r="AP19" i="91"/>
  <c r="W10" i="67"/>
  <c r="U45" i="67" s="1"/>
  <c r="N14" i="67"/>
  <c r="AP23" i="91" l="1"/>
  <c r="N20" i="67"/>
  <c r="W14" i="67"/>
  <c r="B18" i="196"/>
  <c r="D18" i="196" s="1"/>
  <c r="G40" i="161"/>
  <c r="G41" i="161" s="1"/>
  <c r="G42" i="161" s="1"/>
  <c r="R38" i="161"/>
  <c r="G18" i="196" l="1"/>
  <c r="N27" i="67"/>
  <c r="AP30" i="91"/>
  <c r="U7" i="91" s="1"/>
  <c r="W20" i="67"/>
  <c r="K35" i="174"/>
  <c r="K37" i="174" s="1"/>
  <c r="K39" i="174" s="1"/>
  <c r="U4" i="91"/>
  <c r="U6" i="91"/>
  <c r="AP39" i="91" l="1"/>
  <c r="W27" i="67"/>
  <c r="I17" i="196"/>
  <c r="J11" i="43"/>
  <c r="J13" i="43" s="1"/>
  <c r="J28" i="43" l="1"/>
  <c r="G20" i="161" s="1"/>
  <c r="K16" i="174" s="1"/>
  <c r="F11" i="67" l="1"/>
  <c r="AP3" i="91" s="1"/>
  <c r="W3" i="91" s="1"/>
  <c r="S3" i="91" s="1"/>
  <c r="B9" i="196"/>
  <c r="G22" i="161"/>
  <c r="G23" i="161" s="1"/>
  <c r="G43" i="161" s="1"/>
  <c r="F14" i="67" l="1"/>
  <c r="F27" i="67" s="1"/>
  <c r="AP7" i="91" l="1"/>
  <c r="U5" i="91" s="1"/>
  <c r="S5" i="91" s="1"/>
  <c r="N28" i="67"/>
  <c r="H30" i="67"/>
  <c r="AP15" i="91" l="1"/>
  <c r="U8" i="91" s="1"/>
  <c r="S7" i="91" s="1"/>
  <c r="L28" i="43"/>
  <c r="AP40" i="91" l="1"/>
  <c r="U15" i="91"/>
  <c r="S14" i="91" s="1"/>
  <c r="U23" i="91"/>
  <c r="S22" i="91" s="1"/>
  <c r="U10" i="91"/>
  <c r="S9" i="91" s="1"/>
  <c r="U19" i="91"/>
  <c r="S18" i="91" s="1"/>
  <c r="H11" i="67"/>
  <c r="S11" i="67" s="1"/>
  <c r="U36" i="67" s="1"/>
  <c r="U50" i="67" s="1"/>
  <c r="U52" i="67" s="1"/>
  <c r="R20" i="161"/>
  <c r="R21" i="161" s="1"/>
  <c r="C9" i="196"/>
  <c r="D9" i="196" s="1"/>
  <c r="H14" i="67" l="1"/>
  <c r="S14" i="67" s="1"/>
  <c r="I22" i="161"/>
  <c r="I23" i="161" s="1"/>
  <c r="I43" i="161" s="1"/>
  <c r="K22" i="174"/>
  <c r="H10" i="162" s="1"/>
  <c r="H12" i="162" s="1"/>
  <c r="H19" i="162" s="1"/>
  <c r="H22" i="162" s="1"/>
  <c r="H25" i="162" s="1"/>
  <c r="H27" i="162" s="1"/>
  <c r="H30" i="162" s="1"/>
  <c r="O21" i="174" s="1"/>
  <c r="G9" i="196"/>
  <c r="D30" i="196"/>
  <c r="H27" i="67" l="1"/>
  <c r="S27" i="67" s="1"/>
  <c r="I9" i="196"/>
  <c r="I30" i="196" s="1"/>
  <c r="I31" i="196" s="1"/>
  <c r="G30" i="196"/>
  <c r="I30" i="67" l="1"/>
  <c r="P28" i="67"/>
</calcChain>
</file>

<file path=xl/comments1.xml><?xml version="1.0" encoding="utf-8"?>
<comments xmlns="http://schemas.openxmlformats.org/spreadsheetml/2006/main">
  <authors>
    <author>memarian-a</author>
  </authors>
  <commentList>
    <comment ref="J2" authorId="0">
      <text>
        <r>
          <rPr>
            <b/>
            <sz val="9"/>
            <color indexed="81"/>
            <rFont val="Tahoma"/>
            <family val="2"/>
          </rPr>
          <t>memarian-a:</t>
        </r>
        <r>
          <rPr>
            <sz val="9"/>
            <color indexed="81"/>
            <rFont val="Tahoma"/>
            <family val="2"/>
          </rPr>
          <t xml:space="preserve">
 تا سند95001365 </t>
        </r>
      </text>
    </comment>
    <comment ref="L2"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10.xml><?xml version="1.0" encoding="utf-8"?>
<comments xmlns="http://schemas.openxmlformats.org/spreadsheetml/2006/main">
  <authors>
    <author>moradi-n</author>
  </authors>
  <commentList>
    <comment ref="R45" authorId="0">
      <text>
        <r>
          <rPr>
            <b/>
            <sz val="9"/>
            <color indexed="81"/>
            <rFont val="Tahoma"/>
            <family val="2"/>
          </rPr>
          <t>moradi-n:</t>
        </r>
        <r>
          <rPr>
            <sz val="9"/>
            <color indexed="81"/>
            <rFont val="Tahoma"/>
            <family val="2"/>
          </rPr>
          <t xml:space="preserve">
تعدیل سنواتی
628948
</t>
        </r>
      </text>
    </comment>
  </commentList>
</comments>
</file>

<file path=xl/comments11.xml><?xml version="1.0" encoding="utf-8"?>
<comments xmlns="http://schemas.openxmlformats.org/spreadsheetml/2006/main">
  <authors>
    <author>memarian-a</author>
    <author>مهرک جباری</author>
  </authors>
  <commentList>
    <comment ref="K9" authorId="0">
      <text>
        <r>
          <rPr>
            <b/>
            <sz val="9"/>
            <color indexed="81"/>
            <rFont val="Tahoma"/>
            <family val="2"/>
          </rPr>
          <t>memarian-a:</t>
        </r>
        <r>
          <rPr>
            <sz val="9"/>
            <color indexed="81"/>
            <rFont val="Tahoma"/>
            <family val="2"/>
          </rPr>
          <t xml:space="preserve">
گردش بدهكار منهاي سندهاي ملي مهندسي
</t>
        </r>
      </text>
    </comment>
    <comment ref="L9" authorId="1">
      <text>
        <r>
          <rPr>
            <b/>
            <sz val="9"/>
            <color indexed="81"/>
            <rFont val="Tahoma"/>
            <family val="2"/>
          </rPr>
          <t>مهرک جباری:</t>
        </r>
        <r>
          <rPr>
            <sz val="9"/>
            <color indexed="81"/>
            <rFont val="Tahoma"/>
            <family val="2"/>
          </rPr>
          <t xml:space="preserve">
مانده فی مابین منهای فروش کالاوخدمات
</t>
        </r>
      </text>
    </comment>
    <comment ref="K13" authorId="0">
      <text>
        <r>
          <rPr>
            <b/>
            <sz val="9"/>
            <color indexed="81"/>
            <rFont val="Tahoma"/>
            <family val="2"/>
          </rPr>
          <t>memarian-a:</t>
        </r>
        <r>
          <rPr>
            <sz val="9"/>
            <color indexed="81"/>
            <rFont val="Tahoma"/>
            <family val="2"/>
          </rPr>
          <t xml:space="preserve">
گردش بدهكار
</t>
        </r>
      </text>
    </comment>
    <comment ref="F30" authorId="0">
      <text>
        <r>
          <rPr>
            <b/>
            <sz val="9"/>
            <color indexed="81"/>
            <rFont val="Tahoma"/>
            <family val="2"/>
          </rPr>
          <t>memarian-a:</t>
        </r>
        <r>
          <rPr>
            <sz val="9"/>
            <color indexed="81"/>
            <rFont val="Tahoma"/>
            <family val="2"/>
          </rPr>
          <t xml:space="preserve">
گردش بدهكار منهاي سندهاي ملي مهندسي
</t>
        </r>
      </text>
    </comment>
  </commentList>
</comments>
</file>

<file path=xl/comments12.xml><?xml version="1.0" encoding="utf-8"?>
<comments xmlns="http://schemas.openxmlformats.org/spreadsheetml/2006/main">
  <authors>
    <author>memarian-a</author>
  </authors>
  <commentList>
    <comment ref="F11" authorId="0">
      <text>
        <r>
          <rPr>
            <b/>
            <sz val="9"/>
            <color indexed="81"/>
            <rFont val="Tahoma"/>
            <family val="2"/>
          </rPr>
          <t>memarian-a:</t>
        </r>
        <r>
          <rPr>
            <sz val="9"/>
            <color indexed="81"/>
            <rFont val="Tahoma"/>
            <family val="2"/>
          </rPr>
          <t xml:space="preserve">
گردش بدهكار منهاي سندهاي ملي مهندسي
</t>
        </r>
      </text>
    </comment>
  </commentList>
</comments>
</file>

<file path=xl/comments2.xml><?xml version="1.0" encoding="utf-8"?>
<comments xmlns="http://schemas.openxmlformats.org/spreadsheetml/2006/main">
  <authors>
    <author>memarian-a</author>
  </authors>
  <commentList>
    <comment ref="J1" authorId="0">
      <text>
        <r>
          <rPr>
            <b/>
            <sz val="9"/>
            <color indexed="81"/>
            <rFont val="Tahoma"/>
            <family val="2"/>
          </rPr>
          <t>memarian-a:</t>
        </r>
        <r>
          <rPr>
            <sz val="9"/>
            <color indexed="81"/>
            <rFont val="Tahoma"/>
            <family val="2"/>
          </rPr>
          <t xml:space="preserve">
 تا سند95001365 </t>
        </r>
      </text>
    </comment>
    <comment ref="L1"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3.xml><?xml version="1.0" encoding="utf-8"?>
<comments xmlns="http://schemas.openxmlformats.org/spreadsheetml/2006/main">
  <authors>
    <author>memarian-a</author>
  </authors>
  <commentList>
    <comment ref="J1" authorId="0">
      <text>
        <r>
          <rPr>
            <b/>
            <sz val="9"/>
            <color indexed="81"/>
            <rFont val="Tahoma"/>
            <family val="2"/>
          </rPr>
          <t>memarian-a:</t>
        </r>
        <r>
          <rPr>
            <sz val="9"/>
            <color indexed="81"/>
            <rFont val="Tahoma"/>
            <family val="2"/>
          </rPr>
          <t xml:space="preserve">
 تا سند95001365 </t>
        </r>
      </text>
    </comment>
    <comment ref="L1"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4.xml><?xml version="1.0" encoding="utf-8"?>
<comments xmlns="http://schemas.openxmlformats.org/spreadsheetml/2006/main">
  <authors>
    <author>memarian-a</author>
  </authors>
  <commentList>
    <comment ref="J1" authorId="0">
      <text>
        <r>
          <rPr>
            <b/>
            <sz val="9"/>
            <color indexed="81"/>
            <rFont val="Tahoma"/>
            <family val="2"/>
          </rPr>
          <t>memarian-a:</t>
        </r>
        <r>
          <rPr>
            <sz val="9"/>
            <color indexed="81"/>
            <rFont val="Tahoma"/>
            <family val="2"/>
          </rPr>
          <t xml:space="preserve">
 تا سند95001365 </t>
        </r>
      </text>
    </comment>
    <comment ref="L1"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5.xml><?xml version="1.0" encoding="utf-8"?>
<comments xmlns="http://schemas.openxmlformats.org/spreadsheetml/2006/main">
  <authors>
    <author>memarian-a</author>
  </authors>
  <commentList>
    <comment ref="J1" authorId="0">
      <text>
        <r>
          <rPr>
            <b/>
            <sz val="9"/>
            <color indexed="81"/>
            <rFont val="Tahoma"/>
            <family val="2"/>
          </rPr>
          <t>memarian-a:</t>
        </r>
        <r>
          <rPr>
            <sz val="9"/>
            <color indexed="81"/>
            <rFont val="Tahoma"/>
            <family val="2"/>
          </rPr>
          <t xml:space="preserve">
 تا سند95001365 </t>
        </r>
      </text>
    </comment>
    <comment ref="L1" authorId="0">
      <text>
        <r>
          <rPr>
            <b/>
            <sz val="9"/>
            <color indexed="81"/>
            <rFont val="Tahoma"/>
            <family val="2"/>
          </rPr>
          <t>memarian-a:</t>
        </r>
        <r>
          <rPr>
            <sz val="9"/>
            <color indexed="81"/>
            <rFont val="Tahoma"/>
            <family val="2"/>
          </rPr>
          <t xml:space="preserve">
 تغذيه اسناد تا تاريخ 
1396/03/09 تا سند روزنامه شماره 9501431
</t>
        </r>
      </text>
    </comment>
  </commentList>
</comments>
</file>

<file path=xl/comments6.xml><?xml version="1.0" encoding="utf-8"?>
<comments xmlns="http://schemas.openxmlformats.org/spreadsheetml/2006/main">
  <authors>
    <author>moradi-n</author>
  </authors>
  <commentList>
    <comment ref="Q11" authorId="0">
      <text>
        <r>
          <rPr>
            <b/>
            <sz val="9"/>
            <color indexed="81"/>
            <rFont val="Tahoma"/>
            <family val="2"/>
          </rPr>
          <t>moradi-n:</t>
        </r>
        <r>
          <rPr>
            <sz val="9"/>
            <color indexed="81"/>
            <rFont val="Tahoma"/>
            <family val="2"/>
          </rPr>
          <t xml:space="preserve">
تعدیل استهلاک اعمال گردیده
</t>
        </r>
      </text>
    </comment>
    <comment ref="Q12" authorId="0">
      <text>
        <r>
          <rPr>
            <b/>
            <sz val="9"/>
            <color indexed="81"/>
            <rFont val="Tahoma"/>
            <family val="2"/>
          </rPr>
          <t>moradi-n:</t>
        </r>
        <r>
          <rPr>
            <sz val="9"/>
            <color indexed="81"/>
            <rFont val="Tahoma"/>
            <family val="2"/>
          </rPr>
          <t xml:space="preserve">
تعدیل استهلاک اعمال گردیده</t>
        </r>
      </text>
    </comment>
    <comment ref="Q14" authorId="0">
      <text>
        <r>
          <rPr>
            <b/>
            <sz val="9"/>
            <color indexed="81"/>
            <rFont val="Tahoma"/>
            <family val="2"/>
          </rPr>
          <t>moradi-n:</t>
        </r>
        <r>
          <rPr>
            <sz val="9"/>
            <color indexed="81"/>
            <rFont val="Tahoma"/>
            <family val="2"/>
          </rPr>
          <t xml:space="preserve">
تعدیل استهلاک اعمال گردیده</t>
        </r>
      </text>
    </comment>
  </commentList>
</comments>
</file>

<file path=xl/comments7.xml><?xml version="1.0" encoding="utf-8"?>
<comments xmlns="http://schemas.openxmlformats.org/spreadsheetml/2006/main">
  <authors>
    <author>diba-p</author>
  </authors>
  <commentList>
    <comment ref="U28" authorId="0">
      <text>
        <r>
          <rPr>
            <b/>
            <sz val="9"/>
            <color indexed="81"/>
            <rFont val="Tahoma"/>
            <family val="2"/>
          </rPr>
          <t>diba-p:</t>
        </r>
        <r>
          <rPr>
            <sz val="9"/>
            <color indexed="81"/>
            <rFont val="Tahoma"/>
            <family val="2"/>
          </rPr>
          <t xml:space="preserve">
هرچي با نامه و اعلاميه و اطلاعيه متقل شده به خط لوله</t>
        </r>
      </text>
    </comment>
    <comment ref="U29" authorId="0">
      <text>
        <r>
          <rPr>
            <b/>
            <sz val="9"/>
            <color indexed="81"/>
            <rFont val="Tahoma"/>
            <family val="2"/>
          </rPr>
          <t>diba-p:</t>
        </r>
        <r>
          <rPr>
            <sz val="9"/>
            <color indexed="81"/>
            <rFont val="Tahoma"/>
            <family val="2"/>
          </rPr>
          <t xml:space="preserve">
مبالغي كه از محل 5 درصد برگشت شده به پالابش پخش
</t>
        </r>
      </text>
    </comment>
  </commentList>
</comments>
</file>

<file path=xl/comments8.xml><?xml version="1.0" encoding="utf-8"?>
<comments xmlns="http://schemas.openxmlformats.org/spreadsheetml/2006/main">
  <authors>
    <author>زائری امیرانی حسین</author>
    <author>moradi-n</author>
  </authors>
  <commentList>
    <comment ref="J36" authorId="0">
      <text>
        <r>
          <rPr>
            <b/>
            <sz val="9"/>
            <color indexed="81"/>
            <rFont val="Tahoma"/>
            <family val="2"/>
          </rPr>
          <t>زائری امیرانی حسین:</t>
        </r>
        <r>
          <rPr>
            <sz val="9"/>
            <color indexed="81"/>
            <rFont val="Tahoma"/>
            <family val="2"/>
          </rPr>
          <t xml:space="preserve">
</t>
        </r>
      </text>
    </comment>
    <comment ref="L74" authorId="1">
      <text>
        <r>
          <rPr>
            <b/>
            <sz val="9"/>
            <color indexed="81"/>
            <rFont val="Tahoma"/>
            <family val="2"/>
          </rPr>
          <t>moradi-n:</t>
        </r>
        <r>
          <rPr>
            <sz val="9"/>
            <color indexed="81"/>
            <rFont val="Tahoma"/>
            <family val="2"/>
          </rPr>
          <t xml:space="preserve">
مبلغ 16542بابت تعدیل سود سهام تکالیف مجمع اضافه گردید.</t>
        </r>
      </text>
    </comment>
  </commentList>
</comments>
</file>

<file path=xl/comments9.xml><?xml version="1.0" encoding="utf-8"?>
<comments xmlns="http://schemas.openxmlformats.org/spreadsheetml/2006/main">
  <authors>
    <author>moradi-n</author>
    <author>memarian-a</author>
  </authors>
  <commentList>
    <comment ref="P11" authorId="0">
      <text>
        <r>
          <rPr>
            <b/>
            <sz val="9"/>
            <color indexed="81"/>
            <rFont val="Tahoma"/>
            <family val="2"/>
          </rPr>
          <t>moradi-n:</t>
        </r>
        <r>
          <rPr>
            <sz val="9"/>
            <color indexed="81"/>
            <rFont val="Tahoma"/>
            <family val="2"/>
          </rPr>
          <t xml:space="preserve">
مبلغ 16542بابت تعدیل سود سهام تکالیف مجمع اضافه گردید.</t>
        </r>
      </text>
    </comment>
    <comment ref="P19" authorId="1">
      <text>
        <r>
          <rPr>
            <b/>
            <sz val="9"/>
            <color indexed="81"/>
            <rFont val="Tahoma"/>
            <family val="2"/>
          </rPr>
          <t>memarian-a:</t>
        </r>
        <r>
          <rPr>
            <sz val="9"/>
            <color indexed="81"/>
            <rFont val="Tahoma"/>
            <family val="2"/>
          </rPr>
          <t xml:space="preserve">
تعديل اعمال شده
3218
درآمد ضايعات
</t>
        </r>
      </text>
    </comment>
    <comment ref="S19" authorId="1">
      <text>
        <r>
          <rPr>
            <b/>
            <sz val="9"/>
            <color indexed="81"/>
            <rFont val="Tahoma"/>
            <family val="2"/>
          </rPr>
          <t>memarian-a:</t>
        </r>
        <r>
          <rPr>
            <sz val="9"/>
            <color indexed="81"/>
            <rFont val="Tahoma"/>
            <family val="2"/>
          </rPr>
          <t xml:space="preserve">
تعديل اعمال شده
3218
درآمد ضايعات
</t>
        </r>
      </text>
    </comment>
  </commentList>
</comments>
</file>

<file path=xl/sharedStrings.xml><?xml version="1.0" encoding="utf-8"?>
<sst xmlns="http://schemas.openxmlformats.org/spreadsheetml/2006/main" count="10025" uniqueCount="2840">
  <si>
    <t>06603620</t>
  </si>
  <si>
    <t>وام تحصيلي كارمندان 170</t>
  </si>
  <si>
    <t>06603630</t>
  </si>
  <si>
    <t>06603632</t>
  </si>
  <si>
    <t>06603932</t>
  </si>
  <si>
    <t>06603935</t>
  </si>
  <si>
    <t>06605606</t>
  </si>
  <si>
    <t>06605613</t>
  </si>
  <si>
    <t>06605614</t>
  </si>
  <si>
    <t>06606560</t>
  </si>
  <si>
    <t>ذخيره پاداش پايان خدمت</t>
  </si>
  <si>
    <t>06606603</t>
  </si>
  <si>
    <t>06606604</t>
  </si>
  <si>
    <t>اجرائيات دادگستري</t>
  </si>
  <si>
    <t>06606609</t>
  </si>
  <si>
    <t>06606611</t>
  </si>
  <si>
    <t xml:space="preserve">ذخيره مزاياي پايان خدمت كاركنان  </t>
  </si>
  <si>
    <t>دانشگاه صنعت نفت</t>
  </si>
  <si>
    <t>90006401</t>
  </si>
  <si>
    <t>90006421</t>
  </si>
  <si>
    <t>حساب پش دريافت بابت جبران هزينه</t>
  </si>
  <si>
    <t>90006513</t>
  </si>
  <si>
    <t>واسطه پرداخت هزينه هاي سال قبل</t>
  </si>
  <si>
    <t>90006584</t>
  </si>
  <si>
    <t>احداث شبكه راديويي وفيبر نوري</t>
  </si>
  <si>
    <t>سپرده دريافتي ح مزايده ومناقصه جاري</t>
  </si>
  <si>
    <t>90007001</t>
  </si>
  <si>
    <t>موجودي نقدي صندوق</t>
  </si>
  <si>
    <t>90007021</t>
  </si>
  <si>
    <t>وجوه درراه</t>
  </si>
  <si>
    <t>90007081</t>
  </si>
  <si>
    <t>تنخواه گردان</t>
  </si>
  <si>
    <t>90007097</t>
  </si>
  <si>
    <t>گشايش اعتبارات اسنادي سرمايه اي</t>
  </si>
  <si>
    <t>90007098</t>
  </si>
  <si>
    <t>گشايش  اعتبارات اسنادي  جاري</t>
  </si>
  <si>
    <t>90007100</t>
  </si>
  <si>
    <t>كنترل موجودي هاي بانكي ـريال</t>
  </si>
  <si>
    <t>90007511</t>
  </si>
  <si>
    <t>06606620</t>
  </si>
  <si>
    <t>06606625</t>
  </si>
  <si>
    <t>بدهي به دانشگاهها</t>
  </si>
  <si>
    <t>06606631</t>
  </si>
  <si>
    <t>06606638</t>
  </si>
  <si>
    <t>06608003</t>
  </si>
  <si>
    <t>06608644</t>
  </si>
  <si>
    <t>پرداخت /كسوراقلام متفرقه</t>
  </si>
  <si>
    <t>06608661</t>
  </si>
  <si>
    <t>09202000</t>
  </si>
  <si>
    <t>وزارت نيرو</t>
  </si>
  <si>
    <t>09290021</t>
  </si>
  <si>
    <t>09290031</t>
  </si>
  <si>
    <t>09290061</t>
  </si>
  <si>
    <t>09290081</t>
  </si>
  <si>
    <t>09290086</t>
  </si>
  <si>
    <t>09290121</t>
  </si>
  <si>
    <t>09290132</t>
  </si>
  <si>
    <t>09290161</t>
  </si>
  <si>
    <t>09290181</t>
  </si>
  <si>
    <t>09290201</t>
  </si>
  <si>
    <t>09290301</t>
  </si>
  <si>
    <t>رديف</t>
  </si>
  <si>
    <t>شرح</t>
  </si>
  <si>
    <t>90005322</t>
  </si>
  <si>
    <t>شركت بهينه سازي مصرف سوخت</t>
  </si>
  <si>
    <t>09294191</t>
  </si>
  <si>
    <t>شركت پايانه ها ومخازن پتروشيمي</t>
  </si>
  <si>
    <t>شركت گاز استان يزد</t>
  </si>
  <si>
    <t>باشگاه نفت</t>
  </si>
  <si>
    <t>90005381</t>
  </si>
  <si>
    <t>پيش پرداخت اجاره بها</t>
  </si>
  <si>
    <t>90005828</t>
  </si>
  <si>
    <t>علي الحساب سرمايه اي ـدستي</t>
  </si>
  <si>
    <t>90005829</t>
  </si>
  <si>
    <t>علي الحساب هاي پرداختي</t>
  </si>
  <si>
    <t>90005845</t>
  </si>
  <si>
    <t>09506336</t>
  </si>
  <si>
    <t>تفاوت بين رسيدارسال انتقالات جاري</t>
  </si>
  <si>
    <t>كالاي درراه مكانيزه ـسرمايه اي خارجي</t>
  </si>
  <si>
    <t>09502736</t>
  </si>
  <si>
    <t>كالاي درراه مكانيزه ـجاري ـداخلي</t>
  </si>
  <si>
    <t xml:space="preserve">    داراييها</t>
  </si>
  <si>
    <t>تسويه حساب نهائي كارگران اخراجي</t>
  </si>
  <si>
    <t>06508113</t>
  </si>
  <si>
    <t>06508770</t>
  </si>
  <si>
    <t>دستمزدخالص</t>
  </si>
  <si>
    <t>06508830</t>
  </si>
  <si>
    <t>06508921</t>
  </si>
  <si>
    <t>خسارت وارده به اموال شركت</t>
  </si>
  <si>
    <t>06508952</t>
  </si>
  <si>
    <t>06603111</t>
  </si>
  <si>
    <t>معافيت  استفاده كننده گان از تسهيلات بانكي - شمال</t>
  </si>
  <si>
    <t>06603601</t>
  </si>
  <si>
    <t>06603603</t>
  </si>
  <si>
    <t>موجودي مواد و كالا</t>
  </si>
  <si>
    <t>كالاي در راه مكانيزه جاري</t>
  </si>
  <si>
    <t xml:space="preserve"> حسابهاي پرداختني تجاري</t>
  </si>
  <si>
    <t>90009625</t>
  </si>
  <si>
    <t>كنترل كالاي در راه مكانيزه سرمايه اي</t>
  </si>
  <si>
    <t>كنترل كالاي در راه مكانيزه جاري</t>
  </si>
  <si>
    <t>90009629</t>
  </si>
  <si>
    <t>90009647</t>
  </si>
  <si>
    <t>كنترل انتقال كالا بين انبار اصلي</t>
  </si>
  <si>
    <t xml:space="preserve">ماليات </t>
  </si>
  <si>
    <t>كنترل اموال غيرمنقول ـمانده</t>
  </si>
  <si>
    <t>90002131</t>
  </si>
  <si>
    <t>كنترل اموال منقول كلاس3 ـمانده</t>
  </si>
  <si>
    <t>90002141</t>
  </si>
  <si>
    <t>شركت بهره برداري نفت وگازكارون</t>
  </si>
  <si>
    <t>09290861</t>
  </si>
  <si>
    <t>09290891</t>
  </si>
  <si>
    <t>هزينه كمك نقدي كارمندان</t>
  </si>
  <si>
    <t>90002001</t>
  </si>
  <si>
    <t>كنترل زمين ـمانده</t>
  </si>
  <si>
    <t>90002101</t>
  </si>
  <si>
    <t>شركت مهندسي وتوسعه گاز</t>
  </si>
  <si>
    <t>09301020</t>
  </si>
  <si>
    <t>پس اندازصندوق قرض الحسنه</t>
  </si>
  <si>
    <t>موجودي روغن براي مصرف</t>
  </si>
  <si>
    <t>90004827</t>
  </si>
  <si>
    <t>موجودي سايرفراوردهها</t>
  </si>
  <si>
    <t>90004828</t>
  </si>
  <si>
    <t>طلب پخش بابت برداشت فراورده ازخط</t>
  </si>
  <si>
    <t>90004880</t>
  </si>
  <si>
    <t>كالاي واگذاري به موسسات بطوراماني</t>
  </si>
  <si>
    <t>90005316</t>
  </si>
  <si>
    <t>ودايع اب وبرق وتلفن</t>
  </si>
  <si>
    <t>06506394</t>
  </si>
  <si>
    <t>06506440</t>
  </si>
  <si>
    <t>دستمزدخالص مطالبه نشده</t>
  </si>
  <si>
    <t>06506450</t>
  </si>
  <si>
    <t>كنترل بن قابل توزيع به كارگران</t>
  </si>
  <si>
    <t>06506550</t>
  </si>
  <si>
    <t>ذخيره مرخصي</t>
  </si>
  <si>
    <t>06506560</t>
  </si>
  <si>
    <t>ذخيره پاداش پايان خدمت كارگران</t>
  </si>
  <si>
    <t>06506960</t>
  </si>
  <si>
    <t>پژوهشگاه صنعت نفت</t>
  </si>
  <si>
    <t>شركت كالاي نفت تهران ـ انبار</t>
  </si>
  <si>
    <t>امور صندوقهاي بازنشستگي و پس انداز ورفاه كاركنان نفت</t>
  </si>
  <si>
    <t>شركت ملي پخش فراورده ها</t>
  </si>
  <si>
    <t>داراييهاي غير جاري :</t>
  </si>
  <si>
    <t>جمع بدهيهاي جاري</t>
  </si>
  <si>
    <t>جمع داراييهاي غير جاري</t>
  </si>
  <si>
    <t xml:space="preserve">جمع بدهيهاي غير جاري </t>
  </si>
  <si>
    <t>90004801</t>
  </si>
  <si>
    <t xml:space="preserve">اندوخته قانوني </t>
  </si>
  <si>
    <t>اندوخته مخصوص</t>
  </si>
  <si>
    <t>كنترل اموال منقول كلاس4 ـمانده</t>
  </si>
  <si>
    <t>90002161</t>
  </si>
  <si>
    <t>كنترل اموال منقول كلاس6 ـمانده</t>
  </si>
  <si>
    <t>90002301</t>
  </si>
  <si>
    <t>شركت پالايش نفت تهران</t>
  </si>
  <si>
    <t>شركت ملي مهندسي وساختمان</t>
  </si>
  <si>
    <t>شركت ملي صنايع پتروشيمي</t>
  </si>
  <si>
    <t>شركت خدمات عمومي بهداشت و درمان نفت</t>
  </si>
  <si>
    <t>شركت پالايش نفت اصفهان</t>
  </si>
  <si>
    <t>09290941</t>
  </si>
  <si>
    <t>09290951</t>
  </si>
  <si>
    <t>شركت پالايش نفت كرمانشاه</t>
  </si>
  <si>
    <t>كنترل اسناددريافتي</t>
  </si>
  <si>
    <t>وام اتـومبيـل كارمنـدان</t>
  </si>
  <si>
    <t>09290691</t>
  </si>
  <si>
    <t>09504536</t>
  </si>
  <si>
    <t>واسطانتقال كالابين رمزسازماني جاري</t>
  </si>
  <si>
    <t>09504736</t>
  </si>
  <si>
    <t>واسطانتقال كالابين انباراصلي فرعي ج</t>
  </si>
  <si>
    <t>09505536</t>
  </si>
  <si>
    <t>حسابجاري شركت نفت مناطق مركزي</t>
  </si>
  <si>
    <t>حسابجاري پتروشيمي تبريز</t>
  </si>
  <si>
    <t>شركت بهره برداري نفت و گاز زاگرس</t>
  </si>
  <si>
    <t>شركت بهره برداري نفت و گاز غرب</t>
  </si>
  <si>
    <t>حسابجاري  نفت  و گاز گچساران</t>
  </si>
  <si>
    <t>حسابجاري شركت نفت وگازمسجدسليمان</t>
  </si>
  <si>
    <t>شركت پالايش نفت لاوان</t>
  </si>
  <si>
    <t>حسابجاري شركت ملي نفت ـ بين الملل</t>
  </si>
  <si>
    <t>ماليات بر درامد دستمزدكارگران</t>
  </si>
  <si>
    <t>هزينه اب و برق منزل سازماني اراك</t>
  </si>
  <si>
    <t xml:space="preserve">      8درصد بيمه نگهداري شده</t>
  </si>
  <si>
    <t>وام مددكاري به كارمندان ايراني ـ شاهرود</t>
  </si>
  <si>
    <t>پرداخت باز خريـد مرخـصي ـ ايرانـي</t>
  </si>
  <si>
    <t>ذخيره مرخصـي سالانه ـ ايرانـي</t>
  </si>
  <si>
    <t>پرداخت سود سهام شركت سرمايه گذاري</t>
  </si>
  <si>
    <t>وام تملك مسكن به كارمندان</t>
  </si>
  <si>
    <t>06603608</t>
  </si>
  <si>
    <t>سپرده حسن انجام كارجاري ـدستي</t>
  </si>
  <si>
    <t>90006813</t>
  </si>
  <si>
    <t>حق بيمه متفرقه جاري</t>
  </si>
  <si>
    <t>90006831</t>
  </si>
  <si>
    <t xml:space="preserve">       5درصدبيمه سيستم پيمانكاران جاري</t>
  </si>
  <si>
    <t>90006852</t>
  </si>
  <si>
    <t>سپرده حسن  انجام تعهدـجاري</t>
  </si>
  <si>
    <t>90006891</t>
  </si>
  <si>
    <t xml:space="preserve">كارت اعتباري نفت </t>
  </si>
  <si>
    <t xml:space="preserve">حسابهاي پرداختني بلند مدت </t>
  </si>
  <si>
    <t xml:space="preserve">سرمايه </t>
  </si>
  <si>
    <t>04684020</t>
  </si>
  <si>
    <t>خط لوله نفتخام مارون / اصفهان پ بند</t>
  </si>
  <si>
    <t>توسعه دفتر مدير منطقه شمال درتلمبه خانه ساري</t>
  </si>
  <si>
    <t>04613214</t>
  </si>
  <si>
    <t>ملي مهندسي</t>
  </si>
  <si>
    <t>90006411</t>
  </si>
  <si>
    <t>اندوخته ها</t>
  </si>
  <si>
    <t>تسويـه حساب نهـائي كارمندان</t>
  </si>
  <si>
    <t>علي الحساب حقوق كارمندان ايراني</t>
  </si>
  <si>
    <t>ادارات مركزي شركت نفت</t>
  </si>
  <si>
    <t>مديريت اكتشاف نفت</t>
  </si>
  <si>
    <t>شركت پالايش نفت ابادان</t>
  </si>
  <si>
    <t>09290971</t>
  </si>
  <si>
    <t>شركت پالايش نفت اراك</t>
  </si>
  <si>
    <t>09294121</t>
  </si>
  <si>
    <t>شركت پتروشيمي مارون</t>
  </si>
  <si>
    <t>06508220</t>
  </si>
  <si>
    <t xml:space="preserve">كنترل دستمزد ناخالص </t>
  </si>
  <si>
    <t>09806120</t>
  </si>
  <si>
    <t>ماليات پيمانكاران متفرقه 5/5درصد</t>
  </si>
  <si>
    <t>06603605</t>
  </si>
  <si>
    <t>وام شركتي به كارمندان</t>
  </si>
  <si>
    <t xml:space="preserve">وام درماني </t>
  </si>
  <si>
    <t xml:space="preserve">وام  قرض  الحسنه </t>
  </si>
  <si>
    <t>06603615</t>
  </si>
  <si>
    <t>وام مخصوص</t>
  </si>
  <si>
    <t>06603616</t>
  </si>
  <si>
    <t>وام آموزشي</t>
  </si>
  <si>
    <t>06603622</t>
  </si>
  <si>
    <t>سود ناخالص</t>
  </si>
  <si>
    <t>خريد از كارت اعتباري</t>
  </si>
  <si>
    <t>چكهاي ابطالي</t>
  </si>
  <si>
    <t>بستانكاران متفرقه</t>
  </si>
  <si>
    <t>دريافتهاي معلق</t>
  </si>
  <si>
    <t>قسط وام اضطراري كارگري</t>
  </si>
  <si>
    <t>رفسنجان ـ لوله كشي اب شهرك رفسنجان</t>
  </si>
  <si>
    <t>نصب سيستمهاي راديو ديجيتال شبكه ها</t>
  </si>
  <si>
    <t>شن ريزي مسيرخط26 اينچ بندرعباس/رفسنجان</t>
  </si>
  <si>
    <t>ساخت دو دستگاه ماشين لوله خم كن</t>
  </si>
  <si>
    <t>09294051</t>
  </si>
  <si>
    <t>حسابجاري شركت خوارزمي بندرامام</t>
  </si>
  <si>
    <t>09294061</t>
  </si>
  <si>
    <t>حسابجاري شركت فراورش بندرامام</t>
  </si>
  <si>
    <t>09298211</t>
  </si>
  <si>
    <t>حسابجاري شركت گازاستان لرستان</t>
  </si>
  <si>
    <t>09298241</t>
  </si>
  <si>
    <t>حسابجاري شركت گازاستان كرمانشاه</t>
  </si>
  <si>
    <t>سود سهام پرداختني</t>
  </si>
  <si>
    <t>افزايش / كاهش</t>
  </si>
  <si>
    <t>09803809</t>
  </si>
  <si>
    <t>طلب كالاي لندن</t>
  </si>
  <si>
    <t>09811800</t>
  </si>
  <si>
    <t>كالاي در راه مهندسي وساختمان</t>
  </si>
  <si>
    <t>09811801</t>
  </si>
  <si>
    <t>04607013</t>
  </si>
  <si>
    <t>حصاركشي ايستگاه مخابراتي پاسيو قطب آباد</t>
  </si>
  <si>
    <t>04607215</t>
  </si>
  <si>
    <t>شركت ملي نفتكش ايران</t>
  </si>
  <si>
    <t>09290381</t>
  </si>
  <si>
    <t>شركت پايانه هاي صادرات مواد نفتي</t>
  </si>
  <si>
    <t>09290461</t>
  </si>
  <si>
    <t>شركت پتروشيمي ذكرياي رازي</t>
  </si>
  <si>
    <t>شركت پتروشيمي آبادان</t>
  </si>
  <si>
    <t>شركت پتروشيمي ايران و ژاپن</t>
  </si>
  <si>
    <t>09290611</t>
  </si>
  <si>
    <t>شركت بازرگاني پتروشيمي</t>
  </si>
  <si>
    <t>09290631</t>
  </si>
  <si>
    <t>شركت عمليات غير صنعتي پتروشيمي</t>
  </si>
  <si>
    <t>09290751</t>
  </si>
  <si>
    <t>شركت پتروشيمي بيستون</t>
  </si>
  <si>
    <t>09291001</t>
  </si>
  <si>
    <t>شركت مهندسي وتوسعه نفت</t>
  </si>
  <si>
    <t>شركت منطقه ويژه اقتصادي انرژي پارس</t>
  </si>
  <si>
    <t>09292501</t>
  </si>
  <si>
    <t>09293021</t>
  </si>
  <si>
    <t xml:space="preserve">شركت پيرا حفاري </t>
  </si>
  <si>
    <t>09294041</t>
  </si>
  <si>
    <t>شركت بسپاران بندر امام</t>
  </si>
  <si>
    <t>09294131</t>
  </si>
  <si>
    <t>09298101</t>
  </si>
  <si>
    <t>شركت پتروشيمي پارس</t>
  </si>
  <si>
    <t>09306404</t>
  </si>
  <si>
    <t>كمك به آسايشگاه كهريزك</t>
  </si>
  <si>
    <t>بيمه سيستم پيمانكاران سرمايه اي</t>
  </si>
  <si>
    <t>90006741</t>
  </si>
  <si>
    <t>تعديل موجودافزاناشي ازشمارش جاري</t>
  </si>
  <si>
    <t>09506136</t>
  </si>
  <si>
    <t>ادعاي غرامت</t>
  </si>
  <si>
    <t>4-1-</t>
  </si>
  <si>
    <t>شركت خدمات  رفاهي  نفت</t>
  </si>
  <si>
    <t>استهلاك اموال منقول كلاس3 مانده</t>
  </si>
  <si>
    <t>90002341</t>
  </si>
  <si>
    <t>استهلاك اموال منقول كلاس4 مانده</t>
  </si>
  <si>
    <t>90002361</t>
  </si>
  <si>
    <t>استهلاك اموال منقول كلاس6 مانده</t>
  </si>
  <si>
    <t>90003001</t>
  </si>
  <si>
    <t>خسارت وارده به خطر</t>
  </si>
  <si>
    <t>09309997</t>
  </si>
  <si>
    <t>09501936</t>
  </si>
  <si>
    <t>كالاي درراه غيرمكانيزه ـجاري ـخارجي</t>
  </si>
  <si>
    <t>09502536</t>
  </si>
  <si>
    <t>كالاي درراه مكانيزه  ـجاري  ـخارجي</t>
  </si>
  <si>
    <t>09502636</t>
  </si>
  <si>
    <t>09290701</t>
  </si>
  <si>
    <t>پتروشيمي خوزستان</t>
  </si>
  <si>
    <t>09290731</t>
  </si>
  <si>
    <t>شركت سهامي پتروشيمي تندگويان</t>
  </si>
  <si>
    <t>09290741</t>
  </si>
  <si>
    <t>شركت پتروشيمي فن اوران</t>
  </si>
  <si>
    <t>09290781</t>
  </si>
  <si>
    <t>09290791</t>
  </si>
  <si>
    <t>حسابجاري شركت نفت وگازاغاجاري</t>
  </si>
  <si>
    <t>09290801</t>
  </si>
  <si>
    <t>حسابجاري شركت ملي گاز</t>
  </si>
  <si>
    <t>09290831</t>
  </si>
  <si>
    <t>واسطه تفاوت  انتقال  كالا ـ جاري</t>
  </si>
  <si>
    <t>09507336</t>
  </si>
  <si>
    <t>واسطانتقال كالابرگشتي به انبارجاري</t>
  </si>
  <si>
    <t>واسطه اختلاف  مقداري  ـ جاري</t>
  </si>
  <si>
    <t>واسطه انتقال شماره طبقه بندي ـجاري</t>
  </si>
  <si>
    <t>09508536</t>
  </si>
  <si>
    <t>حساب اقلام پذيرفته نشده ـجاري</t>
  </si>
  <si>
    <t>هزينه  ها ي جانبي</t>
  </si>
  <si>
    <t>09513800</t>
  </si>
  <si>
    <t>پيش پرداخت خريدهاي جاري ازكالاتهر</t>
  </si>
  <si>
    <t>09513813</t>
  </si>
  <si>
    <t>پيش پرداخت خريدهاي جاري مستقيم</t>
  </si>
  <si>
    <t>09513900</t>
  </si>
  <si>
    <t>پيش پرداخت خريدهاي سرمايه اي ازكا</t>
  </si>
  <si>
    <t>09513913</t>
  </si>
  <si>
    <t>پيش پرداخت خريدهاي مستقيم</t>
  </si>
  <si>
    <t>90001001</t>
  </si>
  <si>
    <t>حساب  سرمايه</t>
  </si>
  <si>
    <t>90001021</t>
  </si>
  <si>
    <t>حساب  اندوخته  قانوني</t>
  </si>
  <si>
    <t>90001031</t>
  </si>
  <si>
    <t>حساب  اندوخته  مخصوص</t>
  </si>
  <si>
    <t>09508336</t>
  </si>
  <si>
    <t>تفاوت قيمت كالاي انتقالي جاري</t>
  </si>
  <si>
    <t>09290901</t>
  </si>
  <si>
    <t>09290904</t>
  </si>
  <si>
    <t>مشتريان كانالهاي مخابراتي</t>
  </si>
  <si>
    <t>09290911</t>
  </si>
  <si>
    <t>04607315</t>
  </si>
  <si>
    <t>جايگزيني سيستم فرسوده وي اچ اف خطوط</t>
  </si>
  <si>
    <t>04607316</t>
  </si>
  <si>
    <t>شركت ملي پالايش و پخش</t>
  </si>
  <si>
    <t>09290981</t>
  </si>
  <si>
    <t>شركت پالايش نفت بندرعباس</t>
  </si>
  <si>
    <t>09291401</t>
  </si>
  <si>
    <t>شركت صادرات گاز</t>
  </si>
  <si>
    <t>09293011</t>
  </si>
  <si>
    <t>شركت خدمات ترابري وپشتيباني نفت</t>
  </si>
  <si>
    <t>09293041</t>
  </si>
  <si>
    <t>داراييهاي نامشهود</t>
  </si>
  <si>
    <t>ترازنامه</t>
  </si>
  <si>
    <t>پيش پرداخت بپيمانكاران سرمايه اي</t>
  </si>
  <si>
    <t>90005981</t>
  </si>
  <si>
    <t>پيش پرداخت پيمانكاران جاري</t>
  </si>
  <si>
    <t>90006001</t>
  </si>
  <si>
    <t>ماليات سيستم پيمانكاران سرمايه اي</t>
  </si>
  <si>
    <t>90006011</t>
  </si>
  <si>
    <t>ماليات  سيستم  پيمانكاران  جاري</t>
  </si>
  <si>
    <t>90006012</t>
  </si>
  <si>
    <t>شركت بهره برداري نفت وگاز شرق</t>
  </si>
  <si>
    <t>09290351</t>
  </si>
  <si>
    <t>هزينه نگهداري منازل سازماني ـبدهكار</t>
  </si>
  <si>
    <t>ماليات بردرامد</t>
  </si>
  <si>
    <t>ريال</t>
  </si>
  <si>
    <t>موجودي نقد</t>
  </si>
  <si>
    <t>ذخيره ماليات</t>
  </si>
  <si>
    <t>سفارشات و پيش پرداختها</t>
  </si>
  <si>
    <t>بدهيهاي غير جاري :</t>
  </si>
  <si>
    <t>داراييهاي ثابت مشهود</t>
  </si>
  <si>
    <t>حقوق صاحبان سهام :</t>
  </si>
  <si>
    <t>جمع حقوق صاحبان سهام</t>
  </si>
  <si>
    <t>جمع بدهيها و حقوق صاحبان سهام</t>
  </si>
  <si>
    <t xml:space="preserve">سود و زيان 
انباشته </t>
  </si>
  <si>
    <t>04606691</t>
  </si>
  <si>
    <t>04606711</t>
  </si>
  <si>
    <t>04606812</t>
  </si>
  <si>
    <t>04606913</t>
  </si>
  <si>
    <t>09290291</t>
  </si>
  <si>
    <t>شماره يادداشت فرعي</t>
  </si>
  <si>
    <t>شماره يادداشت اصلي</t>
  </si>
  <si>
    <t>حساب</t>
  </si>
  <si>
    <t>بستانكار</t>
  </si>
  <si>
    <t xml:space="preserve">موجودي 
نقدي بانك </t>
  </si>
  <si>
    <t>حسابهاي
 دريافتني تجاري</t>
  </si>
  <si>
    <t xml:space="preserve">ساير حسابهاي دريافتني </t>
  </si>
  <si>
    <t>مواد و كالا</t>
  </si>
  <si>
    <t xml:space="preserve">پيش پرداختها  
</t>
  </si>
  <si>
    <t xml:space="preserve">دارايي
 ثابت </t>
  </si>
  <si>
    <t xml:space="preserve">ساير داراييها </t>
  </si>
  <si>
    <t xml:space="preserve">ساير حسابهاي پرداختني </t>
  </si>
  <si>
    <t>90001111</t>
  </si>
  <si>
    <t>حساب ديون بلندمدت</t>
  </si>
  <si>
    <t>09291301</t>
  </si>
  <si>
    <t>شركت حفاري شمال</t>
  </si>
  <si>
    <t>09505236</t>
  </si>
  <si>
    <t>واسطه فروش نقدي كالا</t>
  </si>
  <si>
    <t xml:space="preserve">                                                       </t>
  </si>
  <si>
    <t>حق الزحمه نظارت عاليه وكارگاهي</t>
  </si>
  <si>
    <t>04607317</t>
  </si>
  <si>
    <t xml:space="preserve">40درصدبند 12 تبصره 1 قانون بودجه </t>
  </si>
  <si>
    <t>09502136</t>
  </si>
  <si>
    <t>04608132</t>
  </si>
  <si>
    <t>خط لوله نفت خام مارون اصفهان</t>
  </si>
  <si>
    <t>40درصد تبصره يك</t>
  </si>
  <si>
    <t>قانون بودجه 1387</t>
  </si>
  <si>
    <t>خسارت وارده به خطوط لوله</t>
  </si>
  <si>
    <t>90005846</t>
  </si>
  <si>
    <t>خسارت  وارده به كابل مخابرات</t>
  </si>
  <si>
    <t>90005948</t>
  </si>
  <si>
    <t>قابل وصول ازپيمانكاران</t>
  </si>
  <si>
    <t>90005971</t>
  </si>
  <si>
    <t>09290151</t>
  </si>
  <si>
    <t>مهندسي كنترل ساخت مخزن درري ورفسنج</t>
  </si>
  <si>
    <t>04607418</t>
  </si>
  <si>
    <t>04607918</t>
  </si>
  <si>
    <t>قرارداد 84041</t>
  </si>
  <si>
    <t>04608020</t>
  </si>
  <si>
    <t>04681321</t>
  </si>
  <si>
    <t>05106493</t>
  </si>
  <si>
    <t>جرثقيل دستي براي جابجائي شيرهاي زنج</t>
  </si>
  <si>
    <t>05106494</t>
  </si>
  <si>
    <t>09811799</t>
  </si>
  <si>
    <t>جديد تعريف شد</t>
  </si>
  <si>
    <t>05106597</t>
  </si>
  <si>
    <t>06503210</t>
  </si>
  <si>
    <t>اقساط اجرائيه ها</t>
  </si>
  <si>
    <t>06503932</t>
  </si>
  <si>
    <t>كارمزدوام قرض الحسنه بسيجان وايثا</t>
  </si>
  <si>
    <t>06503935</t>
  </si>
  <si>
    <t>06505120</t>
  </si>
  <si>
    <t>علي الحساب نيمه ماه كارگران</t>
  </si>
  <si>
    <t>06505122</t>
  </si>
  <si>
    <t>علي الحساب دستمزدكارگران</t>
  </si>
  <si>
    <t>06505150</t>
  </si>
  <si>
    <t>حساب شخصي اقلام متفرقه كارگران</t>
  </si>
  <si>
    <t>06505810</t>
  </si>
  <si>
    <t>پول خردگردشده دستمزد</t>
  </si>
  <si>
    <t>06506010</t>
  </si>
  <si>
    <t>كمك به بيماران ديابتي</t>
  </si>
  <si>
    <t xml:space="preserve">صندوق  بسيج  تندگويان </t>
  </si>
  <si>
    <t>06603933</t>
  </si>
  <si>
    <t>وام كولرگازي</t>
  </si>
  <si>
    <t>09502836</t>
  </si>
  <si>
    <t>كالاي درراه مكانيزه ـسرمايه اي داخلي</t>
  </si>
  <si>
    <t>09502936</t>
  </si>
  <si>
    <t>كالاي درراه مكانيزه ـجاري ـمحلي</t>
  </si>
  <si>
    <t>09503133</t>
  </si>
  <si>
    <t>تفاوت قيمت كالاـجاري ـخارجي</t>
  </si>
  <si>
    <t>09503136</t>
  </si>
  <si>
    <t>09503236</t>
  </si>
  <si>
    <t>تفاوت قيمت كالاـسرمايه اي ـخارجي</t>
  </si>
  <si>
    <t>09503336</t>
  </si>
  <si>
    <t>تفاوت قيمت كالاـجاري ـداخلي</t>
  </si>
  <si>
    <t>09503436</t>
  </si>
  <si>
    <t>تفاوت قيمت كالاـسرمايه اي ـداخلي</t>
  </si>
  <si>
    <t>09503536</t>
  </si>
  <si>
    <t>تفاوت قيمت كالاـجاري ـمحلي</t>
  </si>
  <si>
    <t>09503809</t>
  </si>
  <si>
    <t>حساب پيش پرداخت خريدنزدشركت كا</t>
  </si>
  <si>
    <t>09504336</t>
  </si>
  <si>
    <t>موجودي كالا ـ جاري</t>
  </si>
  <si>
    <t>09504436</t>
  </si>
  <si>
    <t>موجودي كالا ـ سرمايه اي</t>
  </si>
  <si>
    <t>09507136</t>
  </si>
  <si>
    <t>شركت كالاي نفت تهران</t>
  </si>
  <si>
    <t>امور صندوقهاي بازنشستگي و پس انداز و رفاه كاركنان نفت</t>
  </si>
  <si>
    <t>بدهكاران متفرقه</t>
  </si>
  <si>
    <t>حساب معلق</t>
  </si>
  <si>
    <t>09503800</t>
  </si>
  <si>
    <t>پيش پرداخت خريد كالا</t>
  </si>
  <si>
    <t>90009626</t>
  </si>
  <si>
    <t>06506120</t>
  </si>
  <si>
    <t>حق بيمه كارگران رسمي 22درصد</t>
  </si>
  <si>
    <t>واگذاري منزل سازماني</t>
  </si>
  <si>
    <t xml:space="preserve">وام  متفرقه  </t>
  </si>
  <si>
    <t>06603631</t>
  </si>
  <si>
    <t>كالاهاي اساسي</t>
  </si>
  <si>
    <t>يادداشت</t>
  </si>
  <si>
    <t>06603609</t>
  </si>
  <si>
    <t>06603610</t>
  </si>
  <si>
    <t>06603614</t>
  </si>
  <si>
    <t>وام تعاونـي كارمندان</t>
  </si>
  <si>
    <t>06603619</t>
  </si>
  <si>
    <t>وديعه مسكن كاركنان</t>
  </si>
  <si>
    <t>09301201</t>
  </si>
  <si>
    <t>باشگاه نفت شماره 1تهران</t>
  </si>
  <si>
    <t>09301821</t>
  </si>
  <si>
    <t>پ /پ 703صندوق قرضه الحسنه</t>
  </si>
  <si>
    <t>09309996</t>
  </si>
  <si>
    <t>ذخيره مستمري بازنشستگان</t>
  </si>
  <si>
    <t>09298281</t>
  </si>
  <si>
    <t>حسابجاري  شركت  پالايش  گازفجر</t>
  </si>
  <si>
    <t>09298311</t>
  </si>
  <si>
    <t>شركت پالايش گاز ايلام</t>
  </si>
  <si>
    <t>سرمايه گذاري در سايرشركتها</t>
  </si>
  <si>
    <t>كالاي درراه</t>
  </si>
  <si>
    <t>90004825</t>
  </si>
  <si>
    <t xml:space="preserve">        2درهزاركاراموزي پيمانكاران سرماي</t>
  </si>
  <si>
    <t>90006752</t>
  </si>
  <si>
    <t>سپرده حسن  انجام تعهدـسرمايه اي</t>
  </si>
  <si>
    <t>90006791</t>
  </si>
  <si>
    <t>سپرده ـمزايده ومناقصه سرمايه اي</t>
  </si>
  <si>
    <t>90006800</t>
  </si>
  <si>
    <t>پيش دريافت دستوركارها</t>
  </si>
  <si>
    <t>90006811</t>
  </si>
  <si>
    <t>سپرده حسن انجام كارپيمانكاران جاري</t>
  </si>
  <si>
    <t>90006812</t>
  </si>
  <si>
    <t>استهلاك اموال غيرمنقول مانده</t>
  </si>
  <si>
    <t>90002331</t>
  </si>
  <si>
    <t>سپرده حسن انجام كارسرمايه اي دستي</t>
  </si>
  <si>
    <t>90006713</t>
  </si>
  <si>
    <t>حق بيمه متفرقه سرمايه اي</t>
  </si>
  <si>
    <t>90006731</t>
  </si>
  <si>
    <t>فنس كشي اطراف ايستگاه 9 دركيلومتر108يزد/رفسنجان</t>
  </si>
  <si>
    <t>90006316</t>
  </si>
  <si>
    <t>ودايع دريافتي</t>
  </si>
  <si>
    <t xml:space="preserve">         بدهيها و حقوق صاحبان سهام</t>
  </si>
  <si>
    <t>ساير حسابهاي پرداختني</t>
  </si>
  <si>
    <t>حسابهاي دريافتني تجاري</t>
  </si>
  <si>
    <t xml:space="preserve">داراييهاي نامشهود </t>
  </si>
  <si>
    <t>09290961</t>
  </si>
  <si>
    <t xml:space="preserve">جمع بدهيها </t>
  </si>
  <si>
    <t>اندوخته عمومي</t>
  </si>
  <si>
    <t>زيان انباشته</t>
  </si>
  <si>
    <t>جمع داراييها</t>
  </si>
  <si>
    <t>صورت سود وزيان</t>
  </si>
  <si>
    <t>09290921</t>
  </si>
  <si>
    <t>شركت پالايش نفت شيراز</t>
  </si>
  <si>
    <t>09290931</t>
  </si>
  <si>
    <t>ذخيره مزاياي پايان خدمت كاركنان</t>
  </si>
  <si>
    <t xml:space="preserve">جمع داراييهاي جاري </t>
  </si>
  <si>
    <t>حصة جاري ديون بلند مدت</t>
  </si>
  <si>
    <t>سيستم مخابراتي خط لوله بندرعباس /ر</t>
  </si>
  <si>
    <t>تابلوهاي برق و بوسترتلمبه خانه سازي</t>
  </si>
  <si>
    <t>09292511</t>
  </si>
  <si>
    <t>شركت ملي حفاري</t>
  </si>
  <si>
    <t>تنخواه گردان ذيحسابي طرحهاي عمراني</t>
  </si>
  <si>
    <t>90006588</t>
  </si>
  <si>
    <t>تنخواه گردان بازسازي نوسازي</t>
  </si>
  <si>
    <t>90006601</t>
  </si>
  <si>
    <t>90006701</t>
  </si>
  <si>
    <t>خالص كاركردپيمانكاران سرمايه اي</t>
  </si>
  <si>
    <t>90006711</t>
  </si>
  <si>
    <t>سپرده حسن انجام كارسرمايه اي مكانيز</t>
  </si>
  <si>
    <t>90006712</t>
  </si>
  <si>
    <t>09290671</t>
  </si>
  <si>
    <t>سازمان حراست وزارت نفت</t>
  </si>
  <si>
    <t>سال 1387</t>
  </si>
  <si>
    <t>06605622</t>
  </si>
  <si>
    <t>علي الحساب دو ماه حقوق</t>
  </si>
  <si>
    <t xml:space="preserve">اجرائيه  ثبت </t>
  </si>
  <si>
    <t xml:space="preserve">اقساط وام قرض الحسنه </t>
  </si>
  <si>
    <t xml:space="preserve">تلفن  منازل  سازماني </t>
  </si>
  <si>
    <t xml:space="preserve">هزينه غذائي </t>
  </si>
  <si>
    <t xml:space="preserve">حساب جاري خالص حقوق </t>
  </si>
  <si>
    <t>06608996</t>
  </si>
  <si>
    <t>اقلام پذيرفته نشده سيستم حقوق</t>
  </si>
  <si>
    <t>شركت پالايش نفت تبريز</t>
  </si>
  <si>
    <t>سپرده هاي پرداختي</t>
  </si>
  <si>
    <t>09298601</t>
  </si>
  <si>
    <t>وام اثاثيه كارمندان ايراني ـشاهرود</t>
  </si>
  <si>
    <t>06603606</t>
  </si>
  <si>
    <t>افتتاح حساب وام محلي</t>
  </si>
  <si>
    <t>06603607</t>
  </si>
  <si>
    <t>09290321</t>
  </si>
  <si>
    <t>شركت لوله سازي اهواز</t>
  </si>
  <si>
    <t>09290331</t>
  </si>
  <si>
    <t>09290362</t>
  </si>
  <si>
    <t>09290401</t>
  </si>
  <si>
    <t>09290431</t>
  </si>
  <si>
    <t>09290471</t>
  </si>
  <si>
    <t>09290501</t>
  </si>
  <si>
    <t>09290511</t>
  </si>
  <si>
    <t>شركت نفت وگازپارس</t>
  </si>
  <si>
    <t>09290521</t>
  </si>
  <si>
    <t>شركت مديريت توسعه صنايع پتروشيمي</t>
  </si>
  <si>
    <t>09290531</t>
  </si>
  <si>
    <t>شركت ملي مناطق نفتخيزجنوب</t>
  </si>
  <si>
    <t>09290561</t>
  </si>
  <si>
    <t>شركت خدمات اكتشاف نفت</t>
  </si>
  <si>
    <t>09290571</t>
  </si>
  <si>
    <t>09290591</t>
  </si>
  <si>
    <t>شركت نفت فلات قاره</t>
  </si>
  <si>
    <t>09290651</t>
  </si>
  <si>
    <t>منطقه ويژه اقتصادي پتروشيمي بندر امام</t>
  </si>
  <si>
    <t>90008578</t>
  </si>
  <si>
    <t>حساب معلق اعلاميه ها</t>
  </si>
  <si>
    <t>90008901</t>
  </si>
  <si>
    <t>19درصد سهم كارفرما ويژه وكارگاهي</t>
  </si>
  <si>
    <t>ذخيره مزاياي پايان خدمت كارمندان</t>
  </si>
  <si>
    <t>سال 1386</t>
  </si>
  <si>
    <t>سال 1385</t>
  </si>
  <si>
    <t>90009645</t>
  </si>
  <si>
    <t>09507736</t>
  </si>
  <si>
    <t>09507936</t>
  </si>
  <si>
    <t>09511800</t>
  </si>
  <si>
    <t>شركت تعاوني ـ كالاي خانه</t>
  </si>
  <si>
    <t>90006021</t>
  </si>
  <si>
    <t>ماليات اجرت المثل</t>
  </si>
  <si>
    <t>90006022</t>
  </si>
  <si>
    <t>حساب ماليات بردرامدشركت</t>
  </si>
  <si>
    <t>90006024</t>
  </si>
  <si>
    <t>مالياتهاي متفرقه جاري</t>
  </si>
  <si>
    <t>90006100</t>
  </si>
  <si>
    <t>90006301</t>
  </si>
  <si>
    <t>وام خريد اثاثيه</t>
  </si>
  <si>
    <t>06503852</t>
  </si>
  <si>
    <t>90008332</t>
  </si>
  <si>
    <t>جبران هزينه خدمات</t>
  </si>
  <si>
    <t>90003606</t>
  </si>
  <si>
    <t>اعتبار پرداختي به صندوقهاي بازنشستگي</t>
  </si>
  <si>
    <t>شركت خطوط لوله و مخابرات نفت ايران (سهامي خاص)</t>
  </si>
  <si>
    <t>90008984</t>
  </si>
  <si>
    <t>حساب  سودوزيان  انباشته</t>
  </si>
  <si>
    <t>90009000</t>
  </si>
  <si>
    <t>مازادناشي ازتجديدارزيابي</t>
  </si>
  <si>
    <t>90009141</t>
  </si>
  <si>
    <t>موجودي ضمانتنامه هاي دريافتي ـريال</t>
  </si>
  <si>
    <t>90009143</t>
  </si>
  <si>
    <t>كنترل ضمانتنامه هاي دريافتي ـريال</t>
  </si>
  <si>
    <t>90009909</t>
  </si>
  <si>
    <t>حساب اسناددريافتي</t>
  </si>
  <si>
    <t>90009910</t>
  </si>
  <si>
    <t>موجودي بانكي ذيحسابي</t>
  </si>
  <si>
    <t xml:space="preserve">تعديلات </t>
  </si>
  <si>
    <t>ســايــر</t>
  </si>
  <si>
    <t>عملكرد</t>
  </si>
  <si>
    <t>عنوان پروژه هاي سرمايه اي</t>
  </si>
  <si>
    <t>شماره پروژه</t>
  </si>
  <si>
    <t xml:space="preserve">   </t>
  </si>
  <si>
    <t>صورت جريان وجوه نقد</t>
  </si>
  <si>
    <t>قطعي</t>
  </si>
  <si>
    <t xml:space="preserve">ذخيره مستمري بازنشستگان </t>
  </si>
  <si>
    <t xml:space="preserve">ماليات بردرآمدپرداختي </t>
  </si>
  <si>
    <t xml:space="preserve"> مانده در ابتداي سال </t>
  </si>
  <si>
    <t xml:space="preserve"> ذخيره تامين شده </t>
  </si>
  <si>
    <t xml:space="preserve"> مانده در پايان سال </t>
  </si>
  <si>
    <t xml:space="preserve">شركت ملي پخش فرآورده هاي نفتي ايران </t>
  </si>
  <si>
    <t>سال مالي</t>
  </si>
  <si>
    <t>اندوخته قانوني</t>
  </si>
  <si>
    <t>ذخاير</t>
  </si>
  <si>
    <t>شركت پتروشيمي اراك</t>
  </si>
  <si>
    <t>09290491</t>
  </si>
  <si>
    <t>شركت پتروشيمي خوزستان</t>
  </si>
  <si>
    <t>شركت منطقه ويژه اقتصادي پتروشيمي بندر امام</t>
  </si>
  <si>
    <t>شركت پتروشيمي فجر</t>
  </si>
  <si>
    <t>09290761</t>
  </si>
  <si>
    <t>مانده در ابتداي سال</t>
  </si>
  <si>
    <t>نقل وانتقالات وساير تغييرات</t>
  </si>
  <si>
    <t xml:space="preserve">  زمين</t>
  </si>
  <si>
    <t xml:space="preserve">  ساختمان و تاسيسات</t>
  </si>
  <si>
    <t xml:space="preserve">  ماشين آلات و تجهيزات</t>
  </si>
  <si>
    <t xml:space="preserve">  اثاثيه و منصوبات</t>
  </si>
  <si>
    <t xml:space="preserve">  وسايل نقليه</t>
  </si>
  <si>
    <t>مشتريان كانالهاي مخابراتي - وزارت نيرو</t>
  </si>
  <si>
    <t>مشتريان كانالهاي مخابراتي - شركتهاي تابعه وزارت نفت</t>
  </si>
  <si>
    <t>09294031</t>
  </si>
  <si>
    <t>شركت كيميا بندر امام</t>
  </si>
  <si>
    <t>شركت پالايش گاز فجر</t>
  </si>
  <si>
    <t>09298301</t>
  </si>
  <si>
    <t xml:space="preserve">شركت مجتمع گاز پارس جنوبي </t>
  </si>
  <si>
    <t>09298701</t>
  </si>
  <si>
    <t>صندوق قرضه الحسنه</t>
  </si>
  <si>
    <t>كمك به مردم غزه</t>
  </si>
  <si>
    <t>09309839</t>
  </si>
  <si>
    <t>دارايي هاي نامشهود</t>
  </si>
  <si>
    <t>90002121</t>
  </si>
  <si>
    <t>90006027</t>
  </si>
  <si>
    <t>عوارض شهرداري ساختمانها</t>
  </si>
  <si>
    <t>استهلاك</t>
  </si>
  <si>
    <t>شماره طرح / پروژه</t>
  </si>
  <si>
    <t>مخابرات</t>
  </si>
  <si>
    <t xml:space="preserve">ساير </t>
  </si>
  <si>
    <t>ساير</t>
  </si>
  <si>
    <t>ميليون ريال</t>
  </si>
  <si>
    <t>نوع وابستگي</t>
  </si>
  <si>
    <t xml:space="preserve"> </t>
  </si>
  <si>
    <t>بازيافت خدمات به شركت ملي نفت ايران</t>
  </si>
  <si>
    <t>جمع</t>
  </si>
  <si>
    <t>حساب پيش دريافت بابت جبران هزينه</t>
  </si>
  <si>
    <t>90006536</t>
  </si>
  <si>
    <t xml:space="preserve">ماليات ارزش افزوده خريد </t>
  </si>
  <si>
    <t>90006537</t>
  </si>
  <si>
    <t>عوارض ارزش افزوده خريد</t>
  </si>
  <si>
    <t>90006538</t>
  </si>
  <si>
    <t>90006539</t>
  </si>
  <si>
    <t>90006542</t>
  </si>
  <si>
    <t>ماليات ارزش افزوده فروش</t>
  </si>
  <si>
    <t>عوارض ارزش افزوده فروش</t>
  </si>
  <si>
    <t>90006543</t>
  </si>
  <si>
    <t>ماليات ارزش افزوده خريد - سرمايه اي</t>
  </si>
  <si>
    <t>عوارض ارزش افزوده خريد - سرمايه اي</t>
  </si>
  <si>
    <t>خالص كاركرد پيمانكاران - سرمايه اي</t>
  </si>
  <si>
    <t>سپرده حسن  انجام تعهد ـ سرمايه اي</t>
  </si>
  <si>
    <t>سپرده ـ مزايده ومناقصه سرمايه اي</t>
  </si>
  <si>
    <t>خالص كاركرد پيمانكاران - جاري</t>
  </si>
  <si>
    <t>90006801</t>
  </si>
  <si>
    <t>06506190</t>
  </si>
  <si>
    <t>دستمزدخالص كارگران</t>
  </si>
  <si>
    <t>تسويه حساب نهائي كارگران</t>
  </si>
  <si>
    <t xml:space="preserve">وام درماني كارمندان </t>
  </si>
  <si>
    <t>وام  قرض  الحسنه كارمندان</t>
  </si>
  <si>
    <t>وام مخصوص كارمندان</t>
  </si>
  <si>
    <t>وام تملك مسكن كارمندان</t>
  </si>
  <si>
    <t xml:space="preserve">وام محلي كارمندان </t>
  </si>
  <si>
    <t>وام شركتي كارمندان</t>
  </si>
  <si>
    <t>عنوان پروژه سرمايه اي</t>
  </si>
  <si>
    <t xml:space="preserve">ماليات بر درآمد : </t>
  </si>
  <si>
    <t>سود(زيان) ابرازي</t>
  </si>
  <si>
    <t>ابرازي</t>
  </si>
  <si>
    <t>تشخيصي</t>
  </si>
  <si>
    <t>-</t>
  </si>
  <si>
    <t>ماليات</t>
  </si>
  <si>
    <t>09290141</t>
  </si>
  <si>
    <t>نفت وگاز اروندان</t>
  </si>
  <si>
    <t>شركت پالايش نفت آبادان</t>
  </si>
  <si>
    <t>شركت ملي مهندسي و ساختمان نفت  ايران</t>
  </si>
  <si>
    <t xml:space="preserve">فوق العاده كارانه </t>
  </si>
  <si>
    <t>كاركنان فصلي و موقت</t>
  </si>
  <si>
    <t>مواد غذايي / خواربار و تداركاتي</t>
  </si>
  <si>
    <t>لوازم يدكي وسايل نقليه</t>
  </si>
  <si>
    <t>وسايل و ادوات برقي</t>
  </si>
  <si>
    <t>انواع لوله و لوازم الحاقي آن</t>
  </si>
  <si>
    <t xml:space="preserve">بنزين و گازوييل و مشتقات نفتي </t>
  </si>
  <si>
    <t xml:space="preserve">بهاي برق مصرفي و حق اشتراك آن </t>
  </si>
  <si>
    <t xml:space="preserve">بهاي گاز مصرفي و حق اشتراك آن </t>
  </si>
  <si>
    <t xml:space="preserve">          </t>
  </si>
  <si>
    <t xml:space="preserve">                 </t>
  </si>
  <si>
    <t>سمت</t>
  </si>
  <si>
    <t>امضا</t>
  </si>
  <si>
    <t>شماره صفحه</t>
  </si>
  <si>
    <t>09290421</t>
  </si>
  <si>
    <t>90008000</t>
  </si>
  <si>
    <t>90008236</t>
  </si>
  <si>
    <t>كنترل هزينه هاي جاري</t>
  </si>
  <si>
    <t>فروش اجناس اسقاطي</t>
  </si>
  <si>
    <t>90008340</t>
  </si>
  <si>
    <t>90008355</t>
  </si>
  <si>
    <t>پيش پرداخت خريد كالاي نفت تهران</t>
  </si>
  <si>
    <t>پيش پرداخت خريدهاي جاري محلي</t>
  </si>
  <si>
    <t>90009687</t>
  </si>
  <si>
    <t>كنترل اصلاحيه رسيد كالاي جاري</t>
  </si>
  <si>
    <t>06606612</t>
  </si>
  <si>
    <t>حسابجاري شركت گازاستان همدان</t>
  </si>
  <si>
    <t>09298071</t>
  </si>
  <si>
    <t>واسطه بازيافت كانالهاي مخابراتي</t>
  </si>
  <si>
    <t>90008963</t>
  </si>
  <si>
    <t>5درصدبيمه سيستم پيمانكاران جاري</t>
  </si>
  <si>
    <t>09807098</t>
  </si>
  <si>
    <t>09807097</t>
  </si>
  <si>
    <t>ارز تخصيصي پالايش وپخش</t>
  </si>
  <si>
    <t>09308916</t>
  </si>
  <si>
    <t>اعتبار مصوب</t>
  </si>
  <si>
    <t>شركت گازاستان كرمانشاه</t>
  </si>
  <si>
    <t>شركت پتروشيمي تبريز</t>
  </si>
  <si>
    <t>شركت پشتيباني و تهيه كالاي نفت تهران</t>
  </si>
  <si>
    <t xml:space="preserve">موجودي كالا ـ انبار ري </t>
  </si>
  <si>
    <t>موجودي كالا ـ انبار مناطق يازدهگانه</t>
  </si>
  <si>
    <t>موجودي كالا ـ انبار مخابرات</t>
  </si>
  <si>
    <t>كالاي درراه - قديم</t>
  </si>
  <si>
    <t>هزينه ها ي جانبي</t>
  </si>
  <si>
    <t>شركت نفت بين الملل</t>
  </si>
  <si>
    <t>90006500</t>
  </si>
  <si>
    <t>@</t>
  </si>
  <si>
    <t xml:space="preserve">طرح توسعه خطوط لوله انتقال فرآورده هاي نفتي : </t>
  </si>
  <si>
    <t>طرح افزايش ظرفيت انتقال فرآورده مسير بندرعباس اصفهان:</t>
  </si>
  <si>
    <t>خط لوله آبادان / اهواز / ري</t>
  </si>
  <si>
    <t>پيش پرداخت - پيمانكاران سرمايه اي</t>
  </si>
  <si>
    <t>گشايش اعتبارات اسنادي - سرمايه اي</t>
  </si>
  <si>
    <t>90002946</t>
  </si>
  <si>
    <t>90002951</t>
  </si>
  <si>
    <t>هزينه هاي سرمايه اي نوع 046</t>
  </si>
  <si>
    <t>هزينه هاي سرمايه اي نوع 051</t>
  </si>
  <si>
    <t>كارمزدوام قرض الحسنه بسيجان وايثارگران</t>
  </si>
  <si>
    <t>90007088</t>
  </si>
  <si>
    <t xml:space="preserve">شركت ملي حفاري </t>
  </si>
  <si>
    <t>شركت ملي پخش فراورده هاي نفتي ايران</t>
  </si>
  <si>
    <t>جبران خسارت اموال</t>
  </si>
  <si>
    <t>1- وجوه دريافتي بابت اجراي طرح هاي سرمايه اي</t>
  </si>
  <si>
    <t xml:space="preserve">نرخ </t>
  </si>
  <si>
    <t xml:space="preserve">شرح </t>
  </si>
  <si>
    <t>ماليات بر درآمد</t>
  </si>
  <si>
    <t xml:space="preserve">نسبتهاي مالي </t>
  </si>
  <si>
    <t>نسبتهاي نقدينگي</t>
  </si>
  <si>
    <t xml:space="preserve">نسبت آني </t>
  </si>
  <si>
    <t>=</t>
  </si>
  <si>
    <t>1-1-</t>
  </si>
  <si>
    <t xml:space="preserve">بدهييهاي جاري </t>
  </si>
  <si>
    <t>1-2-</t>
  </si>
  <si>
    <t xml:space="preserve">نسبت جاري </t>
  </si>
  <si>
    <t xml:space="preserve">درائيهاي جاري </t>
  </si>
  <si>
    <t xml:space="preserve">نسبتهاي سرمايه گذاري </t>
  </si>
  <si>
    <t xml:space="preserve">نسبت بدهي </t>
  </si>
  <si>
    <t>2-1-</t>
  </si>
  <si>
    <t xml:space="preserve">جمع دارائيها </t>
  </si>
  <si>
    <t>2-2-</t>
  </si>
  <si>
    <t>نسبت مالكانه</t>
  </si>
  <si>
    <t xml:space="preserve">نسبتهاي بازدهي </t>
  </si>
  <si>
    <t xml:space="preserve">بازده فروش </t>
  </si>
  <si>
    <t xml:space="preserve">سود خالص پس از كسر ماليات </t>
  </si>
  <si>
    <t>3-1-</t>
  </si>
  <si>
    <t>فروش سالانه</t>
  </si>
  <si>
    <t>3-2-</t>
  </si>
  <si>
    <t xml:space="preserve">بازده دارائيها </t>
  </si>
  <si>
    <t xml:space="preserve">مجموع دارائيها </t>
  </si>
  <si>
    <t>3-3-</t>
  </si>
  <si>
    <t xml:space="preserve">بازده ارزش ويژه </t>
  </si>
  <si>
    <t xml:space="preserve">نسبتهاي اهرمي </t>
  </si>
  <si>
    <t xml:space="preserve">گردش مجموع داراييها </t>
  </si>
  <si>
    <t>4-2-</t>
  </si>
  <si>
    <t xml:space="preserve">بازده فروش ساليانه </t>
  </si>
  <si>
    <t>4-3-</t>
  </si>
  <si>
    <t xml:space="preserve">بدهيهاي جاري </t>
  </si>
  <si>
    <t>بازده مجموع دارائيها (ناشي از حاصلضرب دو نسبت مالي فوق)</t>
  </si>
  <si>
    <t>داراييهاي جاري آني (نقدو بانك + مطالبات)</t>
  </si>
  <si>
    <t>+</t>
  </si>
  <si>
    <t>ماليات هاي تكليفي</t>
  </si>
  <si>
    <t>حسابها و اسناد پرداختني تجاري</t>
  </si>
  <si>
    <t>حسابها و اسناد پرداختني بلندمدت</t>
  </si>
  <si>
    <t>ذخيره مستمري بازنشستگان - جاري</t>
  </si>
  <si>
    <t>ذخيره مستمري بازنشستگان - بلند مدت</t>
  </si>
  <si>
    <t>ذخيره 19درصد كارگاهي وويژه كارمندان قبل از85 - بلند مدت</t>
  </si>
  <si>
    <t>ذخيره 19درصد كارگاهي وويژه كارمندان قبل از85 - جاري</t>
  </si>
  <si>
    <t>06503815</t>
  </si>
  <si>
    <t>اقساط وام محلی کارگران اراک</t>
  </si>
  <si>
    <t xml:space="preserve">وام مخصوص </t>
  </si>
  <si>
    <t>کارت اعتباری</t>
  </si>
  <si>
    <t>06503949</t>
  </si>
  <si>
    <t>خدمات بهداشتی و درمانی</t>
  </si>
  <si>
    <t>06506377</t>
  </si>
  <si>
    <t>وام اتومبیل</t>
  </si>
  <si>
    <t>06603969</t>
  </si>
  <si>
    <t>اقساط سهام ترجیحی</t>
  </si>
  <si>
    <t>06605601</t>
  </si>
  <si>
    <t>بدهی کارمندان به شرکتهای سابق</t>
  </si>
  <si>
    <t>06608914</t>
  </si>
  <si>
    <t>شركت پتروشيمي بوعلی سینا</t>
  </si>
  <si>
    <t>09290711</t>
  </si>
  <si>
    <t>شركت بهره برداري نفت وگازمسجد سلیمان</t>
  </si>
  <si>
    <t>شركت پتروشيمي جم</t>
  </si>
  <si>
    <t>09298321</t>
  </si>
  <si>
    <t>09298361</t>
  </si>
  <si>
    <t>حسابجاري شركت گازاستان گیلان</t>
  </si>
  <si>
    <t>09301231</t>
  </si>
  <si>
    <t>09301202</t>
  </si>
  <si>
    <t>09301827</t>
  </si>
  <si>
    <t>اقساط کالای بسیج</t>
  </si>
  <si>
    <t>90005380</t>
  </si>
  <si>
    <t>مالیات اجرت المثل</t>
  </si>
  <si>
    <t>90007005</t>
  </si>
  <si>
    <t>سکه صندوق</t>
  </si>
  <si>
    <t>90008982</t>
  </si>
  <si>
    <t>06606630</t>
  </si>
  <si>
    <t>خسارت وارده به خط</t>
  </si>
  <si>
    <t>مانده اول دوره وجه نقد</t>
  </si>
  <si>
    <t>مانده پایان دوره وجه نقد</t>
  </si>
  <si>
    <t>شـــــــــــــــــرح</t>
  </si>
  <si>
    <t>سال مالي 1386</t>
  </si>
  <si>
    <t>سال مالي 1387</t>
  </si>
  <si>
    <t>سال مالي 1388</t>
  </si>
  <si>
    <t>بدهي هاي جاري :</t>
  </si>
  <si>
    <t xml:space="preserve">در آمد حاصل از ارائه خدمات </t>
  </si>
  <si>
    <t>بهای تمام شده خدمات ارائه شده</t>
  </si>
  <si>
    <t xml:space="preserve">سود ناخالص </t>
  </si>
  <si>
    <t xml:space="preserve">هزينه های اداری و عمومی </t>
  </si>
  <si>
    <t xml:space="preserve">سود عملياتي </t>
  </si>
  <si>
    <t>درامد غير عملياتي</t>
  </si>
  <si>
    <t>سود قبل از ماليات</t>
  </si>
  <si>
    <t>ماليات بر درامد</t>
  </si>
  <si>
    <t>سود(زيان) خالص</t>
  </si>
  <si>
    <t>سال مالي 1385</t>
  </si>
  <si>
    <t>06503854</t>
  </si>
  <si>
    <t>06508810</t>
  </si>
  <si>
    <t>غرامت دستمزدكارگران</t>
  </si>
  <si>
    <t>بيمه 8 درصد كارگران</t>
  </si>
  <si>
    <t>وام متفرقه</t>
  </si>
  <si>
    <t>06603949</t>
  </si>
  <si>
    <t>خدمات بهداشتی و درمانی فرزندان</t>
  </si>
  <si>
    <t>هزینه درمان</t>
  </si>
  <si>
    <t>06608955</t>
  </si>
  <si>
    <t>09290581</t>
  </si>
  <si>
    <t>شركت پتروشيمي خراسان</t>
  </si>
  <si>
    <t>09290721</t>
  </si>
  <si>
    <t>شركت پتروشيمي اميركبير</t>
  </si>
  <si>
    <t>شركت پتروشيمي تندگويان</t>
  </si>
  <si>
    <t>شركت گاز استان ایلام</t>
  </si>
  <si>
    <t>09298351</t>
  </si>
  <si>
    <t>شركت غير صنعتي گاز ايران</t>
  </si>
  <si>
    <t>09301001</t>
  </si>
  <si>
    <t>شركت پالايش گاز ایلام</t>
  </si>
  <si>
    <t>انجمن اسلامي</t>
  </si>
  <si>
    <t>09301203</t>
  </si>
  <si>
    <t>90004800</t>
  </si>
  <si>
    <t>دعاوي عليه اشخاص ثالث</t>
  </si>
  <si>
    <t>ماليات  سيستم  پيمانكاران  5/5%</t>
  </si>
  <si>
    <t>90006443</t>
  </si>
  <si>
    <t>سهام سرمايه گذاري</t>
  </si>
  <si>
    <t>باشگاه 1 نفت</t>
  </si>
  <si>
    <t>باشگاه 2 نفت</t>
  </si>
  <si>
    <t>تفاوت قيمت كالاي جاري</t>
  </si>
  <si>
    <t>09508736</t>
  </si>
  <si>
    <t>09508836</t>
  </si>
  <si>
    <t>كنترل هزينه ها و درآمد هاي سالهاي قبل</t>
  </si>
  <si>
    <t>درآمد هاي غير عملياتي</t>
  </si>
  <si>
    <t>90008331</t>
  </si>
  <si>
    <t>90008352</t>
  </si>
  <si>
    <t>درآمد انتقال نفت خام</t>
  </si>
  <si>
    <t>90008353</t>
  </si>
  <si>
    <t>درآمد انتقال فرآورده ها</t>
  </si>
  <si>
    <t>درآمد ها اتفاقي</t>
  </si>
  <si>
    <t>اصلاحيه رسيد كالا - سرمايه اي</t>
  </si>
  <si>
    <t>90009678</t>
  </si>
  <si>
    <t>كنترل اموال منقول كلاس3 ـمانده ماشين آلات و تجهيزات</t>
  </si>
  <si>
    <t>استهلاك اموال غيرمنقول مانده - ساختمان</t>
  </si>
  <si>
    <t>كنترل اموال منقول كلاس6 ـمانده اثاثيه و منصوبات</t>
  </si>
  <si>
    <t>استهلاك اموال منقول كلاس6 مانده اثاثيه و منصوبات</t>
  </si>
  <si>
    <t>كنترل اموال منقول كلاس4 ـمانده وسائط نقليه</t>
  </si>
  <si>
    <t>استهلاك اموال منقول كلاس4 مانده وسائط نقليه</t>
  </si>
  <si>
    <t>پیش پرداخت متفرقه</t>
  </si>
  <si>
    <t>كنترل اموال غيرمنقول ـمانده  -  ساختمان</t>
  </si>
  <si>
    <t>استهلاك اموال منقول كلاس3 مانده ماشين آلات و تجهيزات</t>
  </si>
  <si>
    <t>حصه بلند مدت بدهي به پالايش و پخش</t>
  </si>
  <si>
    <t>سال مالي 1389</t>
  </si>
  <si>
    <t>06505124</t>
  </si>
  <si>
    <t xml:space="preserve">علي الحساب نيامدن برگ حضور و غياب </t>
  </si>
  <si>
    <t xml:space="preserve">اقساط وام سرمايه گذاري صنعت نفت  </t>
  </si>
  <si>
    <t>06508110</t>
  </si>
  <si>
    <t>كنترل دستمزد ناخالص - بدهكار</t>
  </si>
  <si>
    <t>كنترل دستمزد ناخالص - بستانكار</t>
  </si>
  <si>
    <t>هزينه آب و برق منازل سازماني</t>
  </si>
  <si>
    <t>06508311</t>
  </si>
  <si>
    <t>06508316</t>
  </si>
  <si>
    <t>هزينه آب  منازل سازماني</t>
  </si>
  <si>
    <t>هزينه  برق منازل سازماني</t>
  </si>
  <si>
    <t>هزينه گاز  منازل سازماني</t>
  </si>
  <si>
    <t>هزينه نگهداري  منازل سازماني</t>
  </si>
  <si>
    <t xml:space="preserve">كمك به بيماران ديابتي </t>
  </si>
  <si>
    <t>06605612</t>
  </si>
  <si>
    <t xml:space="preserve">ذخيره مرخصي كاركنان </t>
  </si>
  <si>
    <t>06606623</t>
  </si>
  <si>
    <t xml:space="preserve">وام بانكي </t>
  </si>
  <si>
    <t>هزينه تلفن  منازل سازماني</t>
  </si>
  <si>
    <t>06608601</t>
  </si>
  <si>
    <t>كنترل حقوق  رسمي ايراني بدهكار</t>
  </si>
  <si>
    <t>06608602</t>
  </si>
  <si>
    <t>كنترل حقوق پيماني  ايراني بدهكار</t>
  </si>
  <si>
    <t>06608603</t>
  </si>
  <si>
    <t>كنترل حقوق موقت روزمزد ايراني بدهكار</t>
  </si>
  <si>
    <t>06608609</t>
  </si>
  <si>
    <t>كنترل تسهيم ناخالص حقوق  ايراني بدهكار</t>
  </si>
  <si>
    <t>06608690</t>
  </si>
  <si>
    <t xml:space="preserve">حقو ق تسهيم نشده به هزينه </t>
  </si>
  <si>
    <t xml:space="preserve">كمك هزينه مهد كودك </t>
  </si>
  <si>
    <t>06608950</t>
  </si>
  <si>
    <t>هزينه نگهداشت  منازل سازماني</t>
  </si>
  <si>
    <t>اقلام پذيرفته نشده</t>
  </si>
  <si>
    <t xml:space="preserve">شركت نفت و گاز شرق </t>
  </si>
  <si>
    <t xml:space="preserve">شركت پايانه هاي صادراتي </t>
  </si>
  <si>
    <t>09290411</t>
  </si>
  <si>
    <t xml:space="preserve">شركت ملي صنايع پتروشيمي </t>
  </si>
  <si>
    <t>شركت پتروشيمي شيراز</t>
  </si>
  <si>
    <t>شركت شيميايي پازارگاد</t>
  </si>
  <si>
    <t>09290481</t>
  </si>
  <si>
    <t>شركت پتروشيمي فارابي</t>
  </si>
  <si>
    <t>شركت   نفت  و گاز پارس</t>
  </si>
  <si>
    <t>شركت بهره برداري نفت و گاز كارون</t>
  </si>
  <si>
    <t>09293031</t>
  </si>
  <si>
    <t xml:space="preserve">شركت خدمات مهندسي و تجهيزات صنعتي </t>
  </si>
  <si>
    <t>شركت  بسپاران بندر امام</t>
  </si>
  <si>
    <t>09294071</t>
  </si>
  <si>
    <t>شركت پژوهش و فناوري پتروشيمي پويش</t>
  </si>
  <si>
    <t>حسابجاري شركت گازاستان تهران</t>
  </si>
  <si>
    <t>09298031</t>
  </si>
  <si>
    <t>09298051</t>
  </si>
  <si>
    <t xml:space="preserve">حسابجاري شركت گازاستان فارس </t>
  </si>
  <si>
    <t>09298061</t>
  </si>
  <si>
    <t xml:space="preserve">حسابجاري شركت گازاستان كرمان </t>
  </si>
  <si>
    <t>09298091</t>
  </si>
  <si>
    <t xml:space="preserve">حسابجاري شركت گازاستان مازندران </t>
  </si>
  <si>
    <t>09298121</t>
  </si>
  <si>
    <t xml:space="preserve">حسابجاري شركت گازاستان  مركزي </t>
  </si>
  <si>
    <t>09298131</t>
  </si>
  <si>
    <t>حسابجاري شركت گازاستان  جهارمحال</t>
  </si>
  <si>
    <t>09298161</t>
  </si>
  <si>
    <t>حسابجاري شركت گازاستان  كهكيلويه</t>
  </si>
  <si>
    <t>09298191</t>
  </si>
  <si>
    <t xml:space="preserve">حسابجاري شركت گازاستان زنجان </t>
  </si>
  <si>
    <t>شركت انتقال  گاز</t>
  </si>
  <si>
    <t>09305501</t>
  </si>
  <si>
    <t xml:space="preserve">كمك به مردم سومالي </t>
  </si>
  <si>
    <t>09305502</t>
  </si>
  <si>
    <t>كمك به اسكان نيازمندان</t>
  </si>
  <si>
    <t>09306405</t>
  </si>
  <si>
    <t>كمك به كميته امداد</t>
  </si>
  <si>
    <t>09306407</t>
  </si>
  <si>
    <t>سازمان بهزيستي</t>
  </si>
  <si>
    <t xml:space="preserve">كمك به كليوي </t>
  </si>
  <si>
    <t xml:space="preserve">ودايع </t>
  </si>
  <si>
    <t>90006303</t>
  </si>
  <si>
    <t>جكهاي صادره وصول نشده</t>
  </si>
  <si>
    <t xml:space="preserve">هزينه غذا يي </t>
  </si>
  <si>
    <t>شركت فراورش بندر امام</t>
  </si>
  <si>
    <t>90008992</t>
  </si>
  <si>
    <t>09294161</t>
  </si>
  <si>
    <t xml:space="preserve">كنترل واسطه مقداري سرمايه اي </t>
  </si>
  <si>
    <t>09505336</t>
  </si>
  <si>
    <t xml:space="preserve">تعديل موجودي </t>
  </si>
  <si>
    <t>09505736</t>
  </si>
  <si>
    <t>90002210</t>
  </si>
  <si>
    <t xml:space="preserve">استهلاك تاسيسات افزايش </t>
  </si>
  <si>
    <t xml:space="preserve">تفاوت قيمت كالاي سرمايه اي  خارجي </t>
  </si>
  <si>
    <t xml:space="preserve">تفاوت قيمت كالاي سرمايه اي داخلي </t>
  </si>
  <si>
    <t>90002949</t>
  </si>
  <si>
    <t>خريد ماشين الات غير مرتبط به طرح</t>
  </si>
  <si>
    <t>90002006</t>
  </si>
  <si>
    <t xml:space="preserve">كنترل زمين افزايش </t>
  </si>
  <si>
    <t>90002144</t>
  </si>
  <si>
    <t xml:space="preserve">كنترل اموال منقول كلاس 4 - انتقالات </t>
  </si>
  <si>
    <t>90002199</t>
  </si>
  <si>
    <t xml:space="preserve">حساب واسطه اموال منقول </t>
  </si>
  <si>
    <t>90002344</t>
  </si>
  <si>
    <t xml:space="preserve">استهلاك اموال منقول كلاس 4 - انتقال </t>
  </si>
  <si>
    <t>09505936</t>
  </si>
  <si>
    <t xml:space="preserve">تعديل موجودي كاهش ناشي از شمارش </t>
  </si>
  <si>
    <t>90009685</t>
  </si>
  <si>
    <t xml:space="preserve">تعديل موجودي افزايش  </t>
  </si>
  <si>
    <t xml:space="preserve">واسطه فروش برگشت از فروش </t>
  </si>
  <si>
    <t xml:space="preserve"> شركت هاي مشاوره اي </t>
  </si>
  <si>
    <t xml:space="preserve">اقلام پذيرفته نشده جاري </t>
  </si>
  <si>
    <t>09294151</t>
  </si>
  <si>
    <t>شركت پتروشيمي اروند</t>
  </si>
  <si>
    <t>09298291</t>
  </si>
  <si>
    <t xml:space="preserve">شركت پاليش گاز بيد بلند </t>
  </si>
  <si>
    <t>پيش پرداخت خريدهاي جاري مستقيم انبار ري</t>
  </si>
  <si>
    <t xml:space="preserve">پيش پرداخت خريدهاي سرمايه اي- كالاي نفت </t>
  </si>
  <si>
    <t xml:space="preserve">پيش پرداخت خريدهاي سرمايه اي مستقيم </t>
  </si>
  <si>
    <t>پيش پرداخت خريدهاي سرمايه اي - مستقيم ري</t>
  </si>
  <si>
    <t>ايجاد شبكه هاي انتقال ميكروويو فيبرنوري lan,wan</t>
  </si>
  <si>
    <t>بهينه سازي و ايمن سازي راهها و حريم ها و محوطه ها</t>
  </si>
  <si>
    <t>حساب  سودوزيان</t>
  </si>
  <si>
    <t xml:space="preserve"> پروژه احداث خط لوله تبريز / اروميه</t>
  </si>
  <si>
    <t xml:space="preserve"> پروژه احداث خط لوله ماهشهر / اهواز</t>
  </si>
  <si>
    <t xml:space="preserve"> پروژه خط لوله بندرعباس - سيرجان - رفسنجان </t>
  </si>
  <si>
    <t xml:space="preserve">مانده ابتداي سال </t>
  </si>
  <si>
    <t>حراست</t>
  </si>
  <si>
    <t xml:space="preserve">تامين نيروي انساني </t>
  </si>
  <si>
    <t xml:space="preserve">رستوران </t>
  </si>
  <si>
    <t xml:space="preserve">بازيافت هزينه هاي جاري </t>
  </si>
  <si>
    <t>(مبالغ به ميليون ريال)</t>
  </si>
  <si>
    <t xml:space="preserve"> تعديلات سنواتي</t>
  </si>
  <si>
    <t xml:space="preserve">طراحي و ساختمان نفت ايران </t>
  </si>
  <si>
    <t>درصد سرمايه گذاري</t>
  </si>
  <si>
    <t>سرمايه گذاري ها</t>
  </si>
  <si>
    <t>گردش حساب (زيان) انبـاشته</t>
  </si>
  <si>
    <t>پروژه هاي در دست تكميل شركت ملي مهندسي و ساختمان</t>
  </si>
  <si>
    <t>حصه بلند مدت وديعه مسكن كاركنان</t>
  </si>
  <si>
    <t>شركت بهره برداري نفت و گاز مارون</t>
  </si>
  <si>
    <t>09290841</t>
  </si>
  <si>
    <t xml:space="preserve">شركت خدمات ترابري و پشتيباني نفت </t>
  </si>
  <si>
    <t>09294021</t>
  </si>
  <si>
    <t>شركت آب نيروي بندر امام</t>
  </si>
  <si>
    <t>شركت خوارزمي بندر اما م</t>
  </si>
  <si>
    <t>09294011</t>
  </si>
  <si>
    <t xml:space="preserve">شركت پتروشيمي مبين </t>
  </si>
  <si>
    <t>09294201</t>
  </si>
  <si>
    <t>شركت عمليات غير صنعتي پاسارگاد</t>
  </si>
  <si>
    <t>09294211</t>
  </si>
  <si>
    <t xml:space="preserve">شركت پتروشيمي ايلام </t>
  </si>
  <si>
    <t>09298011</t>
  </si>
  <si>
    <t>شركت گاز خوزستان</t>
  </si>
  <si>
    <t>شركت گاز اصفهان</t>
  </si>
  <si>
    <t>09298021</t>
  </si>
  <si>
    <t>09298171</t>
  </si>
  <si>
    <t>شركت گاز سمنان</t>
  </si>
  <si>
    <t>09298201</t>
  </si>
  <si>
    <t>شركت گازاستان كردستان</t>
  </si>
  <si>
    <t>09298371</t>
  </si>
  <si>
    <t>شركت گاز استان خراسان شمالي</t>
  </si>
  <si>
    <t>09298411</t>
  </si>
  <si>
    <t>شركت گازاستان هرمزگان</t>
  </si>
  <si>
    <t>نقل از ساير مراكز</t>
  </si>
  <si>
    <t>دستمزدخالص كارگران مطالبه نشده</t>
  </si>
  <si>
    <t>اقساط وام بانك ملي مناطق</t>
  </si>
  <si>
    <t>06508393</t>
  </si>
  <si>
    <t xml:space="preserve">اقساط وام پس انداز وصولي اصفهان </t>
  </si>
  <si>
    <t>06508915</t>
  </si>
  <si>
    <t xml:space="preserve">صندوق آتيه زنجان </t>
  </si>
  <si>
    <t>06508995</t>
  </si>
  <si>
    <t>كمك هزينه تحصيلي</t>
  </si>
  <si>
    <t>06606608</t>
  </si>
  <si>
    <t>حق بيمه كارمندان</t>
  </si>
  <si>
    <t>عوارض برق كارمندان</t>
  </si>
  <si>
    <t>06606628</t>
  </si>
  <si>
    <t>عوارض گاز كارمندان</t>
  </si>
  <si>
    <t>06606629</t>
  </si>
  <si>
    <t>سوخت منازل سازماني</t>
  </si>
  <si>
    <t>آب منازل سازماني</t>
  </si>
  <si>
    <t>06606633</t>
  </si>
  <si>
    <t>06606634</t>
  </si>
  <si>
    <t>06606635</t>
  </si>
  <si>
    <t>اقساط وام بانك تجارت</t>
  </si>
  <si>
    <t>استفاده از منازل شركتي</t>
  </si>
  <si>
    <t>06608951</t>
  </si>
  <si>
    <t>كرايه منازل استيجاري</t>
  </si>
  <si>
    <t>مسجد</t>
  </si>
  <si>
    <t>09306414</t>
  </si>
  <si>
    <t>90002132</t>
  </si>
  <si>
    <t xml:space="preserve">كنترل اموال منقول كلاس3 ـ افزايش </t>
  </si>
  <si>
    <t>90002133</t>
  </si>
  <si>
    <t>كنترل اموال منقول كلاس3 ـ از رده خارج</t>
  </si>
  <si>
    <t>كنترل اموال منقول كلاس3 ـ انتقالات</t>
  </si>
  <si>
    <t>90002142</t>
  </si>
  <si>
    <t xml:space="preserve">كنترل اموال منقول كلاس4 ـافزايش </t>
  </si>
  <si>
    <t>كنترل اموال منقول كلاس4 ـاز رده خارج</t>
  </si>
  <si>
    <t>90002143</t>
  </si>
  <si>
    <t>90002162</t>
  </si>
  <si>
    <t>90002163</t>
  </si>
  <si>
    <t>90002164</t>
  </si>
  <si>
    <t>كنترل اموال منقول كلاس6 ـافزايشي</t>
  </si>
  <si>
    <t>كنترل اموال منقول كلاس6 ـاز رده خارج</t>
  </si>
  <si>
    <t>كنترل اموال منقول كلاس6 ـانتقالات</t>
  </si>
  <si>
    <t>90002256</t>
  </si>
  <si>
    <t>استهلاك اموال غيرمنقول- افزايشي</t>
  </si>
  <si>
    <t>90002260</t>
  </si>
  <si>
    <t>استهلاك ساختمانها - افزايش</t>
  </si>
  <si>
    <t>90002316</t>
  </si>
  <si>
    <t>استهلاك حصارها - افزايش</t>
  </si>
  <si>
    <t>90002332</t>
  </si>
  <si>
    <t>90002333</t>
  </si>
  <si>
    <t>90002334</t>
  </si>
  <si>
    <t>استهلاك اموال منقول كاهش</t>
  </si>
  <si>
    <t>استهلاك اموال منقول - انتقال</t>
  </si>
  <si>
    <t>استهلاك اموال منقول افزايش</t>
  </si>
  <si>
    <t>90002342</t>
  </si>
  <si>
    <t>90002343</t>
  </si>
  <si>
    <t>استهلاك اموال منقول كلاس4 - افزايش</t>
  </si>
  <si>
    <t>استهلاك اموال منقول كلاس4 - كاهش</t>
  </si>
  <si>
    <t>90002362</t>
  </si>
  <si>
    <t>90002363</t>
  </si>
  <si>
    <t>90002364</t>
  </si>
  <si>
    <t>استهلاك اموال منقول كلاس6 - افزايش</t>
  </si>
  <si>
    <t>استهلاك اموال منقول كلاس6 - كاهش</t>
  </si>
  <si>
    <t>استهلاك اموال منقول كلاس6 - انتقال</t>
  </si>
  <si>
    <t>90002552</t>
  </si>
  <si>
    <t>90002572</t>
  </si>
  <si>
    <t>ذخيره استهلاك خطوط لوله - جريان گاز</t>
  </si>
  <si>
    <t>ذخيره استهلاك خطوط لوله - جريان آب</t>
  </si>
  <si>
    <t>موجودي سايرفراورده ها</t>
  </si>
  <si>
    <t>طلب پخش بابت برداشت فراورده از خط</t>
  </si>
  <si>
    <t>90005601</t>
  </si>
  <si>
    <t>پرداختهاي معلق</t>
  </si>
  <si>
    <t>90005831</t>
  </si>
  <si>
    <t>پيش پرداخت ماليات عملكرد</t>
  </si>
  <si>
    <t>90007082</t>
  </si>
  <si>
    <t>گردش تنخواه گردان</t>
  </si>
  <si>
    <t>90007083</t>
  </si>
  <si>
    <t>90008991</t>
  </si>
  <si>
    <t>حصه جاري وديعه مسكن كاركنان</t>
  </si>
  <si>
    <t>90006585</t>
  </si>
  <si>
    <t>فاينانس طرحهاي سرمايه اي</t>
  </si>
  <si>
    <t>ذخيره تامين شده</t>
  </si>
  <si>
    <t>سال 90</t>
  </si>
  <si>
    <t>نحوه تشخيص</t>
  </si>
  <si>
    <t>تسهيلات مالي دريافتي</t>
  </si>
  <si>
    <t>90006412</t>
  </si>
  <si>
    <t>06503952</t>
  </si>
  <si>
    <t>خدمات بيمه اي كاركنان</t>
  </si>
  <si>
    <t>06506110</t>
  </si>
  <si>
    <t>06506643</t>
  </si>
  <si>
    <t>ماليات نفت كارت</t>
  </si>
  <si>
    <t>06508914</t>
  </si>
  <si>
    <t>مهد كودك فرزندان</t>
  </si>
  <si>
    <t>اقساط خريد كالا</t>
  </si>
  <si>
    <t>06603952</t>
  </si>
  <si>
    <t>06606643</t>
  </si>
  <si>
    <t>09290541</t>
  </si>
  <si>
    <t>نفت خزر</t>
  </si>
  <si>
    <t>09292551</t>
  </si>
  <si>
    <t>شركت منطقه ويژه اقتصادي لاوان</t>
  </si>
  <si>
    <t>مهندسي و نوسعه گاز</t>
  </si>
  <si>
    <t>باشگاه نفت شهر</t>
  </si>
  <si>
    <t>09301207</t>
  </si>
  <si>
    <t>باشگاه بندر عباس</t>
  </si>
  <si>
    <t>09301208</t>
  </si>
  <si>
    <t>باشگاه كوت عبداله</t>
  </si>
  <si>
    <t>09301226</t>
  </si>
  <si>
    <t>باشگاه شهيد زرگر</t>
  </si>
  <si>
    <t xml:space="preserve">باشگاه آبادان </t>
  </si>
  <si>
    <t>09301830</t>
  </si>
  <si>
    <t>بيمه امين پارسيان</t>
  </si>
  <si>
    <t>09303140</t>
  </si>
  <si>
    <t>سرمايه گذاري  تهران</t>
  </si>
  <si>
    <t>09306433</t>
  </si>
  <si>
    <t>خيريه حضرت علي (ع)</t>
  </si>
  <si>
    <t>90006586</t>
  </si>
  <si>
    <t>پدافند غير عامل</t>
  </si>
  <si>
    <t>90002147</t>
  </si>
  <si>
    <t>كنترل ساختمانها و منازل-از رده خارج</t>
  </si>
  <si>
    <t>90002265</t>
  </si>
  <si>
    <t>استهلاك ساختمانها - ازرده خارج</t>
  </si>
  <si>
    <t>06503626</t>
  </si>
  <si>
    <t>90009142</t>
  </si>
  <si>
    <t>موجودي ضمانتنامه هاي دريافتي ـارزي</t>
  </si>
  <si>
    <t>90009144</t>
  </si>
  <si>
    <t>كنترل ضمانتنامه هاي دريافتي ـ ارزي</t>
  </si>
  <si>
    <t xml:space="preserve">تسهيلات دريافتي </t>
  </si>
  <si>
    <t>مانده ابتداي سال</t>
  </si>
  <si>
    <t>90001101</t>
  </si>
  <si>
    <t xml:space="preserve">    دارايي ها</t>
  </si>
  <si>
    <t>دارايي هاي جاري :</t>
  </si>
  <si>
    <t xml:space="preserve"> دريافتني هاي تجاري و غير تجاري</t>
  </si>
  <si>
    <t xml:space="preserve">جمع دارايي هاي جاري </t>
  </si>
  <si>
    <t>دارايي هاي غير جاري :</t>
  </si>
  <si>
    <t>دارايي هاي ثابت مشهود</t>
  </si>
  <si>
    <t>جمع دارايي هاي غير جاري</t>
  </si>
  <si>
    <t>جمع دارايي ها</t>
  </si>
  <si>
    <t xml:space="preserve">تسهيلات مالي </t>
  </si>
  <si>
    <t xml:space="preserve"> پرداختني هاي  بلندمدت</t>
  </si>
  <si>
    <t>تسهيلات مالي  بلند مدت</t>
  </si>
  <si>
    <t xml:space="preserve">ساير اندوخته ها </t>
  </si>
  <si>
    <t xml:space="preserve"> درآمد هاي عملياتي</t>
  </si>
  <si>
    <t>بهاي تمام شده درآمدهاي عملياتي</t>
  </si>
  <si>
    <t xml:space="preserve"> سايردر آمد هاي  غير عملياتي </t>
  </si>
  <si>
    <t>06503971</t>
  </si>
  <si>
    <t>كسر اقساط بدهيهاي متفرقه</t>
  </si>
  <si>
    <t>06506810</t>
  </si>
  <si>
    <t>06508366</t>
  </si>
  <si>
    <t>تعديل سهم پس انداز</t>
  </si>
  <si>
    <t>06508924</t>
  </si>
  <si>
    <t>بيمه غذاي رستوران</t>
  </si>
  <si>
    <t>06603625</t>
  </si>
  <si>
    <t xml:space="preserve">وديعه مسكن اماني </t>
  </si>
  <si>
    <t>06603951</t>
  </si>
  <si>
    <t>بيمه گروهي درماني تكميلي</t>
  </si>
  <si>
    <t>06605615</t>
  </si>
  <si>
    <t>تسويه حساب تهايي كارمندان خارجي</t>
  </si>
  <si>
    <t>شركت ره اوران فنون پتروشيمي</t>
  </si>
  <si>
    <t>09298181</t>
  </si>
  <si>
    <t>شركت گاز قزوين</t>
  </si>
  <si>
    <t>09298231</t>
  </si>
  <si>
    <t>شركت گازاستان اردبيل</t>
  </si>
  <si>
    <t>شركت پالايش گاز شهيد هاشمي نژاد</t>
  </si>
  <si>
    <t>09298271</t>
  </si>
  <si>
    <t>شركت پالايش گاز پارسيان</t>
  </si>
  <si>
    <t>09298641</t>
  </si>
  <si>
    <t>بازرگاني گاز ايران</t>
  </si>
  <si>
    <t>09301326</t>
  </si>
  <si>
    <t>90002136</t>
  </si>
  <si>
    <t>ذخيره استهلاك منابع توليد و انتقال</t>
  </si>
  <si>
    <t>90002248</t>
  </si>
  <si>
    <t>90002257</t>
  </si>
  <si>
    <t>استهلاك تاسيسات مخابراتي - از رده خارج</t>
  </si>
  <si>
    <t>90002302</t>
  </si>
  <si>
    <t>استهلاك اموال غيرمنقول افزايش</t>
  </si>
  <si>
    <t>90006003</t>
  </si>
  <si>
    <t>مالياتهاي متفرقه سرمايه اي</t>
  </si>
  <si>
    <t>90008990</t>
  </si>
  <si>
    <t xml:space="preserve">اقلام پذيرفته نشده بدهكاران بستانكارن </t>
  </si>
  <si>
    <t>90008999</t>
  </si>
  <si>
    <t xml:space="preserve">اقلام پذيرفته نشده ساير  </t>
  </si>
  <si>
    <t>90006023</t>
  </si>
  <si>
    <t>سرمايه گذاري هاي بلند مدت</t>
  </si>
  <si>
    <t>بيمه درماني</t>
  </si>
  <si>
    <t>09294111</t>
  </si>
  <si>
    <t>پس اندازصندوق قرض الحسنه منادي حق</t>
  </si>
  <si>
    <t>90009601</t>
  </si>
  <si>
    <t>كنترل هزينه سال قبل كالا</t>
  </si>
  <si>
    <t>سال 92</t>
  </si>
  <si>
    <t>سال مالي 93</t>
  </si>
  <si>
    <t>سال91</t>
  </si>
  <si>
    <t>افزايش</t>
  </si>
  <si>
    <t>وجوه در راه</t>
  </si>
  <si>
    <t>مشمول ماده 129</t>
  </si>
  <si>
    <t>تعداد سهام</t>
  </si>
  <si>
    <t>درآمد مشمول ماليات ابرازي</t>
  </si>
  <si>
    <t>پرداختي</t>
  </si>
  <si>
    <t>بازده سرمايه گذاري ها وسود پرداختي بابت تامين مالي:</t>
  </si>
  <si>
    <t>دريافتني هاي بلند مدت</t>
  </si>
  <si>
    <t>16</t>
  </si>
  <si>
    <t>17</t>
  </si>
  <si>
    <t xml:space="preserve">بهاي تمام شده درآمد هاي عملياتي </t>
  </si>
  <si>
    <t>از رده خارج شده</t>
  </si>
  <si>
    <t>تعديلات</t>
  </si>
  <si>
    <t xml:space="preserve"> از رده خارج شده</t>
  </si>
  <si>
    <t>مصرف</t>
  </si>
  <si>
    <t>برگشت ذخيره استفاده نشده</t>
  </si>
  <si>
    <t xml:space="preserve">مانده پايان سال </t>
  </si>
  <si>
    <t xml:space="preserve"> پرداخت شده طي سال </t>
  </si>
  <si>
    <t>واحد تجاري اصلي و نهايي</t>
  </si>
  <si>
    <t>نام شخص وابسته</t>
  </si>
  <si>
    <t>خالص</t>
  </si>
  <si>
    <t>طلب</t>
  </si>
  <si>
    <t>بدهي</t>
  </si>
  <si>
    <t>ساير دارائيها</t>
  </si>
  <si>
    <t>در يافتني هاي بلند مدت</t>
  </si>
  <si>
    <t xml:space="preserve">         بدهي ها و حقوق صاحبان سهام</t>
  </si>
  <si>
    <t>بدهي هاي غير جاري :</t>
  </si>
  <si>
    <t>جمع بدهي ها و حقوق صاحبان سهام</t>
  </si>
  <si>
    <t xml:space="preserve">جمع بدهي ها </t>
  </si>
  <si>
    <t xml:space="preserve">جمع بدهي هاي غير جاري </t>
  </si>
  <si>
    <t>جمع بدهي هاي جاري</t>
  </si>
  <si>
    <t>سود ابرازي  پرداختي سهم دولت</t>
  </si>
  <si>
    <t>دستمزد مستقيم</t>
  </si>
  <si>
    <t>دريافتني هاي تجاري و غير تجاري</t>
  </si>
  <si>
    <t>پرداختني هاي تجاري و غير تجاري</t>
  </si>
  <si>
    <t>مزاياي حقوق كارمندان و كارگران رسمي</t>
  </si>
  <si>
    <t>اضافه كاري كارمندان و كارگران رسمي و پيماني</t>
  </si>
  <si>
    <t>عيدي/پاداش كارمندان و كارگران رسمي و پيماني</t>
  </si>
  <si>
    <t>مزاياي حقوق كارمندان و كارگران پيماني</t>
  </si>
  <si>
    <t xml:space="preserve">  </t>
  </si>
  <si>
    <t xml:space="preserve">  پيمانكاري</t>
  </si>
  <si>
    <t xml:space="preserve"> استهلاك </t>
  </si>
  <si>
    <t xml:space="preserve"> خدمات دريافتي از ساير شركتها</t>
  </si>
  <si>
    <t xml:space="preserve"> ساير هزينه ها</t>
  </si>
  <si>
    <t xml:space="preserve"> كالا و مواد</t>
  </si>
  <si>
    <t xml:space="preserve"> دستمزد  غير مستقيم</t>
  </si>
  <si>
    <t xml:space="preserve"> ساير هزينه هاي كاركنان </t>
  </si>
  <si>
    <t xml:space="preserve">   اقلام  سرمايه اي در انبار</t>
  </si>
  <si>
    <t xml:space="preserve"> پرداختني هاي غير تجاري</t>
  </si>
  <si>
    <t xml:space="preserve">(زيان)انباشته ابتداي سال - تعديل شده </t>
  </si>
  <si>
    <t>جمع كل</t>
  </si>
  <si>
    <t>09290307</t>
  </si>
  <si>
    <t>09290947</t>
  </si>
  <si>
    <t>09290967</t>
  </si>
  <si>
    <t>09290977</t>
  </si>
  <si>
    <t>صندوق حمايتي</t>
  </si>
  <si>
    <t>06601003</t>
  </si>
  <si>
    <t>وام صندوق حمايتي</t>
  </si>
  <si>
    <t>06603943</t>
  </si>
  <si>
    <t xml:space="preserve"> وام صندوق  بسيج  تندگويان </t>
  </si>
  <si>
    <t>صادرات گاز</t>
  </si>
  <si>
    <t>پايانه ها و مخازن پتروشيمي</t>
  </si>
  <si>
    <t>09298141</t>
  </si>
  <si>
    <t>گاز استان يزد</t>
  </si>
  <si>
    <t>09301831</t>
  </si>
  <si>
    <t>بازنشستگي بيمه و... كاركنان وظيفه</t>
  </si>
  <si>
    <t>محك</t>
  </si>
  <si>
    <t>09308915</t>
  </si>
  <si>
    <t>كمك به بازسازي حرمين شريفين</t>
  </si>
  <si>
    <t>90001004</t>
  </si>
  <si>
    <t>اعتبارات سرمايه اي</t>
  </si>
  <si>
    <t>90006400</t>
  </si>
  <si>
    <t>حساب 100 امام</t>
  </si>
  <si>
    <t>توسعه خطوط لوله انشعابات و تاسيسات مربوطه</t>
  </si>
  <si>
    <t>توسعه مراكز انتقال نفت پايانه ها و مخازن</t>
  </si>
  <si>
    <t>طرحي و احداث راهها حريم ها و محوطه ها</t>
  </si>
  <si>
    <t>طراحي و احداث ساختارهاي صنعتي وغيرصنعتي و تاسيسات برق/مكانيك</t>
  </si>
  <si>
    <t>ايجاد مراكز سوئيچينگ و شبكه هاي تلفن</t>
  </si>
  <si>
    <t>حفظ و نگهداشت و ايمن سازي خطوط لوله انشعابات و تاسيسات مربوطه</t>
  </si>
  <si>
    <t>حفظ و نگهداشت و ايمن سازي مراكز انتقال نفت پايانه ها و مخازن</t>
  </si>
  <si>
    <t>بهينه سازي و ايمن سازي ساختارهاي صنعتي وغيرصنعتي و تاسيسات برق/مكانيك</t>
  </si>
  <si>
    <t>خودكفايي/مطالعه تحقيق و ساخت دستگاهها و قطعات</t>
  </si>
  <si>
    <t>مكانيزه نمودن سيستم هاي انتقال و تعميرات/جمع آوري اطلاعات و كنترل و حفاظت</t>
  </si>
  <si>
    <t>تهيه و پشتيباني ماشين آلات مورد نياز عمليات</t>
  </si>
  <si>
    <t>نگهداشت و پشتيباني تاسيسات و تجهيزات مخابراتي</t>
  </si>
  <si>
    <t>سايرطرحها انتقالي از شركت مهندسي و ساختمان</t>
  </si>
  <si>
    <t>اسفند 3</t>
  </si>
  <si>
    <t>اسفند 4</t>
  </si>
  <si>
    <t>تا اسفند 2</t>
  </si>
  <si>
    <t>90009631</t>
  </si>
  <si>
    <t>كنترل تفاوت قيمت تمام شده كالا جار</t>
  </si>
  <si>
    <t>90009653</t>
  </si>
  <si>
    <t>كنترل واسطه تعديل موجودي افزايش يا</t>
  </si>
  <si>
    <t>09290182</t>
  </si>
  <si>
    <t>حسابجاري صندوق بازنشستگي و پس انداز</t>
  </si>
  <si>
    <t>شركت ملي پخش</t>
  </si>
  <si>
    <t>09290917</t>
  </si>
  <si>
    <t>سر فصل حساب شركت پالايش نفت تهران</t>
  </si>
  <si>
    <t>09290927</t>
  </si>
  <si>
    <t>سر فصل حساب شركت پالايش نفت شيراز</t>
  </si>
  <si>
    <t>سر فصل حساب شركت پالايش نفت  اصفهان</t>
  </si>
  <si>
    <t>09290937</t>
  </si>
  <si>
    <t>09306420</t>
  </si>
  <si>
    <t>كمك به جبهه جنگ</t>
  </si>
  <si>
    <t>095138000103</t>
  </si>
  <si>
    <t>095138000101</t>
  </si>
  <si>
    <t>ساختمان و تاسيسات</t>
  </si>
  <si>
    <t xml:space="preserve">زمين </t>
  </si>
  <si>
    <t>عملكرد تا پايان93</t>
  </si>
  <si>
    <t>ايجادشبكه هاي ارتباطي كم ظرفيت</t>
  </si>
  <si>
    <t xml:space="preserve">مهندسی شباهنگ وحدت </t>
  </si>
  <si>
    <t xml:space="preserve">پيش پرداخت خريد كالاي دفتری </t>
  </si>
  <si>
    <t>درآمد انتقال فرآورده :</t>
  </si>
  <si>
    <t>90006500-00000061</t>
  </si>
  <si>
    <t xml:space="preserve"> هزينه هاي كالا و مواد بشرح زير است : </t>
  </si>
  <si>
    <t xml:space="preserve"> دستمزد غير مستقيم بشرح زير است :</t>
  </si>
  <si>
    <t xml:space="preserve"> دريافتني هاي كوتاه مدت :</t>
  </si>
  <si>
    <t xml:space="preserve"> موجودي مواد و كالا </t>
  </si>
  <si>
    <t>پيش پرداخت هاي داخلي :</t>
  </si>
  <si>
    <t>ابطال وتسويه اعتبارات اسنادي  سرمايه اي</t>
  </si>
  <si>
    <t>مصرف مواد و كالاي سرمايه اي</t>
  </si>
  <si>
    <t>تعديل قيمت</t>
  </si>
  <si>
    <t>10-</t>
  </si>
  <si>
    <t>وجوه دريافتي از شركت ملي پالايش و پخش فرآورده هاي نفتي ايران بابت تخصيص اعتبار دريافتي</t>
  </si>
  <si>
    <t>مانده ابتدای سال</t>
  </si>
  <si>
    <t xml:space="preserve">پرداختني هاي بلند مدت </t>
  </si>
  <si>
    <t>طرح هاي سرمايه اي شركت ملي مهندسي و ساختمان نفت ايران انتقالي از شركت ملي پالايش و پخش فرآورده هاي نفتي ايران</t>
  </si>
  <si>
    <t xml:space="preserve">شركت پالايش نفت آبادان </t>
  </si>
  <si>
    <t xml:space="preserve"> پنجاه درصد سود ابرازي سهم دولت</t>
  </si>
  <si>
    <t xml:space="preserve"> هزينه هاي پيمانكاري بشرح زير است :</t>
  </si>
  <si>
    <t>ساير درآمدهاي غير عملياتي</t>
  </si>
  <si>
    <r>
      <t xml:space="preserve">   </t>
    </r>
    <r>
      <rPr>
        <b/>
        <sz val="16"/>
        <rFont val="B Koodak"/>
        <charset val="178"/>
      </rPr>
      <t>( مبالغ به ميليون ريال)</t>
    </r>
  </si>
  <si>
    <r>
      <rPr>
        <b/>
        <sz val="14"/>
        <rFont val="B Koodak"/>
        <charset val="178"/>
      </rPr>
      <t>سرمايه</t>
    </r>
    <r>
      <rPr>
        <sz val="12"/>
        <rFont val="B Koodak"/>
        <charset val="178"/>
      </rPr>
      <t xml:space="preserve"> </t>
    </r>
  </si>
  <si>
    <t>ب-</t>
  </si>
  <si>
    <t xml:space="preserve"> پنجاه درصد سود سهام دولت </t>
  </si>
  <si>
    <t>06508312</t>
  </si>
  <si>
    <t xml:space="preserve"> تعديل قيمت اموال ( خريداري در سنوات قبل)</t>
  </si>
  <si>
    <t xml:space="preserve">تجدید ارائه شده </t>
  </si>
  <si>
    <t>(تجدید ارائه شده )</t>
  </si>
  <si>
    <t xml:space="preserve">(تجدید ارائه شده) </t>
  </si>
  <si>
    <t>90006500-00000161</t>
  </si>
  <si>
    <t>قبل از بستن حساب 1394</t>
  </si>
  <si>
    <t>برگشت طرح هاي سرمايه اي شركت ملي مهندسي و ساختمان نفت ايران انتقالي به شركت ملي پالايش و پخش فرآورده هاي نفتي ايران</t>
  </si>
  <si>
    <t xml:space="preserve">معاملات با اشخاص وابسته </t>
  </si>
  <si>
    <t xml:space="preserve"> وضعيت ارزي</t>
  </si>
  <si>
    <t>اسفند 6</t>
  </si>
  <si>
    <t>اسفند 7</t>
  </si>
  <si>
    <t>اسفند 8</t>
  </si>
  <si>
    <t>065-3951</t>
  </si>
  <si>
    <t>6-2-</t>
  </si>
  <si>
    <t xml:space="preserve"> پيش پرداخت ها</t>
  </si>
  <si>
    <t>(زيان )انباشته</t>
  </si>
  <si>
    <t>جريان خالص ورود وجه نقد ناشي از فعاليت هاي عملياتي</t>
  </si>
  <si>
    <t>فعاليت هاي عملياتي :</t>
  </si>
  <si>
    <t>فعاليت هاي تامين مالي:</t>
  </si>
  <si>
    <t>جريان خالص (خروج )وجه نقد ناشي ازفعاليت هاي سرمايه گذاري</t>
  </si>
  <si>
    <t>وجوه پرداختي بابت خريد دارايي هاي ثابت مشهود</t>
  </si>
  <si>
    <t>فعاليت هاي سرمايه گذاري :</t>
  </si>
  <si>
    <t xml:space="preserve">برق مصرفي </t>
  </si>
  <si>
    <t xml:space="preserve">گاز مصرفي </t>
  </si>
  <si>
    <t>مرخصي كارکنان</t>
  </si>
  <si>
    <t xml:space="preserve">تنخواه گردان- سرمايه اي ملی مهندسی </t>
  </si>
  <si>
    <t>13-</t>
  </si>
  <si>
    <t xml:space="preserve"> درآمد انتقال نفت خام  :</t>
  </si>
  <si>
    <t xml:space="preserve">شركت ملي و مهندسي -بدهكاران متفرقه انتقالي از </t>
  </si>
  <si>
    <t xml:space="preserve"> شركت ملي و مهندسي -هزينه جانبي سفارشات سرمايه اي </t>
  </si>
  <si>
    <t>شركت ملي و مهندسي -علي الحساب سرمايه اي</t>
  </si>
  <si>
    <t>شركت ملي و مهندسي -قابل وصول ازپيمانكاران</t>
  </si>
  <si>
    <t xml:space="preserve">شركت ملي و مهندسي -پيش پرداخت </t>
  </si>
  <si>
    <t xml:space="preserve">شركت ملي و مهندسي ماليات سيستم پيمانكاران سرمايه اي </t>
  </si>
  <si>
    <t>شركت ملي و مهندسي -تنخواه گردان بازسازي نوسازي</t>
  </si>
  <si>
    <t>شركت ملي و مهندسي -سپرده حسن انجام كارسرمايه اي مكانيز</t>
  </si>
  <si>
    <t xml:space="preserve">شركت ملي و مهندسي -بيمه سيستم پيمانكاران سرمايه اي </t>
  </si>
  <si>
    <t>شركت ملي و مهندسي -سپرده حسن  انجام تعهد</t>
  </si>
  <si>
    <t xml:space="preserve">شركت ملي و مهندسي -گشايش اعتبارات اسنادي </t>
  </si>
  <si>
    <t>سال مورد گزارش (1394)</t>
  </si>
  <si>
    <t>سال مالي 94</t>
  </si>
  <si>
    <t xml:space="preserve"> 1394با بستن حسابها </t>
  </si>
  <si>
    <r>
      <rPr>
        <sz val="14"/>
        <rFont val="B Koodak"/>
        <charset val="178"/>
      </rPr>
      <t>سرمايه</t>
    </r>
    <r>
      <rPr>
        <sz val="12"/>
        <rFont val="B Koodak"/>
        <charset val="178"/>
      </rPr>
      <t xml:space="preserve"> </t>
    </r>
  </si>
  <si>
    <t>بدون سند -بدهکار (اصلاح شده )</t>
  </si>
  <si>
    <t>بدون سند -بستانکار (اصلاح شده )</t>
  </si>
  <si>
    <t>اسفند 5</t>
  </si>
  <si>
    <t xml:space="preserve">اعمال شده </t>
  </si>
  <si>
    <r>
      <t xml:space="preserve">      تبصره : </t>
    </r>
    <r>
      <rPr>
        <sz val="24"/>
        <rFont val="Nazanin"/>
        <charset val="178"/>
      </rPr>
      <t xml:space="preserve">جمع نسبت بدهي و نسبت مالكانه همواره معادل صد درصد سرمايه گذاريها در شركت و برابر عدد يك خواهد بود . </t>
    </r>
  </si>
  <si>
    <r>
      <t>سرمايه</t>
    </r>
    <r>
      <rPr>
        <sz val="24"/>
        <rFont val="Roya"/>
        <charset val="178"/>
      </rPr>
      <t xml:space="preserve">(يكصد وبيست ميليون سهم يكصد هزار ريالي تمام پرداخت شده) </t>
    </r>
  </si>
  <si>
    <t xml:space="preserve">بالانس </t>
  </si>
  <si>
    <t xml:space="preserve">سهم دولت </t>
  </si>
  <si>
    <t xml:space="preserve">سودخالص پس از کسر سهم دولت </t>
  </si>
  <si>
    <t>0/05</t>
  </si>
  <si>
    <t xml:space="preserve">اندوخته قانونی </t>
  </si>
  <si>
    <t xml:space="preserve"> قطعات و لوازم يدكي ماشين آلات</t>
  </si>
  <si>
    <t xml:space="preserve"> لوازم الكترونيكي و كابلها</t>
  </si>
  <si>
    <t>پيش پرداخت خريد و پيمانكاران جاری</t>
  </si>
  <si>
    <t>نقل وانتقالات</t>
  </si>
  <si>
    <t xml:space="preserve">مخارج انباشته </t>
  </si>
  <si>
    <t xml:space="preserve">بر آورد تاریخ بهره برداری </t>
  </si>
  <si>
    <t>استهلاك دارائي هاي ثابت مشهود</t>
  </si>
  <si>
    <t xml:space="preserve">جمع </t>
  </si>
  <si>
    <t xml:space="preserve">حساب جاري خالص حقوق - وام پرسنل </t>
  </si>
  <si>
    <t>پرداختني هاي كوتاه مدت:</t>
  </si>
  <si>
    <t xml:space="preserve">ساير هزينه ها بشرح زير است: </t>
  </si>
  <si>
    <t>اسفند 9</t>
  </si>
  <si>
    <t>90006587</t>
  </si>
  <si>
    <t>يادداشت هاي توضيحي ، بخش جدايي ناپذير صورت هاي مالي است .</t>
  </si>
  <si>
    <t xml:space="preserve">يادداشت هاي توضيحي ، بخش جدايي ناپذير صورت هاي مالي است . </t>
  </si>
  <si>
    <t>يادداشت هاي توضيحي ، بخش جدايي ناپذير صورت هاي مالي است.</t>
  </si>
  <si>
    <t xml:space="preserve">(زيان)انباشته پايان سال </t>
  </si>
  <si>
    <t>(زيان)انباشته ابتداي سال</t>
  </si>
  <si>
    <t xml:space="preserve">  دارايي هاي در جريان تكميل</t>
  </si>
  <si>
    <t xml:space="preserve">  پيش پرداخت ها و علي الحساب هاي سرمايه اي   </t>
  </si>
  <si>
    <t>(مبالغ به  ميليون ريال)</t>
  </si>
  <si>
    <t xml:space="preserve">بهاي تمام شده يا مبلغ تجديد ارزيابي </t>
  </si>
  <si>
    <t>استهلاك انباشته</t>
  </si>
  <si>
    <t xml:space="preserve">مبلغ دفتری </t>
  </si>
  <si>
    <t>علي الحساب ها :</t>
  </si>
  <si>
    <t>درآمدهاي مخابرات بابت اجاره كانال هاي مخابراتي به شركت هاي تابعه وزارت نفت واشخاص ثالث بشرح زير است :</t>
  </si>
  <si>
    <t xml:space="preserve"> دارايي هاي نامشهود</t>
  </si>
  <si>
    <t>يادداشت هاي توضيحي صورتهاي مالي</t>
  </si>
  <si>
    <t>يادداشت هاي توضيحي صورت هاي مالي</t>
  </si>
  <si>
    <t>خدمات دريافتي از ساير شركت ها بشرح زير است :</t>
  </si>
  <si>
    <t xml:space="preserve"> بازيافتي ها بشرح زير است : </t>
  </si>
  <si>
    <t xml:space="preserve"> مانده حساب هاي نهايي اشخاص وابسته بشرح زير است:</t>
  </si>
  <si>
    <t xml:space="preserve">وجوه حاصل از فروش دارایي هاي ثابت مشهود </t>
  </si>
  <si>
    <t xml:space="preserve">مبادلات غیر نقدی </t>
  </si>
  <si>
    <t xml:space="preserve">             23-1-</t>
  </si>
  <si>
    <t xml:space="preserve"> 5درصد عوارض توسعه </t>
  </si>
  <si>
    <t>اشخاص وابسته</t>
  </si>
  <si>
    <t>صندوق پس انداز ، بازنشستگي و رفاه كاركنان</t>
  </si>
  <si>
    <t xml:space="preserve">موجودي نزد بانكها </t>
  </si>
  <si>
    <t xml:space="preserve"> مانده ساير متشكل از اقلام زير است:</t>
  </si>
  <si>
    <t xml:space="preserve">توضیحات </t>
  </si>
  <si>
    <t xml:space="preserve">کوتاه مدت </t>
  </si>
  <si>
    <t xml:space="preserve">بلند مدت </t>
  </si>
  <si>
    <t>شركت توانير</t>
  </si>
  <si>
    <t xml:space="preserve">مجتمع هاي پتروشيمي </t>
  </si>
  <si>
    <t xml:space="preserve">شركت پالايش نفت اصفهان </t>
  </si>
  <si>
    <t>50درصدسود ابرازي سهم دولت</t>
  </si>
  <si>
    <t>پیش پرداخت 50درصد سود ابرازی سهم دولت بابت تفاوت مازاد پرداختی سود براساس قانون بودجه وسود ابرازی بشرح ذیل می باشد :</t>
  </si>
  <si>
    <t>مقدار</t>
  </si>
  <si>
    <t xml:space="preserve">شركت ملي پخش فرآورده های نفتی ایران </t>
  </si>
  <si>
    <t xml:space="preserve">6-4- </t>
  </si>
  <si>
    <t xml:space="preserve">تعهدات، بدهي هاي احتمالي ودارایی های احتمالی </t>
  </si>
  <si>
    <t xml:space="preserve">سایر اشخاص وابسته </t>
  </si>
  <si>
    <t xml:space="preserve">پيش پرداخت ماليات عملكردسالهاي1391 و1392و1393و1394 طبق قانون بودجه كل كشوربه ترتيب به مبالغ 375ر24 و 642ر83 و 925ر40 و 017ر101ميليون ريال بوده که تماما بصورت نقدی واز محل تهاتر اضافه پرداختی مالیات عملکرد سنوات گذشته تامین گرديده است. و همچنين ماليات تكليفي  موضوع ماده 104 پرداخت شده توسط شركت ملي پالايش و پخش و  پالايشگاه ها بابت 5 و3 درصد  کارمزد انتقال نفت خام و  کانال های مخابراتی  </t>
  </si>
  <si>
    <t>هزينه هاي اداري  و عمومي</t>
  </si>
  <si>
    <t xml:space="preserve">بهاي تمام شده  درآمدهاي عملياتي وهزینه های اداری وعمومی </t>
  </si>
  <si>
    <t xml:space="preserve">هزينه هاي اداري  و عمومي </t>
  </si>
  <si>
    <t>پروژه هاي در دست تكميل شركت ملي مهندسي ساختمان نفت ايران که در پايان سال به حسابهاي اين شركت انتقال يافته است.</t>
  </si>
  <si>
    <t xml:space="preserve">(مبالغ به میلیون ریال) </t>
  </si>
  <si>
    <t xml:space="preserve">ریال </t>
  </si>
  <si>
    <t>طلب پ.پ(کوتاه مدت )</t>
  </si>
  <si>
    <t>طلب پ.پ(بلند مدت )</t>
  </si>
  <si>
    <t xml:space="preserve">اعتبارات توسع 5درصد </t>
  </si>
  <si>
    <t>قبل از بستن حساب 1395</t>
  </si>
  <si>
    <t xml:space="preserve"> اسفند </t>
  </si>
  <si>
    <t>اسفند 1</t>
  </si>
  <si>
    <t>اسفند 2</t>
  </si>
  <si>
    <t>اسفند 10</t>
  </si>
  <si>
    <t>09290957</t>
  </si>
  <si>
    <t xml:space="preserve"> 1395با بستن حسابها </t>
  </si>
  <si>
    <t>06508318</t>
  </si>
  <si>
    <t>هزينه گاز  شهرك منتظري</t>
  </si>
  <si>
    <t>06508321</t>
  </si>
  <si>
    <t>تهويه منازل  شهرك منتظري</t>
  </si>
  <si>
    <t>06508953</t>
  </si>
  <si>
    <t>هزينه نگهداري  منازل شهرك منتظري</t>
  </si>
  <si>
    <t>06508998</t>
  </si>
  <si>
    <t>09301832</t>
  </si>
  <si>
    <t>09301833</t>
  </si>
  <si>
    <t>09301834</t>
  </si>
  <si>
    <t>09301835</t>
  </si>
  <si>
    <t>09301836</t>
  </si>
  <si>
    <t>09301837</t>
  </si>
  <si>
    <t>09301838</t>
  </si>
  <si>
    <t>بيمه خدمات درماني سهم وظيفه</t>
  </si>
  <si>
    <t>بيمه عمر و حادثه كاركنان وظيفه</t>
  </si>
  <si>
    <t>بيمه مكمل سهم كاركنان وظيفه</t>
  </si>
  <si>
    <t>بازنشستگي سهم كارفرما وظيفه</t>
  </si>
  <si>
    <t>بيمه عمر و حادثه سهم كارفرما وظيفه</t>
  </si>
  <si>
    <t>بيمه عمر</t>
  </si>
  <si>
    <t>بيمه مكمل سهم كارفرما وظيفه</t>
  </si>
  <si>
    <t>كالاي در راه مكانيزه جاري-خارجي</t>
  </si>
  <si>
    <t>كالاي در راه مكانيزه جاري-سرمايه اي خارجي</t>
  </si>
  <si>
    <t>كالاي در راه مكانيزه جاري-داخلي</t>
  </si>
  <si>
    <t>كالاي در راه مكانيزه جاري-سرمايه اي داخلي</t>
  </si>
  <si>
    <t>كالاي در راه مكانيزه جاري-محلي</t>
  </si>
  <si>
    <t>09504936</t>
  </si>
  <si>
    <t>واسطه انتقال كالابين رمز سازماني جاري</t>
  </si>
  <si>
    <t xml:space="preserve">واسطه انتقال كالابين انبار اصلي فرعي </t>
  </si>
  <si>
    <t>واسطه انتقال كالابين انبار اصلي جاري</t>
  </si>
  <si>
    <t>09507536</t>
  </si>
  <si>
    <t>معلق اقلام ريالي تخصيص نيافته جاري</t>
  </si>
  <si>
    <t>09507836</t>
  </si>
  <si>
    <t>واسطه اختلاف  مقداري  ـ سرمايه اي</t>
  </si>
  <si>
    <t>06603626</t>
  </si>
  <si>
    <t>اقساط تلفن همراه</t>
  </si>
  <si>
    <t>شركت   مديريت توسعه صنايع پتروشيمي</t>
  </si>
  <si>
    <t>09298221</t>
  </si>
  <si>
    <t>شركت گازاستان آذربايجان</t>
  </si>
  <si>
    <t xml:space="preserve">عضويت صندوق  بسيج  تندگويان </t>
  </si>
  <si>
    <t>90002134</t>
  </si>
  <si>
    <t>90009643</t>
  </si>
  <si>
    <t>90009644</t>
  </si>
  <si>
    <t>كنترل موجودي كالا- جاري</t>
  </si>
  <si>
    <t>كنترل موجودي كالا- سرمايه اي</t>
  </si>
  <si>
    <t>90009661</t>
  </si>
  <si>
    <t>90009663</t>
  </si>
  <si>
    <t>90009671</t>
  </si>
  <si>
    <t>90009675</t>
  </si>
  <si>
    <t>90009677</t>
  </si>
  <si>
    <t>90009683</t>
  </si>
  <si>
    <t>كنترل ادعاي غرامت</t>
  </si>
  <si>
    <t>كنترل تفاوت رسيد و ارسال انتقال جاري</t>
  </si>
  <si>
    <t>كنترل واسطه تفاوتانتقال كالا-جاري</t>
  </si>
  <si>
    <t>كنترل حساب معلق اقلام ريالي تخصيص</t>
  </si>
  <si>
    <t>كنترل واسطه اختلاف مقداري- جاري</t>
  </si>
  <si>
    <t>كنترل تفاوت قيمت كالاي انتقالي -جاري</t>
  </si>
  <si>
    <t>90013100</t>
  </si>
  <si>
    <t>90013150</t>
  </si>
  <si>
    <t>90019618</t>
  </si>
  <si>
    <t>كنترل پيش پرداختهاي جاري</t>
  </si>
  <si>
    <t>كنترل پيش پرداختهايسرما يه اي</t>
  </si>
  <si>
    <t>كنترل حساب هزينه هاي جانبي</t>
  </si>
  <si>
    <t>پژوهشگاه نفت</t>
  </si>
  <si>
    <t>90009632</t>
  </si>
  <si>
    <t>90007130</t>
  </si>
  <si>
    <t xml:space="preserve">اقلام پذيرفته نشده;كالا  </t>
  </si>
  <si>
    <t>90008994</t>
  </si>
  <si>
    <t>90009651</t>
  </si>
  <si>
    <t>كنترل واسطه فروش واگذاري</t>
  </si>
  <si>
    <t>شركت گازاستان لرستان</t>
  </si>
  <si>
    <t>حساب اسناد دريافتني</t>
  </si>
  <si>
    <t>كنترل اسناد دريافتني</t>
  </si>
  <si>
    <t>بهاي تمام شده تاسيسات و   -  ساختمان</t>
  </si>
  <si>
    <t>1394 بعد بستن (ميليون ريال(</t>
  </si>
  <si>
    <t>1395 ميليون ريال</t>
  </si>
  <si>
    <t xml:space="preserve"> طرح 040621189تعويض پوشش و تعويض خطوط لوله</t>
  </si>
  <si>
    <t xml:space="preserve"> پرداخت شده سال 1395 براساس قانون بودجه </t>
  </si>
  <si>
    <t>تفاوت قيمت كالاي جاري- خارجي</t>
  </si>
  <si>
    <t>تفاوت قيمت كالاي جاري-داخلي</t>
  </si>
  <si>
    <t>واسطه فروش برگشت از فروش -غير اسقاط</t>
  </si>
  <si>
    <t>كنترل كالاي در راه مكانيزه جاري- محلي</t>
  </si>
  <si>
    <t>كنترل تفاوت قيمت تمام شده كالا جاري</t>
  </si>
  <si>
    <t>كنترل واسطه انتقال كالا بين رمز سازماني</t>
  </si>
  <si>
    <t xml:space="preserve">پيش پرداخت خريدهاي جاري مستقيم </t>
  </si>
  <si>
    <t>كل</t>
  </si>
  <si>
    <t>فرعي</t>
  </si>
  <si>
    <t>موجودي ضمانتنامه هاي دريافتي ـريال-مهندسي</t>
  </si>
  <si>
    <t>موجودي ضمانتنامه هاي دريافتي ـارزيمهندسي</t>
  </si>
  <si>
    <t>كنترل ضمانتنامه هاي دريافتي ـريال مهندسي</t>
  </si>
  <si>
    <t>كنترل ضمانتنامه هاي دريافتي ـ ارزي مهندسي</t>
  </si>
  <si>
    <t>حساب اسناد دريافتني-ملي مهندسي</t>
  </si>
  <si>
    <t>كنترل اسناد دريافتني- ملي مهندسي</t>
  </si>
  <si>
    <t>90002118</t>
  </si>
  <si>
    <t>90002219</t>
  </si>
  <si>
    <t>خالص كاركرد پيمانكاران - سرمايه اي  مهندسي</t>
  </si>
  <si>
    <t xml:space="preserve">قابل وصول ازپيمانكاران-شركت ملي و مهندسي </t>
  </si>
  <si>
    <t xml:space="preserve"> -شركت ملي و مهندسي پيش پرداخت  سرمايه اي</t>
  </si>
  <si>
    <t>09298391</t>
  </si>
  <si>
    <t>شركت گاز استان بوشهر</t>
  </si>
  <si>
    <t>پيش پرداخت هاي خارجي :</t>
  </si>
  <si>
    <t xml:space="preserve"> پيش پرداخت سرمايه اي  از محل 5 درصد عوارض توسعه -</t>
  </si>
  <si>
    <t>شركت هاي تابعه وزارت نفت</t>
  </si>
  <si>
    <t>ادارات مركزي وزارت نفت</t>
  </si>
  <si>
    <t>نفت و گاز گچساران</t>
  </si>
  <si>
    <t>مبلغ طبق 6020</t>
  </si>
  <si>
    <t>سال مالي 95</t>
  </si>
  <si>
    <t>سال مورد گزارش (1395)</t>
  </si>
  <si>
    <t>='2'!F10</t>
  </si>
  <si>
    <t>9-</t>
  </si>
  <si>
    <t xml:space="preserve">مهندسي </t>
  </si>
  <si>
    <t>9-4-</t>
  </si>
  <si>
    <t>سهامدار اصلي</t>
  </si>
  <si>
    <t xml:space="preserve"> تعديلات دارايي هاي ثابت مشهود به شرح  زير است :</t>
  </si>
  <si>
    <t>پيش پرداخت خريدهاي جاري(داخلي )</t>
  </si>
  <si>
    <t>سال</t>
  </si>
  <si>
    <t>9000640101078</t>
  </si>
  <si>
    <t>9000640101155</t>
  </si>
  <si>
    <t>دفتر نمايندگي پترو ايران شارجه</t>
  </si>
  <si>
    <t xml:space="preserve">موجودي صندوق </t>
  </si>
  <si>
    <t xml:space="preserve">برگشت موجودي كالاي از محل 5درصد عوارض توسعه  به شركت ملي پالايش و پخش فراورده هاي نفتي ايران </t>
  </si>
  <si>
    <t xml:space="preserve">مازاد مورد مطالبه اداره امور مالياتي </t>
  </si>
  <si>
    <t xml:space="preserve"> مبلغ 522ر071ر5ريال كاهش در سرفصل داراييهاي در جريان تكميل ناشي از انتقال مانده داراييهاي مذكور به  شركت ملي پالايش و پخش عطف به نامه شماره ام/ب/3597 مورخه 1396/1/26  مدير مالي شركت ملي پالايش و پخش  بوده است.</t>
  </si>
  <si>
    <t>وجوه پرداختي بابت  خريد دارایي هاي نامشهود</t>
  </si>
  <si>
    <t>باز پرداخت اصل تسهيلات</t>
  </si>
  <si>
    <t>پيش پرداخت ها و علي الحساب هاي سرمايه اي بشرح زير است :</t>
  </si>
  <si>
    <t xml:space="preserve">  بازيافتي از ساير واحدها</t>
  </si>
  <si>
    <t>ماهيت بازيافتي ها ارائه خدمات به شركتهاي تابعه وزارت نفت است.</t>
  </si>
  <si>
    <t xml:space="preserve">شركت پالايش نفت امام خميني (ره )شازند </t>
  </si>
  <si>
    <t>15</t>
  </si>
  <si>
    <t>شركت پالايش نفت امام خميني (ره) شازند</t>
  </si>
  <si>
    <t xml:space="preserve"> بر اساس جداول پيوست  آئين نامه اجرايي بند (ح)ماده یک قانون الحاق برخی مواد به قانون تنظیم بخشی از مقررات مالی دولت (2)و  قانون بودجه سال  1395كل كشور ابلاغي طي نامه شماره 576518مورخ 1395/12/07معاون محترم برنامه ريزي وزارت نفت ، نرخ انتقال نفت خام و ميعانات گازي به ازاي هر ليتر 98 ريال و براي فرآورده هاي نفتي به ازاي هر ليتر116 ريال محاسبه گرديده است.شركت براساس ظرفيت هاي بلا استفاده خود طبق توافق نامه هاي في مابين با نرخهاي خارج از بودجه ، اقدام به انتقال فراورده براي شركتهاي پالايشي نفت نموده است .</t>
  </si>
  <si>
    <t xml:space="preserve">پروژه توسعه خطوط لوله بندر عباس - رفسنجان - اصفهان  </t>
  </si>
  <si>
    <t>ايجاد شبكه هاي ارتباطي كم ظرفيت</t>
  </si>
  <si>
    <t>الف-</t>
  </si>
  <si>
    <t>ج-</t>
  </si>
  <si>
    <t xml:space="preserve">جمع طرحهاي در جريان تكميل شركت </t>
  </si>
  <si>
    <t>علي الحساي سرمايه اي شركت -از محل 5 درصد عوارض توسعه</t>
  </si>
  <si>
    <t>تعديل</t>
  </si>
  <si>
    <t xml:space="preserve"> تعديلات دارايي ها</t>
  </si>
  <si>
    <t xml:space="preserve"> پيش پرداخت هاي سرمايه اي - انتقالي از شركت ملي مهندسي و ساختمان نفت ايران</t>
  </si>
  <si>
    <t xml:space="preserve">علي الحساب سرمايه اي - انتقالي از شركت ملي مهندسي و ساختمان نفت ايران </t>
  </si>
  <si>
    <t>جمع دارایی ها</t>
  </si>
  <si>
    <t xml:space="preserve">شركت پالايش نفت كرمانشاه </t>
  </si>
  <si>
    <t xml:space="preserve">افزايش </t>
  </si>
  <si>
    <t>(مبالغ به میلیون ریال )</t>
  </si>
  <si>
    <t>خالص افزايش در دارايي ها شامل مبلغ 668ر056ر1 ميليون ريال  خريد نقدي  و مبلغ 642ر312ر1 ميليون ریال دارایی های انتقالی از شرکت ملی پالایش وپخش فراورده های نفتی ایران است .</t>
  </si>
  <si>
    <t>قبل از بستن حساب 1396</t>
  </si>
  <si>
    <t xml:space="preserve"> 1396با بستن حسابها </t>
  </si>
  <si>
    <t>09298041</t>
  </si>
  <si>
    <t>حسابجاري شركت گازاستان خراسان</t>
  </si>
  <si>
    <t>09298081</t>
  </si>
  <si>
    <t>حسابجاري شركت گازاستان آذربايجان</t>
  </si>
  <si>
    <t>09298151</t>
  </si>
  <si>
    <t>حسابجاري شركت گازاستان قم</t>
  </si>
  <si>
    <t>شركت پاليش گاز استان البرز</t>
  </si>
  <si>
    <t>09298341</t>
  </si>
  <si>
    <t>09506736</t>
  </si>
  <si>
    <t>90006605</t>
  </si>
  <si>
    <t>واسطه فروش مزايده ها</t>
  </si>
  <si>
    <t>90007110</t>
  </si>
  <si>
    <t>كنترل موجودي هاي بانكي ـبانك مركزي</t>
  </si>
  <si>
    <t>90007120</t>
  </si>
  <si>
    <t>كنترل موجودي هاي بانكي ريالي</t>
  </si>
  <si>
    <t>90008003</t>
  </si>
  <si>
    <t xml:space="preserve">كنترل هزينه هاي از محل اعتبارات خارج از شمول </t>
  </si>
  <si>
    <t>تعويض خطوط لوله در مناطق12گانه</t>
  </si>
  <si>
    <t>جمع طرح 40621189 شركت خطوط لوله و مخابرات</t>
  </si>
  <si>
    <r>
      <t xml:space="preserve"> تا تاريخ تهيه صورتهاي مالي مبلغ  </t>
    </r>
    <r>
      <rPr>
        <sz val="16"/>
        <color rgb="FFFF0000"/>
        <rFont val="B Koodak"/>
        <charset val="178"/>
      </rPr>
      <t>366ر198</t>
    </r>
    <r>
      <rPr>
        <sz val="16"/>
        <rFont val="B Koodak"/>
        <charset val="178"/>
      </rPr>
      <t>ميليون ريال  از دريافتني هاي كوتاه مدت وصول شده است .</t>
    </r>
  </si>
  <si>
    <t>شركت پالايش نفت آبادان(فرآورده)</t>
  </si>
  <si>
    <t>شركت پالايش نفت آبادان(ميعانات گازي)</t>
  </si>
  <si>
    <t xml:space="preserve">شركتهاي نفت و گاز  </t>
  </si>
  <si>
    <t>ذخيره مرخصي- ;كارگري</t>
  </si>
  <si>
    <t>كنگان</t>
  </si>
  <si>
    <t>شركت فني مهندسي پتروشيمي فارس</t>
  </si>
  <si>
    <t>90006751</t>
  </si>
  <si>
    <t>ذخيره طلب پيمانكاران سرمايه اي</t>
  </si>
  <si>
    <t>4-1-6-</t>
  </si>
  <si>
    <t>4-401</t>
  </si>
  <si>
    <t>جمع طرح هاي شركت خطوط لوله و مخابرات نفت ايران</t>
  </si>
  <si>
    <t>23 -</t>
  </si>
  <si>
    <t>90006401-1189</t>
  </si>
  <si>
    <t>14</t>
  </si>
  <si>
    <t>منابع 5 درصدعوارض توسعه  طرحهاي شركت ملي مهندسي ساختمان</t>
  </si>
  <si>
    <t>جمع طرحهاي شركت ملي مهندسي ساختمان</t>
  </si>
  <si>
    <t>خدمات عمومي</t>
  </si>
  <si>
    <t>1396 ميليون ريال</t>
  </si>
  <si>
    <t xml:space="preserve">سود  عملیات در حال تداوم قبل از ماليات </t>
  </si>
  <si>
    <t>سود  خالص پس ازكسر50درصد سود ابرازي سهم دولت</t>
  </si>
  <si>
    <t>خالص(کاهش ) در وجه نقد</t>
  </si>
  <si>
    <t xml:space="preserve">مانده وجه نقد ابتداي سال </t>
  </si>
  <si>
    <t>مانده وجه نقد  پايان سال</t>
  </si>
  <si>
    <t>مانده  پايان سال</t>
  </si>
  <si>
    <t xml:space="preserve">    مانده پايان سال       </t>
  </si>
  <si>
    <t>مانده  ابتداي سال</t>
  </si>
  <si>
    <t xml:space="preserve">درآمد عملياتي </t>
  </si>
  <si>
    <t xml:space="preserve">بهاي تمام شده </t>
  </si>
  <si>
    <t xml:space="preserve">درصد سود ناخالص به درآمد عملياتي </t>
  </si>
  <si>
    <t>درصد سود ناخالص به درآمد عملياتي</t>
  </si>
  <si>
    <r>
      <t xml:space="preserve"> </t>
    </r>
    <r>
      <rPr>
        <b/>
        <sz val="12"/>
        <rFont val="B Koodak"/>
        <charset val="178"/>
      </rPr>
      <t xml:space="preserve">انتقال نفت خام و فرآورده هاي نفتي </t>
    </r>
  </si>
  <si>
    <r>
      <t xml:space="preserve"> </t>
    </r>
    <r>
      <rPr>
        <b/>
        <sz val="12"/>
        <rFont val="B Koodak"/>
        <charset val="178"/>
      </rPr>
      <t xml:space="preserve">انتقال نفت خام و 
فرآورده هاي نفتي </t>
    </r>
  </si>
  <si>
    <r>
      <t xml:space="preserve"> </t>
    </r>
    <r>
      <rPr>
        <b/>
        <sz val="12"/>
        <rFont val="B Koodak"/>
        <charset val="178"/>
      </rPr>
      <t xml:space="preserve">انتقال نفت خام و
فرآورده هاي نفتي </t>
    </r>
  </si>
  <si>
    <t xml:space="preserve">      مانده  پرداختني        </t>
  </si>
  <si>
    <t>شركت پتروشيمي تبريز(نفتا از آبادان )</t>
  </si>
  <si>
    <t>شركت پتروشيمي تبريز(نفتا از تهران)</t>
  </si>
  <si>
    <t xml:space="preserve">برگشت  علي الحساب و پيش پرداختهاي سرمايه اي   پيمانكاري از محل 5درصد عوارض توسعه  به شركت ملي پالايش و پخش فراورده هاي نفتي ايران </t>
  </si>
  <si>
    <t xml:space="preserve">مانده طرحهاي در جريان تكميل شركت خطوط لوله و مخابرات از منابع داخلي </t>
  </si>
  <si>
    <t>از آنجاييكه اجزاي تشكيل دهنده صورت سود و زيان جامع محدود به سود سال وتعدیلات سنواتی است ، صورت سود و زيان جامع ارائه نشده است.</t>
  </si>
  <si>
    <t xml:space="preserve">سود(زيان) عملیاتی </t>
  </si>
  <si>
    <t>23-1 -</t>
  </si>
  <si>
    <t>درصد تكميل فيزيكي</t>
  </si>
  <si>
    <t>سال1395</t>
  </si>
  <si>
    <t xml:space="preserve"> انتقال</t>
  </si>
  <si>
    <t xml:space="preserve"> مخابرات</t>
  </si>
  <si>
    <t xml:space="preserve">درامد </t>
  </si>
  <si>
    <t>سودناخالص</t>
  </si>
  <si>
    <t>درصد سود ناخالص به درامد</t>
  </si>
  <si>
    <t>ساير از محل منابع داخلي</t>
  </si>
  <si>
    <t>ساير از محل منابع 5 درصد عوارض توسعه</t>
  </si>
  <si>
    <t xml:space="preserve">            انتقال نفت خام و فرآورده </t>
  </si>
  <si>
    <t xml:space="preserve">             مخابرات </t>
  </si>
  <si>
    <t>شركت فاقد دارايي و بدهيهاي ارزي است.</t>
  </si>
  <si>
    <t>قبل از بستن حساب 1397</t>
  </si>
  <si>
    <t xml:space="preserve"> 1397با بستن حسابها </t>
  </si>
  <si>
    <t>1397 ميليون ريال</t>
  </si>
  <si>
    <t>کنترل ساختمانها ومنازل -افزایش</t>
  </si>
  <si>
    <t>کنترل موجودی جاری بانک ملت</t>
  </si>
  <si>
    <t>وام مددکاری به کارمندان ایرانی</t>
  </si>
  <si>
    <t>پرداخت بتزخرید مرخصی</t>
  </si>
  <si>
    <t>هزینه بلیط اتوبوس</t>
  </si>
  <si>
    <t>کالای درراه مکانیزه جاری-محلی</t>
  </si>
  <si>
    <t>سود وزیان ناشی از فروش-جاری</t>
  </si>
  <si>
    <t>بیمه</t>
  </si>
  <si>
    <t>پتروشیمی اصفهان</t>
  </si>
  <si>
    <t>شرکت صنایع پتروشیمی خلیج فارس</t>
  </si>
  <si>
    <t>کنترل زمین-افزایش</t>
  </si>
  <si>
    <t>کنترل کالای درراه پروژه</t>
  </si>
  <si>
    <t>شرکت ارتباطات زیرساخت</t>
  </si>
  <si>
    <t>06606641</t>
  </si>
  <si>
    <t>09290551</t>
  </si>
  <si>
    <t>09290681</t>
  </si>
  <si>
    <t>09502933</t>
  </si>
  <si>
    <t>09508136</t>
  </si>
  <si>
    <t>شركت پالایش نفت کرمانشاه(نفت سفید)</t>
  </si>
  <si>
    <t>سایر</t>
  </si>
  <si>
    <t>شرکت پالایش نفت تبریز</t>
  </si>
  <si>
    <t>درآمدهای مخابراتی شرکت مطابق تعرفه های شرکت ارتباطات زیرساخت ومصوبات سازمان تنظیم مقررات وارتباطات رادیویی محاسبه گردیده است.</t>
  </si>
  <si>
    <t xml:space="preserve">سود(زیان) خالص  </t>
  </si>
  <si>
    <t>وجوه دریافتی بابت  فروش دارایي هاي نامشهود</t>
  </si>
  <si>
    <t>عملكرد برنامه پنجم و قبل ازآن</t>
  </si>
  <si>
    <t>دوران برنامه ششم</t>
  </si>
  <si>
    <t>شركت پخش فرآورده هاي نفتي ايران</t>
  </si>
  <si>
    <t>شرکت پالایش نفت تهران(نفتا)</t>
  </si>
  <si>
    <t>اسفند11</t>
  </si>
  <si>
    <t>اسفند12</t>
  </si>
  <si>
    <t xml:space="preserve">جريان خالص ورود(خروج ) وجه نقد </t>
  </si>
  <si>
    <t>قبل از بستن حساب 1398</t>
  </si>
  <si>
    <t xml:space="preserve"> 1398با بستن حسابها </t>
  </si>
  <si>
    <t>1398 ميليون ريال</t>
  </si>
  <si>
    <t>پرداخت هزینه سفر خارجی</t>
  </si>
  <si>
    <t>کنترل اموال غیر منقول-افزایش</t>
  </si>
  <si>
    <t>5</t>
  </si>
  <si>
    <t>7</t>
  </si>
  <si>
    <t>8</t>
  </si>
  <si>
    <t>9</t>
  </si>
  <si>
    <t>10</t>
  </si>
  <si>
    <t>11</t>
  </si>
  <si>
    <t>6</t>
  </si>
  <si>
    <t>صورت وضعیت مالی</t>
  </si>
  <si>
    <t>دارایی ها</t>
  </si>
  <si>
    <t>دارایی های ثابت مشهود</t>
  </si>
  <si>
    <t>سرمایه گذاری های بلند مدت</t>
  </si>
  <si>
    <t>دارایی های نامشهود</t>
  </si>
  <si>
    <t>دریافتنی های بلند مدت</t>
  </si>
  <si>
    <t>پیش پرداخت ها</t>
  </si>
  <si>
    <t>موجودی مواد وکالا</t>
  </si>
  <si>
    <t>موجودی نقد</t>
  </si>
  <si>
    <t>جمع دارایی های جاری</t>
  </si>
  <si>
    <t>سرمایه</t>
  </si>
  <si>
    <t>اندوخته قانونی</t>
  </si>
  <si>
    <t>سایر اندوخته ها</t>
  </si>
  <si>
    <t>بدهی ها</t>
  </si>
  <si>
    <t>ذخیره مزایای پایان خدمت کارکنان</t>
  </si>
  <si>
    <t xml:space="preserve">پرداختنی های بلند مدت </t>
  </si>
  <si>
    <t>جمع بدهی های جاری</t>
  </si>
  <si>
    <t>جمع بدهی ها</t>
  </si>
  <si>
    <t>12</t>
  </si>
  <si>
    <t>13</t>
  </si>
  <si>
    <t xml:space="preserve">شركت نمونه (سهامي عام) </t>
  </si>
  <si>
    <t>صورت تغييرات در حقوق مالكانه</t>
  </si>
  <si>
    <t>سال مالي منتهي به 29 اسفند 2 × 13</t>
  </si>
  <si>
    <t>مانده در 01 / 01 / 1×13</t>
  </si>
  <si>
    <t>اصلاح اشتباهات (يادداشت 41)</t>
  </si>
  <si>
    <t>تغيير در رويه هاي حسابداري (يادداشت 41)</t>
  </si>
  <si>
    <t>مانده تجديد ارائه شده در 01 / 01 / 1×13</t>
  </si>
  <si>
    <t>تغييرات حقوق مالكانه در سال 1×13</t>
  </si>
  <si>
    <t>سود خالص گزارش شده در صورت هاي مالي سال 1×13</t>
  </si>
  <si>
    <t>سود خالص تجديد ارائه شده سال 1×13</t>
  </si>
  <si>
    <t xml:space="preserve">ساير اقلام سود و زيان جامع پس از كسر ماليات </t>
  </si>
  <si>
    <t>سود جامع سال 1×13</t>
  </si>
  <si>
    <t>سود سهام مصوب</t>
  </si>
  <si>
    <t>افزايش سرمايه</t>
  </si>
  <si>
    <t>افزايش سرمايه در جريان</t>
  </si>
  <si>
    <t>خريد سهام خزانه</t>
  </si>
  <si>
    <t>فروش سهام خزانه</t>
  </si>
  <si>
    <t>سود (زيان) حاصل از فروش سهام خزانه</t>
  </si>
  <si>
    <t>انتقال از ساير اقلام حقوق مالكانه به سود انباشته</t>
  </si>
  <si>
    <t xml:space="preserve">تخصيص به اندوخته قانوني </t>
  </si>
  <si>
    <t>تخصيص به ساير اندوخته ها</t>
  </si>
  <si>
    <t>مانده تجديد ارائه شده در 29 / 12 / 1×13</t>
  </si>
  <si>
    <t>تغييرات حقوق مالكانه در سال 2×13</t>
  </si>
  <si>
    <t>سود خالص سال 2×13</t>
  </si>
  <si>
    <t>سود جامع سال 2×13</t>
  </si>
  <si>
    <t>مانده در 29 / 12 / 2×13</t>
  </si>
  <si>
    <t>صرف سهام</t>
  </si>
  <si>
    <t>صرف سهام خزانه</t>
  </si>
  <si>
    <t>ساير اندوخته ها</t>
  </si>
  <si>
    <t>مازاد تجديد ارزيابي دارايي ها</t>
  </si>
  <si>
    <t>تفاوت تسعير ارز عمليات خارجي</t>
  </si>
  <si>
    <t>سود انباشته</t>
  </si>
  <si>
    <t>سهام خزانه</t>
  </si>
  <si>
    <t xml:space="preserve"> 6-دارايي هاي ثابت مشهود</t>
  </si>
  <si>
    <t xml:space="preserve">6-1- دارايي هاي ثابت مشهود شركت تا ارزش329ر915ر46  ميليون ريال به استثناء خطوط انتقال نفت خام وفرآورده های نفتی  در مقابل خطرات احتمالي ناشي از حريق ، سيل و زلزله از پوشش بيمه اي‌ برخوردار است .      </t>
  </si>
  <si>
    <t>6-2-به استناد نامه شماره 10324مورخ 1398/02/15 مدیرعامل شرکت ملی پالایش وپخش فرآورده های نفتی ایران، بخشی از دارایی های ثابت مشهود شرکت به ارزش دفتری 331 میلیارد ریال متحمل خسارت ناشی از سیل، سال 1398گردیده است.</t>
  </si>
  <si>
    <t>11-</t>
  </si>
  <si>
    <t>14-</t>
  </si>
  <si>
    <t xml:space="preserve"> اندوخته قانونی</t>
  </si>
  <si>
    <t xml:space="preserve">ساختمان و تأسيسات </t>
  </si>
  <si>
    <t xml:space="preserve">ماشين آلات و تجهيزات </t>
  </si>
  <si>
    <t xml:space="preserve">وسايل نقليه </t>
  </si>
  <si>
    <t xml:space="preserve">اثاثه و منصوبات </t>
  </si>
  <si>
    <t xml:space="preserve">دارايي هاي در جريان تكميل </t>
  </si>
  <si>
    <t xml:space="preserve">پيش پرداخت هاي سرمايه اي </t>
  </si>
  <si>
    <t xml:space="preserve">اقلام سرمايه اي در انبار </t>
  </si>
  <si>
    <t xml:space="preserve">ساير نقل و انتقالات و تغييرات </t>
  </si>
  <si>
    <t xml:space="preserve">استهلاك </t>
  </si>
  <si>
    <t>تعدیلات</t>
  </si>
  <si>
    <t>آب بند بنا</t>
  </si>
  <si>
    <t>پترو آهن فردوس</t>
  </si>
  <si>
    <t>توربوکمپرسور البرز</t>
  </si>
  <si>
    <t>احمد مدنی پور</t>
  </si>
  <si>
    <t xml:space="preserve">سایر نقل وانتقال وتغییرات </t>
  </si>
  <si>
    <t>پرداخت های نیابتی به امور صندوق ها (اقساط وکسورشاغلین-بازنشستگان و وام ها)</t>
  </si>
  <si>
    <t>ستاره خلیج فارس</t>
  </si>
  <si>
    <t>شرکت پالایش نفت تهران</t>
  </si>
  <si>
    <t>شركت خطوط لوله و مخابرات نفت ایران(سهامی خاص)</t>
  </si>
  <si>
    <t>سود (زیان)انباشته</t>
  </si>
  <si>
    <t>نقد حاصل از عملیات</t>
  </si>
  <si>
    <t>(مبالغ به میلیون ریال)</t>
  </si>
  <si>
    <t>زیان(سود)ناشی از فروش دارایی های نامشهود</t>
  </si>
  <si>
    <t>خالص افزایش در ذخیره مزایای پایان خدمت کارکنان</t>
  </si>
  <si>
    <t>افزایش</t>
  </si>
  <si>
    <t xml:space="preserve">واگذار شده </t>
  </si>
  <si>
    <t>ودایع آب-برق-گاز</t>
  </si>
  <si>
    <t>ودیعه تلفن ثابت</t>
  </si>
  <si>
    <t>ودیعه تلفن همراه</t>
  </si>
  <si>
    <t>نسبت اهرمی در پایان سال به شرح زیر است:</t>
  </si>
  <si>
    <t xml:space="preserve">خالص بدهی </t>
  </si>
  <si>
    <t>حقوق مالکانه</t>
  </si>
  <si>
    <t>نسبت خالص بدهی به حقوق مالکانه</t>
  </si>
  <si>
    <t>سایرپرداختنی ها</t>
  </si>
  <si>
    <t>مالیات پرداختنی</t>
  </si>
  <si>
    <t>دارایی های جاری</t>
  </si>
  <si>
    <t>بدهی های جاری</t>
  </si>
  <si>
    <t>جمع حقوق مالکانه</t>
  </si>
  <si>
    <t>صورت جريان هاي نقدي</t>
  </si>
  <si>
    <t xml:space="preserve">مانده ذخیره </t>
  </si>
  <si>
    <t>پیش پرداخت مالیات سالهای قبل</t>
  </si>
  <si>
    <t>درآمدحاصل از فروش منازل سازمانی</t>
  </si>
  <si>
    <t>درآمد حاصل از انتقال سوخت هواپیما</t>
  </si>
  <si>
    <t>کالای امانی نزد دیگران</t>
  </si>
  <si>
    <t>پیش پرداخت مالیات تکلیفی</t>
  </si>
  <si>
    <t>پيش پرداخت ماليات عملکرد</t>
  </si>
  <si>
    <t>ماليات   تشخيصي  / قطعی</t>
  </si>
  <si>
    <t>شرکت های هم گروه</t>
  </si>
  <si>
    <t>11-1-</t>
  </si>
  <si>
    <t>درآمد حاصل از فروش اموال اسقاطی</t>
  </si>
  <si>
    <t xml:space="preserve">سایر درآمد هاي متفرقه </t>
  </si>
  <si>
    <t>بستانكاران متفرقه-پالایش وپخش</t>
  </si>
  <si>
    <t>بین 3 تا12ماه</t>
  </si>
  <si>
    <t>1 الی 5 سال</t>
  </si>
  <si>
    <t>اصلاح اشتباهات (يادداشت 19)</t>
  </si>
  <si>
    <t xml:space="preserve">   5-</t>
  </si>
  <si>
    <t xml:space="preserve">            5-1-</t>
  </si>
  <si>
    <t>5-2-</t>
  </si>
  <si>
    <t>5-3-</t>
  </si>
  <si>
    <t>5-4- جدول مقايسه درآمدهاي عملياتي و بهاي تمام شده مربوط :</t>
  </si>
  <si>
    <t xml:space="preserve">   6-</t>
  </si>
  <si>
    <t xml:space="preserve"> 8-دارايي هاي ثابت مشهود</t>
  </si>
  <si>
    <t>8-4-</t>
  </si>
  <si>
    <t>11-2- دريافتني هاي بلند مدت</t>
  </si>
  <si>
    <t>14- موجودي نقد</t>
  </si>
  <si>
    <t>16-</t>
  </si>
  <si>
    <t>16-1-</t>
  </si>
  <si>
    <t>16-2-</t>
  </si>
  <si>
    <t>حصه بلند مدت (يادداشت 2-17 )</t>
  </si>
  <si>
    <t>17-2-1 -</t>
  </si>
  <si>
    <t xml:space="preserve"> معاملات غیرنقدی </t>
  </si>
  <si>
    <t>15-</t>
  </si>
  <si>
    <t>صندوق های بازنشستگی ، پس انداز و رفاه كاركنان صنعت نفت( حساب في مابين )</t>
  </si>
  <si>
    <t xml:space="preserve"> نقد حاصل از عملیات</t>
  </si>
  <si>
    <t>در تاریخ صورت وضعیت مالی شرکت فاقد دارایی های احتمالی بوده است .</t>
  </si>
  <si>
    <t>تعهدات سرمايه اي ناشي از قراردادهاي منعقده و مصوب در تاريخ صورت وضعیت مالی  به شرح زير است :</t>
  </si>
  <si>
    <t>خالص درآمد عملیاتی به تفکیک وابستگی اشخاص:</t>
  </si>
  <si>
    <t>سایر مشتریان</t>
  </si>
  <si>
    <t>درآمد عملیاتی</t>
  </si>
  <si>
    <t>درصد نسبت به کل</t>
  </si>
  <si>
    <t>نام مشتری</t>
  </si>
  <si>
    <t>میزان کل مطالبات</t>
  </si>
  <si>
    <t>میزان مطالبات سررسید شده</t>
  </si>
  <si>
    <t>کاهش ارزش</t>
  </si>
  <si>
    <t>كنترل سود/زیان ناشی ازفروش-جاری</t>
  </si>
  <si>
    <t>کسردوماه غلی الحساب</t>
  </si>
  <si>
    <t xml:space="preserve">انتقال طرح هاي شركت ملي مهندسي ساختمان از محل 5 درصد توسعه </t>
  </si>
  <si>
    <t>900064010-1155</t>
  </si>
  <si>
    <t>ذخاير جاري</t>
  </si>
  <si>
    <t>اختلاف پرداختني ها</t>
  </si>
  <si>
    <t>اسفند</t>
  </si>
  <si>
    <t>علی الحساب مازاد سقف</t>
  </si>
  <si>
    <t>شرکت گاز استان تهران</t>
  </si>
  <si>
    <t>06605620</t>
  </si>
  <si>
    <t>1399/12/30</t>
  </si>
  <si>
    <t>نصر ميثاق اهواز</t>
  </si>
  <si>
    <t>كيان تك ماشينهاي دوار</t>
  </si>
  <si>
    <t>فرينه فناور</t>
  </si>
  <si>
    <t>شركت پتروصدرالبرز</t>
  </si>
  <si>
    <t xml:space="preserve">علي الحساب پرداختي بابت خريد ماشين آلات و تجهيزات سرما يه اي </t>
  </si>
  <si>
    <t>ساير علي الحساب هاي پروژه هاي سرمايه اي شركت</t>
  </si>
  <si>
    <t>جمع كل:</t>
  </si>
  <si>
    <t>درآمدهاي عملياتي</t>
  </si>
  <si>
    <t xml:space="preserve">                       يادداشت هاي توضيحي صورت هاي مالي</t>
  </si>
  <si>
    <t>(افزایش)موجودي مواد و كالا</t>
  </si>
  <si>
    <t>(افزايش)  پيش پرداختها</t>
  </si>
  <si>
    <t>(کاهش)ذخایر</t>
  </si>
  <si>
    <t>افزایش پیش دریافت های عملیاتی</t>
  </si>
  <si>
    <t>شرکت خطوط لوله و مخابرات نفت ایران (سهامی خاص)</t>
  </si>
  <si>
    <t>تیر  1400</t>
  </si>
  <si>
    <t>کاربرگ جریان وجوه نقد</t>
  </si>
  <si>
    <t>چراغعلی خانی</t>
  </si>
  <si>
    <t>شرح طبقه دارایی</t>
  </si>
  <si>
    <t>مابه التفاوت</t>
  </si>
  <si>
    <t>مابه التفاوت اصلاحی</t>
  </si>
  <si>
    <t>جریان وجوه نقد</t>
  </si>
  <si>
    <t>بدهکار</t>
  </si>
  <si>
    <t>بستانکار</t>
  </si>
  <si>
    <t>عملیاتی</t>
  </si>
  <si>
    <t>سرمایه گذاری</t>
  </si>
  <si>
    <t>تامین مالی</t>
  </si>
  <si>
    <t>دریافتنی های تجاری وغیر تجاری</t>
  </si>
  <si>
    <t>پرداختنی های تجاری و ساير پرداختني ها</t>
  </si>
  <si>
    <t>پيش دريافت ها</t>
  </si>
  <si>
    <t>زیان خالص</t>
  </si>
  <si>
    <t>سود فروش دارایی ثابت</t>
  </si>
  <si>
    <t>مالیات بر درآمد</t>
  </si>
  <si>
    <t>سود ابرازی سهم دولت</t>
  </si>
  <si>
    <t>هزینه استهلاک</t>
  </si>
  <si>
    <t>12-1- گردش حساب پيش پرداخت ماليات عملكرد  بشرح ذيل است:</t>
  </si>
  <si>
    <t xml:space="preserve"> كاهش (افزايش)  دريافتني هاي عملياتي</t>
  </si>
  <si>
    <t xml:space="preserve">  جريان های نقدی حاصل از فعاليت هاي عملياتي</t>
  </si>
  <si>
    <t xml:space="preserve">   نقد حاصل از عملیات</t>
  </si>
  <si>
    <t xml:space="preserve">  پرداخت های نقدی بابت مالیات بر درآمد</t>
  </si>
  <si>
    <t xml:space="preserve">  جریان های نقدی حاصل از فعالیت های سرمایه گذاری</t>
  </si>
  <si>
    <t xml:space="preserve">   دریافت های نقدی حاصل از فروش دارایي هاي ثابت مشهود </t>
  </si>
  <si>
    <t xml:space="preserve">   پرداخت های نقدی برای  خريد دارایي هاي ثابت مشهود</t>
  </si>
  <si>
    <t xml:space="preserve">   پرداخت های نقدی برای  خريد دارایي هاي نامشهود</t>
  </si>
  <si>
    <t xml:space="preserve">  جریان های نقدی حاصل از فعالیت های تامین مالی</t>
  </si>
  <si>
    <t xml:space="preserve">  مانده موجودی نقد در ابتداي سال </t>
  </si>
  <si>
    <t xml:space="preserve">  مانده موجودی نقد در پايان سال</t>
  </si>
  <si>
    <t xml:space="preserve">  معاملات غیر نقدی </t>
  </si>
  <si>
    <t xml:space="preserve"> هزينه ماليات بر درآمد </t>
  </si>
  <si>
    <t>6-3-</t>
  </si>
  <si>
    <t>-6-6-1</t>
  </si>
  <si>
    <t>5-3-1-</t>
  </si>
  <si>
    <t>شركت پتروشيمي شازند (نفتا ازخلیج فارس )</t>
  </si>
  <si>
    <t>شركت پتروشيمي شازند (نفتا ازآبادان )</t>
  </si>
  <si>
    <t>1400/12/29</t>
  </si>
  <si>
    <t>سال 1400</t>
  </si>
  <si>
    <t>1400-ميليون ريال</t>
  </si>
  <si>
    <t>99-ميليون ريال</t>
  </si>
  <si>
    <t>ارسلان رحیمی</t>
  </si>
  <si>
    <t>1399/01/01</t>
  </si>
  <si>
    <t>علی الحساب سنوات بازنشستگی کارمندان</t>
  </si>
  <si>
    <t>کنترل تاسیسات مخابراتی-افزایش</t>
  </si>
  <si>
    <t>ودايع  آب ،برق وتلفن</t>
  </si>
  <si>
    <t>شركت پتروشيمي بندر امام خمینی</t>
  </si>
  <si>
    <t>بازسازی عتبات عالیات</t>
  </si>
  <si>
    <t>06605626</t>
  </si>
  <si>
    <t>06603436</t>
  </si>
  <si>
    <t>06505126</t>
  </si>
  <si>
    <t>کسردوماه علی الحساب</t>
  </si>
  <si>
    <t>06508997</t>
  </si>
  <si>
    <t>حساب معوق پاکتها ی موازنه نشده</t>
  </si>
  <si>
    <t>90002135</t>
  </si>
  <si>
    <t>اقساط وام بانک تجارت</t>
  </si>
  <si>
    <t>09290187</t>
  </si>
  <si>
    <t>اقساط وام اضطراری بانک مهر</t>
  </si>
  <si>
    <t>09290871</t>
  </si>
  <si>
    <t>شركت پتروشیمی ارومیه</t>
  </si>
  <si>
    <t>شركت گاز استان تهران</t>
  </si>
  <si>
    <t>90002140</t>
  </si>
  <si>
    <t>90002102</t>
  </si>
  <si>
    <t>90007112</t>
  </si>
  <si>
    <t>استهلاک تاسیسات ودستگاه ها-از رده خارج</t>
  </si>
  <si>
    <t>(برق)ذخیره استهلاک طی سال صنایع انتقال نیرو</t>
  </si>
  <si>
    <t>ذخيره استهلاك خطوط لوله - جريان گاز- افزایش</t>
  </si>
  <si>
    <t>ذخيره استهلاك خطوط لوله - جريان گاز-افزایش</t>
  </si>
  <si>
    <t>تنخواه گردان ذيحسابي طرحهاي عمراني-منابع داخلی</t>
  </si>
  <si>
    <t xml:space="preserve">از رده خارج شده </t>
  </si>
  <si>
    <t>بند د تبصره 16 قانون بودجه سال1400</t>
  </si>
  <si>
    <t>90005999</t>
  </si>
  <si>
    <t>ذخیره مطالبات مشکوک الوصول</t>
  </si>
  <si>
    <t>بازیافتی کارکنان</t>
  </si>
  <si>
    <t>صورت سود و زيان</t>
  </si>
  <si>
    <t xml:space="preserve">   دریافت های نقدی ناشی از  فروش دارایي هاي نامشهود</t>
  </si>
  <si>
    <t>هزینه مالیات بردرآمد</t>
  </si>
  <si>
    <t>تجاری :</t>
  </si>
  <si>
    <t>سایر دریافتنی ها:</t>
  </si>
  <si>
    <t>حسابهای پرداختنی :</t>
  </si>
  <si>
    <t>سایر پرداختنی ها :</t>
  </si>
  <si>
    <t>سود(زیان )خالص</t>
  </si>
  <si>
    <t>11-1-2-2 -</t>
  </si>
  <si>
    <t>حسابهای دریافتنی :</t>
  </si>
  <si>
    <t>ذخيره مستمري بازنشستگان بشرح زير است :</t>
  </si>
  <si>
    <t>13-1- کالای امانی نزد دیگران:</t>
  </si>
  <si>
    <t>نوع کالا</t>
  </si>
  <si>
    <t>محل نگهداری</t>
  </si>
  <si>
    <t>کارخانه پوشش سلفچگان</t>
  </si>
  <si>
    <t>شرکت ملی نفت ایران</t>
  </si>
  <si>
    <t>شركت ملی نفت ایران</t>
  </si>
  <si>
    <t>عضو  هیات مدیره و رییس امور حقوقی وپیمانها</t>
  </si>
  <si>
    <r>
      <t xml:space="preserve">             صورت هاي مالي طبق استانداردهاي حسابداري تهيه شده و در تاريخ  </t>
    </r>
    <r>
      <rPr>
        <b/>
        <sz val="18"/>
        <color theme="0"/>
        <rFont val="B Koodak"/>
        <charset val="178"/>
      </rPr>
      <t>1401/04/11</t>
    </r>
    <r>
      <rPr>
        <b/>
        <sz val="18"/>
        <color theme="1"/>
        <rFont val="B Koodak"/>
        <charset val="178"/>
      </rPr>
      <t xml:space="preserve">  به تاييد هيات مديره شركت رسيده است.</t>
    </r>
  </si>
  <si>
    <t>سود سهم دولت</t>
  </si>
  <si>
    <t xml:space="preserve">             </t>
  </si>
  <si>
    <t xml:space="preserve">            </t>
  </si>
  <si>
    <t xml:space="preserve">         </t>
  </si>
  <si>
    <t xml:space="preserve">       </t>
  </si>
  <si>
    <t>ردیف</t>
  </si>
  <si>
    <t xml:space="preserve">عناوین بودجه تفصیلی </t>
  </si>
  <si>
    <t>بودجه مصوب</t>
  </si>
  <si>
    <t>بودجه اصلاحی</t>
  </si>
  <si>
    <t>عملکرد</t>
  </si>
  <si>
    <t>دلایل انحراف</t>
  </si>
  <si>
    <t>عطف به یادداشتهای همراه صورتهای مالی</t>
  </si>
  <si>
    <t>مبلغ</t>
  </si>
  <si>
    <t>درصد</t>
  </si>
  <si>
    <t>جمع کل هزینه</t>
  </si>
  <si>
    <t>یادداشت شماره(8)</t>
  </si>
  <si>
    <t>واحد سنجش</t>
  </si>
  <si>
    <t>مقدار هدف پیش بینی شده در بودجه مصوب</t>
  </si>
  <si>
    <t>مقدار عملکرد واقعی هدف</t>
  </si>
  <si>
    <t>میزان انحراف</t>
  </si>
  <si>
    <t>انتقال نفت خام و میعانات گازی</t>
  </si>
  <si>
    <t>میلیون لیتر</t>
  </si>
  <si>
    <t>تقاضای بیشتر خوراک توسط شرکتهای پالایش نفت</t>
  </si>
  <si>
    <t>انتقال فرآورده های نفتی</t>
  </si>
  <si>
    <t>افزایش در مصارف عمومی</t>
  </si>
  <si>
    <t>نام کالا/خدمت تولیدی با عنوان هدف</t>
  </si>
  <si>
    <t xml:space="preserve">سنجه عملکرد </t>
  </si>
  <si>
    <t>هزینه ریالی هر واحد تولید / خدمت / هدف طبق بودجه مصوب</t>
  </si>
  <si>
    <t>عملکرد ریالی واقعی هر واحد تولید / خدمت / هدف</t>
  </si>
  <si>
    <t>بودجه ریالی مصوب هدف</t>
  </si>
  <si>
    <t>عملکرد ریالی هدف</t>
  </si>
  <si>
    <t>سایر درآمدها</t>
  </si>
  <si>
    <t>افزایش درخواست حمل نسبت به مقدار پیش بینی شده</t>
  </si>
  <si>
    <t>افزایش فروش اموال اسقاطی شرکت</t>
  </si>
  <si>
    <t>نام کالا/خدمت تولیدی یا 
عنوان هدف</t>
  </si>
  <si>
    <t xml:space="preserve">  جريان خالص  خروج  نقد حاصل ازفعاليت هاي سرمايه گذاري</t>
  </si>
  <si>
    <t>سود عملیاتی</t>
  </si>
  <si>
    <t xml:space="preserve">شرکت کارنو ایده ال </t>
  </si>
  <si>
    <t>شرکت چکاد جنوب</t>
  </si>
  <si>
    <t>شرکت البرز توربین</t>
  </si>
  <si>
    <t>شرکت فنی مهندسی پتروشیمی فارس</t>
  </si>
  <si>
    <t>شرکت کیان تک ماشینهای دوار</t>
  </si>
  <si>
    <t>شرکت توربين ماشين خاورميانه</t>
  </si>
  <si>
    <t>شرکت نصر ميثاق اهواز</t>
  </si>
  <si>
    <t>پیش از موعد</t>
  </si>
  <si>
    <t>عادی</t>
  </si>
  <si>
    <t>پرداختي طي سال</t>
  </si>
  <si>
    <t>مانده پایان سال</t>
  </si>
  <si>
    <t>پیش پرداخت خرید های سرمایه ای</t>
  </si>
  <si>
    <t>زيان خالص  شده سال 1399</t>
  </si>
  <si>
    <t>عطف به یادداشت های همراه صورت های مالی</t>
  </si>
  <si>
    <t xml:space="preserve">درآمدها </t>
  </si>
  <si>
    <t>درآمد حاصل از ارائه خدمات</t>
  </si>
  <si>
    <t xml:space="preserve">افزایش درخواست انتقال نسبت به مقدار پیش بینی شده </t>
  </si>
  <si>
    <t>جمع کل درآمد</t>
  </si>
  <si>
    <t>جمع خالص درآمد</t>
  </si>
  <si>
    <t>جمع دستمزد و مزایای کارگران</t>
  </si>
  <si>
    <t>دستمزد و مزایا</t>
  </si>
  <si>
    <t>اضافه کار</t>
  </si>
  <si>
    <t>عیدی و پاداش</t>
  </si>
  <si>
    <t>حق بیمه و بازنشستگی سهم کارفرما</t>
  </si>
  <si>
    <t>جمع حقوق و مزایای کارمندان</t>
  </si>
  <si>
    <t>حقوق و مزایای مستمر ( حقوق و مزایای حکم )</t>
  </si>
  <si>
    <t>خدمات قراردادی - اشخاص حقیقی</t>
  </si>
  <si>
    <t>هزینه سایر کارکنان</t>
  </si>
  <si>
    <t xml:space="preserve">جمع حقوق و دستمزد پرداختی در تولید </t>
  </si>
  <si>
    <t>خدمات قراردادی - اشخاص حقوقی</t>
  </si>
  <si>
    <t>استهلاک عوامل تولید</t>
  </si>
  <si>
    <t>اجاره محل</t>
  </si>
  <si>
    <t>لوازم یدکی و ابزار کار</t>
  </si>
  <si>
    <t>سوخت ماشین آلات</t>
  </si>
  <si>
    <t>آب و برق و سوخت</t>
  </si>
  <si>
    <t>تعمیرات و نگهداری</t>
  </si>
  <si>
    <t>لوازم و مواد مصرفی</t>
  </si>
  <si>
    <t>حق بیمه</t>
  </si>
  <si>
    <t>سایر هزینه های عمومی تولید</t>
  </si>
  <si>
    <t>جمع هزینه های سربار تولید</t>
  </si>
  <si>
    <t>قیمت تمام شده تولید</t>
  </si>
  <si>
    <t>قیمت تمام شده کالای فروش رفته یا خدمات انجام شده</t>
  </si>
  <si>
    <t>سود ( زیان ) ناخالص</t>
  </si>
  <si>
    <t>هزینه های توزیع و فروش</t>
  </si>
  <si>
    <t>سایر هزینه های توزیع و فروش</t>
  </si>
  <si>
    <t>جمع هزینه های توزیع و فروش</t>
  </si>
  <si>
    <t>هزینه های اداری و عمومی</t>
  </si>
  <si>
    <t>جمع حقوق و دستمزد پرداختی در اداری و عمومی</t>
  </si>
  <si>
    <t>پست و تلفن</t>
  </si>
  <si>
    <t>ملزومات اداری</t>
  </si>
  <si>
    <t>کارمزد بانکی</t>
  </si>
  <si>
    <t xml:space="preserve">ایاب و ذهاب </t>
  </si>
  <si>
    <t>مراسم و پذیرایی</t>
  </si>
  <si>
    <t>جمع پاداش سنوات خدمت کارکنان</t>
  </si>
  <si>
    <t>ذخیره و پاداش پایان خدمت بازنشستگان</t>
  </si>
  <si>
    <t>سایر هزینه های بازنشستگان</t>
  </si>
  <si>
    <t>سایر هزینه های اداری</t>
  </si>
  <si>
    <t>هزینه تحقیقات ( جزئی از سایر هزینه های اداری )</t>
  </si>
  <si>
    <t>جمع هزینه های اداری و عمومی</t>
  </si>
  <si>
    <t>جمع هزینه های توزیع و فروش و اداری و عمومی</t>
  </si>
  <si>
    <t>سود ( زیان ) عملیاتی</t>
  </si>
  <si>
    <t>هزینه های مالی</t>
  </si>
  <si>
    <t>( سایر پرداختها )</t>
  </si>
  <si>
    <t xml:space="preserve">مالیات </t>
  </si>
  <si>
    <t xml:space="preserve"> 50%سود ویژه</t>
  </si>
  <si>
    <t>حساب تخصیص سود</t>
  </si>
  <si>
    <t xml:space="preserve">اندوخته سرمایه ای </t>
  </si>
  <si>
    <t>جمع حساب تخصیص سود</t>
  </si>
  <si>
    <t>ذخایر سال</t>
  </si>
  <si>
    <t>منابع</t>
  </si>
  <si>
    <t>اندوخته های سال</t>
  </si>
  <si>
    <t>سایر منابع</t>
  </si>
  <si>
    <t>جمع منابع</t>
  </si>
  <si>
    <t>مصارف</t>
  </si>
  <si>
    <t>زمین</t>
  </si>
  <si>
    <t xml:space="preserve">تاسیسات </t>
  </si>
  <si>
    <t>ماشین آلات</t>
  </si>
  <si>
    <t>وسایط نقلیه</t>
  </si>
  <si>
    <t>اثاثیه و لوازم اداری</t>
  </si>
  <si>
    <t>سرمایه گذاری در تحقیقات و پژوهش</t>
  </si>
  <si>
    <t>جمع هزینه های سرمایه ای</t>
  </si>
  <si>
    <t>جمع مصارف</t>
  </si>
  <si>
    <t>سود خالص نقل به حساب تخصیص سود / منابع تامین زیان</t>
  </si>
  <si>
    <t xml:space="preserve">سود قبل از کسر مالیات </t>
  </si>
  <si>
    <t>شرکت ایران اویل فیلد سوپلای کیش</t>
  </si>
  <si>
    <t>شرکت کارنو ایده ال آرمان</t>
  </si>
  <si>
    <t>ارزی</t>
  </si>
  <si>
    <t>ریالی</t>
  </si>
  <si>
    <t>یادداشت</t>
  </si>
  <si>
    <t>صورت های مالی</t>
  </si>
  <si>
    <t>مجمع عمومی عادی صاحبان سهام</t>
  </si>
  <si>
    <t>با احترام</t>
  </si>
  <si>
    <t>اجزای تشکیل دهنده صورت های مالی به قرار زیر است:</t>
  </si>
  <si>
    <t>اعضای هیات مدیره</t>
  </si>
  <si>
    <t>رییس هیات مدیره و مدیر عامل</t>
  </si>
  <si>
    <t>عضو هیات مدیره و مدیر امور مالی</t>
  </si>
  <si>
    <t>تهران ، خیابان طالقانی ، خیابان شهید سپهبد قرنی ، شماره 188 ، کد پستی 95913-15989 تلفن 61651</t>
  </si>
  <si>
    <t>شناسه ملی شرکت 10101921197 ، WWW.IOPTC.ir</t>
  </si>
  <si>
    <t>شرکت خطوط لوله و مخابرات نفت ایران  (سهامی خاص)</t>
  </si>
  <si>
    <t>رویدادهای پس از تاریخ پایان دوره گزارشگری</t>
  </si>
  <si>
    <t xml:space="preserve">وضعیت ارزی </t>
  </si>
  <si>
    <t>25-1 -</t>
  </si>
  <si>
    <t xml:space="preserve"> سود(زیان) </t>
  </si>
  <si>
    <t xml:space="preserve">حق العلاج كاركنان توسط بهداري و بهداشت </t>
  </si>
  <si>
    <t>اصلاحات وتعدیلات حسابرس</t>
  </si>
  <si>
    <t>مانده صورتهای مالی</t>
  </si>
  <si>
    <t>مانده نهائی صورتهای مالی</t>
  </si>
  <si>
    <t>مانده طبق دفاتر</t>
  </si>
  <si>
    <t>1401 ميليون ريال</t>
  </si>
  <si>
    <t xml:space="preserve"> سال مالي منتهي به 29 اسفند 1401</t>
  </si>
  <si>
    <t>در 29 اسفند 1401</t>
  </si>
  <si>
    <t>1401/12/29</t>
  </si>
  <si>
    <t>1400/12/30</t>
  </si>
  <si>
    <t>سال 1401</t>
  </si>
  <si>
    <t>شش ماهه1401</t>
  </si>
  <si>
    <t>سال1401</t>
  </si>
  <si>
    <t>مانده در پايان سال 1401</t>
  </si>
  <si>
    <t>مبلغ دفتري در پايان سال 1401</t>
  </si>
  <si>
    <t>مانده در پایان سال 1401</t>
  </si>
  <si>
    <t>مبلغ دفتری در پایان سال 1401</t>
  </si>
  <si>
    <t>هیچگونه کاهش ارزشی در رابطه با مطالبات از اشخاص وابسته در سالهای 1401 و 1400 شناسایی نشده است.</t>
  </si>
  <si>
    <t xml:space="preserve">توضیح اینکه جدول فوق در راستای دستورالعمل موضوع جزء (3-1) بند "د" تبصره (2) قانون بودجه سال 1402 کل کشور تهیه شده است. </t>
  </si>
  <si>
    <t xml:space="preserve">توضیح اینکه جداول فوق در راستای دستورالعمل موضوع جزء (3-1) بند "د" تبصره (2) قانون بودجه سال 1402 کل کشور تهیه شده است. </t>
  </si>
  <si>
    <t>کنترل افزایش اموال غیر منقول(ساختمان و تاسیسات)</t>
  </si>
  <si>
    <t>90006595</t>
  </si>
  <si>
    <t>90006596</t>
  </si>
  <si>
    <t>مالیات بر ارزش افزوده فروش 9 درصد</t>
  </si>
  <si>
    <t>مالیات بر ارزش افزوده خرید 9 درصد</t>
  </si>
  <si>
    <t>هزینه برق منازل سازمانی</t>
  </si>
  <si>
    <t>09298251</t>
  </si>
  <si>
    <t>شرکت گاز استان گلستان</t>
  </si>
  <si>
    <t>شركت  گاز استان البرز</t>
  </si>
  <si>
    <t>شرکت بازرگانی گاز ایران</t>
  </si>
  <si>
    <t>09301220</t>
  </si>
  <si>
    <t>حق عضویت باشگاه نفت مشهد</t>
  </si>
  <si>
    <t>09301842</t>
  </si>
  <si>
    <t>کسر اقساط بیمه آسیا</t>
  </si>
  <si>
    <t>09306438</t>
  </si>
  <si>
    <t>باشگاه نفت شیراز</t>
  </si>
  <si>
    <t>علی حبیبی</t>
  </si>
  <si>
    <t>محسن اعلایی</t>
  </si>
  <si>
    <t>1398-1402</t>
  </si>
  <si>
    <t>درامد حاصل از جریمه تاخیر تعهدات پیمانکاران</t>
  </si>
  <si>
    <t>عضو هیات مدیره و سرپرست امور حقوقی و پیمان ها</t>
  </si>
  <si>
    <t>تعدیلات پیش پرداخت های  پیمانکاران سرمایه ای</t>
  </si>
  <si>
    <t xml:space="preserve">ساختمان </t>
  </si>
  <si>
    <t>شرکت توربین خاور میانه</t>
  </si>
  <si>
    <t>شرکت فناوران تجارت پویا</t>
  </si>
  <si>
    <t>شرکت آراد صنعت ماهان</t>
  </si>
  <si>
    <t>شرکت پترو دوار انرژی پژوهان</t>
  </si>
  <si>
    <t>طرح احداث خطوط لوله نفت خام ترش سبزآب /تنگ فنی/ ری</t>
  </si>
  <si>
    <t>سایر شرکتها(12)</t>
  </si>
  <si>
    <t>092902010101</t>
  </si>
  <si>
    <t>شرکت ملی پالایش وپخش فرآورده های نفتی ایران</t>
  </si>
  <si>
    <t>تسويه پيش پرداخت قطعي شده سال1396</t>
  </si>
  <si>
    <t>تسويه پيش پرداخت قطعي شده سال1399</t>
  </si>
  <si>
    <t>92</t>
  </si>
  <si>
    <t>91</t>
  </si>
  <si>
    <t>100</t>
  </si>
  <si>
    <t>73</t>
  </si>
  <si>
    <t>95</t>
  </si>
  <si>
    <t>84</t>
  </si>
  <si>
    <t>78</t>
  </si>
  <si>
    <t>90</t>
  </si>
  <si>
    <t>79</t>
  </si>
  <si>
    <t>81</t>
  </si>
  <si>
    <t>80</t>
  </si>
  <si>
    <t>74</t>
  </si>
  <si>
    <t>57</t>
  </si>
  <si>
    <t>99</t>
  </si>
  <si>
    <t>94</t>
  </si>
  <si>
    <t xml:space="preserve">تن </t>
  </si>
  <si>
    <t>شرکت پالایش نفت آبادان (ریفورمیت)</t>
  </si>
  <si>
    <t>انتقال طرح هاي شركت ملي مهندسي ساختمان از محل تراز انتقالی</t>
  </si>
  <si>
    <t>واحد</t>
  </si>
  <si>
    <t>هزار لیتر</t>
  </si>
  <si>
    <t>شرکت ملی پخش فرآورده های نفتی</t>
  </si>
  <si>
    <t>شرکت پالایش نفت آبادان</t>
  </si>
  <si>
    <t>هادی شیخ مقدس</t>
  </si>
  <si>
    <t xml:space="preserve">  افزايش(کاهش)  پرداختني هاي عملياتي</t>
  </si>
  <si>
    <t>شماره یادداشت</t>
  </si>
  <si>
    <t>• صورت سود و زیان</t>
  </si>
  <si>
    <t>• صورت وضعیت مالی</t>
  </si>
  <si>
    <t>• صورت جریان های نقدی</t>
  </si>
  <si>
    <t>• صورت تغییرات در حقوق مالکانه</t>
  </si>
  <si>
    <t>• یادداشت های توضیحی و سایر اطلاعات مالی</t>
  </si>
  <si>
    <t>نرخ</t>
  </si>
  <si>
    <t xml:space="preserve"> مالیات پرداختنی</t>
  </si>
  <si>
    <t>بالای 5 سال</t>
  </si>
  <si>
    <t xml:space="preserve">  خالص افزایش (کاهش) در موجودی نقد</t>
  </si>
  <si>
    <t>پرداختنی های بلند مدت</t>
  </si>
  <si>
    <t>عضو اصلی و معاون مدیر عامل</t>
  </si>
  <si>
    <t>نایب رییس هیات مدیره و مدیر خطوط لوله</t>
  </si>
  <si>
    <t>احمد بهفرد</t>
  </si>
  <si>
    <t>شركت  پالایش نفت امام خمینی شازند</t>
  </si>
  <si>
    <t>0/0001</t>
  </si>
  <si>
    <t>0/000018</t>
  </si>
  <si>
    <t>پیش پرداخت</t>
  </si>
  <si>
    <t>علی الحساب</t>
  </si>
  <si>
    <t>درآمد اجاره خط لوله مسیر تبریز میاندوآب</t>
  </si>
  <si>
    <t>واحد اندازه گیری ( متر)</t>
  </si>
  <si>
    <t>منابع دریافتی از محل تراز انتقالی شرکت ملی مهندسی و ساختمان نفت ایران</t>
  </si>
  <si>
    <t>17-1-1</t>
  </si>
  <si>
    <t>طرح احداث خطوط لوله 20 اينچ نايين/كاشان/ري</t>
  </si>
  <si>
    <t>انتقال به دارایی</t>
  </si>
  <si>
    <t>هزینه های انجام شده از محل منابع داخلی و 5 درصد</t>
  </si>
  <si>
    <t>برگشت به پالایش وپخش از محل 5 درصد</t>
  </si>
  <si>
    <t>مانده</t>
  </si>
  <si>
    <t>هزینه های  انجام شده از محل منابع  داخلی</t>
  </si>
  <si>
    <t>تراز انتقالی</t>
  </si>
  <si>
    <t xml:space="preserve">بازنشستگي و پس انداز و بيمه كارمندان رسمي </t>
  </si>
  <si>
    <t>دیون بابت بهره برداری از خط نایین/ کاشان / ری</t>
  </si>
  <si>
    <t>مالیات بر درآمد دستمزد کارگران</t>
  </si>
  <si>
    <t xml:space="preserve">ودیعه مسکن  امانی کارکنان </t>
  </si>
  <si>
    <t>کارانه و پاداش</t>
  </si>
  <si>
    <t>پرداختنی های  تجاری</t>
  </si>
  <si>
    <t>درهم امارات</t>
  </si>
  <si>
    <t>یورو</t>
  </si>
  <si>
    <t>سایر حسابهای پرداختنی تجاری</t>
  </si>
  <si>
    <t>جمع دارایی های پولی ارزی</t>
  </si>
  <si>
    <t>جمع بدهی های پولی ارزی</t>
  </si>
  <si>
    <t>خالص دارایی ها (بدهی های ) پولی ارزی</t>
  </si>
  <si>
    <t>معادل ریالی خالص دارایی ها (بدهی های) پولی ارزی (میلیون ریال)</t>
  </si>
  <si>
    <t>جمع طرح 1301034005</t>
  </si>
  <si>
    <t xml:space="preserve"> طرح 130134005 اتصال نیروگاه ها به خطوط لوله انتقال فرآورده</t>
  </si>
  <si>
    <t>د-</t>
  </si>
  <si>
    <t>اتصال نیروگاه ها به خطوط انتقال فرآورده</t>
  </si>
  <si>
    <t>جمع طرح 1301034005 شرکت خطوط لوله و مخابرات نفت ایران</t>
  </si>
  <si>
    <t>به  منظور ارائه تصویری مناسب از وضعیت مالی ونتایج عملیات  ، کلیه اطلاعات مقایسه ای در صورت های مالی اصلاح وارائه مجدد شده است و به همین دلیل مقایسه ای بعضا" با صورت های مالی ارائه شده در سال مالی قبل مطابقت ندارد.</t>
  </si>
  <si>
    <t>دریافتنی های تجاری و سایر دریافتنی ها</t>
  </si>
  <si>
    <t>26-1 -</t>
  </si>
  <si>
    <t>(تجدید ارائه شده)</t>
  </si>
  <si>
    <t xml:space="preserve">مالیات پرداختنی </t>
  </si>
  <si>
    <t>خلاصه وضعیت مالیات و عوارض ارزش افزوده به شرح زیر است .</t>
  </si>
  <si>
    <t>اظهار نامه فصلی شرکت</t>
  </si>
  <si>
    <t>23- مدیریت سرمایه و ریسک ها</t>
  </si>
  <si>
    <t>23-1- مدیریت سرمایه</t>
  </si>
  <si>
    <t xml:space="preserve">23-1-1 - نسبت اهرمی </t>
  </si>
  <si>
    <r>
      <rPr>
        <b/>
        <sz val="24"/>
        <color theme="1"/>
        <rFont val="B Koodak"/>
        <charset val="178"/>
      </rPr>
      <t>23-5- مدیریت ریسک نقدینگی</t>
    </r>
    <r>
      <rPr>
        <b/>
        <sz val="22"/>
        <color theme="1"/>
        <rFont val="B Koodak"/>
        <charset val="178"/>
      </rPr>
      <t xml:space="preserve">
شرکت برای مدیریت ریسک نقدینگی، یک چارچوب ریسک نقدینگی مناسب برای مدیریت کوتاه‌مدت، میان‌مدت و بلندمدت تامین وجوه و الزامات مدیریت نقدینگی تعیین کرده است. شرکت ریسک نقدینگی را از طریق نگهداری سپرده کافی، از طریق نظارت مستمر بر جریان‌های نقدی پیش‌بینی‌شده و واقعی، و از طریق تطبیق مقاطع سررسید دارایی‌ها و بدهی‌های مالی، مدیریت می‌کند.</t>
    </r>
    <r>
      <rPr>
        <sz val="22"/>
        <color theme="1"/>
        <rFont val="B Koodak"/>
        <charset val="178"/>
      </rPr>
      <t xml:space="preserve">
</t>
    </r>
  </si>
  <si>
    <t>24-</t>
  </si>
  <si>
    <t>25-2 -</t>
  </si>
  <si>
    <t>25-3 -</t>
  </si>
  <si>
    <t>27-1 -</t>
  </si>
  <si>
    <t>27-2 -</t>
  </si>
  <si>
    <t>27-3 -</t>
  </si>
  <si>
    <t>27-4-</t>
  </si>
  <si>
    <t>ذخیره مالیات عملکرد سال</t>
  </si>
  <si>
    <t>پرداختی طی سال</t>
  </si>
  <si>
    <t>خلاصه وضعیت مالیات پرداختنی به شرح زیر است :</t>
  </si>
  <si>
    <t xml:space="preserve">گردش حساب مالیات پرداختنی ( شامل مانده حساب ذخیره و اسناد پرداختنی ) به قرار زیر است : </t>
  </si>
  <si>
    <t>جریمه</t>
  </si>
  <si>
    <t>اصل</t>
  </si>
  <si>
    <t xml:space="preserve">مازاد مورد مطالبه دارایی </t>
  </si>
  <si>
    <t xml:space="preserve">(یاداشت 1-12)پیش پرداخت های مالیات </t>
  </si>
  <si>
    <t>پرداخت نقدی</t>
  </si>
  <si>
    <t xml:space="preserve">شركت پالایش گاز بيد بلند </t>
  </si>
  <si>
    <t>شركت ملي نفت ایران</t>
  </si>
  <si>
    <t xml:space="preserve"> رسیدگی به دفاتر</t>
  </si>
  <si>
    <t xml:space="preserve">دارایی های غیرجاری </t>
  </si>
  <si>
    <t>جمع دارایی های غیرجاری</t>
  </si>
  <si>
    <t>اندوخته عمومی</t>
  </si>
  <si>
    <t>تغييرات حقوق مالكانه در سال1401</t>
  </si>
  <si>
    <t xml:space="preserve">  جريان خالص ورود(خروج) نقد قبل ازفعاليت های تامین مالی</t>
  </si>
  <si>
    <t xml:space="preserve">استهلاك انباشته  </t>
  </si>
  <si>
    <t xml:space="preserve">بهای تمام شده </t>
  </si>
  <si>
    <t>پرداختهاي نقدي طی سال</t>
  </si>
  <si>
    <t>کالای ساختمانی</t>
  </si>
  <si>
    <t>نگهداشت</t>
  </si>
  <si>
    <t>حمل ونقل زمینی</t>
  </si>
  <si>
    <t>بیمه تاسیسات و حوادث</t>
  </si>
  <si>
    <t>تعمیرات توسط گروه های خارج از شرکت</t>
  </si>
  <si>
    <t>ماده 10 قانون وظایف واختیارات وزارت نفت</t>
  </si>
  <si>
    <t>پتروشیمی اراک</t>
  </si>
  <si>
    <t>پتروشیمی تبریز</t>
  </si>
  <si>
    <t>مالیات بر درآمد حقوق کارمندان</t>
  </si>
  <si>
    <t>هزینه های پرداختنی</t>
  </si>
  <si>
    <t>17-1-2</t>
  </si>
  <si>
    <t>17-1-1-</t>
  </si>
  <si>
    <t>17-1-2-</t>
  </si>
  <si>
    <t>17-1-3</t>
  </si>
  <si>
    <t>ساير( پرداخت های نیابتی وخدمات في مابين )</t>
  </si>
  <si>
    <t>17-1-1-1- گردش حساب جاري فيمابين با شركت ملي پالايش و پخش به شرح ذيل است :</t>
  </si>
  <si>
    <t>هزینه های تحقق یافته پرداخت نشده</t>
  </si>
  <si>
    <t>بابت تصویب افزایش سرمایه در تاریخ1402/03/21 (به شرح یادداشت15)</t>
  </si>
  <si>
    <t>11-1-1</t>
  </si>
  <si>
    <t>حساب معلق اعلامیه ها</t>
  </si>
  <si>
    <t>تجاری</t>
  </si>
  <si>
    <t>حسابهاي دريافتني</t>
  </si>
  <si>
    <t xml:space="preserve">اشخاص وابسته </t>
  </si>
  <si>
    <t>11-1-1-اشخاص وابسته به شرح زیر است:</t>
  </si>
  <si>
    <t>11-1-2</t>
  </si>
  <si>
    <t>11-1-3</t>
  </si>
  <si>
    <t>17-1-3-</t>
  </si>
  <si>
    <t>بدهی به پیمانکاران</t>
  </si>
  <si>
    <t>بدهی به پیمانکاران به شرح زیر است:</t>
  </si>
  <si>
    <t>پرداخت های نیابتی بابت مستمری بازنشستگان</t>
  </si>
  <si>
    <t>پرداخت های نیابتی بابت حق العلاج کارکنان</t>
  </si>
  <si>
    <t xml:space="preserve"> مبلغ 831ر624 میلیون ریال مربط به سه شرکت ایران اویل فیلد سوپلای کیش (332ر433ر5 درهم  ا مارات) ، شرکت کارنو ایده ال آرمان (718ر302 یورو ) و شرکت فناوران تجارت پویا (223ر173 درهم امارات ) می باشد.</t>
  </si>
  <si>
    <t xml:space="preserve">بیمه </t>
  </si>
  <si>
    <t>حمع</t>
  </si>
  <si>
    <t>سپرده حسن انجام کار</t>
  </si>
  <si>
    <t>1400</t>
  </si>
  <si>
    <t>بدهی های غیرجاری</t>
  </si>
  <si>
    <t>جمع بدهی های غیرجاری</t>
  </si>
  <si>
    <t>حقوق مالکانه و بدهی ها</t>
  </si>
  <si>
    <t>پرداخت های نقدی بابت سود سهم دولت</t>
  </si>
  <si>
    <t>علت افزايش هزينه هاي گاز و حق العلاج ناشي از افزايش نرخ و افزايش هزينه هاي حقوق و دستمزد است .</t>
  </si>
  <si>
    <t>تسویه علی الحساب سرمایه ای شرکت (خریدهای سرمایه ای و پیمانکاران سرمایه ای)</t>
  </si>
  <si>
    <t>تسویه پیش پرداختی های شرکت (خریدهای داخلی و خارجی و پیمانکاران سرمایه ای)</t>
  </si>
  <si>
    <t xml:space="preserve"> تسهيم تامين منابع جاري به حساب شركتهاي پالايشي و شركت ملي پخش متناسب با كارمزد انتقال  نفت خام و فرآورده های نفتی</t>
  </si>
  <si>
    <t>شرکت پالایش نفت تبریز(نفتا از تهران)</t>
  </si>
  <si>
    <t>خالص مطالبات پیمانکاران</t>
  </si>
  <si>
    <t>وام صندوق بسیج تندگویان</t>
  </si>
  <si>
    <t>صندوق بسیج تندگویان</t>
  </si>
  <si>
    <t xml:space="preserve"> پرداختي طي سال شامل  هزينـه هاي مستمري بازنشستگان ( قبل از موعـدو طـرح الحاقي) وهزينه مزاياي بازنشستگان  عـادي  از قبيل : عيـدي، بن كالاي اساسي ، عائله مندي، حق اولاد، درمان و رفاهي به استناد نامه هاي  شماره 582222 مورخ 91/12/27 و 
شماره  62877مورخ 1386/03/29 تدوين روشها و مقررات مالي نفت مي باشد.ذخیره تامین شده بابت حقوق  مستمری بگیران می باشد.</t>
  </si>
  <si>
    <t>17-1-4-</t>
  </si>
  <si>
    <t xml:space="preserve"> 17-1-5-عمده بدهي ثبت شده در حساب في مابين شركت ملي گاز مربوط به هزينه گاز مصرفي و برق مصرفی  مراکز انتقال نفت اين شركت بوده كه بر اساس توافقات انجام شده بين شركت ملي گاز (نماينده 
               وزارت نفت) و وزارت نيرو به منظور تهاتر به حساب في مابين آن شركت ثبت شده است.     </t>
  </si>
  <si>
    <t xml:space="preserve"> 17-1-6- حق بيمه پيمانكاران سرمايه اي مربوط به 5درصد بيمه مكسوره محاسبات پيمانهاي سرمايه اي مي باشد.</t>
  </si>
  <si>
    <t xml:space="preserve"> 17-1-8-هزینه های پرداختنی</t>
  </si>
  <si>
    <t>17-1-9-</t>
  </si>
  <si>
    <t>17-1-9-1-</t>
  </si>
  <si>
    <t xml:space="preserve"> 17-1-8-1-هزینه های پرداختنی</t>
  </si>
  <si>
    <t>ذخیره ماده (10) قانون وظایف و اختیارات وزارت نفت بر اساس نامه شماره ت ه م /33004 مورخ 1402/01/28 اداره کل تدوین و هماهنگی مقررات اداری واستخدامی وزارت نفت صورت گرفته است.</t>
  </si>
  <si>
    <t>17-1-1-2- تسهيم تامين منابع جاري بر اساس  مطالبات اين شركت بابت كارمزد انتقال  سال جاري در حساب فيمابين با شركتهاي پالايشي و شركت ملي پخش  فرآورده های نفتی ایران پس از كسر  بدهي هاي اين شركت بابت خدمات دريافتي  از شركتهاي 
مذكورصورت گرفته است.</t>
  </si>
  <si>
    <t xml:space="preserve">خدمات پيمانكاري (حراست، نگهداشت، تامين نيروي انساني و رستوران) </t>
  </si>
  <si>
    <t>-17-2</t>
  </si>
  <si>
    <t>ساير( پرداخت های نیابتی و خدمات في مابين )</t>
  </si>
  <si>
    <t>093099970101</t>
  </si>
  <si>
    <t>بدهکاران متفرقه</t>
  </si>
  <si>
    <t>90006500-00000016</t>
  </si>
  <si>
    <t>عضو علی البدل و مدیر مخابرات</t>
  </si>
  <si>
    <t>موجودی مواد و کالا</t>
  </si>
  <si>
    <t>پرداختنی های تجاری و سایر پرداختنی ها</t>
  </si>
  <si>
    <t>جمع حقوق مالکانه و بدهی ها</t>
  </si>
  <si>
    <t>حق بيمه كارگران رسمي 23 درصد</t>
  </si>
  <si>
    <t>17-</t>
  </si>
  <si>
    <t>11-1-5</t>
  </si>
  <si>
    <t>11-1-4</t>
  </si>
  <si>
    <t>11-1-4 -</t>
  </si>
  <si>
    <t>11-1-5 -</t>
  </si>
  <si>
    <t>پرداختني هاي تجاري و ساير پرداختني ها</t>
  </si>
  <si>
    <t>17-1-</t>
  </si>
  <si>
    <t>11-1-6</t>
  </si>
  <si>
    <r>
      <rPr>
        <b/>
        <sz val="24"/>
        <color theme="1"/>
        <rFont val="B Koodak"/>
        <charset val="178"/>
      </rPr>
      <t>23-2- اهداف مدیریت ریسک مالی</t>
    </r>
    <r>
      <rPr>
        <b/>
        <sz val="22"/>
        <color theme="1"/>
        <rFont val="B Koodak"/>
        <charset val="178"/>
      </rPr>
      <t xml:space="preserve">
هیئت مدیره شرکت، خدماتی برای دسترسی هماهنگ به بازارهای مالی داخلی و نظارت و مدیریت ریسک‌های مالی مربوط به عملیات شرکت از طریق گزارش‌های ریسک داخلی که آسیب‌پذیری را  بر حسب درجه و اندازه ریسک‌ها تجزیه و تحلیل می‌کند، ارائه می‌کند. این ریسک‌ها شامل ریسک اعتباری و ریسک نقدینگی می‌باشد. کمیته مدیریت ریسک شرکت که بر ریسک‌ها و سیاست‌های اجرا شده نظارت می‌کند تا آسیب‌پذیری از ریسک‌ها را کاهش دهد، به صورت فصلی به هیات مدیره گزارش می‌دهد.
شرکت به دنبال حداقل کردن اثرات این ریسک‌ها از طریق گزارش های ریسک داخلی است. رعایت سیاست‌ها و محدودیت‌های آسیب‌پذیری، توسط حسابرسان داخلی به طور مستمر بررسی می‌شود.</t>
    </r>
  </si>
  <si>
    <r>
      <rPr>
        <b/>
        <sz val="24"/>
        <color theme="1"/>
        <rFont val="B Koodak"/>
        <charset val="178"/>
      </rPr>
      <t>23-3-ریسک بازار</t>
    </r>
    <r>
      <rPr>
        <b/>
        <sz val="22"/>
        <color theme="1"/>
        <rFont val="B Koodak"/>
        <charset val="178"/>
      </rPr>
      <t xml:space="preserve">
فعالیت های شرکت در وهله اول آن را در معرض ریسک تغییرات در نرخ های مبادله ارزی قرار می دهد.شرکت به منظور مدیریت کردن آسیب پذیری از ریسک ارز، موارد زیر را بکار می گیرد: 
آسیب پذیری از ریسک بازار با استفاده از تجزیه وتحلیل حساسیت،اندازه گیری می شود. تجزیه وتحلیل حساسیت ،تاثیر یک تغییر منطقی محتمل در نرخ ارز در طی سال را ارزیابی می کند. دوره زمانی طولانی تر برای تجزیه وتحلیل حساسیت، ارزش در معرض ریسک را تکمیل می کند و به شرکت در ارزیابی آسیب پذیری از ریسک های بازار ،کمک می کند. هیچگونه تغییری در آسیب پذیری شرکت از ریسک های بازار یا نحوه مدیریت واندازه گیری آن ریسک ها، رخ نداده است.</t>
    </r>
  </si>
  <si>
    <t>سایر اطلااعات مالی</t>
  </si>
  <si>
    <t>سایر اطلاعات مالی</t>
  </si>
  <si>
    <t xml:space="preserve">تراز انتقالی </t>
  </si>
  <si>
    <t>17-1-4</t>
  </si>
  <si>
    <t>کالای  سرمایه ای در انبار(به شرح یادداشت 8)</t>
  </si>
  <si>
    <t>انتقال دارایی در جریان تکمیل از محل 5% عوارض توسعه به شرکت ملی پالایش و پخش فرآورده های نفتی ایران  براساس دستورالعلهای انتقال مخارج طرحهای سرمایه ای به شماره  ام/م/95872 مورخ 1398/12/03 و ب/46449 مورخ 1396/07/02صورت پذیرفته است.</t>
  </si>
  <si>
    <t>ماده 10 قانون وظایف و اختیارات وزارت نفت</t>
  </si>
  <si>
    <t>وضعیت</t>
  </si>
  <si>
    <t>هیات 251</t>
  </si>
  <si>
    <t>شورای عالی مالیاتی</t>
  </si>
  <si>
    <t>هیات تجدید نظر</t>
  </si>
  <si>
    <t>شرکت خدمات عمومی بهداشت ودرمان نفت</t>
  </si>
  <si>
    <t>تعهدات سرمایه ای</t>
  </si>
  <si>
    <t xml:space="preserve">اصلاح اشتباهات </t>
  </si>
  <si>
    <t xml:space="preserve">انحراف مقدار عملکرد نسبت به مقدار هدف مصوب </t>
  </si>
  <si>
    <t>جمع پاداش و سنوات خدمت کارکنان</t>
  </si>
  <si>
    <t>ذخیره پاداش پایان خدمت بازنشستگان</t>
  </si>
  <si>
    <t>الف- طرح1301003020(طرح توسعه خطوط لوله مخابرات وتاسيسات جنبي صنعتي وغيرصنعتي)</t>
  </si>
  <si>
    <t>جمع طرح 1301003020</t>
  </si>
  <si>
    <t>ب- طرح1301003019(طرح نگهداشت وپشتيباني خطوط لوله ومخابرات وتاسيسات جنبي صنعتي وغيرصنعتي)</t>
  </si>
  <si>
    <t xml:space="preserve">جمع طرح 1301003019    </t>
  </si>
  <si>
    <t>جمع طرح 1301003021</t>
  </si>
  <si>
    <t>کسر 5درصد از محل عوارض توسعه شرکت ملی و مهندسی</t>
  </si>
  <si>
    <t>اشتباهات حسابداری</t>
  </si>
  <si>
    <t>زیان انباشته</t>
  </si>
  <si>
    <t>تعدیل ذخیره مالیات عملکرد سال های قبل</t>
  </si>
  <si>
    <t xml:space="preserve">تسویه از محل پیش پرداخت </t>
  </si>
  <si>
    <t>شركت پسماند و بازيافت حافظان محيط سپاهان</t>
  </si>
  <si>
    <t xml:space="preserve">
16</t>
  </si>
  <si>
    <t>اشخاص وابسته شركت ملي پالايش و پخش فرآورده هاي نفتي ايران</t>
  </si>
  <si>
    <t>مستمری بازنشستگان</t>
  </si>
  <si>
    <t>اصلاح اشتباهات و تجدید طبقه بندی</t>
  </si>
  <si>
    <t xml:space="preserve">زیان انباشته </t>
  </si>
  <si>
    <t xml:space="preserve"> پرداختنی های  بلند مدت</t>
  </si>
  <si>
    <t>ماشین آلات و لوازم یدکی</t>
  </si>
  <si>
    <t>پوشاک و البسه</t>
  </si>
  <si>
    <t>مواد ضد زنگ و ساير مواد شيميايي</t>
  </si>
  <si>
    <t xml:space="preserve">شركت پالايش نفت اصفهان (غذا، اياب ذهاب و منازل سازماني) </t>
  </si>
  <si>
    <t>شركت ملي نفت ايران (چاپخانه، كامپيوتر، اياب و ذهاب و غذاي كاركنان)</t>
  </si>
  <si>
    <t>شركت پالايش نفت آبادان (غذا، اياب و  ذهاب و منازل سازماني)</t>
  </si>
  <si>
    <t>ساير (غذا ، اياب و ذهاب و منازل سازماني)</t>
  </si>
  <si>
    <r>
      <t>شركت پالايش نفت بندرعباس (غذا، اياب ذهاب و منازل سازماني)</t>
    </r>
    <r>
      <rPr>
        <sz val="14"/>
        <rFont val="B Koodak"/>
        <charset val="178"/>
      </rPr>
      <t xml:space="preserve"> </t>
    </r>
  </si>
  <si>
    <t>ماموريت استعلاجي، ماموریت اداری و كمك هاي فرهنگي و بهداشتي، عوارض نوسازي و نقليه</t>
  </si>
  <si>
    <t>تراز انتقالی از شرکت ملی مهندسی و ساختمان نفت ایران</t>
  </si>
  <si>
    <t>تراز انتقالی به شرکت ملی مهندسی و ساختمان نفت ایران</t>
  </si>
  <si>
    <t xml:space="preserve">سایر نقل و انتقال و تغییرات </t>
  </si>
  <si>
    <t xml:space="preserve"> طرح 40621078 (طرح توسعه خطوط لوله مخابرات و تاسيسات جنبي صنعتي و غيرصنعتي)</t>
  </si>
  <si>
    <t>درصد
 تكميل ريالي</t>
  </si>
  <si>
    <t>توسعه خطوط لوله، انشعابات و تاسيسات مربوط</t>
  </si>
  <si>
    <t>توسعه مراكزانتقال نفت پايانه ها و مخازن</t>
  </si>
  <si>
    <t>طراحي و احداث ساختارهاي صنعتي و غيرصنعتي و تاسيسات برق/مكانيك</t>
  </si>
  <si>
    <t xml:space="preserve"> طرح 40621155 (طرح نگهداشت و پشتيباني خطوط لوله و مخابرات و تاسيسات جنبي صنعتي و غيرصنعتي)</t>
  </si>
  <si>
    <t>حفظ و نگهداشت و ايمن سازي خطوط لوله انشعابات و تاسيسات مربوط</t>
  </si>
  <si>
    <t>حفظ و نگهداشت و ايمن سازي مراكزانتقال نفت پايانه ها و مخازن</t>
  </si>
  <si>
    <t>بهينه سازي و ايمن سازي راهها، حريم ها و محوطه ها</t>
  </si>
  <si>
    <t>خودكفايي/ مطالعه تحقيق و ساخت دستگاهها و قطعات</t>
  </si>
  <si>
    <t>تهيه و پشتيباني ماشين آلات موردنياز عمليات</t>
  </si>
  <si>
    <t>مكانيزه نمودن سيستم هاي انتقال و تعميرات/ جمع آوري اطلاعات و كنترل و حفاظت</t>
  </si>
  <si>
    <t>جمع طرح 040621078شركت خطوط لوله و مخابرات</t>
  </si>
  <si>
    <t>جمع طرح 040621155شركت خطوط لوله و مخابرات</t>
  </si>
  <si>
    <t>تعويض30 كيلومتر خط "30 نفت خام مارون 2 به3</t>
  </si>
  <si>
    <t>تعويض 35 كيلومتر خط "30 نفت خام مارون 1به2</t>
  </si>
  <si>
    <t xml:space="preserve">تعويض20 كيلومتر پوشش خط"32 نفت خام مارون6 به7  </t>
  </si>
  <si>
    <t>تعويض20 كيلومتر پوشش خط"14فراورده رفسنجان كرمان</t>
  </si>
  <si>
    <t xml:space="preserve">جمع كل طرح هاي شركت خطوط لوله و مخابرات </t>
  </si>
  <si>
    <t xml:space="preserve"> تعديلات عمدتاً مربوط به تسويه پيش پرداخت و علي الحساب سرمايه اي پرداخت شده در سال قبل مي باشد.</t>
  </si>
  <si>
    <t xml:space="preserve">برگشت پيش پرداختهاي سرمايه اي انتقالي به شركت ملي مهندسي و ساختمان نفت ایران </t>
  </si>
  <si>
    <t>برگشت علی الحساب سرمایه ای - انتقالی به شرکت ملی مهندسی و ساختمان ایران</t>
  </si>
  <si>
    <t>تعدیلات سرمایه ای (انتقال به جاری، تراز انتقالی به شرکت ملی مهندسی و ساختمان نفت ایران  )</t>
  </si>
  <si>
    <t>دريافتني هاي تجاري و سایر دریافتنی ها</t>
  </si>
  <si>
    <t>برداشت خزانه داری بابت بند د تبصره 16 قانون بودجه سال 1400</t>
  </si>
  <si>
    <t xml:space="preserve">خزانه داری کل کشور - سود ابرازي سهم دولت </t>
  </si>
  <si>
    <t>شركت مهندسي و توسعه نفت</t>
  </si>
  <si>
    <t>مانده 50 درصد سود ابرازي سهم دولت بابت مازاد پرداختي سود بر اساس قانون بودجه  سال 1401 و ماده 4 قانون الحاق برخي مواد به قانون تنظيم بخشي از مقررات مالي دولت (2)  بشرح ذيل است :</t>
  </si>
  <si>
    <t xml:space="preserve">تسویه طی سال بابت سود سهم دولت سال 1396 </t>
  </si>
  <si>
    <t>50 درصد سود سهم دولت سال 1400</t>
  </si>
  <si>
    <t>گردش ماليات و عوارض ارزش افزوده بشرح زير است :</t>
  </si>
  <si>
    <t>قابل وصول از پيمانكاران</t>
  </si>
  <si>
    <t xml:space="preserve">در راستاي رعايت بند « و» ماده (1) قانون الحاق برخي مواد به قانون تنظيم بخشي از مقررات مالي دولت (2) و مفاد ماده (13) آيين نام اجرايي ماده (1) قانون موصوف و باستناد نامه شماره 402153-20/2  مورخ 1395/08/27  وزير محترم نفت خطاب به وزير امور اقتصادي و دارايي، اين شركت جزو شركت هاي فعال در زنجيره ارزش( توليد ، توزيع و انتقال)شركت ملي پالايش و پخش قرار گرفته و از ابتداي سال 1395، صورتحساب هاي  فروش  بابت درآمد انتقال نفت خام و فرآورده به شركت هاي دريافت كننده خدمات(شركتهاي فعال در زنجيره)بدون درج ارزش افزوده و عوارض فروش صادر گرديده و درآمدهاي مذكور را در اظهارنامه هاي ماليات بر ارزش افزوده و عوارض به عنوان درآمد معاف ثبت نموده است. </t>
  </si>
  <si>
    <t xml:space="preserve"> فرآورده هاي نفتي (موجودي تلمبه خانه ها)</t>
  </si>
  <si>
    <t>شركت به منظورتقويت بنيه مالي خود براساس ماده ٢٠ اساسنامه و همچنين مفاد ماده 49 قانون اساسنامه شركت ملي نفت ايران مصوب 17 خرداد 1356، در سنوات قبل  736ر2  ميليون  ريال  از محل سود قابل تخصيص، به اندوخته عمومي انتقال داده است. به موجب مفاد ياد شده و در صورت وجود سود قابل تخصيص ، هر سال معادل 1درصد از سود خالص  قابل انتقال به اندوخته عمومي است.</t>
  </si>
  <si>
    <t>سپرده ها و ذخیره طلب پيمانكاران سرمايه اي (شرکت ملی مهندسی)</t>
  </si>
  <si>
    <t>پرداخت های نیابتی به امور صندوق ها (اقساط و کسور شاغلین)</t>
  </si>
  <si>
    <t>سپرده هاي دريافتي مزايده و مناقصه جاري</t>
  </si>
  <si>
    <t>منابع دریافتی از محل سایر منابع مربوط به شرکت ملی مهندسی و ساختمان  نفت ایران</t>
  </si>
  <si>
    <t>برگشت 5 درصد عوارض توسعه سال قبل از شركت ملي پالايش و پخش فرآورده هاي نفتي ايران</t>
  </si>
  <si>
    <t>18-</t>
  </si>
  <si>
    <t>18-1-</t>
  </si>
  <si>
    <t>18-1-1-</t>
  </si>
  <si>
    <t>18-2-</t>
  </si>
  <si>
    <t>18-2-1-</t>
  </si>
  <si>
    <t>18-2-2-</t>
  </si>
  <si>
    <t>مانده در ابتدای سال</t>
  </si>
  <si>
    <t>A</t>
  </si>
  <si>
    <t>-20-1</t>
  </si>
  <si>
    <t>-20-1-1</t>
  </si>
  <si>
    <t>-20-1-2</t>
  </si>
  <si>
    <t>19</t>
  </si>
  <si>
    <t>18</t>
  </si>
  <si>
    <t xml:space="preserve"> اصلاح اشتباهات (یادداشت 20)</t>
  </si>
  <si>
    <t>به  منظور ارائه تصویری مناسب از وضعیت مالی و نتایج عملیات، کلیه اطلاعات مقایسه ای در صورت های مالی اصلاح و ارائه مجدد شده است و به همین دلیل مقایسه ای بعضا" با صورت های مالی ارائه شده در سال مالی قبل مطابقت ندارد.</t>
  </si>
  <si>
    <t>شرکت اعتراض خود را طی نامه شماره127871-1402 مورخ 1401/09/27 بابت اصل و جریمه مالیات بر ارزش افزوده سال1396 به شورای عالی مالیاتی اعلام نموده است. ضمنا" وزیر محترم نفت طی نامه شماره  901-2-/20 مورخ 1401/10/07 ارایه ضامن معتبر جهت توقف عملیات اجرایی تا صدور رای شورای عالی مالیاتی را به وزیر محترم امور اقتصادی و دارایی اعلام نموده اند.</t>
  </si>
  <si>
    <t>شرکت ملی مهندسی و  ساختمان نفت ایران</t>
  </si>
  <si>
    <t>كاهش  (فروش)</t>
  </si>
  <si>
    <t>افزايش  (خريد)</t>
  </si>
  <si>
    <t>کسرمی شود انتقال به مالیات پرداختنی (یادداشت1-18)</t>
  </si>
  <si>
    <t>انتقال داراييهاي درجريان تكميل ، پيش پرداخت و علي الحساب  سرمايه اي، اقلام سرمايه اي انبار)
 به شركت ملي پالايش و پخش فرآورده هاي نفتي ايران (یادداشت 3-8)</t>
  </si>
  <si>
    <t>شرکت ملی  مهندسی  و ساختمان نفت ایران</t>
  </si>
  <si>
    <t xml:space="preserve">شركت ملي گاز ایران </t>
  </si>
  <si>
    <t>شركت هاي پالايش نفت</t>
  </si>
  <si>
    <t>عمده سایر کالا و مواد مربوط به لوازم ایمنی و آتش نشانی، روغن موتور، ابزار و لوازم الحاقی ماشین آلات، لوازم ساختمانی و کارگاهی و مخازن ،لوازم عایق بندی و قطعات یدکی و وسایل مخابراتی می باشد.</t>
  </si>
  <si>
    <t>بهينه سازي و ايمن سازي ساختارهاي صنعتي و غيرصنعتي وتاسيسات برق/مكانيك</t>
  </si>
  <si>
    <t>طراحي احداث و بهينه سازي راهها، حريمها و محوطه ها</t>
  </si>
  <si>
    <t>(زیان) انباشته</t>
  </si>
  <si>
    <t>گردش بدهی بلند مدت به  شركت ملي پالايش و پخش فرآورده هاي نفتي ايران بابت منابع دریافتی برای انجام پروژه های سرمایه ای و نوسازی خطوط به شرح زير است :</t>
  </si>
  <si>
    <t>شركت ملي پالايش و پخش فرآورده هاي نفتي ايران (جاری )</t>
  </si>
  <si>
    <t>شركت ملي پالايش و پخش فرآورده هاي نفتي ايران (سرمایه ای )</t>
  </si>
  <si>
    <t>تغییرات عملکرد نسبت به بودجه مصوب</t>
  </si>
  <si>
    <t>بودجه مصوب بازنشستگی و سنوات خدمت مربوط به بهای تمام شده در بخش اداری وعمومی دیده شده است</t>
  </si>
  <si>
    <t>ج- طرح 1301003021 (طرح تعویض پوشش و تعویض خطوط لوله نفت خام و فرآورده)</t>
  </si>
  <si>
    <t>تعويض خطوط لوله در مناطق 12 گانه</t>
  </si>
  <si>
    <t>تعويض پوشش خطوط لوله در مناطق 12گانه</t>
  </si>
  <si>
    <t>د- طرح 1301034005 (طرح اتصال نیروگاه ها به خطوط انتقال فرآورده)</t>
  </si>
  <si>
    <t xml:space="preserve">تعويض 30 كيلومتر خط "30 نفت خام مارون 2 به 3 </t>
  </si>
  <si>
    <t>تعويض 35 كيلومتر خط "30 نفت خام مارون 1 به 2</t>
  </si>
  <si>
    <t>تعويض 70 كيلومتر پوشش خط"32 نفت خام مارون 6 به 7</t>
  </si>
  <si>
    <t>توسعه و حفظ مخابرات شرکتهای تابعه نفت</t>
  </si>
  <si>
    <t xml:space="preserve">12-پيش پرداخت ها </t>
  </si>
  <si>
    <t>10-1- سی و پنج درصد ارزش اسمی سهام شرکت پسماند و بازیافت حافظان محیط زیست سپاهان پرداخت و باقیمانده در تعهد شرکت است.</t>
  </si>
  <si>
    <r>
      <rPr>
        <b/>
        <sz val="24"/>
        <color theme="1"/>
        <rFont val="B Koodak"/>
        <charset val="178"/>
      </rPr>
      <t>23-4- مدیریت ریسک اعتباری</t>
    </r>
    <r>
      <rPr>
        <b/>
        <sz val="22"/>
        <color theme="1"/>
        <rFont val="B Koodak"/>
        <charset val="178"/>
      </rPr>
      <t xml:space="preserve">
ریسک اعتباری به ریسکی اشاره دارد که طرف قرارداد در ایفای تعهدات قراردادی خود ناتوان باشد که منجر به زیان مالی برای شرکت شود. شرکت سیاستی مبنی بر معامله تنها با طرف‌های قرارداد معتبر و اخذ وثیقه کافی، در موارد مقتضی، را اتخاذ کرده است، تا ریسک اعتباری ناشی از ناتوانی در ایفای تعهدات توسط مشتریان را کاهش دهد. شرکت تنها با شرکت‌هایی معامله می‌کند که رتبه اعتباری بالایی داشته باشند. شرکت با استفاده از اطلاعات مالی عمومی و سوابق معاملاتی خود، مشتریان عمده خود را رتبه‌بندی اعتباری می‌کند. آسیب‌پذیری شرکت و رتبه‌بندی اعتباری طرف قراردادهای آن، به طور مستمر نظارت شده و ارزش کل معاملات با طرف قراردادهای تاییدشده گسترش می‌یابد. آسیب‌پذیری اعتباری از طریق محدودیت‌های طرف قرارداد که به طور سالانه توسط هیئت مدیره شرکت بررسی و تایید می‌شود، کنترل می‌شود. دریافتنی‌های تجاری شامل شرکت های زیر مجموعه نفت می باشد. ارزیابی اعتباری مستمر بر اساس وضعیت مالی حساب‌های دریافتنی انجام می‌شود. همچنین شرکت هیچگونه وثیقه یا سایر روش‌های افزایش اعتبار به منظور پوشش ریسک‌های اعتباری مرتبط با دارایی‌های مالی خود نگهداری نمی‌کند.شرکت آسیب پذیری ریسک اعتباری با اهمیتی نسبت به هیچ یک از طرف های قرارداد ندارد.</t>
    </r>
  </si>
  <si>
    <t>تعويض 20 كيلومتر پوشش خط"14 فراورده رفسنجان كرمان</t>
  </si>
  <si>
    <t>تامین منابع و سایر</t>
  </si>
  <si>
    <t xml:space="preserve">فروش کالا و خدمات </t>
  </si>
  <si>
    <t xml:space="preserve">خرید کالا و خدمات </t>
  </si>
  <si>
    <t>اشخاص  وابسته</t>
  </si>
  <si>
    <t>مشتریان کانالهای مخابراتی</t>
  </si>
  <si>
    <t>شرکت ملی پالایش و پخش فرآورده های نفتی ایران</t>
  </si>
  <si>
    <t>17-1-1-2-1 - تسهيم تامين منابع جاري بر اساس  مطالبات اين شركت بابت كارمزد انتقال  سال جاري در حساب فيمابين با شركتهاي پالايشي و شركت ملي پخش  فرآورده های نفتی ایران پس از كسر  بدهي هاي اين شركت بابت خدمات دريافتي  از شركتهاي مذكورصورت گرفته است.</t>
  </si>
  <si>
    <t>17-1-1-2</t>
  </si>
  <si>
    <t xml:space="preserve"> 17-1-3-هزینه های پرداختنی</t>
  </si>
  <si>
    <t xml:space="preserve"> 17-1-3-1-</t>
  </si>
  <si>
    <t>-17-1-4-1</t>
  </si>
  <si>
    <t>6-44</t>
  </si>
  <si>
    <t xml:space="preserve">انتقال  5 درصد توسعه به شرکت ملی پالایش و پخش فرآورده های نفتی ایران </t>
  </si>
  <si>
    <t>شرکت پالایش نفت شیراز</t>
  </si>
  <si>
    <t>تعهدات پس از بازنشستگی کارکنان (یادداشت1-4-1-17 )</t>
  </si>
  <si>
    <t>-20-1-3</t>
  </si>
  <si>
    <t>شرکت های همگروه</t>
  </si>
  <si>
    <t>در آمد مخابرات</t>
  </si>
  <si>
    <t xml:space="preserve"> هزينه هاي اداري  و عمومي </t>
  </si>
  <si>
    <t>6-3-1-</t>
  </si>
  <si>
    <t>6-4-</t>
  </si>
  <si>
    <t xml:space="preserve">  6-4-1 ـ</t>
  </si>
  <si>
    <t xml:space="preserve">     6-5-</t>
  </si>
  <si>
    <t xml:space="preserve">     6-5-1-</t>
  </si>
  <si>
    <t>6-2-هزینه های اداری و عمومی مربوط به هزینه های ستاد شرکت خطوط لوله و مخابرات نفت ایران می باشد.</t>
  </si>
  <si>
    <t xml:space="preserve">      6-6-</t>
  </si>
  <si>
    <r>
      <rPr>
        <b/>
        <sz val="20"/>
        <rFont val="B Koodak"/>
        <charset val="178"/>
      </rPr>
      <t xml:space="preserve">   </t>
    </r>
    <r>
      <rPr>
        <b/>
        <sz val="16"/>
        <rFont val="B Koodak"/>
        <charset val="178"/>
      </rPr>
      <t xml:space="preserve">6-7- </t>
    </r>
  </si>
  <si>
    <r>
      <rPr>
        <b/>
        <sz val="18"/>
        <rFont val="B Koodak"/>
        <charset val="178"/>
      </rPr>
      <t xml:space="preserve"> </t>
    </r>
    <r>
      <rPr>
        <b/>
        <sz val="16"/>
        <rFont val="B Koodak"/>
        <charset val="178"/>
      </rPr>
      <t xml:space="preserve">   6-8-</t>
    </r>
  </si>
  <si>
    <t>6-8-1-</t>
  </si>
  <si>
    <t>اعتبار مالیاتی</t>
  </si>
  <si>
    <t>جمع اعتبار مالیاتی</t>
  </si>
  <si>
    <t>7و5</t>
  </si>
  <si>
    <t>عدم اختصاص بودجه اصلاحی توسط سازمان برنامه  و بودجه</t>
  </si>
  <si>
    <t xml:space="preserve">انحراف مساعدناشی از صرفه جویی در هزینه ها </t>
  </si>
  <si>
    <t xml:space="preserve"> تعهدات پس از بازنشستگی کارکنان (يادداشت4-1-17)</t>
  </si>
  <si>
    <t xml:space="preserve">مستمری پیش از موعد (يادداشت4-1-17) </t>
  </si>
  <si>
    <t xml:space="preserve"> 26 -</t>
  </si>
  <si>
    <t>17-1-2-1</t>
  </si>
  <si>
    <t>انتقال به دارایی های ثابت از محل  5 درصد عوارض توسعه شرکت ملی پالایش و پخش فرآوردهای نفتی ایران</t>
  </si>
  <si>
    <t>تعدیل قیمت اقلام سرمایه ای در انبار</t>
  </si>
  <si>
    <t>تعدیلات سرمایه ای ( انتقال به جاری، تراز انتقالی به شرکت ملی مهندسی و ساختمان نفت ایران  )</t>
  </si>
  <si>
    <t>انحراف مساعد ناشی از خروج لوله از انبار می باشد</t>
  </si>
  <si>
    <t>در اجراي   مفاد مواد 140 و 238 اصلاحيه قانون تجارت مصوب سال 1347 و بند (د) ماده 19 اساسنامه در سنوات قبل 1 ميليون ريال از محل سود قابل تخصيص ، به اندوخته قانوني منتقل شده است ، به موجب مفاد مواد ياد شده  تا رسيدن مانده اندوخته قانوني به 10 درصد سرمايه شركت، انتقال يك بيستم از سودخالص  هر سال  به  اندوخته  فوق الذكرالزامي است. اندوخته قانوني قابل انتقال به سرمايه  نمي باشد و جز در هنگام انحلال شركت ، قابل تقسيم بين سهامداران نيست .</t>
  </si>
  <si>
    <t>تعدیل</t>
  </si>
  <si>
    <t xml:space="preserve">  8-2گردش عمليات و اقلام تشكيل دهنده دارايي هاي در جریان تكميل به شرح جدول زير است </t>
  </si>
  <si>
    <t>-8-2-1</t>
  </si>
  <si>
    <t>-8-2-2</t>
  </si>
  <si>
    <t>-8-2-3</t>
  </si>
  <si>
    <t>8-3-</t>
  </si>
  <si>
    <t>8-3-1</t>
  </si>
  <si>
    <t>قبل از بستن حساب 1402</t>
  </si>
  <si>
    <t xml:space="preserve"> 1402با بستن حسابها </t>
  </si>
  <si>
    <t>به تاریخ 29 اسفند 1402</t>
  </si>
  <si>
    <t>سال منتهی به 29 اسفند 1402</t>
  </si>
  <si>
    <t>گزارش تطبیق عملکرد با بودجه مصوب سال مالی 1402</t>
  </si>
  <si>
    <t>جدول شماره (2)- گزارش تطبیق مقادیر کمی اهداف پیش بینی شده در بودجه مصوب  با عملکرد سالانه سال مالی 1402</t>
  </si>
  <si>
    <t>جدول شماره (3)- گزارش تطبیق عملکرد ریالی با اهداف کمی برنامه ریزی شده (ریالی) در بودجه مصوب  سال مالی 1402</t>
  </si>
  <si>
    <t>جدول شماره (1)- گزارش تطبیق عملکرد با بودجه مصوب  سال مالی 1402</t>
  </si>
  <si>
    <t>مقايسه بودجه طرح ها در سال 1402 (براساس موافقتنامه هاي تنظيمي با  سازمان برنامه وبودجه كشور طي طرحهاي شماره ( 1301003019  و 1301003020 و1301003021 و1301034005) كه اعتبار آنها از محل منابع داخلي شرکت خطوط لوله و مخابرات نفت ایران ) با عملكرد(یادداشت توضیحی 2-8 صورتهای مالی) به شرح جدول ذيل است :</t>
  </si>
  <si>
    <t xml:space="preserve"> سال مالي منتهي به 29 اسفند 1402</t>
  </si>
  <si>
    <t>سال1402</t>
  </si>
  <si>
    <t xml:space="preserve"> سال مالي منتهي به 29 اسفند 1400</t>
  </si>
  <si>
    <t>در 29 اسفند 1398</t>
  </si>
  <si>
    <t>1398/12/29</t>
  </si>
  <si>
    <t>1397/12/29</t>
  </si>
  <si>
    <t>شش ماهه1400</t>
  </si>
  <si>
    <t>1402/12/29</t>
  </si>
  <si>
    <t>سال 1402</t>
  </si>
  <si>
    <t>به پیوست صورت های مالی شرکت خطوط لوله و مخابرات نفت ایران (سهامی خاص) مربوط به سال مالی منتهی به 29 اسفند 1402 تقدیم می شود.</t>
  </si>
  <si>
    <t>هیات بدوی</t>
  </si>
  <si>
    <t>مقايسه بودجه طرح ها در سال 1402 (براساس موافقتنامه هاي تنظيمي با  سازمان برنامه وبودجه كشور طي طرحهاي شماره ( 1301003019 و 1301003020  و1301003021 و1301034005) كه اعتبار آنها از محل منابع داخلي شركت خطوط لوله و مخابرات نفت ايران) با عملكرد (یادداشت توضیحی 2-8 صورتهای مالی) به شرح جدول ذيل است:</t>
  </si>
  <si>
    <t>بابت طرح 1301034005 (طرح اتصال نیروگاه ها به خطوط انتقال فرآورده)در سال 1402 منابعی از شرکت ملی پالایش وپخش فراورده های نفتی ایران دریافت نشده است.</t>
  </si>
  <si>
    <t>مانده در 01 / 01 / 1401</t>
  </si>
  <si>
    <t>مانده  در 29 / 12 /1401</t>
  </si>
  <si>
    <t>مانده در 29 / 12 / 1402</t>
  </si>
  <si>
    <t>6-1-خطوط انتقال نفت خام و فرآورده در شركت به طول 106ر14كيلومتر با ظرفيت اسمي انتقال  326 ميليارد ليتر در سال مي باشد كه در سال 1402  عملكرد  واقعي ميزان انتقال شركت 131 ميليارد ليتر بوده است.</t>
  </si>
  <si>
    <t>مانده در ابتداي سال1401</t>
  </si>
  <si>
    <t>مانده در پايان سال1401</t>
  </si>
  <si>
    <t>مانده در پايان سال 1402</t>
  </si>
  <si>
    <t>مبلغ دفتري در پايان سال 1402</t>
  </si>
  <si>
    <t>1401</t>
  </si>
  <si>
    <t>1402</t>
  </si>
  <si>
    <t>اعتبار مصوب تا پایان سال1402</t>
  </si>
  <si>
    <t xml:space="preserve">مانده در 1401/12/29 </t>
  </si>
  <si>
    <t xml:space="preserve">مانده در    1402/12/29 </t>
  </si>
  <si>
    <t>عملکرد تا پایان سال1402</t>
  </si>
  <si>
    <t>مانده در پایان سال 1402</t>
  </si>
  <si>
    <t>مبلغ دفتری در پایان سال 1402</t>
  </si>
  <si>
    <t>براساس نامه شماره 55/219802 مورخ 1402/11/09 خزانه داری کل کشور سود سهام سال 1402 از محل مطالبات سنوات گذشته تهاتر شده است.</t>
  </si>
  <si>
    <t>برداشت خزانه داری بر اساس قانون بودجه سال 1402</t>
  </si>
  <si>
    <t>زیان خالص سال 1401</t>
  </si>
  <si>
    <t>رفاهیات</t>
  </si>
  <si>
    <t>شرکت گاز استان اصفهان</t>
  </si>
  <si>
    <t>09298971</t>
  </si>
  <si>
    <t>شرکت ستاره نفت خلیج فارس</t>
  </si>
  <si>
    <t>06503436</t>
  </si>
  <si>
    <t>06603648</t>
  </si>
  <si>
    <t>وام قرض الحسنه مصوبه 326</t>
  </si>
  <si>
    <t>06603652</t>
  </si>
  <si>
    <t>حق بیمه وام قرض الحسنه مصوبه326</t>
  </si>
  <si>
    <t>شرکت پالایش نفت اراک</t>
  </si>
  <si>
    <t>شرکت پالایش نفت شازند اراک</t>
  </si>
  <si>
    <t xml:space="preserve">  مبلغ 814ر71 میلیون ریال بابت 1/12 مالیات سال1402  پرداخت گردیده است.</t>
  </si>
  <si>
    <t>بستانكاران متفرقه-گاز</t>
  </si>
  <si>
    <t>اقلام پذيرفته نشده- سرمایه ای</t>
  </si>
  <si>
    <t>90006589</t>
  </si>
  <si>
    <t>تامین وجه سرمایه ای از محل بند (ص) تبصره یک</t>
  </si>
  <si>
    <t>رسیدگی نشده</t>
  </si>
  <si>
    <t>درامد حاصل از ضبط ضمانت نامه پیمانکاران</t>
  </si>
  <si>
    <t>درآمد حاصل از توافق الحاقی شرکت ملی پخش</t>
  </si>
  <si>
    <t>برگشت منابع دریافتی از محل سایر منابع و تراز انتقالی شرکت ملی مهندسی و ساختمان نفت ایران</t>
  </si>
  <si>
    <r>
      <t xml:space="preserve"> علت افزايش </t>
    </r>
    <r>
      <rPr>
        <b/>
        <sz val="14"/>
        <rFont val="B Koodak"/>
        <charset val="178"/>
      </rPr>
      <t>خدمات پيمانكاري</t>
    </r>
    <r>
      <rPr>
        <sz val="14"/>
        <rFont val="B Koodak"/>
        <charset val="178"/>
      </rPr>
      <t xml:space="preserve"> , مربوط به افزايش نرخ و اقلام خدمات پيمانكاري و پرداخت حق الزحمه بهره وري، نفت کارت، پرداختهای مناسبتی وبن خرید کالای داخلی به استناد( ابلاغ مصوبه شماره م ت م ا 82213  مورخ 1402/08/15 ) شورای اداری و استخدامی وزارت نفت انجام شده است.</t>
    </r>
  </si>
  <si>
    <t xml:space="preserve">8-1- دارايي هاي ثابت مشهود شركت تا ارزش 744ر844ر128 ميليون ريال و موجودي مواد و كالا  تا ارزش652ر674ر6 ميليون ريال به استثناء خطوط انتقال نفت خام و فرآورده های نفتی  در مقابل خطرات احتمالي ناشي از حريق ، سيل و زلزله از پوشش بيمه اي به  مبلغ000ر600ر3 میلیون ریال‌ برخوردار است .      </t>
  </si>
  <si>
    <t>13-2- موجودي مواد و كالا  تا ارزش652ر674ر6 ميليون ريال در مقابل خطرات ناشي از حريق, سيل و زلزله بيمه شده است.</t>
  </si>
  <si>
    <t xml:space="preserve"> بدهيهاي احتمالي شامل دعاوي مطروحه شركت در تاريخ صورت وضعیت مالی 247 فقره بوده كه 26 فقره آن خاتمه يافته و 89 فقره دعاوي شركت عليه اشخاص ثالث و 158فقره دعاوي اشخاص ثالث عليه شركت   كه بهاي خواسته (آثاراحتمالي مالي) دعاوي در جريان، در حدود 900ميليارد ريال است.</t>
  </si>
  <si>
    <t>انتقال بند (ص) تبصره یک به شرکت ملی پالایش وپخش فرآورده های نفتی ایران</t>
  </si>
  <si>
    <t>برگشت تراز  انتقالی 1401</t>
  </si>
  <si>
    <t xml:space="preserve"> پيش پرداخت سرمايه اي  بند ص تبصره یک بودجه سال 1402</t>
  </si>
  <si>
    <t>علي الحساي سرمايه اي از محل بند ص تبصره یک بودجه  1402</t>
  </si>
  <si>
    <t>900083320101</t>
  </si>
  <si>
    <t>سایر منابع سرمایه ای</t>
  </si>
  <si>
    <t>صورت های مالی طبق استاندارد های حسابداری تهیه شده و در تاریخ 1403/02/31 به تایید هیات مدیره شرکت رسیده است.</t>
  </si>
  <si>
    <t>بند ص تبصره یک قانون بودجه سال 1402</t>
  </si>
  <si>
    <t>93</t>
  </si>
  <si>
    <t>75</t>
  </si>
  <si>
    <t>96</t>
  </si>
  <si>
    <t>85</t>
  </si>
  <si>
    <t>82</t>
  </si>
  <si>
    <t>83</t>
  </si>
  <si>
    <t>60</t>
  </si>
  <si>
    <t>شرکت نفت و گاز پارس</t>
  </si>
  <si>
    <t>دعاوی علیه اشخاص ثالث</t>
  </si>
  <si>
    <t>هیچگونه کاهش ارزشی در رابطه با مطالبات از اشخاص وابسته در سالهای 1402 و 1401 شناسایی نشده است.</t>
  </si>
  <si>
    <t>توسعه ماشین ایرسا</t>
  </si>
  <si>
    <t>سایر( 84 شرکت)</t>
  </si>
  <si>
    <t>شرکت ملی پالایش وپخش -از محل بند ص تبصره 9</t>
  </si>
  <si>
    <t>اسفند 12</t>
  </si>
  <si>
    <t>تغییر طبقه بندی</t>
  </si>
  <si>
    <t>شرکت مهندسی وایمنی شبکه دژپاد</t>
  </si>
  <si>
    <t>شرکت پترو صنعت طلای سیاه</t>
  </si>
  <si>
    <t>شرکت فناوران صنایع شرق</t>
  </si>
  <si>
    <t>شرکت آذر انرژی پردیس</t>
  </si>
  <si>
    <t>شرکت صنعتی ماه نیرو</t>
  </si>
  <si>
    <t>اصلاح و ارائه مجدد صورت های مالی سال 1401</t>
  </si>
  <si>
    <t>طبق صورت های مالی
 1401/12/29</t>
  </si>
  <si>
    <t>تجدید ارائه شده
1401/12/29</t>
  </si>
  <si>
    <t>شرکت پالایش نفت اصفهان</t>
  </si>
  <si>
    <t>شرکت بهره برداری نفت و گاز کارون</t>
  </si>
  <si>
    <t>سایر(34شرکت)</t>
  </si>
  <si>
    <t>شرکت پالایش نفت کرمانشاه</t>
  </si>
  <si>
    <t>پرداخت طی دوره</t>
  </si>
  <si>
    <t>50 درصد سود سهم دولت سال 1402</t>
  </si>
  <si>
    <t>عطف به بند 6 نامه شماره ت ه م /143115 مورخ 1402/03/24  مدیر کل تدوین و هماهنگی مقررات اداری واستخدامی وزارت نفت  ذخیره اخذ شده بابت ماده (10) قانون وظایف و اختیارات وزارت نفت  بمنظور طرح پس انداز مسکن کارکنان طی سالهای 1393 تا پایان سال 1401 به عنوان آورده نقدی به حساب مربوطه نزد صندوق های بازنشستگی، پس انداز و رفاه کارکنان منظور خواهد شد.</t>
  </si>
  <si>
    <t>دیون بابت بهره برداری از خط اهواز/ری-دالان/شیراز</t>
  </si>
  <si>
    <t>هزينه هاي سرمايه اي نوع 046-ملی مهندس</t>
  </si>
  <si>
    <t>بستانكاران متفرقه-ملی مهندسی</t>
  </si>
  <si>
    <t xml:space="preserve"> بر اساس جداول پيوست  آئين نامه اجرايي بند (ح)ماده یک قانون الحاق برخی مواد به قانون تنظیم بخشی از مقررات مالی دولت (2)و  قانون بودجه سال  1402كل كشور   ، نرخ انتقال نفت خام و ميعانات گازي به ازاي هر ليتر 746ريال و براي فرآورده هاي نفتي به ازاي هر ليتر737ريال محاسبه گرديده است.شركت جهت ظرفيت هاي بلا استفاده خود بر اساس مصوبه هيئت مديره ، طبق توافق نامه هاي في مابين ، نسبت به انتقال فرآورده ها براي پتروشيمي تبريز از مبادی آبادان و تهران از تاریخ 1402/10/15 به ازای هر تن به ترتیب 468ر656ر6 ریال و 400ر948ر2 ریال  اقدام نموده است. سایر درآمدها مربوط به انتقال نفت کوره از شرکت پالایش نفت تبریز به نیروگاه تبریز برای سالهای 1395 لغایت 1401 با نرخ میانگین محاسبه شده است.</t>
  </si>
  <si>
    <t>سایر(نفت کوره از  تبریز به نیروگاه تبریز)</t>
  </si>
  <si>
    <t>انواع لوله</t>
  </si>
  <si>
    <t>علی الحساب پاداش کارکنان، درمان</t>
  </si>
  <si>
    <t>حساب گوره جاسک</t>
  </si>
  <si>
    <t>پیش دریافت دستور کارها</t>
  </si>
  <si>
    <t>بدهی کارکنان -وام قرض الحسنه مصوبه 326</t>
  </si>
  <si>
    <t>وام قرض الحسنه مصوبه 326-بلندمدت</t>
  </si>
  <si>
    <t>وام قرض الحسنه مصوبه 326-کوتاه مدت</t>
  </si>
  <si>
    <t>وديعه مسكن اماني -بلند مدت</t>
  </si>
  <si>
    <t xml:space="preserve">شرکت کادر سازه </t>
  </si>
  <si>
    <t>شرکت کارخانجات شهید قندی</t>
  </si>
  <si>
    <t>سال منتهی به 29 اسفند سال 1402</t>
  </si>
  <si>
    <t>8-3-1-</t>
  </si>
  <si>
    <t>طراحی، توسعه و اجرای سامانه های مرتبط با ایمنی ، بهداشت محیط زیست و پدافند غیر عامل</t>
  </si>
  <si>
    <t>هوشمند سازی سامانه انتقال نفت خام و فرآورده  و میترینگ</t>
  </si>
  <si>
    <t>کمبود منابع مالی ،طولانی شدن فرآیند مناقصات  خرید و قرارداد، فسخ قرارداد و پیمان حسب مورد</t>
  </si>
  <si>
    <t>کمبود منابع مالی،طولانی شدن فرآیند مناقصات خرید و قراردا،  فسخ قرارداد و پیمان حسب مورد</t>
  </si>
  <si>
    <t>اتصال نیروگاهها به خطوط لوله سوخت</t>
  </si>
  <si>
    <t>بخش عمده پروژه در سال 1403 انجام خواهد شد</t>
  </si>
  <si>
    <t>بدهی کارکنان (حصه بلند مدت ودیعه مسکن امانی )</t>
  </si>
  <si>
    <t>-17-1-5</t>
  </si>
  <si>
    <t>سود سهام دولت</t>
  </si>
  <si>
    <t>مبالغ به میلیون ریال</t>
  </si>
  <si>
    <t>مانده در 01 / 01 /1401</t>
  </si>
  <si>
    <t xml:space="preserve"> اعتبار پرداختي به صندوق های بازنشستگي,پس انداز و رفاه کارکنان صنعت نفت( وام اضطراری ومتمم مسکن)
 </t>
  </si>
  <si>
    <t>18-2-3-</t>
  </si>
  <si>
    <t>خالص دارایی ها (بدهی های ) پولی ارزی در تاریخ 1402/12/29</t>
  </si>
  <si>
    <t>معادل ریالی خالص دارایی ها (بدهی های) پولی ارزی در تاریخ 1401/12/29</t>
  </si>
  <si>
    <t>انحراف نامساعد حقوق و مزایای کارکنان علاوه برافزایش سالانه حقوق ترمیم مجدد حقوق کارکنان رسمی براساس بخشنامه شماره  684/ص/م  مورخ 1402/01/29 وزیرمحترم نفت بوده و  اعمال ماده 10 قانون وظایف و اختیارات نفت  نامه شماره ت ه م /143115 مورخ 1402/03/24 و همچنین اجرای بند "د"تبصره 20 قانون بودجه 1400 وبند"و"ماده24قانون برنامه پنج ساله توسعه اقتصادی مبنی برتبدیل وضعیت ایثارگران به کارمندان پیمانی و رسمی می باشد</t>
  </si>
  <si>
    <t>پیش پرداخت ارزی به مبلغ 362ر296 میلیون ریال مربوط به دو شرکت کارنو ایده ال(224ر552 یورو) و شرکت توربین ماشین خاور میانه (000ر857 یورو ) می باشد.</t>
  </si>
  <si>
    <t>مانده طرح های در جریان تکمیل  به مبلغ 586ر231ر51 میلیون ریال از طریق شرکت ملی مهندسی و ساختمان نفت ایران به شرکت ملی پالایش و پخش فرآورده های نفتی ایران منتقل و از طریق اعلامیه به شرکت خطوط لوله و مخابرات نفت ایران منتقل می گردد.</t>
  </si>
  <si>
    <t xml:space="preserve">مبلغ 586ر231ر51 ميليون ريال از طرح هاي در جریان  تكميل شركت خطوط لوله و مخابرات توسط شرکت ملی مهندسی و ساختمان در حال انجام است كه اقلام تشكيل دهنده آن به شرح زير است  : </t>
  </si>
  <si>
    <t>شرکت وود گروپ</t>
  </si>
  <si>
    <t>17-1-2-1- سپرده حسن انجام کار و خالص مطالبات پیمانکاران (ارزی) به مبلغ 318ر423ر2 میلیون ریال مربوط به پنج شرکت ایران اویل فیلد سوپلای کیش (250ر056ر3  درهم امارات )،  شرکت کارنو ایده ال آرمان (331ر347ر1 یورو ) ، توربین ماشین خاورمیانه (997ر178ر2 یورو ) ، شرکت فناوران تجارت پویا (223ر173 درهم امارات ) و شرکت وود گروپ (474ر225 یورو و 805 ر693ر1درهم امارات) می باشد.</t>
  </si>
  <si>
    <t>کل بودجه مصوب بازنشستگی  وسنوات خدمت مربوط به بهای تمام شده در بخش اداری وعمومی دیده شده است</t>
  </si>
  <si>
    <t>افزایش عمومی وافزایش نرخ نفت کارت و پرداخت کالا کارت طبق مصوبه (153/1) شورای اداری و استخدامی نفت</t>
  </si>
  <si>
    <t>بخش عمده از تاسیسات و اموال غیر منقول شرکت کلا" مستهلک شده و در سال جاری هزینه استهلاک نداشته است</t>
  </si>
  <si>
    <t>بدلیل کمبود نقدینگی و عدم هزینه</t>
  </si>
  <si>
    <t>افزایش نرخ تورم</t>
  </si>
  <si>
    <t>بدلیل کاهش هزینه ماموریت جهت صرفه جویی در هزینه ها</t>
  </si>
  <si>
    <t>افزایش نرخ گاز با توجه به مصوبه شماره(م/16850 ت/61169) هیا ت محترم وزیران</t>
  </si>
  <si>
    <t>بودجه در نظر گرفته شده بر مبنای پیش بینی بیمه دارایی های خاتمه یافته مربوط به پروژه های ملی مهندسی و ساختمان در نظر گرفته شده است</t>
  </si>
  <si>
    <t>صرفه جویی در هزینه های انرژی ناشی از بخشنامه ابلاغیه وزارت نیرو</t>
  </si>
  <si>
    <t>صرفه جویی در هزینه ها</t>
  </si>
  <si>
    <t>بدلیل کمبود نقدینگی در بودجه سرمایه ای و عدم تحقق هزینه</t>
  </si>
  <si>
    <t>کاهش مراودات پستی با بهره گیری  از امکانات فناوری و صرفه جویی هزینه های تلفن</t>
  </si>
  <si>
    <t>سایر تامين كنندگان كالا و خدمات به شرح زیر می باشد:</t>
  </si>
  <si>
    <t>ساير تامين كنندگان كالا و خدمات</t>
  </si>
  <si>
    <t>شرکت ملی گاز ایران(عمدتا" گاز مصرفي مراكز انتقال نفت )</t>
  </si>
  <si>
    <t>ساير مشتريان</t>
  </si>
  <si>
    <t xml:space="preserve">  ماليات و عوارض  ارزش افزوده</t>
  </si>
  <si>
    <t>11-1-3- سایر حساب هاي دريافتني از مشتريان به شرح زیر است:</t>
  </si>
  <si>
    <t>1 -11-1-4 -</t>
  </si>
  <si>
    <t xml:space="preserve">-11-1-5-1 </t>
  </si>
  <si>
    <t>11-1-6 -</t>
  </si>
  <si>
    <t>11-1-2- سایر  مشتريان به شرح زير است:</t>
  </si>
  <si>
    <t>11-1-7</t>
  </si>
  <si>
    <t>11-1-6-1</t>
  </si>
  <si>
    <t>11-1-6-2</t>
  </si>
  <si>
    <t>11-1-6-3</t>
  </si>
  <si>
    <t>11-1-6-4</t>
  </si>
  <si>
    <t>شرکت های زیر مجموعه وزارت نفت</t>
  </si>
  <si>
    <t>شركت پالايش نفت بندرعباس( عمدتا" گاز مصرفي مراکز انتقال نفت)</t>
  </si>
  <si>
    <t xml:space="preserve"> سايردر آمدهاي غيرعملياتي </t>
  </si>
  <si>
    <t>افزایش سرمایه در جریان</t>
  </si>
  <si>
    <t xml:space="preserve">  جریان خالص ورود(خروج) نقد حاصل از فعالیت های عملیاتی</t>
  </si>
  <si>
    <t>حقوق و دستمزد و مزایای کارکنان بر اساس آیین نامه نظام های اداری و استخدامی وزارت نفت و تبعیت از آیین نامه خاصی که توسط ریاست جمهوری تصویب شده، پرداخت گردیده است. وفق (بند3 ماده19) فصل پنجم آیین نامه مذکور ، اضافات عمومی سالیانه متناسب با افزایش حقوق کارکنان دولت انجام می پذیرد. که در سال 1402 نیز به استناد تصویب نامه های 3607/ت61124 مورخ 1402/01/15 هیات وزیران و مصویه شماره 684/ص/م  مورخ 1402/01/29وزارت نفت (کارکنان رسمی) بمیزان 20 درصد افزایش یافت . اضافات شایستگی کارکنان رسمی نیز به طور متوسط 10 درصد برای کل کارکنان و همچنین مبلغ (000ر072ر12 ریال) بصورت ثابت ودر ردیف مستقل با عنوان ترمیم حقوق  طبق  همین مصوبه  وزارت نفت پرداخت گردیده است.همچنین طبق مصوبه شماره ت ه م/143115 مورخ 1402/03/24 (وزارت نفت) افزایش موضوع ماده (10) قانون وظایف واختیارات وزارت نفت در حقوق پایه کارمندان رسمی اعمال شده است. که این امر موجب افزایش هزینه حقوق و مزایای کارکنان در سال 1402 شده است همچنین طبق تصوب نامه شماره ت ه م/7492 مورخ 1402/01/09 وزارت نفت حقوق (کارکنان مدت موقت) به میزان 21% باضافه روزانه 596ر83 ریال آخرین مزد ثابت افزایش یافت.</t>
  </si>
  <si>
    <t>افزايش ( كاهش )</t>
  </si>
  <si>
    <t>سپرده نزد دادگستری</t>
  </si>
  <si>
    <t>بموجب آرای شماره  73 و 601 هیئت عمومی دیوان عدالت اداری و نامه شماره 464968 مورخ 1400/11/10 معاونت توسعه مدیریت و سرمایه انسانی وزارت نفت ، مالیات حقوق کارکنان اصلاح و مازاد پرداختی سال های 1400 الی 1402 جمعا" بمبلغ 668ر165ر1 میلیون ریال بحساب طلب از سازمان امور مالیاتی منظور گردید . لازم بذکر است بموجب نامه های دریافتی از سازمان امور مالیاتی کشور به تاریخ 1400/11/23 و 1401/04/04 ، مالیات اضافه پرداختی مورد ادعای شرکت در زمان رسیدگی و حسابرسی مالیاتی مورد بررسی و در صورت هر گونه مغایرت با فصل مالیات بر درآمد حقوق و آرای دیوان عدالت اداری ، مالیات و جرائم متعلقه توسط آن سازمان قابل مطالبه می باشد و در صورت احراز اضافه پرداختی مورد ادعای شرکت در برگ تشخیص صادره اعمال خواهد گردید که تا تاریخ تایید صورت مالی نتایج آن مشخص نشده است.</t>
  </si>
  <si>
    <t>سرمايه شركت در 1402/12/29 معادل  000ر000ر12ميليون ريال شامل 120 میلیون  سهم يكصد هزار ريالي با نام تمام پرداخت شده است. سرمايه شركت  متعلق به شركت ملي پالايش و پخش فرآورده هاي نفتي ايران بوده و طبق تبصره ماده 4 اساسنامه، مديران شركت فاقد سهام تضميني هستند. طبق صورتجلسه مجمع فوق العاده مورخ 1402/03/21 ،  با کاهش سرمایه به مبلغ 047ر838ر7  میلیون ریال ا ز محل زیان انباشته مصوب وسرمایه شرکت به مبلغ 953ر161ر4 میلیون ریال کاهش و سرمایه ا ز محل مطالبات شرکت ملی پالایش و پخش فرآورده های نفتی ایران ( به میزان 000ر000ر10 میلیون ریال) به مبلغ 953ر161ر14 میلیون ریال افزایش یافت که مراحل ثبت آن در جریان می باشد.</t>
  </si>
  <si>
    <t>17-1-1-2- گردش حساب جاري فيمابين با شركت ملي پالايش و پخش فرآورده های نفتی ایران به شرح ذيل است :</t>
  </si>
  <si>
    <t>بابت تصویب افزایش سرمایه در تاریخ 1402/03/21 (به شرح یادداشت1-15)</t>
  </si>
  <si>
    <t>پنجاه درصد سود سهم دولت سال 1402</t>
  </si>
  <si>
    <t>مالیات برای کلیه سالهای قبل از 1400 پرداخت و تسویه شده است.</t>
  </si>
  <si>
    <t>مالیات عملکرد سالهای 1400و 1401  مطابق برگ تشخیصی به مبلغ 577ر884 میلیون ریال و 253ر481ر1 میلیون ریال مطالبه شده که مورد اعتراض شرکت واقع شده و موضوع در حال پیگیری می باشد.</t>
  </si>
  <si>
    <r>
      <t xml:space="preserve">افزایش دارایی هاي ثابت مشهود اانتقالی از  </t>
    </r>
    <r>
      <rPr>
        <b/>
        <sz val="20"/>
        <color indexed="8"/>
        <rFont val="B Koodak"/>
        <charset val="178"/>
      </rPr>
      <t xml:space="preserve">شرکت ملی پالایش و پخش فرآورده های نفتی ایران </t>
    </r>
  </si>
  <si>
    <r>
      <rPr>
        <b/>
        <sz val="20"/>
        <rFont val="B Koodak"/>
        <charset val="178"/>
      </rPr>
      <t>شرکت سرمایه خود را مدیریت می‌کند تا اطمینان حاصل کند در حین حداکثر کردن بازده ذینفعان از طریق بهینه‌سازی تعادل بدهی و سرمایه، قادر به تداوم فعالیت خواهد بود. ساختار سرمایه شرکت از خالص بدهی و حقوق مالکانه تشکیل می‌شود. استراتژی کلی شرکت از سال های قبل بدون تغییر باقی مانده است و شرکت در معرض هیچگونه الزامات سرمایه تحمیل شده از خارج از شرکت نیست. هیئت مدیره شرکت، ساختار سرمایه شرکت را شش ماه یکبار بررسی می‌کند. به عنوان بخشی از این بررسی، کمیته، هزینه سرمایه و ریسک‌های مرتبط با هر طبقه از سرمایه را مدنظر قرار می‌دهد.  نسبت اهرمی  به عنوان نسبت خالص بدهی به حقوق مالکانه تعیین شده است. نسبت اهرمی در 1402/12/29 معادل 4ر 21 بوده است. با توجه به افزایش سرمایه به مبلغ 953ر161ر14 میلیون ریال لذا نسبت فوق بهبود یافته است.</t>
    </r>
    <r>
      <rPr>
        <sz val="20"/>
        <rFont val="B Koodak"/>
        <charset val="178"/>
      </rPr>
      <t xml:space="preserve">
</t>
    </r>
  </si>
  <si>
    <t xml:space="preserve"> درآمدهاي عملياتي</t>
  </si>
  <si>
    <t>1401-1403</t>
  </si>
  <si>
    <r>
      <t xml:space="preserve">جمع طرحهاي  در جريان تكميل شركت ملي مهندسي ساختمان </t>
    </r>
    <r>
      <rPr>
        <b/>
        <sz val="14"/>
        <rFont val="B Koodak"/>
        <charset val="178"/>
      </rPr>
      <t>(یادداشت1-2-8)</t>
    </r>
  </si>
  <si>
    <t xml:space="preserve">رویدادهایی که  از تاریخ پایان دوره گزارشگری تا تاریخ تایید صورتهای مالی اتفاق ا فتاده اما  مستلزم تعدیل  اقلام صورتهای مالی نبوده ، به وقوع نپیوسته است. </t>
  </si>
  <si>
    <t>1394-1402</t>
  </si>
  <si>
    <t>گاز زنجان از پسوند صفر خارج و به گاز اضافه شد</t>
  </si>
  <si>
    <t>انتقال از سایر اقلام حقوق مالکانه به سود انباشته</t>
  </si>
  <si>
    <t>سود خالص سال 1402</t>
  </si>
  <si>
    <t xml:space="preserve">تراز انتقالی از شرکت ملی مهندسی و ساختمان نفت ایران </t>
  </si>
  <si>
    <t xml:space="preserve">برگشت تراز انتقالی از شرکت ملی  مهندسی و ساختمان نفت ایران </t>
  </si>
  <si>
    <t xml:space="preserve"> سرمايه گذاري هاي بلندمدت </t>
  </si>
  <si>
    <t>بابت مالیات و عوارض ارزش افزوده سال های 1395 و 1397 به استناد آرای هیات ویژه سه نفری هیات ماده (251) مکرر  سالهای 1395 و 1397  به شماره 17/29717 و 17/29719 مورخ 1403/2/22، مالیات بر ارزش افزوده و عوارض کارمزد انتقال نفت خام و فرآورده های نفتی به اشخاص فعال در زنجیره نفت معاف و اصل بدهی دوره های مذکور  در تاریخ 1403/03/09 پرداخت گردید.و جهت درخواست بخشودگی جرائم به سازمان امور مالیاتی ارسال شده است.</t>
  </si>
  <si>
    <t>بابت مالیات و عوارض سال های 1396 و 1398 الی 1400شرکت جهت برگ های مطالبه اعتراض نموده است که موضوع در جریان وپیگیری است.</t>
  </si>
  <si>
    <t>از مبلغ 781ر295  میلیون ریال مبلغ260ر105 میلیون ریال مربوط به حساب سپرده های پرداختی  می باشد.</t>
  </si>
  <si>
    <t>جمع مبالغ پرداختی و پرداختنی در پایان سال مالی مورد گزارش جمعا" به مبلغ 104ر112ر2 میلیون ریال کمتر از مجموع برگ های تشخیص صادره توسط سازمان امور مالیاتی می باشد که مورد اعتراض شرکت قرار گرفته است.</t>
  </si>
  <si>
    <t>ماليات پرداختي و پرداختني</t>
  </si>
  <si>
    <t xml:space="preserve"> معاملات با ا شخاص وابسته  با شرايط حاكم بر معاملات حقيقي تفاوت با اهميتي نداشته است.</t>
  </si>
  <si>
    <t>شرکت ملی مهندسی و ساختمان نفت ایران</t>
  </si>
  <si>
    <t xml:space="preserve">معاملات انجام شده با اشخاص وابسته طي سال مورد گزارش : </t>
  </si>
  <si>
    <t>سایر اشخاص وابسته</t>
  </si>
  <si>
    <t>1401/01/01</t>
  </si>
  <si>
    <t>طبق صورت های مالی
 1400/12/29</t>
  </si>
  <si>
    <t>تجدید ارائه شده
1400/12/29</t>
  </si>
  <si>
    <t>90006500-00000026</t>
  </si>
  <si>
    <t>ذخيره مستمري بازنشستگان - درمان و رفاهیات-سنوات گذشته</t>
  </si>
  <si>
    <t>ذخيره مستمري بازنشستگان - درمان و رفاهیات-سال جاری</t>
  </si>
  <si>
    <t>اصلاح اشتباهات (يادداشت 20)</t>
  </si>
  <si>
    <t>مبلغ 158ر662ر25 میلیون ریال در سال جاری بابت برآورد تعهدات فعلی جهت پرداخت های آتی حقوق و مزایای بازنشستگی کارکنان به حساب منظور شده است. لازم بذکر است مبلغ دقیق این تعهدات پس از محاسبات نهایی صندوق بازنشستگی به شرکت اعلام خواهد شد. پرداختي طي سال شامل  هزينـه هاي مستمري بازنشستگان (قبل از موعـد و طـرح الحاقي) و هزينه مزاياي بازنشستگان عـادي از قبيل : عيـدي، بن كالاي اساسي ، عائله مندي، حق اولاد، درمان و رفاهي به استناد نامه هاي  شماره 582222 مورخ 91/12/27 و شماره  62877مورخ 1386/03/29 تدوين روشها و مقررات مالي نفت مي باشد. ذخیره تامین شده بابت حقوق مستمری بگیران می باشد.</t>
  </si>
  <si>
    <t>در حال رسیدگی</t>
  </si>
  <si>
    <t>سایر شرکتهای تابعه وزارت نفت (20 شرکت)</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</si>
</sst>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1" formatCode="_-* #,##0_-;_-* #,##0\-;_-* &quot;-&quot;_-;_-@_-"/>
    <numFmt numFmtId="44" formatCode="_-&quot;ريال&quot;\ * #,##0.00_-;_-&quot;ريال&quot;\ * #,##0.00\-;_-&quot;ريال&quot;\ * &quot;-&quot;??_-;_-@_-"/>
    <numFmt numFmtId="43" formatCode="_-* #,##0.00_-;_-* #,##0.00\-;_-* &quot;-&quot;??_-;_-@_-"/>
    <numFmt numFmtId="164" formatCode="_(* #,##0_);_(* \(#,##0\);_(* &quot;-&quot;_);_(@_)"/>
    <numFmt numFmtId="165" formatCode="_(* #,##0.00_);_(* \(#,##0.00\);_(* &quot;-&quot;??_);_(@_)"/>
    <numFmt numFmtId="166" formatCode="B2yyyy/mm/dd"/>
    <numFmt numFmtId="167" formatCode="#,##0;[Red]\(#,##0\);\-;"/>
    <numFmt numFmtId="168" formatCode="#,###_-;\(#,###\)"/>
    <numFmt numFmtId="169" formatCode="#,##0_-;\(#\)"/>
    <numFmt numFmtId="170" formatCode="#,##0._-;\(#,##0\)"/>
    <numFmt numFmtId="171" formatCode="#,##0.0;[Red]#,##0.0"/>
    <numFmt numFmtId="172" formatCode="#,##0.000"/>
    <numFmt numFmtId="173" formatCode="#,##0.00;[Red]#,##0.00"/>
    <numFmt numFmtId="174" formatCode="_-* #,##0_-;_-* #,##0\-;_-* &quot;-&quot;??_-;_-@_-"/>
    <numFmt numFmtId="175" formatCode="#,##0_ ;[Red]\-#,##0\ "/>
    <numFmt numFmtId="176" formatCode="0.0"/>
    <numFmt numFmtId="177" formatCode="#,##0.0"/>
    <numFmt numFmtId="178" formatCode="_-&quot;ريال&quot;\ * #,##0.000_-;_-&quot;ريال&quot;\ * #,##0.000\-;_-&quot;ريال&quot;\ * &quot;-&quot;??_-;_-@_-"/>
    <numFmt numFmtId="179" formatCode="0.000"/>
    <numFmt numFmtId="180" formatCode="#,##0.00000;[Red]#,##0.00000"/>
    <numFmt numFmtId="181" formatCode="#,##0.0000"/>
    <numFmt numFmtId="182" formatCode="[$£-809]#,##0.00"/>
    <numFmt numFmtId="183" formatCode="_(* #,##0.0_);_(* \(#,##0.0\);_(* &quot;-&quot;_);_(@_)"/>
    <numFmt numFmtId="184" formatCode="#,##0_ ;[Red]\(#,###\)\ "/>
    <numFmt numFmtId="185" formatCode="#,##0.00000000"/>
    <numFmt numFmtId="186" formatCode="#,##0;[Red]\(#,##0\);\-"/>
    <numFmt numFmtId="187" formatCode="_(* #,##0_);_(* \(#,##0\);_(* &quot;-&quot;??_);_(@_)"/>
    <numFmt numFmtId="188" formatCode="&quot;$&quot;#,##0.00"/>
    <numFmt numFmtId="189" formatCode="_(* #,##0.0_);_(* \(#,##0.0\);_(* &quot;-&quot;??_);_(@_)"/>
    <numFmt numFmtId="190" formatCode="#,##0;\(#,##0\);\-"/>
    <numFmt numFmtId="191" formatCode="[$-F400]h:mm:ss\ AM/PM"/>
    <numFmt numFmtId="192" formatCode="#,##0;[Red]#,##0"/>
  </numFmts>
  <fonts count="342">
    <font>
      <sz val="11"/>
      <color theme="1"/>
      <name val="Arial"/>
      <family val="2"/>
      <charset val="178"/>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scheme val="minor"/>
    </font>
    <font>
      <sz val="11"/>
      <color theme="1"/>
      <name val="Arial"/>
      <family val="2"/>
      <charset val="178"/>
    </font>
    <font>
      <sz val="10"/>
      <name val="Arial"/>
      <family val="2"/>
    </font>
    <font>
      <b/>
      <sz val="16"/>
      <color indexed="8"/>
      <name val="Titr"/>
    </font>
    <font>
      <b/>
      <sz val="16"/>
      <color indexed="9"/>
      <name val="Titr"/>
    </font>
    <font>
      <b/>
      <sz val="10"/>
      <color indexed="8"/>
      <name val="Titr"/>
    </font>
    <font>
      <b/>
      <sz val="10"/>
      <color indexed="9"/>
      <name val="Titr"/>
    </font>
    <font>
      <u/>
      <sz val="9"/>
      <color indexed="8"/>
      <name val="Titr"/>
    </font>
    <font>
      <sz val="12"/>
      <name val="Arial"/>
      <family val="2"/>
    </font>
    <font>
      <b/>
      <sz val="11"/>
      <name val="Roya"/>
      <charset val="178"/>
    </font>
    <font>
      <b/>
      <sz val="12"/>
      <name val="Roya"/>
      <charset val="178"/>
    </font>
    <font>
      <b/>
      <sz val="12"/>
      <color indexed="12"/>
      <name val="Roya"/>
      <charset val="178"/>
    </font>
    <font>
      <b/>
      <sz val="12"/>
      <color indexed="10"/>
      <name val="Roya"/>
      <charset val="178"/>
    </font>
    <font>
      <b/>
      <sz val="12"/>
      <name val="Arial"/>
      <family val="2"/>
    </font>
    <font>
      <b/>
      <sz val="12"/>
      <name val="B Traffic"/>
      <charset val="178"/>
    </font>
    <font>
      <b/>
      <sz val="12"/>
      <name val="MS Sans Serif"/>
      <family val="2"/>
      <charset val="178"/>
    </font>
    <font>
      <b/>
      <sz val="12"/>
      <name val="Tahoma"/>
      <family val="2"/>
    </font>
    <font>
      <b/>
      <sz val="11"/>
      <color indexed="12"/>
      <name val="Roya"/>
      <charset val="178"/>
    </font>
    <font>
      <b/>
      <sz val="11"/>
      <color indexed="10"/>
      <name val="Roya"/>
      <charset val="178"/>
    </font>
    <font>
      <sz val="10"/>
      <name val="Arial"/>
      <family val="2"/>
    </font>
    <font>
      <sz val="11"/>
      <name val="Nazanin"/>
      <charset val="178"/>
    </font>
    <font>
      <sz val="9"/>
      <color indexed="81"/>
      <name val="Tahoma"/>
      <family val="2"/>
    </font>
    <font>
      <b/>
      <sz val="11"/>
      <color theme="1"/>
      <name val="B Koodak"/>
      <charset val="178"/>
    </font>
    <font>
      <b/>
      <u/>
      <vertAlign val="superscript"/>
      <sz val="28"/>
      <color indexed="18"/>
      <name val="B Koodak"/>
      <charset val="178"/>
    </font>
    <font>
      <b/>
      <sz val="22"/>
      <name val="B Koodak"/>
      <charset val="178"/>
    </font>
    <font>
      <b/>
      <sz val="26"/>
      <name val="B Koodak"/>
      <charset val="178"/>
    </font>
    <font>
      <b/>
      <sz val="18"/>
      <name val="B Koodak"/>
      <charset val="178"/>
    </font>
    <font>
      <b/>
      <sz val="20"/>
      <name val="B Koodak"/>
      <charset val="178"/>
    </font>
    <font>
      <b/>
      <sz val="10"/>
      <name val="B Koodak"/>
      <charset val="178"/>
    </font>
    <font>
      <b/>
      <sz val="16"/>
      <name val="B Koodak"/>
      <charset val="178"/>
    </font>
    <font>
      <b/>
      <sz val="14"/>
      <name val="B Koodak"/>
      <charset val="178"/>
    </font>
    <font>
      <b/>
      <sz val="9"/>
      <name val="B Koodak"/>
      <charset val="178"/>
    </font>
    <font>
      <b/>
      <sz val="22"/>
      <color theme="1"/>
      <name val="B Koodak"/>
      <charset val="178"/>
    </font>
    <font>
      <b/>
      <vertAlign val="superscript"/>
      <sz val="22"/>
      <name val="B Koodak"/>
      <charset val="178"/>
    </font>
    <font>
      <b/>
      <sz val="20"/>
      <color theme="1"/>
      <name val="B Koodak"/>
      <charset val="178"/>
    </font>
    <font>
      <b/>
      <sz val="13"/>
      <name val="B Koodak"/>
      <charset val="178"/>
    </font>
    <font>
      <sz val="26"/>
      <name val="B Koodak"/>
      <charset val="178"/>
    </font>
    <font>
      <sz val="20"/>
      <name val="B Koodak"/>
      <charset val="178"/>
    </font>
    <font>
      <b/>
      <sz val="24"/>
      <name val="B Koodak"/>
      <charset val="178"/>
    </font>
    <font>
      <sz val="10"/>
      <name val="B Koodak"/>
      <charset val="178"/>
    </font>
    <font>
      <b/>
      <u/>
      <vertAlign val="superscript"/>
      <sz val="22"/>
      <name val="B Koodak"/>
      <charset val="178"/>
    </font>
    <font>
      <sz val="11"/>
      <name val="B Koodak"/>
      <charset val="178"/>
    </font>
    <font>
      <b/>
      <sz val="11"/>
      <name val="B Koodak"/>
      <charset val="178"/>
    </font>
    <font>
      <sz val="14"/>
      <name val="B Koodak"/>
      <charset val="178"/>
    </font>
    <font>
      <sz val="12"/>
      <name val="B Koodak"/>
      <charset val="178"/>
    </font>
    <font>
      <b/>
      <sz val="12"/>
      <name val="B Koodak"/>
      <charset val="178"/>
    </font>
    <font>
      <sz val="11"/>
      <color rgb="FFFF0000"/>
      <name val="B Koodak"/>
      <charset val="178"/>
    </font>
    <font>
      <sz val="10"/>
      <color theme="0"/>
      <name val="B Koodak"/>
      <charset val="178"/>
    </font>
    <font>
      <b/>
      <sz val="8"/>
      <name val="B Koodak"/>
      <charset val="178"/>
    </font>
    <font>
      <sz val="10"/>
      <color rgb="FFFF0000"/>
      <name val="B Koodak"/>
      <charset val="178"/>
    </font>
    <font>
      <sz val="9"/>
      <color theme="0"/>
      <name val="B Koodak"/>
      <charset val="178"/>
    </font>
    <font>
      <b/>
      <u/>
      <vertAlign val="superscript"/>
      <sz val="24"/>
      <color indexed="18"/>
      <name val="B Koodak"/>
      <charset val="178"/>
    </font>
    <font>
      <b/>
      <sz val="28"/>
      <name val="B Koodak"/>
      <charset val="178"/>
    </font>
    <font>
      <sz val="28"/>
      <color theme="1"/>
      <name val="B Koodak"/>
      <charset val="178"/>
    </font>
    <font>
      <sz val="11"/>
      <color theme="1"/>
      <name val="B Koodak"/>
      <charset val="178"/>
    </font>
    <font>
      <sz val="16"/>
      <name val="B Koodak"/>
      <charset val="178"/>
    </font>
    <font>
      <sz val="12.5"/>
      <name val="B Koodak"/>
      <charset val="178"/>
    </font>
    <font>
      <sz val="11.5"/>
      <name val="B Koodak"/>
      <charset val="178"/>
    </font>
    <font>
      <sz val="12"/>
      <color theme="1"/>
      <name val="B Koodak"/>
      <charset val="178"/>
    </font>
    <font>
      <sz val="18"/>
      <name val="B Koodak"/>
      <charset val="178"/>
    </font>
    <font>
      <b/>
      <u/>
      <sz val="14"/>
      <name val="B Koodak"/>
      <charset val="178"/>
    </font>
    <font>
      <sz val="13"/>
      <name val="B Koodak"/>
      <charset val="178"/>
    </font>
    <font>
      <sz val="15"/>
      <name val="B Koodak"/>
      <charset val="178"/>
    </font>
    <font>
      <sz val="26"/>
      <color theme="1"/>
      <name val="B Koodak"/>
      <charset val="178"/>
    </font>
    <font>
      <b/>
      <sz val="16"/>
      <color rgb="FF002060"/>
      <name val="B Koodak"/>
      <charset val="178"/>
    </font>
    <font>
      <b/>
      <sz val="12"/>
      <color rgb="FF002060"/>
      <name val="B Koodak"/>
      <charset val="178"/>
    </font>
    <font>
      <b/>
      <sz val="14"/>
      <color rgb="FF002060"/>
      <name val="B Koodak"/>
      <charset val="178"/>
    </font>
    <font>
      <sz val="17"/>
      <name val="B Koodak"/>
      <charset val="178"/>
    </font>
    <font>
      <sz val="13.5"/>
      <name val="B Koodak"/>
      <charset val="178"/>
    </font>
    <font>
      <sz val="18"/>
      <color theme="1"/>
      <name val="B Koodak"/>
      <charset val="178"/>
    </font>
    <font>
      <b/>
      <u/>
      <vertAlign val="superscript"/>
      <sz val="26"/>
      <color rgb="FF002060"/>
      <name val="B Koodak"/>
      <charset val="178"/>
    </font>
    <font>
      <b/>
      <sz val="11"/>
      <color rgb="FF002060"/>
      <name val="B Koodak"/>
      <charset val="178"/>
    </font>
    <font>
      <b/>
      <u/>
      <sz val="10"/>
      <name val="B Koodak"/>
      <charset val="178"/>
    </font>
    <font>
      <sz val="22"/>
      <color theme="1"/>
      <name val="B Koodak"/>
      <charset val="178"/>
    </font>
    <font>
      <b/>
      <sz val="26"/>
      <color theme="1"/>
      <name val="B Koodak"/>
      <charset val="178"/>
    </font>
    <font>
      <sz val="20"/>
      <color theme="0"/>
      <name val="B Koodak"/>
      <charset val="178"/>
    </font>
    <font>
      <sz val="14"/>
      <color theme="0"/>
      <name val="B Koodak"/>
      <charset val="178"/>
    </font>
    <font>
      <b/>
      <vertAlign val="superscript"/>
      <sz val="18"/>
      <name val="B Koodak"/>
      <charset val="178"/>
    </font>
    <font>
      <b/>
      <vertAlign val="superscript"/>
      <sz val="20"/>
      <name val="B Koodak"/>
      <charset val="178"/>
    </font>
    <font>
      <sz val="16"/>
      <color theme="1"/>
      <name val="B Koodak"/>
      <charset val="178"/>
    </font>
    <font>
      <b/>
      <u/>
      <vertAlign val="superscript"/>
      <sz val="20"/>
      <name val="B Koodak"/>
      <charset val="178"/>
    </font>
    <font>
      <b/>
      <sz val="14"/>
      <color indexed="8"/>
      <name val="B Koodak"/>
      <charset val="178"/>
    </font>
    <font>
      <b/>
      <sz val="15"/>
      <name val="B Koodak"/>
      <charset val="178"/>
    </font>
    <font>
      <sz val="8"/>
      <name val="B Koodak"/>
      <charset val="178"/>
    </font>
    <font>
      <sz val="24"/>
      <name val="B Koodak"/>
      <charset val="178"/>
    </font>
    <font>
      <sz val="22"/>
      <name val="B Koodak"/>
      <charset val="178"/>
    </font>
    <font>
      <b/>
      <u/>
      <sz val="22"/>
      <name val="B Koodak"/>
      <charset val="178"/>
    </font>
    <font>
      <b/>
      <sz val="36"/>
      <name val="B Koodak"/>
      <charset val="178"/>
    </font>
    <font>
      <b/>
      <u/>
      <vertAlign val="superscript"/>
      <sz val="18"/>
      <name val="B Koodak"/>
      <charset val="178"/>
    </font>
    <font>
      <b/>
      <sz val="5"/>
      <name val="B Koodak"/>
      <charset val="178"/>
    </font>
    <font>
      <sz val="20"/>
      <color theme="1"/>
      <name val="B Koodak"/>
      <charset val="178"/>
    </font>
    <font>
      <b/>
      <u/>
      <sz val="16"/>
      <name val="B Koodak"/>
      <charset val="178"/>
    </font>
    <font>
      <b/>
      <sz val="16"/>
      <color theme="1"/>
      <name val="B Koodak"/>
      <charset val="178"/>
    </font>
    <font>
      <b/>
      <u/>
      <sz val="18"/>
      <name val="B Koodak"/>
      <charset val="178"/>
    </font>
    <font>
      <b/>
      <sz val="16"/>
      <color indexed="12"/>
      <name val="B Koodak"/>
      <charset val="178"/>
    </font>
    <font>
      <b/>
      <sz val="16"/>
      <color indexed="10"/>
      <name val="B Koodak"/>
      <charset val="178"/>
    </font>
    <font>
      <b/>
      <u/>
      <sz val="15"/>
      <name val="B Koodak"/>
      <charset val="178"/>
    </font>
    <font>
      <b/>
      <sz val="15"/>
      <color indexed="10"/>
      <name val="B Koodak"/>
      <charset val="178"/>
    </font>
    <font>
      <b/>
      <sz val="16"/>
      <color rgb="FFFF0000"/>
      <name val="B Koodak"/>
      <charset val="178"/>
    </font>
    <font>
      <b/>
      <sz val="15"/>
      <color rgb="FFFF0000"/>
      <name val="B Koodak"/>
      <charset val="178"/>
    </font>
    <font>
      <sz val="15"/>
      <color rgb="FFFF0000"/>
      <name val="B Koodak"/>
      <charset val="178"/>
    </font>
    <font>
      <b/>
      <sz val="14"/>
      <color rgb="FFFF0000"/>
      <name val="B Koodak"/>
      <charset val="178"/>
    </font>
    <font>
      <sz val="16"/>
      <color rgb="FFFF0000"/>
      <name val="B Koodak"/>
      <charset val="178"/>
    </font>
    <font>
      <sz val="18"/>
      <color theme="0"/>
      <name val="B Koodak"/>
      <charset val="178"/>
    </font>
    <font>
      <b/>
      <sz val="18"/>
      <color rgb="FFFF0000"/>
      <name val="B Koodak"/>
      <charset val="178"/>
    </font>
    <font>
      <b/>
      <sz val="18"/>
      <color theme="1"/>
      <name val="B Koodak"/>
      <charset val="178"/>
    </font>
    <font>
      <sz val="10"/>
      <color theme="1"/>
      <name val="B Koodak"/>
      <charset val="178"/>
    </font>
    <font>
      <sz val="11"/>
      <color theme="0"/>
      <name val="B Koodak"/>
      <charset val="178"/>
    </font>
    <font>
      <b/>
      <sz val="14"/>
      <color theme="0"/>
      <name val="B Koodak"/>
      <charset val="178"/>
    </font>
    <font>
      <b/>
      <u val="double"/>
      <sz val="11"/>
      <name val="B Koodak"/>
      <charset val="178"/>
    </font>
    <font>
      <b/>
      <sz val="13"/>
      <color rgb="FFFF0000"/>
      <name val="B Koodak"/>
      <charset val="178"/>
    </font>
    <font>
      <sz val="48"/>
      <name val="B Koodak"/>
      <charset val="178"/>
    </font>
    <font>
      <sz val="48"/>
      <color theme="1"/>
      <name val="B Koodak"/>
      <charset val="178"/>
    </font>
    <font>
      <b/>
      <sz val="18"/>
      <color theme="0"/>
      <name val="B Koodak"/>
      <charset val="178"/>
    </font>
    <font>
      <b/>
      <u/>
      <sz val="20"/>
      <name val="B Koodak"/>
      <charset val="178"/>
    </font>
    <font>
      <sz val="5"/>
      <name val="B Koodak"/>
      <charset val="178"/>
    </font>
    <font>
      <b/>
      <u/>
      <vertAlign val="superscript"/>
      <sz val="22"/>
      <color indexed="18"/>
      <name val="B Koodak"/>
      <charset val="178"/>
    </font>
    <font>
      <b/>
      <sz val="12"/>
      <color theme="1"/>
      <name val="B Koodak"/>
      <charset val="178"/>
    </font>
    <font>
      <sz val="12"/>
      <color theme="0"/>
      <name val="B Koodak"/>
      <charset val="178"/>
    </font>
    <font>
      <sz val="24"/>
      <color theme="1"/>
      <name val="B Koodak"/>
      <charset val="178"/>
    </font>
    <font>
      <sz val="14"/>
      <color theme="5" tint="0.39997558519241921"/>
      <name val="B Koodak"/>
      <charset val="178"/>
    </font>
    <font>
      <sz val="7"/>
      <name val="B Koodak"/>
      <charset val="178"/>
    </font>
    <font>
      <sz val="14"/>
      <color rgb="FFFF0000"/>
      <name val="B Koodak"/>
      <charset val="178"/>
    </font>
    <font>
      <sz val="12"/>
      <color rgb="FFFF0000"/>
      <name val="B Koodak"/>
      <charset val="178"/>
    </font>
    <font>
      <b/>
      <sz val="28"/>
      <color theme="1"/>
      <name val="B Koodak"/>
      <charset val="178"/>
    </font>
    <font>
      <b/>
      <u/>
      <vertAlign val="superscript"/>
      <sz val="48"/>
      <color indexed="18"/>
      <name val="B Koodak"/>
      <charset val="178"/>
    </font>
    <font>
      <b/>
      <sz val="48"/>
      <name val="B Koodak"/>
      <charset val="178"/>
    </font>
    <font>
      <sz val="36"/>
      <color theme="1"/>
      <name val="B Koodak"/>
      <charset val="178"/>
    </font>
    <font>
      <sz val="36"/>
      <name val="B Koodak"/>
      <charset val="178"/>
    </font>
    <font>
      <b/>
      <sz val="12"/>
      <color theme="0"/>
      <name val="B Koodak"/>
      <charset val="178"/>
    </font>
    <font>
      <sz val="48"/>
      <color rgb="FFFF0000"/>
      <name val="B Koodak"/>
      <charset val="178"/>
    </font>
    <font>
      <b/>
      <sz val="10"/>
      <color rgb="FFFF0000"/>
      <name val="B Koodak"/>
      <charset val="178"/>
    </font>
    <font>
      <sz val="14"/>
      <color theme="1"/>
      <name val="B Koodak"/>
      <charset val="178"/>
    </font>
    <font>
      <b/>
      <u/>
      <vertAlign val="superscript"/>
      <sz val="26"/>
      <color indexed="18"/>
      <name val="B Koodak"/>
      <charset val="178"/>
    </font>
    <font>
      <b/>
      <u/>
      <vertAlign val="superscript"/>
      <sz val="24"/>
      <name val="B Koodak"/>
      <charset val="178"/>
    </font>
    <font>
      <b/>
      <u/>
      <vertAlign val="superscript"/>
      <sz val="14"/>
      <name val="B Koodak"/>
      <charset val="178"/>
    </font>
    <font>
      <b/>
      <u/>
      <vertAlign val="superscript"/>
      <sz val="16"/>
      <name val="B Koodak"/>
      <charset val="178"/>
    </font>
    <font>
      <b/>
      <u/>
      <vertAlign val="superscript"/>
      <sz val="36"/>
      <name val="B Koodak"/>
      <charset val="178"/>
    </font>
    <font>
      <sz val="9"/>
      <name val="B Koodak"/>
      <charset val="178"/>
    </font>
    <font>
      <u/>
      <sz val="18"/>
      <name val="B Koodak"/>
      <charset val="178"/>
    </font>
    <font>
      <sz val="8"/>
      <color theme="1"/>
      <name val="B Koodak"/>
      <charset val="178"/>
    </font>
    <font>
      <b/>
      <sz val="11"/>
      <color theme="0"/>
      <name val="B Koodak"/>
      <charset val="178"/>
    </font>
    <font>
      <sz val="16"/>
      <color theme="0"/>
      <name val="B Koodak"/>
      <charset val="178"/>
    </font>
    <font>
      <b/>
      <sz val="48"/>
      <color theme="1"/>
      <name val="B Koodak"/>
      <charset val="178"/>
    </font>
    <font>
      <b/>
      <sz val="16"/>
      <color theme="0"/>
      <name val="B Koodak"/>
      <charset val="178"/>
    </font>
    <font>
      <b/>
      <sz val="24"/>
      <color theme="1"/>
      <name val="B Koodak"/>
      <charset val="178"/>
    </font>
    <font>
      <b/>
      <u/>
      <vertAlign val="superscript"/>
      <sz val="22"/>
      <color rgb="FFFF0000"/>
      <name val="B Koodak"/>
      <charset val="178"/>
    </font>
    <font>
      <b/>
      <sz val="11"/>
      <color rgb="FFFF0000"/>
      <name val="B Koodak"/>
      <charset val="178"/>
    </font>
    <font>
      <b/>
      <sz val="24"/>
      <name val="Arial"/>
      <family val="2"/>
    </font>
    <font>
      <b/>
      <sz val="20"/>
      <color rgb="FFFF0000"/>
      <name val="B Koodak"/>
      <charset val="178"/>
    </font>
    <font>
      <b/>
      <sz val="24"/>
      <name val="Nazanin"/>
      <charset val="178"/>
    </font>
    <font>
      <sz val="24"/>
      <name val="Nazanin"/>
      <charset val="178"/>
    </font>
    <font>
      <b/>
      <sz val="24"/>
      <color indexed="12"/>
      <name val="Arial"/>
      <family val="2"/>
    </font>
    <font>
      <b/>
      <sz val="24"/>
      <name val="Roya"/>
      <charset val="178"/>
    </font>
    <font>
      <sz val="24"/>
      <color theme="1"/>
      <name val="Nazanin"/>
      <charset val="178"/>
    </font>
    <font>
      <sz val="24"/>
      <name val="Roya"/>
      <charset val="178"/>
    </font>
    <font>
      <b/>
      <sz val="24"/>
      <name val="B Zar"/>
      <charset val="178"/>
    </font>
    <font>
      <b/>
      <sz val="14"/>
      <color theme="1"/>
      <name val="B Koodak"/>
      <charset val="178"/>
    </font>
    <font>
      <b/>
      <sz val="21"/>
      <name val="B Koodak"/>
      <charset val="178"/>
    </font>
    <font>
      <b/>
      <sz val="36"/>
      <color theme="1"/>
      <name val="B Koodak"/>
      <charset val="178"/>
    </font>
    <font>
      <sz val="18"/>
      <color rgb="FFFF0000"/>
      <name val="B Koodak"/>
      <charset val="178"/>
    </font>
    <font>
      <b/>
      <u/>
      <vertAlign val="superscript"/>
      <sz val="24"/>
      <color rgb="FFFF0000"/>
      <name val="B Koodak"/>
      <charset val="178"/>
    </font>
    <font>
      <b/>
      <u/>
      <sz val="18"/>
      <color rgb="FFFF0000"/>
      <name val="B Koodak"/>
      <charset val="178"/>
    </font>
    <font>
      <b/>
      <u/>
      <sz val="15"/>
      <color rgb="FFFF0000"/>
      <name val="B Koodak"/>
      <charset val="178"/>
    </font>
    <font>
      <sz val="20"/>
      <color rgb="FFFF0000"/>
      <name val="B Koodak"/>
      <charset val="178"/>
    </font>
    <font>
      <b/>
      <sz val="26"/>
      <color rgb="FFFF0000"/>
      <name val="B Koodak"/>
      <charset val="178"/>
    </font>
    <font>
      <sz val="12"/>
      <color theme="1"/>
      <name val="Arial"/>
      <family val="2"/>
      <charset val="178"/>
    </font>
    <font>
      <sz val="11"/>
      <color theme="1"/>
      <name val="Arial"/>
      <family val="2"/>
      <scheme val="minor"/>
    </font>
    <font>
      <u/>
      <sz val="11"/>
      <color theme="10"/>
      <name val="Arial"/>
      <family val="2"/>
      <scheme val="minor"/>
    </font>
    <font>
      <sz val="11"/>
      <color theme="1"/>
      <name val="Calibri"/>
      <family val="2"/>
      <charset val="178"/>
    </font>
    <font>
      <sz val="11"/>
      <color indexed="8"/>
      <name val="Arial"/>
      <family val="2"/>
      <charset val="178"/>
    </font>
    <font>
      <b/>
      <sz val="11"/>
      <color rgb="FF3F3F3F"/>
      <name val="Arial"/>
      <family val="2"/>
    </font>
    <font>
      <b/>
      <sz val="9"/>
      <color indexed="81"/>
      <name val="Tahoma"/>
      <family val="2"/>
    </font>
    <font>
      <sz val="22"/>
      <color theme="0"/>
      <name val="B Koodak"/>
      <charset val="178"/>
    </font>
    <font>
      <b/>
      <sz val="22"/>
      <color theme="0"/>
      <name val="B Koodak"/>
      <charset val="178"/>
    </font>
    <font>
      <b/>
      <sz val="12"/>
      <color rgb="FFFF0000"/>
      <name val="B Koodak"/>
      <charset val="178"/>
    </font>
    <font>
      <sz val="8"/>
      <color rgb="FFFF0000"/>
      <name val="B Koodak"/>
      <charset val="178"/>
    </font>
    <font>
      <sz val="9"/>
      <color rgb="FFFF0000"/>
      <name val="B Koodak"/>
      <charset val="178"/>
    </font>
    <font>
      <b/>
      <sz val="20"/>
      <name val="B Homa"/>
      <charset val="178"/>
    </font>
    <font>
      <sz val="16"/>
      <color theme="5" tint="0.39997558519241921"/>
      <name val="B Koodak"/>
      <charset val="178"/>
    </font>
    <font>
      <sz val="16"/>
      <color indexed="9"/>
      <name val="B Koodak"/>
      <charset val="178"/>
    </font>
    <font>
      <b/>
      <sz val="18"/>
      <color indexed="8"/>
      <name val="B Koodak"/>
      <charset val="178"/>
    </font>
    <font>
      <sz val="40"/>
      <name val="B Koodak"/>
      <charset val="178"/>
    </font>
    <font>
      <b/>
      <sz val="17"/>
      <name val="B Koodak"/>
      <charset val="178"/>
    </font>
    <font>
      <b/>
      <sz val="22"/>
      <color rgb="FFFF0000"/>
      <name val="B Koodak"/>
      <charset val="178"/>
    </font>
    <font>
      <b/>
      <sz val="18"/>
      <color theme="5" tint="0.59999389629810485"/>
      <name val="B Koodak"/>
      <charset val="178"/>
    </font>
    <font>
      <b/>
      <sz val="13"/>
      <color theme="5" tint="0.59999389629810485"/>
      <name val="B Koodak"/>
      <charset val="178"/>
    </font>
    <font>
      <b/>
      <sz val="20"/>
      <color theme="0"/>
      <name val="B Koodak"/>
      <charset val="178"/>
    </font>
    <font>
      <b/>
      <vertAlign val="superscript"/>
      <sz val="24"/>
      <name val="B Koodak"/>
      <charset val="178"/>
    </font>
    <font>
      <b/>
      <vertAlign val="superscript"/>
      <sz val="26"/>
      <name val="B Koodak"/>
      <charset val="178"/>
    </font>
    <font>
      <b/>
      <vertAlign val="superscript"/>
      <sz val="28"/>
      <name val="B Koodak"/>
      <charset val="178"/>
    </font>
    <font>
      <sz val="22"/>
      <color rgb="FFFF0000"/>
      <name val="B Koodak"/>
      <charset val="178"/>
    </font>
    <font>
      <sz val="21"/>
      <name val="B Koodak"/>
      <charset val="178"/>
    </font>
    <font>
      <sz val="24"/>
      <color rgb="FFFF0000"/>
      <name val="Nazanin"/>
      <charset val="178"/>
    </font>
    <font>
      <u/>
      <sz val="18"/>
      <color rgb="FFFF0000"/>
      <name val="B Koodak"/>
      <charset val="178"/>
    </font>
    <font>
      <sz val="24"/>
      <color rgb="FFFF0000"/>
      <name val="B Koodak"/>
      <charset val="178"/>
    </font>
    <font>
      <b/>
      <u/>
      <vertAlign val="superscript"/>
      <sz val="22"/>
      <color theme="0"/>
      <name val="B Koodak"/>
      <charset val="178"/>
    </font>
    <font>
      <b/>
      <sz val="10"/>
      <color theme="1"/>
      <name val="B Koodak"/>
      <charset val="178"/>
    </font>
    <font>
      <sz val="16"/>
      <color theme="1"/>
      <name val="Arial"/>
      <family val="2"/>
      <charset val="178"/>
    </font>
    <font>
      <b/>
      <sz val="48"/>
      <color rgb="FFFF0000"/>
      <name val="B Koodak"/>
      <charset val="178"/>
    </font>
    <font>
      <sz val="11"/>
      <color theme="1"/>
      <name val="B Nazanin"/>
      <charset val="178"/>
    </font>
    <font>
      <sz val="12"/>
      <color theme="1"/>
      <name val="B Nazanin"/>
      <charset val="178"/>
    </font>
    <font>
      <b/>
      <sz val="12"/>
      <color theme="1"/>
      <name val="B Nazanin"/>
      <charset val="178"/>
    </font>
    <font>
      <sz val="10"/>
      <color theme="1"/>
      <name val="Arial"/>
      <family val="2"/>
      <charset val="178"/>
    </font>
    <font>
      <b/>
      <sz val="11"/>
      <color theme="1"/>
      <name val="B Nazanin"/>
      <charset val="178"/>
    </font>
    <font>
      <b/>
      <u/>
      <vertAlign val="superscript"/>
      <sz val="48"/>
      <color rgb="FFFF0000"/>
      <name val="B Koodak"/>
      <charset val="178"/>
    </font>
    <font>
      <sz val="36"/>
      <color rgb="FFFF0000"/>
      <name val="B Koodak"/>
      <charset val="178"/>
    </font>
    <font>
      <b/>
      <sz val="18"/>
      <color theme="1"/>
      <name val="B Nazanin"/>
      <charset val="178"/>
    </font>
    <font>
      <sz val="14"/>
      <color theme="5"/>
      <name val="B Koodak"/>
      <charset val="178"/>
    </font>
    <font>
      <b/>
      <sz val="14"/>
      <color theme="5"/>
      <name val="B Koodak"/>
      <charset val="178"/>
    </font>
    <font>
      <b/>
      <sz val="15"/>
      <color theme="5"/>
      <name val="B Koodak"/>
      <charset val="178"/>
    </font>
    <font>
      <sz val="11"/>
      <color theme="5"/>
      <name val="B Koodak"/>
      <charset val="178"/>
    </font>
    <font>
      <sz val="20"/>
      <color rgb="FFC00000"/>
      <name val="B Koodak"/>
      <charset val="178"/>
    </font>
    <font>
      <b/>
      <vertAlign val="superscript"/>
      <sz val="26"/>
      <color indexed="18"/>
      <name val="B Koodak"/>
      <charset val="178"/>
    </font>
    <font>
      <b/>
      <vertAlign val="superscript"/>
      <sz val="24"/>
      <color indexed="18"/>
      <name val="B Koodak"/>
      <charset val="178"/>
    </font>
    <font>
      <b/>
      <vertAlign val="superscript"/>
      <sz val="36"/>
      <name val="B Koodak"/>
      <charset val="178"/>
    </font>
    <font>
      <b/>
      <vertAlign val="superscript"/>
      <sz val="36"/>
      <color indexed="18"/>
      <name val="B Koodak"/>
      <charset val="178"/>
    </font>
    <font>
      <b/>
      <vertAlign val="superscript"/>
      <sz val="48"/>
      <color indexed="18"/>
      <name val="B Koodak"/>
      <charset val="178"/>
    </font>
    <font>
      <b/>
      <vertAlign val="superscript"/>
      <sz val="28"/>
      <color indexed="18"/>
      <name val="B Koodak"/>
      <charset val="178"/>
    </font>
    <font>
      <b/>
      <vertAlign val="superscript"/>
      <sz val="30"/>
      <color indexed="18"/>
      <name val="B Koodak"/>
      <charset val="178"/>
    </font>
    <font>
      <b/>
      <vertAlign val="superscript"/>
      <sz val="60"/>
      <name val="B Koodak"/>
      <charset val="178"/>
    </font>
    <font>
      <b/>
      <vertAlign val="superscript"/>
      <sz val="27"/>
      <color indexed="18"/>
      <name val="B Koodak"/>
      <charset val="178"/>
    </font>
    <font>
      <b/>
      <vertAlign val="superscript"/>
      <sz val="32"/>
      <color indexed="18"/>
      <name val="B Koodak"/>
      <charset val="178"/>
    </font>
    <font>
      <b/>
      <vertAlign val="superscript"/>
      <sz val="37"/>
      <color indexed="18"/>
      <name val="B Koodak"/>
      <charset val="178"/>
    </font>
    <font>
      <b/>
      <sz val="20"/>
      <color indexed="8"/>
      <name val="B Koodak"/>
      <charset val="178"/>
    </font>
    <font>
      <b/>
      <sz val="45"/>
      <name val="B Koodak"/>
      <charset val="178"/>
    </font>
    <font>
      <sz val="45"/>
      <color theme="1"/>
      <name val="B Koodak"/>
      <charset val="178"/>
    </font>
    <font>
      <sz val="21"/>
      <color theme="1"/>
      <name val="B Koodak"/>
      <charset val="178"/>
    </font>
    <font>
      <b/>
      <sz val="21"/>
      <color indexed="18"/>
      <name val="B Koodak"/>
      <charset val="178"/>
    </font>
    <font>
      <b/>
      <sz val="21"/>
      <color indexed="8"/>
      <name val="B Koodak"/>
      <charset val="178"/>
    </font>
    <font>
      <b/>
      <u/>
      <vertAlign val="superscript"/>
      <sz val="21"/>
      <name val="B Koodak"/>
      <charset val="178"/>
    </font>
    <font>
      <sz val="23"/>
      <color rgb="FFFF0000"/>
      <name val="B Koodak"/>
      <charset val="178"/>
    </font>
    <font>
      <b/>
      <sz val="23"/>
      <name val="B Koodak"/>
      <charset val="178"/>
    </font>
    <font>
      <b/>
      <sz val="23"/>
      <color theme="1"/>
      <name val="B Koodak"/>
      <charset val="178"/>
    </font>
    <font>
      <sz val="23"/>
      <color theme="1"/>
      <name val="B Koodak"/>
      <charset val="178"/>
    </font>
    <font>
      <sz val="23"/>
      <name val="B Koodak"/>
      <charset val="178"/>
    </font>
    <font>
      <sz val="36"/>
      <color theme="0"/>
      <name val="B Koodak"/>
      <charset val="178"/>
    </font>
    <font>
      <b/>
      <sz val="24"/>
      <color theme="0"/>
      <name val="B Koodak"/>
      <charset val="178"/>
    </font>
    <font>
      <sz val="11"/>
      <color rgb="FFFFFF00"/>
      <name val="B Koodak"/>
      <charset val="178"/>
    </font>
    <font>
      <sz val="26"/>
      <color theme="0"/>
      <name val="B Koodak"/>
      <charset val="178"/>
    </font>
    <font>
      <b/>
      <sz val="12"/>
      <color indexed="8"/>
      <name val="B Koodak"/>
      <charset val="178"/>
    </font>
    <font>
      <sz val="12"/>
      <color indexed="8"/>
      <name val="B Koodak"/>
      <charset val="178"/>
    </font>
    <font>
      <sz val="14"/>
      <color theme="1"/>
      <name val="B Mitra"/>
      <charset val="178"/>
    </font>
    <font>
      <b/>
      <u/>
      <sz val="14"/>
      <color theme="1"/>
      <name val="B Titr"/>
      <charset val="178"/>
    </font>
    <font>
      <b/>
      <sz val="11"/>
      <color theme="1"/>
      <name val="B Mitra"/>
      <charset val="178"/>
    </font>
    <font>
      <sz val="14"/>
      <color theme="1"/>
      <name val="B Titr"/>
      <charset val="178"/>
    </font>
    <font>
      <b/>
      <sz val="14"/>
      <color theme="1"/>
      <name val="B Titr"/>
      <charset val="178"/>
    </font>
    <font>
      <b/>
      <sz val="11"/>
      <color theme="1"/>
      <name val="B Titr"/>
      <charset val="178"/>
    </font>
    <font>
      <sz val="18"/>
      <color theme="1"/>
      <name val="B Zar"/>
      <charset val="178"/>
    </font>
    <font>
      <sz val="18"/>
      <name val="B Zar"/>
      <charset val="178"/>
    </font>
    <font>
      <b/>
      <sz val="18"/>
      <name val="B Zar"/>
      <charset val="178"/>
    </font>
    <font>
      <b/>
      <sz val="18"/>
      <color theme="1"/>
      <name val="B Zar"/>
      <charset val="178"/>
    </font>
    <font>
      <sz val="45"/>
      <color theme="0"/>
      <name val="B Koodak"/>
      <charset val="178"/>
    </font>
    <font>
      <b/>
      <sz val="40"/>
      <name val="B Koodak"/>
      <charset val="178"/>
    </font>
    <font>
      <u/>
      <sz val="18"/>
      <color theme="0"/>
      <name val="B Koodak"/>
      <charset val="178"/>
    </font>
    <font>
      <b/>
      <sz val="14"/>
      <color theme="1"/>
      <name val="B Nazanin"/>
      <charset val="178"/>
    </font>
    <font>
      <b/>
      <vertAlign val="superscript"/>
      <sz val="20"/>
      <color theme="1"/>
      <name val="B Koodak"/>
      <charset val="178"/>
    </font>
    <font>
      <b/>
      <u/>
      <vertAlign val="superscript"/>
      <sz val="20"/>
      <color indexed="18"/>
      <name val="B Koodak"/>
      <charset val="178"/>
    </font>
    <font>
      <b/>
      <vertAlign val="superscript"/>
      <sz val="32"/>
      <color theme="1"/>
      <name val="B Koodak"/>
      <charset val="178"/>
    </font>
    <font>
      <b/>
      <vertAlign val="superscript"/>
      <sz val="22"/>
      <color theme="1"/>
      <name val="B Koodak"/>
      <charset val="178"/>
    </font>
    <font>
      <b/>
      <u/>
      <vertAlign val="superscript"/>
      <sz val="26"/>
      <color theme="0"/>
      <name val="B Koodak"/>
      <charset val="178"/>
    </font>
    <font>
      <b/>
      <u/>
      <vertAlign val="superscript"/>
      <sz val="24"/>
      <color theme="0"/>
      <name val="B Koodak"/>
      <charset val="178"/>
    </font>
    <font>
      <b/>
      <vertAlign val="superscript"/>
      <sz val="26"/>
      <color theme="1"/>
      <name val="B Koodak"/>
      <charset val="178"/>
    </font>
    <font>
      <b/>
      <vertAlign val="superscript"/>
      <sz val="24"/>
      <color theme="1"/>
      <name val="B Koodak"/>
      <charset val="178"/>
    </font>
    <font>
      <b/>
      <vertAlign val="superscript"/>
      <sz val="18"/>
      <color theme="1"/>
      <name val="B Koodak"/>
      <charset val="178"/>
    </font>
    <font>
      <b/>
      <u/>
      <vertAlign val="superscript"/>
      <sz val="24"/>
      <color theme="1"/>
      <name val="B Koodak"/>
      <charset val="178"/>
    </font>
    <font>
      <sz val="24"/>
      <color theme="1"/>
      <name val="Arial"/>
      <family val="2"/>
      <charset val="178"/>
    </font>
    <font>
      <b/>
      <sz val="45"/>
      <color theme="1"/>
      <name val="B Koodak"/>
      <charset val="178"/>
    </font>
    <font>
      <b/>
      <vertAlign val="superscript"/>
      <sz val="28"/>
      <color rgb="FF002060"/>
      <name val="B Koodak"/>
      <charset val="178"/>
    </font>
    <font>
      <b/>
      <vertAlign val="superscript"/>
      <sz val="32"/>
      <color rgb="FF002060"/>
      <name val="B Koodak"/>
      <charset val="178"/>
    </font>
    <font>
      <b/>
      <u/>
      <vertAlign val="superscript"/>
      <sz val="28"/>
      <name val="B Koodak"/>
      <charset val="178"/>
    </font>
    <font>
      <b/>
      <vertAlign val="superscript"/>
      <sz val="48"/>
      <name val="B Koodak"/>
      <charset val="178"/>
    </font>
    <font>
      <b/>
      <vertAlign val="superscript"/>
      <sz val="38"/>
      <name val="B Koodak"/>
      <charset val="178"/>
    </font>
    <font>
      <b/>
      <vertAlign val="superscript"/>
      <sz val="38"/>
      <color theme="1"/>
      <name val="B Koodak"/>
      <charset val="178"/>
    </font>
    <font>
      <b/>
      <u/>
      <vertAlign val="superscript"/>
      <sz val="38"/>
      <color theme="0"/>
      <name val="B Koodak"/>
      <charset val="178"/>
    </font>
    <font>
      <b/>
      <u/>
      <vertAlign val="superscript"/>
      <sz val="38"/>
      <name val="B Koodak"/>
      <charset val="178"/>
    </font>
    <font>
      <sz val="38"/>
      <color theme="0"/>
      <name val="B Koodak"/>
      <charset val="178"/>
    </font>
    <font>
      <sz val="38"/>
      <name val="B Koodak"/>
      <charset val="178"/>
    </font>
    <font>
      <b/>
      <sz val="38"/>
      <name val="B Koodak"/>
      <charset val="178"/>
    </font>
    <font>
      <sz val="38"/>
      <color theme="1"/>
      <name val="B Koodak"/>
      <charset val="178"/>
    </font>
    <font>
      <b/>
      <sz val="38"/>
      <color theme="1"/>
      <name val="B Koodak"/>
      <charset val="178"/>
    </font>
    <font>
      <b/>
      <sz val="38"/>
      <color theme="0"/>
      <name val="B Koodak"/>
      <charset val="178"/>
    </font>
    <font>
      <b/>
      <sz val="38"/>
      <color rgb="FFFF0000"/>
      <name val="B Koodak"/>
      <charset val="178"/>
    </font>
    <font>
      <sz val="25"/>
      <color theme="1"/>
      <name val="B Koodak"/>
      <charset val="178"/>
    </font>
    <font>
      <sz val="24"/>
      <color theme="0"/>
      <name val="B Koodak"/>
      <charset val="178"/>
    </font>
    <font>
      <b/>
      <sz val="26"/>
      <color theme="0"/>
      <name val="B Koodak"/>
      <charset val="178"/>
    </font>
    <font>
      <b/>
      <vertAlign val="superscript"/>
      <sz val="26"/>
      <color theme="0"/>
      <name val="B Koodak"/>
      <charset val="178"/>
    </font>
    <font>
      <b/>
      <vertAlign val="superscript"/>
      <sz val="72"/>
      <name val="B Koodak"/>
      <charset val="178"/>
    </font>
    <font>
      <b/>
      <vertAlign val="superscript"/>
      <sz val="30"/>
      <name val="B Koodak"/>
      <charset val="178"/>
    </font>
    <font>
      <b/>
      <u/>
      <vertAlign val="superscript"/>
      <sz val="30"/>
      <name val="B Koodak"/>
      <charset val="178"/>
    </font>
    <font>
      <sz val="30"/>
      <color theme="1"/>
      <name val="B Koodak"/>
      <charset val="178"/>
    </font>
    <font>
      <sz val="30"/>
      <name val="B Koodak"/>
      <charset val="178"/>
    </font>
    <font>
      <b/>
      <sz val="30"/>
      <name val="B Koodak"/>
      <charset val="178"/>
    </font>
    <font>
      <sz val="30"/>
      <name val="Calibri"/>
      <family val="2"/>
    </font>
    <font>
      <b/>
      <vertAlign val="superscript"/>
      <sz val="30"/>
      <color theme="1"/>
      <name val="B Koodak"/>
      <charset val="178"/>
    </font>
    <font>
      <b/>
      <sz val="30"/>
      <color theme="1"/>
      <name val="B Koodak"/>
      <charset val="178"/>
    </font>
    <font>
      <b/>
      <u/>
      <vertAlign val="superscript"/>
      <sz val="30"/>
      <color indexed="18"/>
      <name val="B Koodak"/>
      <charset val="178"/>
    </font>
    <font>
      <b/>
      <sz val="30"/>
      <color rgb="FFFF0000"/>
      <name val="B Koodak"/>
      <charset val="178"/>
    </font>
    <font>
      <sz val="48"/>
      <color theme="1"/>
      <name val="Arial"/>
      <family val="2"/>
      <charset val="178"/>
    </font>
    <font>
      <b/>
      <sz val="13"/>
      <color theme="0"/>
      <name val="B Koodak"/>
      <charset val="178"/>
    </font>
    <font>
      <b/>
      <sz val="13"/>
      <color theme="1"/>
      <name val="B Koodak"/>
      <charset val="178"/>
    </font>
    <font>
      <b/>
      <vertAlign val="superscript"/>
      <sz val="13"/>
      <color theme="1"/>
      <name val="B Koodak"/>
      <charset val="178"/>
    </font>
    <font>
      <sz val="13"/>
      <color theme="0"/>
      <name val="B Koodak"/>
      <charset val="178"/>
    </font>
    <font>
      <sz val="13"/>
      <color rgb="FFFF0000"/>
      <name val="B Koodak"/>
      <charset val="178"/>
    </font>
    <font>
      <sz val="13"/>
      <color theme="1"/>
      <name val="B Koodak"/>
      <charset val="178"/>
    </font>
    <font>
      <b/>
      <sz val="13"/>
      <name val="Calibri"/>
      <family val="2"/>
    </font>
    <font>
      <sz val="13"/>
      <name val="Calibri"/>
      <family val="2"/>
    </font>
    <font>
      <sz val="13"/>
      <color theme="1"/>
      <name val="Arial"/>
      <family val="2"/>
      <charset val="178"/>
    </font>
    <font>
      <b/>
      <u/>
      <vertAlign val="superscript"/>
      <sz val="13"/>
      <color rgb="FF002060"/>
      <name val="B Koodak"/>
      <charset val="178"/>
    </font>
    <font>
      <b/>
      <vertAlign val="superscript"/>
      <sz val="13"/>
      <color rgb="FF002060"/>
      <name val="B Koodak"/>
      <charset val="178"/>
    </font>
    <font>
      <b/>
      <vertAlign val="superscript"/>
      <sz val="16"/>
      <color rgb="FF002060"/>
      <name val="B Koodak"/>
      <charset val="178"/>
    </font>
    <font>
      <b/>
      <vertAlign val="superscript"/>
      <sz val="46"/>
      <color indexed="18"/>
      <name val="B Koodak"/>
      <charset val="178"/>
    </font>
    <font>
      <b/>
      <vertAlign val="superscript"/>
      <sz val="46"/>
      <name val="B Koodak"/>
      <charset val="178"/>
    </font>
    <font>
      <b/>
      <vertAlign val="superscript"/>
      <sz val="16"/>
      <name val="B Koodak"/>
      <charset val="178"/>
    </font>
    <font>
      <b/>
      <vertAlign val="superscript"/>
      <sz val="22"/>
      <color indexed="18"/>
      <name val="B Koodak"/>
      <charset val="178"/>
    </font>
    <font>
      <b/>
      <vertAlign val="superscript"/>
      <sz val="20"/>
      <color rgb="FF002060"/>
      <name val="B Koodak"/>
      <charset val="178"/>
    </font>
    <font>
      <sz val="20"/>
      <name val="Arial"/>
      <family val="2"/>
      <charset val="178"/>
    </font>
    <font>
      <b/>
      <sz val="10"/>
      <color theme="0"/>
      <name val="B Koodak"/>
      <charset val="178"/>
    </font>
    <font>
      <b/>
      <vertAlign val="superscript"/>
      <sz val="10"/>
      <color theme="0"/>
      <name val="B Koodak"/>
      <charset val="178"/>
    </font>
    <font>
      <b/>
      <vertAlign val="superscript"/>
      <sz val="10"/>
      <color theme="1"/>
      <name val="B Koodak"/>
      <charset val="178"/>
    </font>
    <font>
      <b/>
      <sz val="22"/>
      <name val="B Zar"/>
      <charset val="178"/>
    </font>
    <font>
      <b/>
      <vertAlign val="superscript"/>
      <sz val="36"/>
      <color theme="1"/>
      <name val="B Koodak"/>
      <charset val="178"/>
    </font>
    <font>
      <b/>
      <u/>
      <vertAlign val="superscript"/>
      <sz val="22"/>
      <color theme="1"/>
      <name val="B Koodak"/>
      <charset val="178"/>
    </font>
    <font>
      <b/>
      <u/>
      <vertAlign val="superscript"/>
      <sz val="26"/>
      <color theme="1"/>
      <name val="B Koodak"/>
      <charset val="178"/>
    </font>
    <font>
      <b/>
      <u/>
      <sz val="24"/>
      <name val="B Koodak"/>
      <charset val="178"/>
    </font>
    <font>
      <sz val="28"/>
      <name val="B Koodak"/>
      <charset val="178"/>
    </font>
    <font>
      <b/>
      <sz val="16"/>
      <color theme="1"/>
      <name val="B Nazanin"/>
      <charset val="178"/>
    </font>
    <font>
      <vertAlign val="superscript"/>
      <sz val="11"/>
      <color indexed="18"/>
      <name val="B Koodak"/>
      <charset val="178"/>
    </font>
    <font>
      <sz val="8"/>
      <color theme="1"/>
      <name val="B Nazanin"/>
      <charset val="178"/>
    </font>
    <font>
      <sz val="9"/>
      <color theme="1"/>
      <name val="B Nazanin"/>
      <charset val="178"/>
    </font>
    <font>
      <b/>
      <sz val="16"/>
      <color indexed="8"/>
      <name val="Titr"/>
    </font>
    <font>
      <b/>
      <sz val="16"/>
      <color indexed="9"/>
      <name val="Titr"/>
    </font>
    <font>
      <b/>
      <sz val="10"/>
      <color indexed="8"/>
      <name val="Titr"/>
    </font>
    <font>
      <b/>
      <sz val="10"/>
      <color indexed="9"/>
      <name val="Titr"/>
    </font>
    <font>
      <u/>
      <sz val="9"/>
      <color indexed="8"/>
      <name val="Titr"/>
    </font>
    <font>
      <b/>
      <vertAlign val="superscript"/>
      <sz val="24"/>
      <color theme="0"/>
      <name val="B Koodak"/>
      <charset val="178"/>
    </font>
    <font>
      <b/>
      <vertAlign val="superscript"/>
      <sz val="36"/>
      <color theme="0"/>
      <name val="B Koodak"/>
      <charset val="178"/>
    </font>
  </fonts>
  <fills count="26">
    <fill>
      <patternFill patternType="none"/>
    </fill>
    <fill>
      <patternFill patternType="gray125"/>
    </fill>
    <fill>
      <patternFill patternType="solid">
        <fgColor indexed="45"/>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lightUp">
        <fgColor indexed="9"/>
        <bgColor indexed="23"/>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00FF99"/>
        <bgColor indexed="64"/>
      </patternFill>
    </fill>
    <fill>
      <patternFill patternType="solid">
        <fgColor rgb="FFFF99CC"/>
        <bgColor indexed="64"/>
      </patternFill>
    </fill>
    <fill>
      <patternFill patternType="solid">
        <fgColor rgb="FF92D050"/>
        <bgColor indexed="64"/>
      </patternFill>
    </fill>
    <fill>
      <patternFill patternType="solid">
        <fgColor rgb="FFF2F2F2"/>
      </patternFill>
    </fill>
    <fill>
      <patternFill patternType="solid">
        <fgColor theme="0" tint="-4.9989318521683403E-2"/>
        <bgColor indexed="64"/>
      </patternFill>
    </fill>
    <fill>
      <patternFill patternType="solid">
        <fgColor rgb="FFFF0000"/>
        <bgColor indexed="64"/>
      </patternFill>
    </fill>
    <fill>
      <patternFill patternType="solid">
        <fgColor rgb="FFFF0066"/>
        <bgColor indexed="64"/>
      </patternFill>
    </fill>
    <fill>
      <patternFill patternType="solid">
        <fgColor rgb="FFCCFFFF"/>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theme="5"/>
        <bgColor indexed="64"/>
      </patternFill>
    </fill>
    <fill>
      <patternFill patternType="solid">
        <fgColor rgb="FFC00000"/>
        <bgColor indexed="64"/>
      </patternFill>
    </fill>
    <fill>
      <patternFill patternType="solid">
        <fgColor rgb="FF9900CC"/>
        <bgColor indexed="64"/>
      </patternFill>
    </fill>
    <fill>
      <patternFill patternType="solid">
        <fgColor theme="6" tint="0.79998168889431442"/>
        <bgColor indexed="64"/>
      </patternFill>
    </fill>
  </fills>
  <borders count="77">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double">
        <color indexed="64"/>
      </bottom>
      <diagonal/>
    </border>
    <border>
      <left style="medium">
        <color indexed="64"/>
      </left>
      <right/>
      <top/>
      <bottom style="medium">
        <color indexed="64"/>
      </bottom>
      <diagonal/>
    </border>
    <border>
      <left style="thin">
        <color rgb="FF3F3F3F"/>
      </left>
      <right style="thin">
        <color rgb="FF3F3F3F"/>
      </right>
      <top style="thin">
        <color rgb="FF3F3F3F"/>
      </top>
      <bottom style="thin">
        <color rgb="FF3F3F3F"/>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double">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double">
        <color indexed="64"/>
      </top>
      <bottom style="double">
        <color indexed="64"/>
      </bottom>
      <diagonal/>
    </border>
    <border>
      <left/>
      <right/>
      <top style="double">
        <color indexed="64"/>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s>
  <cellStyleXfs count="2133">
    <xf numFmtId="0" fontId="0" fillId="0" borderId="0"/>
    <xf numFmtId="0" fontId="7" fillId="0" borderId="0"/>
    <xf numFmtId="0" fontId="7" fillId="0" borderId="0"/>
    <xf numFmtId="0" fontId="13" fillId="0" borderId="0"/>
    <xf numFmtId="0" fontId="7" fillId="0" borderId="0"/>
    <xf numFmtId="0" fontId="24" fillId="0" borderId="0"/>
    <xf numFmtId="0" fontId="24" fillId="0" borderId="0"/>
    <xf numFmtId="0" fontId="24" fillId="0" borderId="0"/>
    <xf numFmtId="0" fontId="7" fillId="0" borderId="0"/>
    <xf numFmtId="44" fontId="6"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24" fillId="0" borderId="0"/>
    <xf numFmtId="0" fontId="24" fillId="0" borderId="0"/>
    <xf numFmtId="0" fontId="25" fillId="0" borderId="0"/>
    <xf numFmtId="0" fontId="24" fillId="0" borderId="0"/>
    <xf numFmtId="0" fontId="25" fillId="0" borderId="0"/>
    <xf numFmtId="0" fontId="24" fillId="0" borderId="0"/>
    <xf numFmtId="43" fontId="6"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0" fontId="7" fillId="0" borderId="0"/>
    <xf numFmtId="44" fontId="6" fillId="0" borderId="0" applyFont="0" applyFill="0" applyBorder="0" applyAlignment="0" applyProtection="0"/>
    <xf numFmtId="0" fontId="5" fillId="0" borderId="0"/>
    <xf numFmtId="44" fontId="5" fillId="0" borderId="0" applyFont="0" applyFill="0" applyBorder="0" applyAlignment="0" applyProtection="0"/>
    <xf numFmtId="165" fontId="7" fillId="0" borderId="0" applyFont="0" applyFill="0" applyBorder="0" applyAlignment="0" applyProtection="0"/>
    <xf numFmtId="43" fontId="6"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7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5" fillId="0" borderId="0" applyFont="0" applyFill="0" applyBorder="0" applyAlignment="0" applyProtection="0"/>
    <xf numFmtId="43" fontId="17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4"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7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82"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172" fillId="0" borderId="0" applyFont="0" applyFill="0" applyBorder="0" applyAlignment="0" applyProtection="0"/>
    <xf numFmtId="165" fontId="172" fillId="0" borderId="0" applyFont="0" applyFill="0" applyBorder="0" applyAlignment="0" applyProtection="0"/>
    <xf numFmtId="165" fontId="7" fillId="0" borderId="0" applyFont="0" applyFill="0" applyBorder="0" applyAlignment="0" applyProtection="0"/>
    <xf numFmtId="41" fontId="172"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4" fontId="6" fillId="0" borderId="0" applyFont="0" applyFill="0" applyBorder="0" applyAlignment="0" applyProtection="0"/>
    <xf numFmtId="0" fontId="173" fillId="0" borderId="0" applyNumberFormat="0" applyFill="0" applyBorder="0" applyAlignment="0" applyProtection="0"/>
    <xf numFmtId="0" fontId="1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2" fillId="0" borderId="0"/>
    <xf numFmtId="0" fontId="7" fillId="0" borderId="0"/>
    <xf numFmtId="0" fontId="7" fillId="0" borderId="0"/>
    <xf numFmtId="0" fontId="7" fillId="0" borderId="0"/>
    <xf numFmtId="0" fontId="7" fillId="0" borderId="0"/>
    <xf numFmtId="0" fontId="172" fillId="0" borderId="0"/>
    <xf numFmtId="0" fontId="7" fillId="0" borderId="0"/>
    <xf numFmtId="0" fontId="7" fillId="0" borderId="0"/>
    <xf numFmtId="0" fontId="7" fillId="0" borderId="0"/>
    <xf numFmtId="0" fontId="1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1"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7" fillId="0" borderId="0"/>
    <xf numFmtId="0" fontId="7" fillId="0" borderId="0"/>
    <xf numFmtId="0" fontId="7" fillId="0" borderId="0"/>
    <xf numFmtId="0" fontId="1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176" fillId="15" borderId="56" applyNumberFormat="0" applyAlignment="0" applyProtection="0"/>
    <xf numFmtId="0" fontId="176" fillId="15" borderId="56" applyNumberFormat="0" applyAlignment="0" applyProtection="0"/>
    <xf numFmtId="0" fontId="176" fillId="15" borderId="56" applyNumberFormat="0" applyAlignment="0" applyProtection="0"/>
    <xf numFmtId="0" fontId="176" fillId="15" borderId="56" applyNumberFormat="0" applyAlignment="0" applyProtection="0"/>
    <xf numFmtId="0" fontId="176" fillId="15" borderId="56" applyNumberFormat="0" applyAlignment="0" applyProtection="0"/>
    <xf numFmtId="0" fontId="176" fillId="15" borderId="56" applyNumberFormat="0" applyAlignment="0" applyProtection="0"/>
    <xf numFmtId="9" fontId="7"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0" fontId="7" fillId="0" borderId="0"/>
    <xf numFmtId="0" fontId="4" fillId="0" borderId="0"/>
    <xf numFmtId="44" fontId="4" fillId="0" borderId="0" applyFont="0" applyFill="0" applyBorder="0" applyAlignment="0" applyProtection="0"/>
    <xf numFmtId="0" fontId="3" fillId="0" borderId="0"/>
    <xf numFmtId="0" fontId="6" fillId="0" borderId="0"/>
    <xf numFmtId="43" fontId="7" fillId="0" borderId="0" applyFont="0" applyFill="0" applyBorder="0" applyAlignment="0" applyProtection="0"/>
    <xf numFmtId="9" fontId="7" fillId="0" borderId="0" applyFont="0" applyFill="0" applyBorder="0" applyAlignment="0" applyProtection="0"/>
    <xf numFmtId="0" fontId="2" fillId="0" borderId="0"/>
    <xf numFmtId="0" fontId="7" fillId="0" borderId="0"/>
    <xf numFmtId="0" fontId="1" fillId="0" borderId="0"/>
  </cellStyleXfs>
  <cellXfs count="3919">
    <xf numFmtId="0" fontId="0" fillId="0" borderId="0" xfId="0"/>
    <xf numFmtId="0" fontId="8" fillId="0" borderId="0" xfId="1" applyFont="1" applyAlignment="1" applyProtection="1">
      <alignment horizontal="right" vertical="center"/>
    </xf>
    <xf numFmtId="0" fontId="8" fillId="0" borderId="0" xfId="1" applyFont="1" applyAlignment="1" applyProtection="1">
      <alignment vertical="center"/>
    </xf>
    <xf numFmtId="0" fontId="9" fillId="0" borderId="0" xfId="1" applyFont="1" applyAlignment="1" applyProtection="1">
      <alignment vertical="center"/>
    </xf>
    <xf numFmtId="0" fontId="10" fillId="0" borderId="0" xfId="1" applyFont="1" applyAlignment="1" applyProtection="1">
      <alignment horizontal="right" vertical="center"/>
    </xf>
    <xf numFmtId="0" fontId="10" fillId="0" borderId="0" xfId="1" applyFont="1" applyAlignment="1" applyProtection="1">
      <alignment vertical="center"/>
    </xf>
    <xf numFmtId="0" fontId="11" fillId="0" borderId="0" xfId="1" applyFont="1" applyAlignment="1" applyProtection="1">
      <alignment vertical="center"/>
    </xf>
    <xf numFmtId="49" fontId="10" fillId="0" borderId="0" xfId="1" applyNumberFormat="1" applyFont="1" applyBorder="1" applyAlignment="1" applyProtection="1">
      <alignment horizontal="right" vertical="center" readingOrder="2"/>
    </xf>
    <xf numFmtId="49" fontId="12" fillId="0" borderId="0" xfId="1" applyNumberFormat="1" applyFont="1" applyBorder="1" applyAlignment="1" applyProtection="1">
      <alignment horizontal="center" vertical="center" readingOrder="2"/>
    </xf>
    <xf numFmtId="49" fontId="10" fillId="0" borderId="0" xfId="1" applyNumberFormat="1" applyFont="1" applyBorder="1" applyAlignment="1" applyProtection="1">
      <alignment horizontal="center" vertical="center" readingOrder="2"/>
    </xf>
    <xf numFmtId="166" fontId="10" fillId="0" borderId="0" xfId="1" applyNumberFormat="1" applyFont="1" applyBorder="1" applyAlignment="1" applyProtection="1">
      <alignment horizontal="center" vertical="center" readingOrder="2"/>
    </xf>
    <xf numFmtId="0" fontId="10" fillId="0" borderId="0" xfId="1" applyFont="1" applyBorder="1" applyAlignment="1" applyProtection="1">
      <alignment horizontal="right" vertical="center"/>
    </xf>
    <xf numFmtId="0" fontId="10" fillId="0" borderId="0" xfId="1" applyFont="1" applyBorder="1" applyAlignment="1" applyProtection="1">
      <alignment vertical="center"/>
    </xf>
    <xf numFmtId="167" fontId="11" fillId="0" borderId="0" xfId="1" applyNumberFormat="1" applyFont="1" applyAlignment="1" applyProtection="1">
      <alignment vertical="center"/>
    </xf>
    <xf numFmtId="1" fontId="11" fillId="0" borderId="0" xfId="1" applyNumberFormat="1" applyFont="1" applyAlignment="1" applyProtection="1">
      <alignment vertical="center"/>
    </xf>
    <xf numFmtId="0" fontId="10" fillId="0" borderId="0" xfId="1" applyFont="1" applyBorder="1" applyAlignment="1" applyProtection="1">
      <alignment horizontal="center" vertical="center"/>
    </xf>
    <xf numFmtId="49" fontId="11" fillId="0" borderId="0" xfId="1" applyNumberFormat="1" applyFont="1" applyAlignment="1" applyProtection="1">
      <alignment vertical="center"/>
    </xf>
    <xf numFmtId="0" fontId="10" fillId="0" borderId="0" xfId="1" applyFont="1" applyBorder="1" applyAlignment="1" applyProtection="1">
      <alignment horizontal="center" vertical="center" readingOrder="2"/>
    </xf>
    <xf numFmtId="3" fontId="15" fillId="3" borderId="6" xfId="3" applyNumberFormat="1" applyFont="1" applyFill="1" applyBorder="1" applyAlignment="1" applyProtection="1">
      <alignment horizontal="center" vertical="center"/>
      <protection locked="0"/>
    </xf>
    <xf numFmtId="0" fontId="15" fillId="3" borderId="7" xfId="3" applyFont="1" applyFill="1" applyBorder="1" applyAlignment="1" applyProtection="1">
      <alignment horizontal="center" vertical="center" wrapText="1" readingOrder="2"/>
      <protection locked="0"/>
    </xf>
    <xf numFmtId="0" fontId="15" fillId="3" borderId="4" xfId="3" applyFont="1" applyFill="1" applyBorder="1" applyAlignment="1" applyProtection="1">
      <alignment horizontal="center" vertical="center" wrapText="1" readingOrder="2"/>
      <protection locked="0"/>
    </xf>
    <xf numFmtId="0" fontId="15" fillId="3" borderId="4" xfId="3" applyFont="1" applyFill="1" applyBorder="1" applyAlignment="1" applyProtection="1">
      <alignment horizontal="center" vertical="center"/>
      <protection locked="0"/>
    </xf>
    <xf numFmtId="0" fontId="15" fillId="3" borderId="4" xfId="3" applyFont="1" applyFill="1" applyBorder="1" applyAlignment="1" applyProtection="1">
      <alignment horizontal="center" vertical="center" readingOrder="2"/>
      <protection locked="0"/>
    </xf>
    <xf numFmtId="0" fontId="15" fillId="3" borderId="5" xfId="3" applyFont="1" applyFill="1" applyBorder="1" applyAlignment="1" applyProtection="1">
      <alignment horizontal="center" vertical="center" wrapText="1"/>
      <protection locked="0"/>
    </xf>
    <xf numFmtId="0" fontId="7" fillId="0" borderId="0" xfId="2"/>
    <xf numFmtId="3" fontId="15" fillId="3" borderId="0" xfId="3" applyNumberFormat="1" applyFont="1" applyFill="1" applyBorder="1" applyAlignment="1" applyProtection="1">
      <alignment horizontal="center" vertical="center"/>
      <protection locked="0"/>
    </xf>
    <xf numFmtId="3" fontId="15" fillId="3" borderId="10" xfId="3" applyNumberFormat="1" applyFont="1" applyFill="1" applyBorder="1" applyAlignment="1" applyProtection="1">
      <alignment horizontal="center" vertical="center" wrapText="1" readingOrder="2"/>
      <protection locked="0"/>
    </xf>
    <xf numFmtId="3" fontId="15" fillId="3" borderId="11" xfId="3" applyNumberFormat="1" applyFont="1" applyFill="1" applyBorder="1" applyAlignment="1" applyProtection="1">
      <alignment horizontal="center" vertical="center" wrapText="1" readingOrder="2"/>
      <protection locked="0"/>
    </xf>
    <xf numFmtId="3" fontId="15" fillId="3" borderId="12" xfId="3" applyNumberFormat="1" applyFont="1" applyFill="1" applyBorder="1" applyAlignment="1" applyProtection="1">
      <alignment horizontal="center" vertical="center" wrapText="1" readingOrder="2"/>
      <protection locked="0"/>
    </xf>
    <xf numFmtId="3" fontId="15" fillId="3" borderId="16" xfId="3" applyNumberFormat="1" applyFont="1" applyFill="1" applyBorder="1" applyAlignment="1" applyProtection="1">
      <alignment horizontal="center" vertical="center"/>
      <protection locked="0"/>
    </xf>
    <xf numFmtId="0" fontId="15" fillId="2" borderId="13" xfId="3" applyFont="1" applyFill="1" applyBorder="1" applyAlignment="1" applyProtection="1">
      <alignment horizontal="center" vertical="center" wrapText="1" readingOrder="2"/>
      <protection locked="0"/>
    </xf>
    <xf numFmtId="0" fontId="15" fillId="2" borderId="17" xfId="3" applyFont="1" applyFill="1" applyBorder="1" applyAlignment="1" applyProtection="1">
      <alignment horizontal="center" vertical="center" wrapText="1" readingOrder="2"/>
      <protection locked="0"/>
    </xf>
    <xf numFmtId="0" fontId="15" fillId="2" borderId="17" xfId="3" applyFont="1" applyFill="1" applyBorder="1" applyAlignment="1" applyProtection="1">
      <alignment horizontal="center" vertical="center"/>
      <protection locked="0"/>
    </xf>
    <xf numFmtId="0" fontId="15" fillId="2" borderId="17" xfId="3" applyFont="1" applyFill="1" applyBorder="1" applyAlignment="1" applyProtection="1">
      <alignment horizontal="center" vertical="center" readingOrder="2"/>
      <protection locked="0"/>
    </xf>
    <xf numFmtId="0" fontId="15" fillId="2" borderId="17" xfId="3" applyFont="1" applyFill="1" applyBorder="1" applyAlignment="1" applyProtection="1">
      <alignment horizontal="center" vertical="center" wrapText="1"/>
      <protection locked="0"/>
    </xf>
    <xf numFmtId="0" fontId="15" fillId="2" borderId="18" xfId="3" applyFont="1" applyFill="1" applyBorder="1" applyAlignment="1" applyProtection="1">
      <alignment horizontal="center" vertical="center" wrapText="1"/>
      <protection locked="0"/>
    </xf>
    <xf numFmtId="0" fontId="16" fillId="4" borderId="19" xfId="3" applyFont="1" applyFill="1" applyBorder="1" applyAlignment="1" applyProtection="1">
      <alignment horizontal="center"/>
      <protection locked="0"/>
    </xf>
    <xf numFmtId="0" fontId="15" fillId="4" borderId="19" xfId="3" applyFont="1" applyFill="1" applyBorder="1" applyAlignment="1" applyProtection="1">
      <alignment horizontal="center"/>
      <protection locked="0"/>
    </xf>
    <xf numFmtId="0" fontId="15" fillId="0" borderId="20" xfId="3" applyFont="1" applyFill="1" applyBorder="1" applyAlignment="1" applyProtection="1">
      <alignment horizontal="center" vertical="center" readingOrder="2"/>
      <protection locked="0"/>
    </xf>
    <xf numFmtId="49" fontId="15" fillId="0" borderId="21" xfId="3" applyNumberFormat="1" applyFont="1" applyFill="1" applyBorder="1" applyAlignment="1" applyProtection="1">
      <alignment horizontal="center"/>
      <protection locked="0"/>
    </xf>
    <xf numFmtId="0" fontId="15" fillId="0" borderId="21" xfId="3" applyFont="1" applyFill="1" applyBorder="1" applyAlignment="1" applyProtection="1">
      <alignment horizontal="right"/>
      <protection locked="0"/>
    </xf>
    <xf numFmtId="3" fontId="15" fillId="0" borderId="21" xfId="3" applyNumberFormat="1" applyFont="1" applyFill="1" applyBorder="1" applyProtection="1">
      <protection locked="0"/>
    </xf>
    <xf numFmtId="0" fontId="15" fillId="0" borderId="21" xfId="3" applyFont="1" applyFill="1" applyBorder="1" applyProtection="1">
      <protection locked="0"/>
    </xf>
    <xf numFmtId="3" fontId="15" fillId="0" borderId="21" xfId="3" applyNumberFormat="1" applyFont="1" applyFill="1" applyBorder="1" applyAlignment="1" applyProtection="1">
      <alignment horizontal="right" vertical="center" readingOrder="2"/>
    </xf>
    <xf numFmtId="3" fontId="15" fillId="0" borderId="22" xfId="3" applyNumberFormat="1" applyFont="1" applyFill="1" applyBorder="1" applyAlignment="1" applyProtection="1">
      <alignment horizontal="right" vertical="center" readingOrder="2"/>
    </xf>
    <xf numFmtId="0" fontId="15" fillId="0" borderId="23" xfId="3" applyFont="1" applyFill="1" applyBorder="1" applyAlignment="1" applyProtection="1">
      <alignment horizontal="center" vertical="center" readingOrder="2"/>
      <protection locked="0"/>
    </xf>
    <xf numFmtId="49" fontId="15" fillId="0" borderId="19" xfId="3" applyNumberFormat="1" applyFont="1" applyFill="1" applyBorder="1" applyAlignment="1" applyProtection="1">
      <alignment horizontal="center"/>
      <protection locked="0"/>
    </xf>
    <xf numFmtId="0" fontId="15" fillId="0" borderId="19" xfId="3" applyFont="1" applyFill="1" applyBorder="1" applyAlignment="1" applyProtection="1">
      <alignment horizontal="right"/>
      <protection locked="0"/>
    </xf>
    <xf numFmtId="3" fontId="15" fillId="0" borderId="19" xfId="3" applyNumberFormat="1" applyFont="1" applyFill="1" applyBorder="1" applyProtection="1">
      <protection locked="0"/>
    </xf>
    <xf numFmtId="0" fontId="15" fillId="0" borderId="19" xfId="3" applyFont="1" applyFill="1" applyBorder="1" applyProtection="1">
      <protection locked="0"/>
    </xf>
    <xf numFmtId="3" fontId="17" fillId="0" borderId="19" xfId="3" applyNumberFormat="1" applyFont="1" applyFill="1" applyBorder="1" applyProtection="1">
      <protection locked="0"/>
    </xf>
    <xf numFmtId="49" fontId="15" fillId="0" borderId="24" xfId="3" applyNumberFormat="1" applyFont="1" applyFill="1" applyBorder="1" applyAlignment="1" applyProtection="1">
      <alignment horizontal="center"/>
      <protection locked="0"/>
    </xf>
    <xf numFmtId="0" fontId="15" fillId="0" borderId="24" xfId="3" applyFont="1" applyFill="1" applyBorder="1" applyAlignment="1" applyProtection="1">
      <alignment horizontal="right"/>
      <protection locked="0"/>
    </xf>
    <xf numFmtId="3" fontId="15" fillId="0" borderId="24" xfId="3" applyNumberFormat="1" applyFont="1" applyFill="1" applyBorder="1" applyProtection="1">
      <protection locked="0"/>
    </xf>
    <xf numFmtId="0" fontId="17" fillId="0" borderId="24" xfId="3" applyFont="1" applyFill="1" applyBorder="1" applyAlignment="1" applyProtection="1">
      <alignment horizontal="right"/>
      <protection locked="0"/>
    </xf>
    <xf numFmtId="3" fontId="17" fillId="0" borderId="24" xfId="3" applyNumberFormat="1" applyFont="1" applyFill="1" applyBorder="1" applyProtection="1">
      <protection locked="0"/>
    </xf>
    <xf numFmtId="3" fontId="15" fillId="0" borderId="11" xfId="3" applyNumberFormat="1" applyFont="1" applyFill="1" applyBorder="1" applyProtection="1">
      <protection locked="0"/>
    </xf>
    <xf numFmtId="0" fontId="18" fillId="0" borderId="0" xfId="3" applyFont="1" applyFill="1" applyBorder="1" applyProtection="1">
      <protection locked="0"/>
    </xf>
    <xf numFmtId="0" fontId="16" fillId="0" borderId="0" xfId="3" applyFont="1" applyFill="1" applyBorder="1" applyAlignment="1" applyProtection="1">
      <alignment horizontal="center"/>
      <protection locked="0"/>
    </xf>
    <xf numFmtId="0" fontId="15" fillId="0" borderId="0" xfId="3" applyFont="1" applyFill="1" applyBorder="1" applyAlignment="1" applyProtection="1">
      <alignment horizontal="center"/>
      <protection locked="0"/>
    </xf>
    <xf numFmtId="0" fontId="19" fillId="0" borderId="0" xfId="3" applyFont="1" applyFill="1" applyAlignment="1" applyProtection="1">
      <alignment horizontal="center" vertical="center" readingOrder="2"/>
      <protection locked="0"/>
    </xf>
    <xf numFmtId="49" fontId="20" fillId="0" borderId="0" xfId="3" applyNumberFormat="1" applyFont="1" applyFill="1" applyAlignment="1" applyProtection="1">
      <alignment horizontal="center"/>
      <protection locked="0"/>
    </xf>
    <xf numFmtId="0" fontId="21" fillId="0" borderId="0" xfId="3" applyFont="1" applyFill="1" applyProtection="1">
      <protection locked="0"/>
    </xf>
    <xf numFmtId="3" fontId="20" fillId="0" borderId="25" xfId="3" applyNumberFormat="1" applyFont="1" applyFill="1" applyBorder="1" applyProtection="1">
      <protection locked="0"/>
    </xf>
    <xf numFmtId="3" fontId="18" fillId="0" borderId="0" xfId="3" applyNumberFormat="1" applyFont="1" applyFill="1" applyBorder="1" applyProtection="1">
      <protection locked="0"/>
    </xf>
    <xf numFmtId="0" fontId="13" fillId="0" borderId="0" xfId="3" applyFont="1" applyFill="1" applyProtection="1">
      <protection locked="0"/>
    </xf>
    <xf numFmtId="0" fontId="20" fillId="0" borderId="0" xfId="3" applyFont="1" applyFill="1" applyProtection="1">
      <protection locked="0"/>
    </xf>
    <xf numFmtId="0" fontId="13" fillId="0" borderId="0" xfId="3" applyFont="1" applyFill="1" applyAlignment="1" applyProtection="1">
      <protection locked="0"/>
    </xf>
    <xf numFmtId="0" fontId="13" fillId="0" borderId="0" xfId="3" applyFont="1" applyFill="1" applyBorder="1" applyProtection="1">
      <protection locked="0"/>
    </xf>
    <xf numFmtId="0" fontId="16" fillId="5" borderId="19" xfId="3" applyFont="1" applyFill="1" applyBorder="1" applyAlignment="1" applyProtection="1">
      <alignment horizontal="center"/>
      <protection locked="0"/>
    </xf>
    <xf numFmtId="0" fontId="15" fillId="5" borderId="19" xfId="3" applyFont="1" applyFill="1" applyBorder="1" applyAlignment="1" applyProtection="1">
      <alignment horizontal="center"/>
      <protection locked="0"/>
    </xf>
    <xf numFmtId="0" fontId="15" fillId="0" borderId="19" xfId="3" applyFont="1" applyFill="1" applyBorder="1" applyAlignment="1" applyProtection="1">
      <alignment horizontal="center" vertical="center" readingOrder="2"/>
      <protection locked="0"/>
    </xf>
    <xf numFmtId="0" fontId="15" fillId="0" borderId="31" xfId="3" applyFont="1" applyFill="1" applyBorder="1" applyAlignment="1" applyProtection="1">
      <alignment horizontal="right"/>
      <protection locked="0"/>
    </xf>
    <xf numFmtId="168" fontId="15" fillId="0" borderId="19" xfId="4" applyNumberFormat="1" applyFont="1" applyFill="1" applyBorder="1" applyAlignment="1">
      <alignment vertical="center"/>
    </xf>
    <xf numFmtId="0" fontId="18" fillId="0" borderId="19" xfId="3" applyFont="1" applyFill="1" applyBorder="1" applyProtection="1">
      <protection locked="0"/>
    </xf>
    <xf numFmtId="0" fontId="16" fillId="6" borderId="19" xfId="3" applyFont="1" applyFill="1" applyBorder="1" applyAlignment="1" applyProtection="1">
      <alignment horizontal="center"/>
      <protection locked="0"/>
    </xf>
    <xf numFmtId="0" fontId="15" fillId="6" borderId="19" xfId="3" applyFont="1" applyFill="1" applyBorder="1" applyAlignment="1" applyProtection="1">
      <alignment horizontal="center"/>
      <protection locked="0"/>
    </xf>
    <xf numFmtId="0" fontId="15" fillId="6" borderId="19" xfId="3" applyFont="1" applyFill="1" applyBorder="1" applyAlignment="1" applyProtection="1">
      <alignment horizontal="center" vertical="center" readingOrder="2"/>
      <protection locked="0"/>
    </xf>
    <xf numFmtId="49" fontId="15" fillId="6" borderId="19" xfId="3" applyNumberFormat="1" applyFont="1" applyFill="1" applyBorder="1" applyAlignment="1" applyProtection="1">
      <alignment horizontal="center"/>
      <protection locked="0"/>
    </xf>
    <xf numFmtId="0" fontId="15" fillId="6" borderId="31" xfId="3" applyFont="1" applyFill="1" applyBorder="1" applyAlignment="1" applyProtection="1">
      <alignment horizontal="right"/>
      <protection locked="0"/>
    </xf>
    <xf numFmtId="168" fontId="15" fillId="6" borderId="19" xfId="4" applyNumberFormat="1" applyFont="1" applyFill="1" applyBorder="1" applyAlignment="1">
      <alignment vertical="center"/>
    </xf>
    <xf numFmtId="0" fontId="18" fillId="6" borderId="19" xfId="3" applyFont="1" applyFill="1" applyBorder="1" applyProtection="1">
      <protection locked="0"/>
    </xf>
    <xf numFmtId="0" fontId="15" fillId="7" borderId="31" xfId="3" applyFont="1" applyFill="1" applyBorder="1" applyAlignment="1" applyProtection="1">
      <alignment horizontal="right"/>
      <protection locked="0"/>
    </xf>
    <xf numFmtId="49" fontId="15" fillId="7" borderId="19" xfId="3" applyNumberFormat="1" applyFont="1" applyFill="1" applyBorder="1" applyAlignment="1" applyProtection="1">
      <alignment horizontal="center"/>
      <protection locked="0"/>
    </xf>
    <xf numFmtId="0" fontId="19" fillId="0" borderId="0" xfId="3" applyFont="1" applyFill="1" applyBorder="1" applyAlignment="1" applyProtection="1">
      <alignment horizontal="center" vertical="center" readingOrder="2"/>
      <protection locked="0"/>
    </xf>
    <xf numFmtId="49" fontId="20" fillId="0" borderId="0" xfId="3" applyNumberFormat="1" applyFont="1" applyFill="1" applyBorder="1" applyAlignment="1" applyProtection="1">
      <alignment horizontal="center"/>
      <protection locked="0"/>
    </xf>
    <xf numFmtId="3" fontId="21" fillId="0" borderId="0" xfId="3" applyNumberFormat="1" applyFont="1" applyFill="1" applyBorder="1" applyProtection="1">
      <protection locked="0"/>
    </xf>
    <xf numFmtId="168" fontId="15" fillId="2" borderId="19" xfId="4" applyNumberFormat="1" applyFont="1" applyFill="1" applyBorder="1" applyAlignment="1">
      <alignment vertical="center"/>
    </xf>
    <xf numFmtId="0" fontId="14" fillId="4" borderId="26" xfId="3" applyFont="1" applyFill="1" applyBorder="1" applyAlignment="1" applyProtection="1">
      <alignment horizontal="center" vertical="center" wrapText="1" readingOrder="2"/>
      <protection locked="0"/>
    </xf>
    <xf numFmtId="0" fontId="14" fillId="4" borderId="4" xfId="3" applyFont="1" applyFill="1" applyBorder="1" applyAlignment="1" applyProtection="1">
      <alignment horizontal="center" vertical="center" wrapText="1" readingOrder="2"/>
      <protection locked="0"/>
    </xf>
    <xf numFmtId="0" fontId="14" fillId="4" borderId="4" xfId="3" applyFont="1" applyFill="1" applyBorder="1" applyAlignment="1" applyProtection="1">
      <alignment horizontal="center" vertical="center"/>
      <protection locked="0"/>
    </xf>
    <xf numFmtId="0" fontId="14" fillId="4" borderId="4" xfId="3" applyFont="1" applyFill="1" applyBorder="1" applyAlignment="1" applyProtection="1">
      <alignment horizontal="center" vertical="center" readingOrder="2"/>
      <protection locked="0"/>
    </xf>
    <xf numFmtId="0" fontId="14" fillId="4" borderId="5" xfId="3" applyFont="1" applyFill="1" applyBorder="1" applyAlignment="1" applyProtection="1">
      <alignment horizontal="center" vertical="center" wrapText="1"/>
      <protection locked="0"/>
    </xf>
    <xf numFmtId="0" fontId="6" fillId="0" borderId="0" xfId="0" applyFont="1"/>
    <xf numFmtId="3" fontId="14" fillId="4" borderId="27" xfId="3" applyNumberFormat="1" applyFont="1" applyFill="1" applyBorder="1" applyAlignment="1" applyProtection="1">
      <alignment horizontal="center" vertical="center" wrapText="1" readingOrder="2"/>
      <protection locked="0"/>
    </xf>
    <xf numFmtId="3" fontId="14" fillId="4" borderId="11" xfId="3" applyNumberFormat="1" applyFont="1" applyFill="1" applyBorder="1" applyAlignment="1" applyProtection="1">
      <alignment horizontal="center" vertical="center" wrapText="1" readingOrder="2"/>
      <protection locked="0"/>
    </xf>
    <xf numFmtId="3" fontId="14" fillId="4" borderId="12" xfId="3" applyNumberFormat="1" applyFont="1" applyFill="1" applyBorder="1" applyAlignment="1" applyProtection="1">
      <alignment horizontal="center" vertical="center" wrapText="1" readingOrder="2"/>
      <protection locked="0"/>
    </xf>
    <xf numFmtId="0" fontId="23" fillId="4" borderId="29" xfId="3" applyFont="1" applyFill="1" applyBorder="1" applyAlignment="1" applyProtection="1">
      <alignment horizontal="center" vertical="center" wrapText="1" readingOrder="2"/>
      <protection locked="0"/>
    </xf>
    <xf numFmtId="0" fontId="23" fillId="4" borderId="24" xfId="3" applyFont="1" applyFill="1" applyBorder="1" applyAlignment="1" applyProtection="1">
      <alignment horizontal="center" vertical="center" wrapText="1" readingOrder="2"/>
      <protection locked="0"/>
    </xf>
    <xf numFmtId="0" fontId="23" fillId="4" borderId="24" xfId="3" applyFont="1" applyFill="1" applyBorder="1" applyAlignment="1" applyProtection="1">
      <alignment horizontal="center" vertical="center"/>
      <protection locked="0"/>
    </xf>
    <xf numFmtId="0" fontId="23" fillId="4" borderId="24" xfId="3" applyFont="1" applyFill="1" applyBorder="1" applyAlignment="1" applyProtection="1">
      <alignment horizontal="center" vertical="center" readingOrder="2"/>
      <protection locked="0"/>
    </xf>
    <xf numFmtId="0" fontId="23" fillId="4" borderId="24" xfId="3" applyFont="1" applyFill="1" applyBorder="1" applyAlignment="1" applyProtection="1">
      <alignment horizontal="center" vertical="center" wrapText="1"/>
      <protection locked="0"/>
    </xf>
    <xf numFmtId="0" fontId="23" fillId="4" borderId="30" xfId="3" applyFont="1" applyFill="1" applyBorder="1" applyAlignment="1" applyProtection="1">
      <alignment horizontal="center" vertical="center" wrapText="1"/>
      <protection locked="0"/>
    </xf>
    <xf numFmtId="0" fontId="27" fillId="9" borderId="0" xfId="0" applyFont="1" applyFill="1"/>
    <xf numFmtId="0" fontId="27" fillId="9" borderId="0" xfId="0" applyFont="1" applyFill="1" applyAlignment="1">
      <alignment horizontal="center"/>
    </xf>
    <xf numFmtId="0" fontId="27" fillId="9" borderId="0" xfId="0" applyFont="1" applyFill="1" applyAlignment="1">
      <alignment vertical="center"/>
    </xf>
    <xf numFmtId="0" fontId="41" fillId="9" borderId="0" xfId="8" applyFont="1" applyFill="1" applyAlignment="1">
      <alignment vertical="top" wrapText="1" readingOrder="2"/>
    </xf>
    <xf numFmtId="0" fontId="42" fillId="9" borderId="0" xfId="23" applyFont="1" applyFill="1" applyAlignment="1">
      <alignment vertical="top" wrapText="1" readingOrder="2"/>
    </xf>
    <xf numFmtId="0" fontId="44" fillId="0" borderId="0" xfId="15" applyFont="1"/>
    <xf numFmtId="0" fontId="46" fillId="0" borderId="0" xfId="0" applyFont="1"/>
    <xf numFmtId="0" fontId="45" fillId="0" borderId="0" xfId="15" applyFont="1" applyAlignment="1">
      <alignment horizontal="center" vertical="justify"/>
    </xf>
    <xf numFmtId="0" fontId="47" fillId="0" borderId="0" xfId="15" applyFont="1" applyFill="1" applyBorder="1" applyAlignment="1">
      <alignment vertical="top" wrapText="1"/>
    </xf>
    <xf numFmtId="0" fontId="34" fillId="0" borderId="0" xfId="15" applyFont="1" applyAlignment="1">
      <alignment readingOrder="2"/>
    </xf>
    <xf numFmtId="0" fontId="34" fillId="0" borderId="0" xfId="15" applyFont="1" applyFill="1" applyAlignment="1">
      <alignment horizontal="right" readingOrder="2"/>
    </xf>
    <xf numFmtId="0" fontId="44" fillId="0" borderId="0" xfId="15" applyFont="1" applyBorder="1" applyAlignment="1">
      <alignment readingOrder="2"/>
    </xf>
    <xf numFmtId="0" fontId="48" fillId="0" borderId="0" xfId="15" applyFont="1" applyAlignment="1">
      <alignment horizontal="right" readingOrder="2"/>
    </xf>
    <xf numFmtId="0" fontId="48" fillId="0" borderId="0" xfId="15" applyFont="1" applyFill="1" applyAlignment="1">
      <alignment horizontal="right" readingOrder="2"/>
    </xf>
    <xf numFmtId="0" fontId="49" fillId="0" borderId="0" xfId="15" applyFont="1" applyFill="1" applyBorder="1" applyAlignment="1">
      <alignment vertical="center" readingOrder="2"/>
    </xf>
    <xf numFmtId="0" fontId="50" fillId="0" borderId="0" xfId="15" applyFont="1" applyFill="1" applyBorder="1" applyAlignment="1">
      <alignment vertical="center" wrapText="1"/>
    </xf>
    <xf numFmtId="0" fontId="49" fillId="0" borderId="0" xfId="0" applyFont="1"/>
    <xf numFmtId="0" fontId="33" fillId="0" borderId="0" xfId="15" applyFont="1" applyFill="1" applyBorder="1" applyAlignment="1">
      <alignment horizontal="center" vertical="center" wrapText="1"/>
    </xf>
    <xf numFmtId="0" fontId="47" fillId="0" borderId="0" xfId="15" applyFont="1" applyFill="1" applyBorder="1" applyAlignment="1">
      <alignment horizontal="center" vertical="center" wrapText="1"/>
    </xf>
    <xf numFmtId="0" fontId="36" fillId="0" borderId="0" xfId="8" applyNumberFormat="1" applyFont="1" applyAlignment="1">
      <alignment horizontal="center" readingOrder="2"/>
    </xf>
    <xf numFmtId="166" fontId="47" fillId="0" borderId="0" xfId="15" applyNumberFormat="1" applyFont="1" applyFill="1" applyBorder="1" applyAlignment="1">
      <alignment horizontal="center" readingOrder="2"/>
    </xf>
    <xf numFmtId="0" fontId="50" fillId="0" borderId="0" xfId="15" applyNumberFormat="1" applyFont="1" applyFill="1" applyBorder="1" applyAlignment="1">
      <alignment horizontal="center" readingOrder="2"/>
    </xf>
    <xf numFmtId="167" fontId="47" fillId="0" borderId="0" xfId="8" applyNumberFormat="1" applyFont="1" applyAlignment="1">
      <alignment horizontal="right" vertical="top" readingOrder="2"/>
    </xf>
    <xf numFmtId="0" fontId="46" fillId="0" borderId="0" xfId="0" applyFont="1" applyAlignment="1">
      <alignment vertical="top"/>
    </xf>
    <xf numFmtId="167" fontId="47" fillId="9" borderId="0" xfId="8" applyNumberFormat="1" applyFont="1" applyFill="1" applyAlignment="1">
      <alignment horizontal="right" vertical="top" readingOrder="2"/>
    </xf>
    <xf numFmtId="167" fontId="47" fillId="0" borderId="0" xfId="8" applyNumberFormat="1" applyFont="1" applyBorder="1" applyAlignment="1">
      <alignment horizontal="right" vertical="top" readingOrder="2"/>
    </xf>
    <xf numFmtId="164" fontId="46" fillId="0" borderId="0" xfId="15" applyNumberFormat="1" applyFont="1" applyFill="1" applyBorder="1" applyAlignment="1">
      <alignment vertical="top"/>
    </xf>
    <xf numFmtId="0" fontId="33" fillId="0" borderId="0" xfId="15" applyFont="1" applyFill="1" applyBorder="1" applyAlignment="1">
      <alignment vertical="top" wrapText="1"/>
    </xf>
    <xf numFmtId="167" fontId="47" fillId="9" borderId="0" xfId="8" applyNumberFormat="1" applyFont="1" applyFill="1" applyBorder="1" applyAlignment="1">
      <alignment horizontal="right" vertical="top" readingOrder="2"/>
    </xf>
    <xf numFmtId="167" fontId="47" fillId="0" borderId="35" xfId="8" applyNumberFormat="1" applyFont="1" applyBorder="1" applyAlignment="1">
      <alignment horizontal="right" vertical="top" readingOrder="2"/>
    </xf>
    <xf numFmtId="167" fontId="47" fillId="9" borderId="35" xfId="8" applyNumberFormat="1" applyFont="1" applyFill="1" applyBorder="1" applyAlignment="1">
      <alignment horizontal="right" vertical="top" readingOrder="2"/>
    </xf>
    <xf numFmtId="0" fontId="46" fillId="0" borderId="35" xfId="0" applyFont="1" applyBorder="1" applyAlignment="1">
      <alignment vertical="top"/>
    </xf>
    <xf numFmtId="167" fontId="47" fillId="0" borderId="32" xfId="8" applyNumberFormat="1" applyFont="1" applyBorder="1" applyAlignment="1">
      <alignment horizontal="right" vertical="top" readingOrder="2"/>
    </xf>
    <xf numFmtId="0" fontId="36" fillId="0" borderId="0" xfId="15" applyFont="1" applyFill="1" applyBorder="1" applyAlignment="1">
      <alignment vertical="top" wrapText="1"/>
    </xf>
    <xf numFmtId="0" fontId="46" fillId="0" borderId="0" xfId="15" applyFont="1" applyFill="1" applyBorder="1" applyAlignment="1">
      <alignment vertical="top" wrapText="1"/>
    </xf>
    <xf numFmtId="0" fontId="53" fillId="0" borderId="0" xfId="15" applyFont="1" applyFill="1" applyBorder="1" applyAlignment="1">
      <alignment horizontal="right" vertical="center" wrapText="1"/>
    </xf>
    <xf numFmtId="0" fontId="53" fillId="0" borderId="0" xfId="15" applyFont="1" applyFill="1" applyBorder="1" applyAlignment="1">
      <alignment vertical="top" wrapText="1"/>
    </xf>
    <xf numFmtId="0" fontId="33" fillId="0" borderId="0" xfId="15" applyFont="1" applyFill="1" applyBorder="1" applyAlignment="1">
      <alignment vertical="center" wrapText="1"/>
    </xf>
    <xf numFmtId="167" fontId="47" fillId="0" borderId="34" xfId="8" applyNumberFormat="1" applyFont="1" applyBorder="1" applyAlignment="1">
      <alignment horizontal="right" vertical="center" readingOrder="2"/>
    </xf>
    <xf numFmtId="167" fontId="47" fillId="0" borderId="0" xfId="8" applyNumberFormat="1" applyFont="1" applyBorder="1" applyAlignment="1">
      <alignment horizontal="right" vertical="center" readingOrder="2"/>
    </xf>
    <xf numFmtId="167" fontId="47" fillId="0" borderId="33" xfId="8" applyNumberFormat="1" applyFont="1" applyBorder="1" applyAlignment="1">
      <alignment horizontal="right" vertical="center" readingOrder="2"/>
    </xf>
    <xf numFmtId="0" fontId="52" fillId="0" borderId="0" xfId="15" applyFont="1" applyFill="1" applyBorder="1"/>
    <xf numFmtId="169" fontId="52" fillId="0" borderId="0" xfId="15" applyNumberFormat="1" applyFont="1" applyFill="1" applyBorder="1"/>
    <xf numFmtId="167" fontId="52" fillId="0" borderId="0" xfId="15" applyNumberFormat="1" applyFont="1" applyFill="1" applyBorder="1"/>
    <xf numFmtId="3" fontId="55" fillId="0" borderId="0" xfId="15" applyNumberFormat="1" applyFont="1" applyFill="1" applyBorder="1" applyAlignment="1">
      <alignment horizontal="right" readingOrder="2"/>
    </xf>
    <xf numFmtId="0" fontId="57" fillId="0" borderId="0" xfId="27" applyFont="1" applyAlignment="1">
      <alignment vertical="top"/>
    </xf>
    <xf numFmtId="0" fontId="58" fillId="0" borderId="0" xfId="0" applyFont="1"/>
    <xf numFmtId="0" fontId="59" fillId="0" borderId="0" xfId="0" applyFont="1"/>
    <xf numFmtId="0" fontId="60" fillId="0" borderId="0" xfId="27" applyFont="1" applyAlignment="1"/>
    <xf numFmtId="0" fontId="60" fillId="0" borderId="0" xfId="27" applyFont="1"/>
    <xf numFmtId="0" fontId="31" fillId="0" borderId="0" xfId="33" applyFont="1" applyAlignment="1">
      <alignment vertical="center" readingOrder="2"/>
    </xf>
    <xf numFmtId="0" fontId="44" fillId="0" borderId="0" xfId="27" applyFont="1" applyAlignment="1"/>
    <xf numFmtId="0" fontId="44" fillId="0" borderId="0" xfId="27" applyFont="1"/>
    <xf numFmtId="164" fontId="34" fillId="0" borderId="0" xfId="23" applyNumberFormat="1" applyFont="1" applyBorder="1" applyAlignment="1">
      <alignment horizontal="right" vertical="center"/>
    </xf>
    <xf numFmtId="0" fontId="61" fillId="0" borderId="0" xfId="27" applyFont="1" applyFill="1" applyAlignment="1">
      <alignment readingOrder="2"/>
    </xf>
    <xf numFmtId="0" fontId="44" fillId="0" borderId="0" xfId="27" applyFont="1" applyFill="1" applyAlignment="1"/>
    <xf numFmtId="0" fontId="44" fillId="0" borderId="0" xfId="27" applyFont="1" applyFill="1"/>
    <xf numFmtId="164" fontId="34" fillId="0" borderId="36" xfId="23" applyNumberFormat="1" applyFont="1" applyBorder="1" applyAlignment="1">
      <alignment horizontal="right" vertical="center"/>
    </xf>
    <xf numFmtId="0" fontId="49" fillId="0" borderId="0" xfId="27" applyFont="1" applyFill="1" applyAlignment="1">
      <alignment readingOrder="2"/>
    </xf>
    <xf numFmtId="0" fontId="62" fillId="0" borderId="0" xfId="27" applyFont="1" applyFill="1" applyAlignment="1">
      <alignment readingOrder="2"/>
    </xf>
    <xf numFmtId="0" fontId="50" fillId="0" borderId="0" xfId="27" applyFont="1" applyFill="1" applyAlignment="1">
      <alignment readingOrder="2"/>
    </xf>
    <xf numFmtId="0" fontId="60" fillId="0" borderId="0" xfId="27" applyFont="1" applyFill="1" applyAlignment="1"/>
    <xf numFmtId="0" fontId="49" fillId="0" borderId="0" xfId="27" applyFont="1" applyAlignment="1">
      <alignment horizontal="right" vertical="center"/>
    </xf>
    <xf numFmtId="0" fontId="63" fillId="0" borderId="0" xfId="0" applyFont="1" applyAlignment="1">
      <alignment horizontal="right"/>
    </xf>
    <xf numFmtId="0" fontId="42" fillId="0" borderId="0" xfId="27" applyFont="1" applyFill="1" applyAlignment="1"/>
    <xf numFmtId="0" fontId="30" fillId="9" borderId="0" xfId="25" applyFont="1" applyFill="1" applyAlignment="1">
      <alignment vertical="center"/>
    </xf>
    <xf numFmtId="0" fontId="46" fillId="9" borderId="0" xfId="0" applyFont="1" applyFill="1"/>
    <xf numFmtId="0" fontId="35" fillId="9" borderId="35" xfId="24" applyNumberFormat="1" applyFont="1" applyFill="1" applyBorder="1" applyAlignment="1">
      <alignment horizontal="center" readingOrder="2"/>
    </xf>
    <xf numFmtId="3" fontId="50" fillId="9" borderId="0" xfId="20" applyNumberFormat="1" applyFont="1" applyFill="1" applyBorder="1" applyAlignment="1">
      <alignment horizontal="right" vertical="center" readingOrder="2"/>
    </xf>
    <xf numFmtId="0" fontId="50" fillId="9" borderId="0" xfId="20" applyFont="1" applyFill="1" applyAlignment="1">
      <alignment horizontal="center" vertical="center" readingOrder="2"/>
    </xf>
    <xf numFmtId="0" fontId="33" fillId="9" borderId="0" xfId="20" applyFont="1" applyFill="1" applyAlignment="1">
      <alignment vertical="center" readingOrder="2"/>
    </xf>
    <xf numFmtId="164" fontId="31" fillId="9" borderId="0" xfId="23" applyNumberFormat="1" applyFont="1" applyFill="1" applyBorder="1" applyAlignment="1">
      <alignment horizontal="right" vertical="center"/>
    </xf>
    <xf numFmtId="164" fontId="34" fillId="9" borderId="0" xfId="23" applyNumberFormat="1" applyFont="1" applyFill="1" applyBorder="1" applyAlignment="1">
      <alignment horizontal="right" vertical="center"/>
    </xf>
    <xf numFmtId="0" fontId="31" fillId="9" borderId="0" xfId="24" applyFont="1" applyFill="1" applyAlignment="1"/>
    <xf numFmtId="0" fontId="46" fillId="9" borderId="0" xfId="0" applyFont="1" applyFill="1" applyBorder="1"/>
    <xf numFmtId="0" fontId="47" fillId="9" borderId="0" xfId="25" applyFont="1" applyFill="1" applyAlignment="1">
      <alignment horizontal="right" vertical="center" readingOrder="2"/>
    </xf>
    <xf numFmtId="0" fontId="68" fillId="0" borderId="0" xfId="0" applyFont="1"/>
    <xf numFmtId="0" fontId="48" fillId="0" borderId="0" xfId="28" applyFont="1"/>
    <xf numFmtId="0" fontId="44" fillId="0" borderId="0" xfId="28" applyFont="1" applyAlignment="1">
      <alignment horizontal="right" readingOrder="2"/>
    </xf>
    <xf numFmtId="0" fontId="44" fillId="0" borderId="0" xfId="28" applyFont="1" applyAlignment="1">
      <alignment horizontal="right"/>
    </xf>
    <xf numFmtId="0" fontId="69" fillId="0" borderId="0" xfId="28" applyFont="1" applyAlignment="1">
      <alignment horizontal="right" readingOrder="2"/>
    </xf>
    <xf numFmtId="0" fontId="69" fillId="0" borderId="0" xfId="28" applyFont="1" applyAlignment="1">
      <alignment horizontal="right"/>
    </xf>
    <xf numFmtId="0" fontId="34" fillId="0" borderId="0" xfId="28" applyFont="1" applyAlignment="1">
      <alignment horizontal="left" vertical="top" readingOrder="2"/>
    </xf>
    <xf numFmtId="0" fontId="35" fillId="0" borderId="0" xfId="28" applyFont="1" applyAlignment="1">
      <alignment vertical="center"/>
    </xf>
    <xf numFmtId="0" fontId="48" fillId="0" borderId="0" xfId="28" applyFont="1" applyAlignment="1">
      <alignment horizontal="right" vertical="center"/>
    </xf>
    <xf numFmtId="0" fontId="69" fillId="0" borderId="0" xfId="28" applyFont="1" applyAlignment="1">
      <alignment horizontal="right" vertical="center" readingOrder="2"/>
    </xf>
    <xf numFmtId="0" fontId="48" fillId="0" borderId="0" xfId="28" applyFont="1" applyAlignment="1">
      <alignment vertical="center"/>
    </xf>
    <xf numFmtId="0" fontId="50" fillId="0" borderId="0" xfId="28" applyFont="1" applyAlignment="1">
      <alignment horizontal="right" vertical="center" readingOrder="2"/>
    </xf>
    <xf numFmtId="0" fontId="69" fillId="0" borderId="35" xfId="28" applyFont="1" applyBorder="1" applyAlignment="1">
      <alignment horizontal="center" vertical="center" readingOrder="2"/>
    </xf>
    <xf numFmtId="0" fontId="69" fillId="0" borderId="0" xfId="28" applyFont="1" applyAlignment="1">
      <alignment horizontal="center" vertical="center" readingOrder="2"/>
    </xf>
    <xf numFmtId="0" fontId="44" fillId="0" borderId="0" xfId="28" applyFont="1" applyAlignment="1">
      <alignment horizontal="right" vertical="center"/>
    </xf>
    <xf numFmtId="0" fontId="70" fillId="0" borderId="0" xfId="28" applyFont="1" applyBorder="1" applyAlignment="1">
      <alignment horizontal="center" vertical="center" readingOrder="2"/>
    </xf>
    <xf numFmtId="0" fontId="42" fillId="0" borderId="0" xfId="28" applyFont="1" applyAlignment="1">
      <alignment horizontal="right" vertical="center" readingOrder="2"/>
    </xf>
    <xf numFmtId="0" fontId="48" fillId="0" borderId="0" xfId="28" applyFont="1" applyAlignment="1">
      <alignment horizontal="right" vertical="center" readingOrder="2"/>
    </xf>
    <xf numFmtId="3" fontId="35" fillId="0" borderId="0" xfId="35" applyNumberFormat="1" applyFont="1" applyAlignment="1">
      <alignment horizontal="right" vertical="center"/>
    </xf>
    <xf numFmtId="3" fontId="71" fillId="0" borderId="0" xfId="35" applyNumberFormat="1" applyFont="1" applyAlignment="1">
      <alignment horizontal="right" vertical="center"/>
    </xf>
    <xf numFmtId="164" fontId="34" fillId="0" borderId="35" xfId="23" applyNumberFormat="1" applyFont="1" applyBorder="1" applyAlignment="1">
      <alignment horizontal="right" vertical="center"/>
    </xf>
    <xf numFmtId="0" fontId="67" fillId="0" borderId="0" xfId="28" applyFont="1" applyAlignment="1">
      <alignment horizontal="right" vertical="center" readingOrder="2"/>
    </xf>
    <xf numFmtId="164" fontId="69" fillId="0" borderId="0" xfId="28" applyNumberFormat="1" applyFont="1" applyBorder="1" applyAlignment="1">
      <alignment vertical="center"/>
    </xf>
    <xf numFmtId="0" fontId="50" fillId="0" borderId="0" xfId="28" applyFont="1" applyAlignment="1">
      <alignment horizontal="right" vertical="center"/>
    </xf>
    <xf numFmtId="164" fontId="34" fillId="0" borderId="34" xfId="23" applyNumberFormat="1" applyFont="1" applyBorder="1" applyAlignment="1">
      <alignment horizontal="right" vertical="center"/>
    </xf>
    <xf numFmtId="0" fontId="34" fillId="0" borderId="0" xfId="28" applyFont="1" applyAlignment="1">
      <alignment vertical="center" readingOrder="2"/>
    </xf>
    <xf numFmtId="0" fontId="66" fillId="0" borderId="0" xfId="28" applyFont="1" applyAlignment="1">
      <alignment horizontal="right" vertical="center" readingOrder="2"/>
    </xf>
    <xf numFmtId="3" fontId="71" fillId="0" borderId="0" xfId="35" applyNumberFormat="1" applyFont="1" applyAlignment="1">
      <alignment horizontal="right" vertical="center" readingOrder="2"/>
    </xf>
    <xf numFmtId="0" fontId="48" fillId="0" borderId="0" xfId="27" applyFont="1" applyFill="1" applyAlignment="1">
      <alignment vertical="center" wrapText="1" readingOrder="2"/>
    </xf>
    <xf numFmtId="0" fontId="69" fillId="0" borderId="0" xfId="28" applyFont="1" applyAlignment="1">
      <alignment horizontal="right" vertical="center"/>
    </xf>
    <xf numFmtId="0" fontId="64" fillId="0" borderId="0" xfId="28" applyFont="1" applyAlignment="1">
      <alignment horizontal="right" vertical="center" readingOrder="2"/>
    </xf>
    <xf numFmtId="0" fontId="72" fillId="0" borderId="0" xfId="28" applyFont="1" applyAlignment="1">
      <alignment horizontal="right" vertical="center" readingOrder="2"/>
    </xf>
    <xf numFmtId="0" fontId="73" fillId="0" borderId="0" xfId="28" applyFont="1" applyAlignment="1">
      <alignment horizontal="right" vertical="center" readingOrder="2"/>
    </xf>
    <xf numFmtId="2" fontId="35" fillId="0" borderId="0" xfId="27" applyNumberFormat="1" applyFont="1" applyFill="1" applyAlignment="1">
      <alignment vertical="top" readingOrder="2"/>
    </xf>
    <xf numFmtId="0" fontId="64" fillId="0" borderId="0" xfId="28" applyFont="1" applyAlignment="1">
      <alignment horizontal="right" vertical="center"/>
    </xf>
    <xf numFmtId="0" fontId="74" fillId="0" borderId="0" xfId="0" applyFont="1"/>
    <xf numFmtId="0" fontId="34" fillId="0" borderId="0" xfId="28" applyFont="1" applyAlignment="1">
      <alignment horizontal="right" vertical="center" readingOrder="2"/>
    </xf>
    <xf numFmtId="0" fontId="60" fillId="0" borderId="0" xfId="28" applyFont="1" applyAlignment="1">
      <alignment horizontal="right" vertical="center" readingOrder="2"/>
    </xf>
    <xf numFmtId="0" fontId="67" fillId="0" borderId="0" xfId="28" applyFont="1" applyAlignment="1">
      <alignment horizontal="right" vertical="center"/>
    </xf>
    <xf numFmtId="0" fontId="44" fillId="0" borderId="0" xfId="28" applyFont="1" applyAlignment="1">
      <alignment vertical="center"/>
    </xf>
    <xf numFmtId="0" fontId="76" fillId="0" borderId="0" xfId="0" applyFont="1"/>
    <xf numFmtId="0" fontId="72" fillId="0" borderId="0" xfId="28" applyFont="1" applyAlignment="1">
      <alignment horizontal="right" vertical="center"/>
    </xf>
    <xf numFmtId="0" fontId="64" fillId="0" borderId="0" xfId="35" applyFont="1" applyAlignment="1">
      <alignment horizontal="right" vertical="center" readingOrder="2"/>
    </xf>
    <xf numFmtId="170" fontId="71" fillId="0" borderId="0" xfId="35" applyNumberFormat="1" applyFont="1" applyAlignment="1">
      <alignment horizontal="right" vertical="center" readingOrder="2"/>
    </xf>
    <xf numFmtId="170" fontId="69" fillId="0" borderId="0" xfId="35" applyNumberFormat="1" applyFont="1" applyAlignment="1">
      <alignment horizontal="right" vertical="center" readingOrder="2"/>
    </xf>
    <xf numFmtId="0" fontId="78" fillId="0" borderId="0" xfId="0" applyFont="1"/>
    <xf numFmtId="0" fontId="79" fillId="0" borderId="0" xfId="0" applyFont="1" applyAlignment="1">
      <alignment horizontal="left" vertical="top"/>
    </xf>
    <xf numFmtId="0" fontId="48" fillId="0" borderId="0" xfId="0" applyFont="1" applyAlignment="1">
      <alignment vertical="center"/>
    </xf>
    <xf numFmtId="0" fontId="56" fillId="0" borderId="0" xfId="5" applyFont="1" applyAlignment="1">
      <alignment vertical="top" readingOrder="2"/>
    </xf>
    <xf numFmtId="0" fontId="59" fillId="0" borderId="0" xfId="37" applyFont="1"/>
    <xf numFmtId="0" fontId="56" fillId="0" borderId="0" xfId="5" applyFont="1" applyAlignment="1">
      <alignment horizontal="center" vertical="top" readingOrder="2"/>
    </xf>
    <xf numFmtId="3" fontId="47" fillId="0" borderId="0" xfId="34" applyNumberFormat="1" applyFont="1" applyFill="1" applyAlignment="1">
      <alignment vertical="top"/>
    </xf>
    <xf numFmtId="0" fontId="44" fillId="0" borderId="0" xfId="34" applyFont="1" applyFill="1" applyAlignment="1">
      <alignment vertical="top"/>
    </xf>
    <xf numFmtId="3" fontId="59" fillId="0" borderId="0" xfId="37" applyNumberFormat="1" applyFont="1"/>
    <xf numFmtId="3" fontId="33" fillId="0" borderId="0" xfId="34" applyNumberFormat="1" applyFont="1" applyFill="1" applyAlignment="1">
      <alignment horizontal="center" vertical="center"/>
    </xf>
    <xf numFmtId="49" fontId="82" fillId="9" borderId="0" xfId="47" applyNumberFormat="1" applyFont="1" applyFill="1" applyBorder="1" applyAlignment="1">
      <alignment vertical="top"/>
    </xf>
    <xf numFmtId="0" fontId="59" fillId="0" borderId="0" xfId="37" applyFont="1" applyAlignment="1">
      <alignment horizontal="center" vertical="center"/>
    </xf>
    <xf numFmtId="49" fontId="31" fillId="0" borderId="0" xfId="47" applyNumberFormat="1" applyFont="1" applyFill="1" applyAlignment="1">
      <alignment horizontal="right" vertical="center" readingOrder="2"/>
    </xf>
    <xf numFmtId="0" fontId="44" fillId="0" borderId="0" xfId="34" applyFont="1" applyFill="1" applyAlignment="1">
      <alignment horizontal="center" vertical="center"/>
    </xf>
    <xf numFmtId="3" fontId="47" fillId="0" borderId="0" xfId="34" applyNumberFormat="1" applyFont="1" applyFill="1" applyAlignment="1">
      <alignment horizontal="center" vertical="center"/>
    </xf>
    <xf numFmtId="0" fontId="59" fillId="0" borderId="0" xfId="0" applyFont="1" applyAlignment="1">
      <alignment vertical="center"/>
    </xf>
    <xf numFmtId="0" fontId="59" fillId="0" borderId="0" xfId="37" applyFont="1" applyAlignment="1"/>
    <xf numFmtId="0" fontId="78" fillId="0" borderId="0" xfId="0" applyFont="1" applyAlignment="1">
      <alignment vertical="top"/>
    </xf>
    <xf numFmtId="0" fontId="49" fillId="0" borderId="0" xfId="26" applyFont="1"/>
    <xf numFmtId="0" fontId="49" fillId="0" borderId="0" xfId="26" applyFont="1" applyBorder="1"/>
    <xf numFmtId="164" fontId="29" fillId="0" borderId="0" xfId="23" applyNumberFormat="1" applyFont="1" applyBorder="1" applyAlignment="1">
      <alignment horizontal="center" vertical="center"/>
    </xf>
    <xf numFmtId="164" fontId="29" fillId="0" borderId="0" xfId="23" applyNumberFormat="1" applyFont="1" applyBorder="1" applyAlignment="1">
      <alignment horizontal="right" vertical="top"/>
    </xf>
    <xf numFmtId="164" fontId="29" fillId="0" borderId="0" xfId="32" applyNumberFormat="1" applyFont="1" applyBorder="1" applyAlignment="1">
      <alignment vertical="top"/>
    </xf>
    <xf numFmtId="0" fontId="78" fillId="0" borderId="0" xfId="0" applyFont="1" applyAlignment="1"/>
    <xf numFmtId="0" fontId="78" fillId="0" borderId="0" xfId="0" applyFont="1" applyAlignment="1">
      <alignment vertical="top" shrinkToFit="1"/>
    </xf>
    <xf numFmtId="0" fontId="78" fillId="9" borderId="0" xfId="0" applyFont="1" applyFill="1"/>
    <xf numFmtId="0" fontId="59" fillId="9" borderId="0" xfId="0" applyFont="1" applyFill="1"/>
    <xf numFmtId="0" fontId="93" fillId="9" borderId="0" xfId="17" applyFont="1" applyFill="1" applyAlignment="1">
      <alignment horizontal="center" vertical="top"/>
    </xf>
    <xf numFmtId="0" fontId="44" fillId="9" borderId="0" xfId="17" applyFont="1" applyFill="1" applyAlignment="1">
      <alignment horizontal="right"/>
    </xf>
    <xf numFmtId="0" fontId="48" fillId="9" borderId="0" xfId="17" applyFont="1" applyFill="1" applyAlignment="1">
      <alignment horizontal="right" vertical="center" readingOrder="2"/>
    </xf>
    <xf numFmtId="164" fontId="35" fillId="9" borderId="0" xfId="17" applyNumberFormat="1" applyFont="1" applyFill="1" applyBorder="1" applyAlignment="1">
      <alignment vertical="center"/>
    </xf>
    <xf numFmtId="0" fontId="94" fillId="9" borderId="0" xfId="17" applyFont="1" applyFill="1" applyAlignment="1">
      <alignment horizontal="right" readingOrder="2"/>
    </xf>
    <xf numFmtId="0" fontId="44" fillId="9" borderId="0" xfId="17" applyFont="1" applyFill="1"/>
    <xf numFmtId="0" fontId="77" fillId="9" borderId="0" xfId="17" applyFont="1" applyFill="1" applyAlignment="1">
      <alignment horizontal="right"/>
    </xf>
    <xf numFmtId="0" fontId="95" fillId="9" borderId="0" xfId="0" applyFont="1" applyFill="1"/>
    <xf numFmtId="0" fontId="29" fillId="0" borderId="0" xfId="5" applyFont="1" applyAlignment="1">
      <alignment vertical="top" readingOrder="2"/>
    </xf>
    <xf numFmtId="0" fontId="90" fillId="0" borderId="0" xfId="5" applyFont="1" applyAlignment="1">
      <alignment vertical="top" readingOrder="2"/>
    </xf>
    <xf numFmtId="0" fontId="44" fillId="0" borderId="0" xfId="5" applyFont="1" applyAlignment="1">
      <alignment vertical="center"/>
    </xf>
    <xf numFmtId="0" fontId="44" fillId="0" borderId="0" xfId="5" applyFont="1" applyAlignment="1">
      <alignment horizontal="center" vertical="center"/>
    </xf>
    <xf numFmtId="0" fontId="35" fillId="0" borderId="0" xfId="12" applyFont="1" applyAlignment="1">
      <alignment horizontal="center" readingOrder="2"/>
    </xf>
    <xf numFmtId="0" fontId="49" fillId="0" borderId="0" xfId="5" applyFont="1" applyAlignment="1">
      <alignment vertical="center"/>
    </xf>
    <xf numFmtId="0" fontId="49" fillId="0" borderId="0" xfId="5" applyFont="1" applyAlignment="1">
      <alignment horizontal="center" vertical="center"/>
    </xf>
    <xf numFmtId="0" fontId="50" fillId="0" borderId="0" xfId="5" applyFont="1" applyAlignment="1">
      <alignment horizontal="justify" vertical="center" readingOrder="2"/>
    </xf>
    <xf numFmtId="166" fontId="35" fillId="0" borderId="0" xfId="5" applyNumberFormat="1" applyFont="1" applyBorder="1" applyAlignment="1">
      <alignment horizontal="center" vertical="center" readingOrder="2"/>
    </xf>
    <xf numFmtId="0" fontId="34" fillId="0" borderId="16" xfId="5" applyFont="1" applyBorder="1" applyAlignment="1">
      <alignment horizontal="center" vertical="center" readingOrder="2"/>
    </xf>
    <xf numFmtId="0" fontId="35" fillId="0" borderId="0" xfId="5" applyFont="1" applyAlignment="1">
      <alignment horizontal="right" vertical="center" readingOrder="2"/>
    </xf>
    <xf numFmtId="0" fontId="35" fillId="0" borderId="16" xfId="5" applyFont="1" applyBorder="1" applyAlignment="1">
      <alignment horizontal="center" vertical="center" readingOrder="2"/>
    </xf>
    <xf numFmtId="0" fontId="35" fillId="0" borderId="0" xfId="5" applyFont="1" applyAlignment="1">
      <alignment horizontal="center" vertical="center" readingOrder="2"/>
    </xf>
    <xf numFmtId="166" fontId="34" fillId="0" borderId="16" xfId="5" applyNumberFormat="1" applyFont="1" applyBorder="1" applyAlignment="1">
      <alignment horizontal="center" vertical="center" readingOrder="2"/>
    </xf>
    <xf numFmtId="166" fontId="34" fillId="0" borderId="0" xfId="5" applyNumberFormat="1" applyFont="1" applyAlignment="1">
      <alignment horizontal="center" vertical="center" readingOrder="2"/>
    </xf>
    <xf numFmtId="0" fontId="47" fillId="0" borderId="0" xfId="5" applyFont="1" applyAlignment="1">
      <alignment horizontal="right" vertical="center" readingOrder="2"/>
    </xf>
    <xf numFmtId="0" fontId="46" fillId="0" borderId="0" xfId="5" applyFont="1" applyAlignment="1">
      <alignment horizontal="center" vertical="center"/>
    </xf>
    <xf numFmtId="0" fontId="47" fillId="0" borderId="0" xfId="5" applyFont="1" applyAlignment="1">
      <alignment horizontal="center" vertical="center"/>
    </xf>
    <xf numFmtId="0" fontId="47" fillId="0" borderId="0" xfId="5" applyFont="1" applyAlignment="1">
      <alignment horizontal="center" vertical="center" readingOrder="2"/>
    </xf>
    <xf numFmtId="0" fontId="31" fillId="0" borderId="0" xfId="5" applyFont="1" applyAlignment="1">
      <alignment horizontal="right" vertical="center" readingOrder="2"/>
    </xf>
    <xf numFmtId="0" fontId="98" fillId="0" borderId="0" xfId="5" applyFont="1" applyAlignment="1">
      <alignment horizontal="right" vertical="center" readingOrder="2"/>
    </xf>
    <xf numFmtId="0" fontId="31" fillId="0" borderId="0" xfId="5" applyFont="1" applyAlignment="1">
      <alignment horizontal="center" vertical="center" readingOrder="2"/>
    </xf>
    <xf numFmtId="0" fontId="31" fillId="0" borderId="0" xfId="5" applyFont="1" applyFill="1" applyAlignment="1">
      <alignment vertical="center"/>
    </xf>
    <xf numFmtId="0" fontId="31" fillId="0" borderId="0" xfId="5" applyFont="1" applyAlignment="1">
      <alignment vertical="center"/>
    </xf>
    <xf numFmtId="0" fontId="31" fillId="0" borderId="0" xfId="5" applyFont="1" applyAlignment="1">
      <alignment horizontal="center" vertical="center"/>
    </xf>
    <xf numFmtId="0" fontId="35" fillId="0" borderId="0" xfId="5" applyFont="1" applyFill="1" applyAlignment="1">
      <alignment horizontal="right" vertical="center" readingOrder="2"/>
    </xf>
    <xf numFmtId="0" fontId="87" fillId="0" borderId="0" xfId="5" applyFont="1" applyFill="1" applyAlignment="1">
      <alignment horizontal="right" vertical="center" readingOrder="2"/>
    </xf>
    <xf numFmtId="0" fontId="99" fillId="0" borderId="0" xfId="5" applyFont="1" applyFill="1" applyAlignment="1">
      <alignment horizontal="center" vertical="center" readingOrder="2"/>
    </xf>
    <xf numFmtId="0" fontId="34" fillId="0" borderId="0" xfId="5" applyFont="1" applyFill="1" applyAlignment="1">
      <alignment horizontal="center" vertical="center" readingOrder="2"/>
    </xf>
    <xf numFmtId="164" fontId="34" fillId="9" borderId="0" xfId="5" applyNumberFormat="1" applyFont="1" applyFill="1" applyBorder="1" applyAlignment="1">
      <alignment vertical="center"/>
    </xf>
    <xf numFmtId="0" fontId="34" fillId="0" borderId="0" xfId="5" applyFont="1" applyFill="1" applyAlignment="1">
      <alignment horizontal="right" vertical="center" readingOrder="2"/>
    </xf>
    <xf numFmtId="164" fontId="34" fillId="0" borderId="0" xfId="5" applyNumberFormat="1" applyFont="1" applyFill="1" applyBorder="1" applyAlignment="1">
      <alignment vertical="center"/>
    </xf>
    <xf numFmtId="0" fontId="87" fillId="0" borderId="0" xfId="5" applyFont="1" applyAlignment="1">
      <alignment horizontal="center" vertical="center" readingOrder="2"/>
    </xf>
    <xf numFmtId="0" fontId="87" fillId="0" borderId="0" xfId="5" applyFont="1" applyAlignment="1">
      <alignment horizontal="right" vertical="center" readingOrder="2"/>
    </xf>
    <xf numFmtId="164" fontId="35" fillId="0" borderId="0" xfId="5" applyNumberFormat="1" applyFont="1" applyBorder="1" applyAlignment="1">
      <alignment vertical="center"/>
    </xf>
    <xf numFmtId="0" fontId="87" fillId="0" borderId="0" xfId="5" applyFont="1" applyFill="1" applyAlignment="1">
      <alignment vertical="center" readingOrder="2"/>
    </xf>
    <xf numFmtId="41" fontId="97" fillId="9" borderId="0" xfId="8" applyNumberFormat="1" applyFont="1" applyFill="1" applyAlignment="1">
      <alignment horizontal="right" vertical="center" readingOrder="2"/>
    </xf>
    <xf numFmtId="0" fontId="87" fillId="0" borderId="0" xfId="5" applyFont="1" applyFill="1" applyAlignment="1">
      <alignment vertical="center"/>
    </xf>
    <xf numFmtId="0" fontId="100" fillId="0" borderId="0" xfId="5" applyFont="1" applyFill="1" applyAlignment="1">
      <alignment vertical="center" readingOrder="2"/>
    </xf>
    <xf numFmtId="0" fontId="34" fillId="0" borderId="0" xfId="5" applyFont="1" applyFill="1" applyAlignment="1">
      <alignment vertical="center" readingOrder="2"/>
    </xf>
    <xf numFmtId="164" fontId="34" fillId="9" borderId="32" xfId="5" applyNumberFormat="1" applyFont="1" applyFill="1" applyBorder="1" applyAlignment="1">
      <alignment vertical="center"/>
    </xf>
    <xf numFmtId="164" fontId="34" fillId="0" borderId="32" xfId="5" applyNumberFormat="1" applyFont="1" applyFill="1" applyBorder="1" applyAlignment="1">
      <alignment vertical="center"/>
    </xf>
    <xf numFmtId="0" fontId="100" fillId="0" borderId="0" xfId="5" applyFont="1" applyFill="1" applyAlignment="1">
      <alignment horizontal="center" vertical="center"/>
    </xf>
    <xf numFmtId="0" fontId="31" fillId="0" borderId="0" xfId="5" applyFont="1" applyFill="1" applyAlignment="1">
      <alignment horizontal="right" vertical="center" readingOrder="2"/>
    </xf>
    <xf numFmtId="0" fontId="87" fillId="0" borderId="0" xfId="5" applyFont="1" applyAlignment="1">
      <alignment vertical="center" readingOrder="2"/>
    </xf>
    <xf numFmtId="0" fontId="101" fillId="0" borderId="0" xfId="5" applyFont="1" applyAlignment="1">
      <alignment horizontal="center" vertical="center" readingOrder="2"/>
    </xf>
    <xf numFmtId="0" fontId="34" fillId="0" borderId="0" xfId="5" applyFont="1" applyAlignment="1">
      <alignment horizontal="center" vertical="center" readingOrder="2"/>
    </xf>
    <xf numFmtId="164" fontId="34" fillId="0" borderId="0" xfId="5" applyNumberFormat="1" applyFont="1" applyBorder="1" applyAlignment="1">
      <alignment vertical="center"/>
    </xf>
    <xf numFmtId="0" fontId="87" fillId="0" borderId="0" xfId="5" applyFont="1" applyAlignment="1">
      <alignment horizontal="center" vertical="center"/>
    </xf>
    <xf numFmtId="0" fontId="34" fillId="0" borderId="0" xfId="5" applyFont="1" applyAlignment="1">
      <alignment vertical="center" readingOrder="2"/>
    </xf>
    <xf numFmtId="164" fontId="34" fillId="9" borderId="36" xfId="5" applyNumberFormat="1" applyFont="1" applyFill="1" applyBorder="1" applyAlignment="1">
      <alignment vertical="center"/>
    </xf>
    <xf numFmtId="164" fontId="34" fillId="0" borderId="36" xfId="5" applyNumberFormat="1" applyFont="1" applyBorder="1" applyAlignment="1">
      <alignment vertical="center"/>
    </xf>
    <xf numFmtId="164" fontId="34" fillId="0" borderId="32" xfId="5" applyNumberFormat="1" applyFont="1" applyBorder="1" applyAlignment="1">
      <alignment vertical="center"/>
    </xf>
    <xf numFmtId="164" fontId="35" fillId="0" borderId="32" xfId="5" applyNumberFormat="1" applyFont="1" applyBorder="1" applyAlignment="1">
      <alignment vertical="center"/>
    </xf>
    <xf numFmtId="0" fontId="87" fillId="0" borderId="0" xfId="5" applyFont="1" applyAlignment="1">
      <alignment vertical="center"/>
    </xf>
    <xf numFmtId="0" fontId="60" fillId="0" borderId="0" xfId="5" applyFont="1" applyAlignment="1">
      <alignment horizontal="right" vertical="center" readingOrder="2"/>
    </xf>
    <xf numFmtId="167" fontId="34" fillId="9" borderId="0" xfId="5" applyNumberFormat="1" applyFont="1" applyFill="1" applyAlignment="1">
      <alignment vertical="center"/>
    </xf>
    <xf numFmtId="167" fontId="34" fillId="0" borderId="0" xfId="5" applyNumberFormat="1" applyFont="1" applyAlignment="1">
      <alignment vertical="center"/>
    </xf>
    <xf numFmtId="171" fontId="34" fillId="9" borderId="0" xfId="5" applyNumberFormat="1" applyFont="1" applyFill="1" applyAlignment="1">
      <alignment vertical="center"/>
    </xf>
    <xf numFmtId="0" fontId="100" fillId="0" borderId="0" xfId="5" applyFont="1" applyAlignment="1">
      <alignment horizontal="center" vertical="center" readingOrder="2"/>
    </xf>
    <xf numFmtId="0" fontId="96" fillId="0" borderId="0" xfId="5" applyFont="1" applyAlignment="1">
      <alignment horizontal="center" vertical="center" readingOrder="2"/>
    </xf>
    <xf numFmtId="0" fontId="100" fillId="0" borderId="0" xfId="5" applyFont="1" applyAlignment="1">
      <alignment vertical="center" readingOrder="2"/>
    </xf>
    <xf numFmtId="0" fontId="34" fillId="0" borderId="0" xfId="5" applyFont="1" applyAlignment="1">
      <alignment horizontal="center" vertical="center"/>
    </xf>
    <xf numFmtId="0" fontId="102" fillId="0" borderId="0" xfId="5" applyFont="1" applyFill="1" applyAlignment="1">
      <alignment vertical="center" readingOrder="2"/>
    </xf>
    <xf numFmtId="164" fontId="103" fillId="9" borderId="0" xfId="5" applyNumberFormat="1" applyFont="1" applyFill="1" applyBorder="1" applyAlignment="1">
      <alignment vertical="center"/>
    </xf>
    <xf numFmtId="0" fontId="104" fillId="0" borderId="0" xfId="5" applyFont="1" applyFill="1" applyAlignment="1">
      <alignment horizontal="right" vertical="center" readingOrder="2"/>
    </xf>
    <xf numFmtId="0" fontId="105" fillId="0" borderId="0" xfId="5" applyFont="1" applyFill="1" applyAlignment="1">
      <alignment horizontal="center" vertical="center"/>
    </xf>
    <xf numFmtId="164" fontId="106" fillId="0" borderId="0" xfId="5" applyNumberFormat="1" applyFont="1" applyFill="1" applyBorder="1" applyAlignment="1">
      <alignment vertical="center"/>
    </xf>
    <xf numFmtId="0" fontId="105" fillId="0" borderId="0" xfId="5" applyFont="1" applyFill="1" applyAlignment="1">
      <alignment vertical="center"/>
    </xf>
    <xf numFmtId="0" fontId="102" fillId="0" borderId="0" xfId="5" applyFont="1" applyAlignment="1">
      <alignment vertical="center" readingOrder="2"/>
    </xf>
    <xf numFmtId="167" fontId="34" fillId="0" borderId="32" xfId="5" applyNumberFormat="1" applyFont="1" applyFill="1" applyBorder="1" applyAlignment="1">
      <alignment vertical="center"/>
    </xf>
    <xf numFmtId="167" fontId="34" fillId="0" borderId="32" xfId="5" applyNumberFormat="1" applyFont="1" applyBorder="1" applyAlignment="1">
      <alignment vertical="center"/>
    </xf>
    <xf numFmtId="0" fontId="67" fillId="0" borderId="0" xfId="5" applyFont="1" applyAlignment="1">
      <alignment horizontal="center" vertical="center"/>
    </xf>
    <xf numFmtId="0" fontId="67" fillId="0" borderId="0" xfId="5" applyFont="1" applyAlignment="1">
      <alignment vertical="center"/>
    </xf>
    <xf numFmtId="164" fontId="34" fillId="0" borderId="33" xfId="5" applyNumberFormat="1" applyFont="1" applyFill="1" applyBorder="1" applyAlignment="1">
      <alignment vertical="center"/>
    </xf>
    <xf numFmtId="164" fontId="34" fillId="0" borderId="33" xfId="5" applyNumberFormat="1" applyFont="1" applyBorder="1" applyAlignment="1">
      <alignment vertical="center"/>
    </xf>
    <xf numFmtId="0" fontId="102" fillId="0" borderId="0" xfId="5" applyFont="1" applyAlignment="1">
      <alignment horizontal="center" vertical="center"/>
    </xf>
    <xf numFmtId="167" fontId="34" fillId="0" borderId="33" xfId="5" applyNumberFormat="1" applyFont="1" applyFill="1" applyBorder="1" applyAlignment="1">
      <alignment vertical="center"/>
    </xf>
    <xf numFmtId="167" fontId="34" fillId="0" borderId="33" xfId="5" applyNumberFormat="1" applyFont="1" applyBorder="1" applyAlignment="1">
      <alignment vertical="center"/>
    </xf>
    <xf numFmtId="0" fontId="51" fillId="0" borderId="0" xfId="0" applyFont="1"/>
    <xf numFmtId="164" fontId="107" fillId="0" borderId="0" xfId="0" applyNumberFormat="1" applyFont="1"/>
    <xf numFmtId="0" fontId="67" fillId="0" borderId="0" xfId="5" applyFont="1" applyAlignment="1">
      <alignment horizontal="right" vertical="center" readingOrder="2"/>
    </xf>
    <xf numFmtId="0" fontId="67" fillId="0" borderId="0" xfId="5" applyFont="1" applyAlignment="1">
      <alignment vertical="center" readingOrder="2"/>
    </xf>
    <xf numFmtId="0" fontId="95" fillId="0" borderId="0" xfId="0" applyFont="1"/>
    <xf numFmtId="164" fontId="35" fillId="0" borderId="19" xfId="5" applyNumberFormat="1" applyFont="1" applyBorder="1" applyAlignment="1">
      <alignment vertical="center"/>
    </xf>
    <xf numFmtId="164" fontId="35" fillId="0" borderId="23" xfId="5" applyNumberFormat="1" applyFont="1" applyBorder="1" applyAlignment="1">
      <alignment vertical="center"/>
    </xf>
    <xf numFmtId="164" fontId="35" fillId="10" borderId="23" xfId="5" applyNumberFormat="1" applyFont="1" applyFill="1" applyBorder="1" applyAlignment="1">
      <alignment vertical="center"/>
    </xf>
    <xf numFmtId="164" fontId="35" fillId="10" borderId="19" xfId="5" applyNumberFormat="1" applyFont="1" applyFill="1" applyBorder="1" applyAlignment="1">
      <alignment vertical="center"/>
    </xf>
    <xf numFmtId="164" fontId="95" fillId="0" borderId="0" xfId="0" applyNumberFormat="1" applyFont="1"/>
    <xf numFmtId="164" fontId="110" fillId="0" borderId="0" xfId="0" applyNumberFormat="1" applyFont="1"/>
    <xf numFmtId="0" fontId="64" fillId="0" borderId="0" xfId="8" applyFont="1" applyAlignment="1">
      <alignment readingOrder="2"/>
    </xf>
    <xf numFmtId="0" fontId="44" fillId="0" borderId="0" xfId="8" applyFont="1"/>
    <xf numFmtId="0" fontId="35" fillId="0" borderId="0" xfId="8" applyFont="1" applyAlignment="1">
      <alignment vertical="center" readingOrder="2"/>
    </xf>
    <xf numFmtId="0" fontId="65" fillId="0" borderId="0" xfId="8" applyFont="1" applyAlignment="1">
      <alignment horizontal="right" vertical="center" readingOrder="2"/>
    </xf>
    <xf numFmtId="0" fontId="48" fillId="0" borderId="0" xfId="8" applyFont="1" applyAlignment="1">
      <alignment vertical="center" readingOrder="2"/>
    </xf>
    <xf numFmtId="0" fontId="44" fillId="0" borderId="0" xfId="8" applyFont="1" applyBorder="1" applyAlignment="1">
      <alignment vertical="center" readingOrder="2"/>
    </xf>
    <xf numFmtId="0" fontId="44" fillId="0" borderId="0" xfId="8" applyFont="1" applyAlignment="1">
      <alignment vertical="center" readingOrder="2"/>
    </xf>
    <xf numFmtId="0" fontId="33" fillId="0" borderId="0" xfId="8" applyFont="1" applyAlignment="1">
      <alignment horizontal="right" vertical="center" readingOrder="2"/>
    </xf>
    <xf numFmtId="0" fontId="111" fillId="0" borderId="0" xfId="0" applyFont="1"/>
    <xf numFmtId="0" fontId="112" fillId="0" borderId="0" xfId="0" applyFont="1" applyFill="1" applyBorder="1"/>
    <xf numFmtId="0" fontId="60" fillId="0" borderId="0" xfId="8" applyFont="1" applyAlignment="1">
      <alignment horizontal="right" vertical="center" readingOrder="2"/>
    </xf>
    <xf numFmtId="0" fontId="34" fillId="0" borderId="0" xfId="8" applyFont="1" applyAlignment="1">
      <alignment vertical="center" readingOrder="2"/>
    </xf>
    <xf numFmtId="3" fontId="34" fillId="0" borderId="0" xfId="8" applyNumberFormat="1" applyFont="1" applyAlignment="1">
      <alignment horizontal="right" vertical="center" readingOrder="2"/>
    </xf>
    <xf numFmtId="0" fontId="113" fillId="0" borderId="0" xfId="8" applyFont="1" applyBorder="1" applyAlignment="1">
      <alignment horizontal="right" vertical="center" readingOrder="2"/>
    </xf>
    <xf numFmtId="0" fontId="35" fillId="0" borderId="0" xfId="8" applyFont="1" applyAlignment="1">
      <alignment horizontal="right" vertical="center" readingOrder="2"/>
    </xf>
    <xf numFmtId="0" fontId="33" fillId="0" borderId="0" xfId="8" applyFont="1" applyAlignment="1">
      <alignment vertical="center" readingOrder="2"/>
    </xf>
    <xf numFmtId="3" fontId="33" fillId="0" borderId="0" xfId="8" applyNumberFormat="1" applyFont="1" applyBorder="1" applyAlignment="1">
      <alignment horizontal="right" vertical="center" readingOrder="2"/>
    </xf>
    <xf numFmtId="3" fontId="114" fillId="0" borderId="0" xfId="8" applyNumberFormat="1" applyFont="1" applyAlignment="1">
      <alignment horizontal="right" vertical="center" readingOrder="2"/>
    </xf>
    <xf numFmtId="0" fontId="31" fillId="0" borderId="0" xfId="8" applyFont="1" applyAlignment="1">
      <alignment horizontal="left" vertical="top" readingOrder="2"/>
    </xf>
    <xf numFmtId="3" fontId="34" fillId="0" borderId="0" xfId="8" applyNumberFormat="1" applyFont="1" applyBorder="1" applyAlignment="1">
      <alignment horizontal="right" vertical="center" readingOrder="2"/>
    </xf>
    <xf numFmtId="0" fontId="112" fillId="0" borderId="0" xfId="0" applyFont="1"/>
    <xf numFmtId="0" fontId="116" fillId="0" borderId="0" xfId="11" applyFont="1"/>
    <xf numFmtId="0" fontId="117" fillId="0" borderId="0" xfId="0" applyFont="1"/>
    <xf numFmtId="0" fontId="49" fillId="0" borderId="0" xfId="11" applyFont="1" applyAlignment="1">
      <alignment horizontal="justify" readingOrder="2"/>
    </xf>
    <xf numFmtId="0" fontId="44" fillId="0" borderId="0" xfId="11" applyFont="1"/>
    <xf numFmtId="0" fontId="64" fillId="0" borderId="0" xfId="11" applyFont="1"/>
    <xf numFmtId="0" fontId="64" fillId="0" borderId="0" xfId="11" applyFont="1" applyAlignment="1">
      <alignment shrinkToFit="1"/>
    </xf>
    <xf numFmtId="0" fontId="50" fillId="0" borderId="0" xfId="11" applyFont="1" applyAlignment="1">
      <alignment horizontal="right" readingOrder="2"/>
    </xf>
    <xf numFmtId="0" fontId="64" fillId="0" borderId="0" xfId="11" applyFont="1" applyAlignment="1">
      <alignment vertical="center"/>
    </xf>
    <xf numFmtId="0" fontId="32" fillId="0" borderId="0" xfId="11" applyFont="1" applyAlignment="1">
      <alignment horizontal="justify" vertical="center" readingOrder="2"/>
    </xf>
    <xf numFmtId="0" fontId="31" fillId="0" borderId="0" xfId="11" applyFont="1" applyAlignment="1">
      <alignment horizontal="justify" vertical="center" readingOrder="2"/>
    </xf>
    <xf numFmtId="164" fontId="31" fillId="0" borderId="0" xfId="11" applyNumberFormat="1" applyFont="1" applyBorder="1" applyAlignment="1">
      <alignment vertical="center"/>
    </xf>
    <xf numFmtId="164" fontId="31" fillId="0" borderId="0" xfId="11" applyNumberFormat="1" applyFont="1" applyBorder="1" applyAlignment="1">
      <alignment vertical="center" shrinkToFit="1"/>
    </xf>
    <xf numFmtId="164" fontId="31" fillId="0" borderId="0" xfId="6" applyNumberFormat="1" applyFont="1" applyBorder="1" applyAlignment="1">
      <alignment vertical="center"/>
    </xf>
    <xf numFmtId="0" fontId="31" fillId="0" borderId="0" xfId="11" applyFont="1" applyAlignment="1">
      <alignment horizontal="center" vertical="center" readingOrder="2"/>
    </xf>
    <xf numFmtId="0" fontId="44" fillId="0" borderId="0" xfId="11" applyFont="1" applyAlignment="1">
      <alignment vertical="center"/>
    </xf>
    <xf numFmtId="164" fontId="109" fillId="0" borderId="0" xfId="6" applyNumberFormat="1" applyFont="1" applyBorder="1" applyAlignment="1">
      <alignment vertical="center"/>
    </xf>
    <xf numFmtId="1" fontId="44" fillId="0" borderId="0" xfId="11" applyNumberFormat="1" applyFont="1"/>
    <xf numFmtId="0" fontId="48" fillId="0" borderId="0" xfId="11" applyFont="1" applyAlignment="1">
      <alignment horizontal="justify" readingOrder="2"/>
    </xf>
    <xf numFmtId="0" fontId="119" fillId="0" borderId="0" xfId="11" applyFont="1" applyAlignment="1">
      <alignment horizontal="center" readingOrder="2"/>
    </xf>
    <xf numFmtId="1" fontId="44" fillId="0" borderId="0" xfId="11" applyNumberFormat="1" applyFont="1" applyAlignment="1">
      <alignment vertical="center"/>
    </xf>
    <xf numFmtId="0" fontId="120" fillId="0" borderId="0" xfId="11" applyFont="1" applyAlignment="1">
      <alignment horizontal="center" vertical="center" readingOrder="2"/>
    </xf>
    <xf numFmtId="0" fontId="64" fillId="0" borderId="0" xfId="11" applyFont="1" applyAlignment="1">
      <alignment horizontal="center" vertical="center" readingOrder="2"/>
    </xf>
    <xf numFmtId="0" fontId="46" fillId="0" borderId="0" xfId="11" applyFont="1" applyAlignment="1">
      <alignment horizontal="center" vertical="center" readingOrder="2"/>
    </xf>
    <xf numFmtId="0" fontId="49" fillId="0" borderId="0" xfId="11" applyFont="1" applyAlignment="1">
      <alignment horizontal="center" vertical="center" readingOrder="2"/>
    </xf>
    <xf numFmtId="0" fontId="74" fillId="0" borderId="0" xfId="0" applyFont="1" applyAlignment="1">
      <alignment shrinkToFit="1"/>
    </xf>
    <xf numFmtId="0" fontId="32" fillId="0" borderId="0" xfId="12" applyFont="1" applyAlignment="1">
      <alignment readingOrder="2"/>
    </xf>
    <xf numFmtId="0" fontId="44" fillId="0" borderId="0" xfId="12" applyFont="1"/>
    <xf numFmtId="0" fontId="34" fillId="0" borderId="0" xfId="8" applyFont="1" applyAlignment="1">
      <alignment horizontal="left" vertical="top" readingOrder="2"/>
    </xf>
    <xf numFmtId="0" fontId="32" fillId="0" borderId="0" xfId="8" applyFont="1" applyAlignment="1">
      <alignment horizontal="right" vertical="center" readingOrder="2"/>
    </xf>
    <xf numFmtId="0" fontId="47" fillId="0" borderId="0" xfId="12" applyFont="1" applyAlignment="1">
      <alignment horizontal="center" vertical="center" readingOrder="2"/>
    </xf>
    <xf numFmtId="0" fontId="42" fillId="0" borderId="0" xfId="8" applyFont="1" applyAlignment="1">
      <alignment horizontal="right" vertical="center" readingOrder="2"/>
    </xf>
    <xf numFmtId="164" fontId="32" fillId="0" borderId="0" xfId="17" applyNumberFormat="1" applyFont="1" applyBorder="1" applyAlignment="1">
      <alignment horizontal="center"/>
    </xf>
    <xf numFmtId="1" fontId="44" fillId="0" borderId="0" xfId="19" applyNumberFormat="1" applyFont="1" applyAlignment="1">
      <alignment vertical="center"/>
    </xf>
    <xf numFmtId="0" fontId="31" fillId="0" borderId="0" xfId="19" applyFont="1" applyAlignment="1">
      <alignment horizontal="right" vertical="center" readingOrder="2"/>
    </xf>
    <xf numFmtId="0" fontId="29" fillId="0" borderId="0" xfId="8" applyFont="1" applyAlignment="1">
      <alignment vertical="center" readingOrder="2"/>
    </xf>
    <xf numFmtId="0" fontId="90" fillId="0" borderId="0" xfId="8" applyFont="1" applyAlignment="1">
      <alignment vertical="center" readingOrder="2"/>
    </xf>
    <xf numFmtId="0" fontId="64" fillId="0" borderId="0" xfId="19" applyFont="1" applyAlignment="1">
      <alignment horizontal="right" vertical="center" readingOrder="2"/>
    </xf>
    <xf numFmtId="0" fontId="64" fillId="0" borderId="0" xfId="19" applyFont="1" applyAlignment="1">
      <alignment vertical="center" readingOrder="2"/>
    </xf>
    <xf numFmtId="0" fontId="124" fillId="0" borderId="0" xfId="0" applyFont="1"/>
    <xf numFmtId="0" fontId="125" fillId="0" borderId="0" xfId="0" applyFont="1" applyAlignment="1">
      <alignment horizontal="center"/>
    </xf>
    <xf numFmtId="0" fontId="29" fillId="0" borderId="0" xfId="13" applyFont="1" applyAlignment="1">
      <alignment horizontal="right" readingOrder="2"/>
    </xf>
    <xf numFmtId="0" fontId="31" fillId="0" borderId="0" xfId="13" applyFont="1" applyAlignment="1">
      <alignment readingOrder="2"/>
    </xf>
    <xf numFmtId="0" fontId="44" fillId="0" borderId="0" xfId="13" applyFont="1" applyAlignment="1">
      <alignment horizontal="right"/>
    </xf>
    <xf numFmtId="0" fontId="50" fillId="0" borderId="0" xfId="13" applyFont="1" applyBorder="1" applyAlignment="1">
      <alignment horizontal="center" readingOrder="2"/>
    </xf>
    <xf numFmtId="0" fontId="35" fillId="0" borderId="0" xfId="13" applyNumberFormat="1" applyFont="1" applyBorder="1" applyAlignment="1">
      <alignment readingOrder="2"/>
    </xf>
    <xf numFmtId="0" fontId="35" fillId="0" borderId="35" xfId="13" applyNumberFormat="1" applyFont="1" applyBorder="1" applyAlignment="1">
      <alignment horizontal="center" readingOrder="2"/>
    </xf>
    <xf numFmtId="0" fontId="35" fillId="0" borderId="0" xfId="13" applyNumberFormat="1" applyFont="1" applyBorder="1" applyAlignment="1">
      <alignment horizontal="center" readingOrder="2"/>
    </xf>
    <xf numFmtId="0" fontId="126" fillId="0" borderId="0" xfId="13" applyFont="1" applyAlignment="1">
      <alignment horizontal="right" readingOrder="2"/>
    </xf>
    <xf numFmtId="0" fontId="33" fillId="0" borderId="0" xfId="13" applyFont="1" applyAlignment="1">
      <alignment horizontal="center"/>
    </xf>
    <xf numFmtId="0" fontId="64" fillId="0" borderId="0" xfId="13" applyFont="1" applyAlignment="1">
      <alignment horizontal="right" readingOrder="2"/>
    </xf>
    <xf numFmtId="0" fontId="48" fillId="0" borderId="0" xfId="13" applyFont="1" applyAlignment="1">
      <alignment horizontal="right" readingOrder="2"/>
    </xf>
    <xf numFmtId="49" fontId="35" fillId="0" borderId="0" xfId="13" applyNumberFormat="1" applyFont="1" applyAlignment="1">
      <alignment horizontal="center" vertical="center"/>
    </xf>
    <xf numFmtId="0" fontId="94" fillId="0" borderId="0" xfId="13" applyFont="1" applyAlignment="1">
      <alignment horizontal="right" readingOrder="2"/>
    </xf>
    <xf numFmtId="164" fontId="97" fillId="9" borderId="0" xfId="13" applyNumberFormat="1" applyFont="1" applyFill="1" applyBorder="1" applyAlignment="1">
      <alignment horizontal="right" vertical="center"/>
    </xf>
    <xf numFmtId="0" fontId="35" fillId="0" borderId="0" xfId="13" applyFont="1" applyAlignment="1">
      <alignment horizontal="right" readingOrder="2"/>
    </xf>
    <xf numFmtId="0" fontId="44" fillId="0" borderId="0" xfId="13" applyFont="1"/>
    <xf numFmtId="0" fontId="29" fillId="0" borderId="0" xfId="14" applyFont="1" applyAlignment="1">
      <alignment horizontal="right" readingOrder="2"/>
    </xf>
    <xf numFmtId="0" fontId="44" fillId="0" borderId="0" xfId="14" applyFont="1" applyAlignment="1">
      <alignment horizontal="right"/>
    </xf>
    <xf numFmtId="0" fontId="44" fillId="0" borderId="0" xfId="14" applyFont="1" applyFill="1" applyBorder="1"/>
    <xf numFmtId="0" fontId="59" fillId="0" borderId="0" xfId="0" applyFont="1" applyFill="1"/>
    <xf numFmtId="164" fontId="59" fillId="0" borderId="0" xfId="0" applyNumberFormat="1" applyFont="1"/>
    <xf numFmtId="3" fontId="34" fillId="7" borderId="34" xfId="0" applyNumberFormat="1" applyFont="1" applyFill="1" applyBorder="1" applyAlignment="1">
      <alignment horizontal="right"/>
    </xf>
    <xf numFmtId="3" fontId="34" fillId="7" borderId="0" xfId="0" applyNumberFormat="1" applyFont="1" applyFill="1" applyBorder="1" applyAlignment="1">
      <alignment horizontal="right"/>
    </xf>
    <xf numFmtId="0" fontId="130" fillId="9" borderId="0" xfId="5" applyFont="1" applyFill="1" applyAlignment="1">
      <alignment horizontal="center" vertical="top" readingOrder="2"/>
    </xf>
    <xf numFmtId="0" fontId="34" fillId="9" borderId="0" xfId="19" applyNumberFormat="1" applyFont="1" applyFill="1" applyBorder="1" applyAlignment="1">
      <alignment horizontal="center" vertical="center" readingOrder="2"/>
    </xf>
    <xf numFmtId="0" fontId="123" fillId="9" borderId="0" xfId="0" applyFont="1" applyFill="1"/>
    <xf numFmtId="0" fontId="34" fillId="9" borderId="0" xfId="19" applyNumberFormat="1" applyFont="1" applyFill="1" applyBorder="1" applyAlignment="1">
      <alignment vertical="center" readingOrder="2"/>
    </xf>
    <xf numFmtId="0" fontId="48" fillId="9" borderId="0" xfId="19" applyFont="1" applyFill="1" applyAlignment="1">
      <alignment horizontal="center" vertical="center" wrapText="1" readingOrder="2"/>
    </xf>
    <xf numFmtId="0" fontId="59" fillId="9" borderId="0" xfId="0" applyFont="1" applyFill="1" applyAlignment="1">
      <alignment wrapText="1"/>
    </xf>
    <xf numFmtId="0" fontId="132" fillId="9" borderId="0" xfId="0" applyFont="1" applyFill="1"/>
    <xf numFmtId="0" fontId="133" fillId="9" borderId="36" xfId="19" applyFont="1" applyFill="1" applyBorder="1" applyAlignment="1">
      <alignment horizontal="center" vertical="center" wrapText="1" readingOrder="2"/>
    </xf>
    <xf numFmtId="0" fontId="133" fillId="9" borderId="0" xfId="19" applyFont="1" applyFill="1" applyBorder="1" applyAlignment="1">
      <alignment horizontal="center" vertical="center" wrapText="1" readingOrder="2"/>
    </xf>
    <xf numFmtId="167" fontId="35" fillId="9" borderId="0" xfId="8" applyNumberFormat="1" applyFont="1" applyFill="1" applyAlignment="1">
      <alignment horizontal="center" vertical="center" readingOrder="2"/>
    </xf>
    <xf numFmtId="164" fontId="92" fillId="9" borderId="0" xfId="19" applyNumberFormat="1" applyFont="1" applyFill="1" applyBorder="1" applyAlignment="1">
      <alignment vertical="center"/>
    </xf>
    <xf numFmtId="164" fontId="92" fillId="9" borderId="0" xfId="17" applyNumberFormat="1" applyFont="1" applyFill="1" applyBorder="1" applyAlignment="1">
      <alignment vertical="center"/>
    </xf>
    <xf numFmtId="0" fontId="41" fillId="9" borderId="0" xfId="19" applyFont="1" applyFill="1" applyAlignment="1">
      <alignment horizontal="right" vertical="center" readingOrder="2"/>
    </xf>
    <xf numFmtId="0" fontId="48" fillId="9" borderId="0" xfId="19" applyFont="1" applyFill="1" applyAlignment="1">
      <alignment horizontal="center" vertical="center" readingOrder="2"/>
    </xf>
    <xf numFmtId="0" fontId="133" fillId="9" borderId="0" xfId="19" applyFont="1" applyFill="1" applyAlignment="1">
      <alignment horizontal="right" vertical="center" readingOrder="2"/>
    </xf>
    <xf numFmtId="0" fontId="64" fillId="9" borderId="0" xfId="19" applyFont="1" applyFill="1" applyAlignment="1">
      <alignment vertical="center" readingOrder="2"/>
    </xf>
    <xf numFmtId="0" fontId="31" fillId="9" borderId="0" xfId="19" applyFont="1" applyFill="1" applyAlignment="1">
      <alignment horizontal="right" vertical="center" readingOrder="2"/>
    </xf>
    <xf numFmtId="0" fontId="93" fillId="9" borderId="0" xfId="19" applyFont="1" applyFill="1" applyAlignment="1">
      <alignment horizontal="right" vertical="center" readingOrder="2"/>
    </xf>
    <xf numFmtId="0" fontId="44" fillId="9" borderId="0" xfId="19" applyFont="1" applyFill="1" applyAlignment="1">
      <alignment horizontal="right" vertical="center"/>
    </xf>
    <xf numFmtId="0" fontId="47" fillId="9" borderId="0" xfId="19" applyFont="1" applyFill="1" applyAlignment="1">
      <alignment horizontal="center" vertical="center"/>
    </xf>
    <xf numFmtId="0" fontId="59" fillId="9" borderId="0" xfId="0" applyFont="1" applyFill="1" applyAlignment="1">
      <alignment horizontal="center"/>
    </xf>
    <xf numFmtId="0" fontId="32" fillId="9" borderId="0" xfId="14" applyFont="1" applyFill="1" applyAlignment="1">
      <alignment horizontal="center" readingOrder="2"/>
    </xf>
    <xf numFmtId="0" fontId="138" fillId="0" borderId="0" xfId="5" applyFont="1" applyAlignment="1">
      <alignment horizontal="center" vertical="top" readingOrder="2"/>
    </xf>
    <xf numFmtId="41" fontId="139" fillId="0" borderId="0" xfId="9" applyNumberFormat="1" applyFont="1" applyAlignment="1">
      <alignment horizontal="center" vertical="top" shrinkToFit="1"/>
    </xf>
    <xf numFmtId="41" fontId="140" fillId="0" borderId="0" xfId="9" applyNumberFormat="1" applyFont="1" applyAlignment="1">
      <alignment horizontal="center" vertical="top" shrinkToFit="1"/>
    </xf>
    <xf numFmtId="0" fontId="89" fillId="0" borderId="0" xfId="16" applyFont="1"/>
    <xf numFmtId="1" fontId="124" fillId="0" borderId="0" xfId="0" applyNumberFormat="1" applyFont="1"/>
    <xf numFmtId="49" fontId="31" fillId="0" borderId="0" xfId="47" applyNumberFormat="1" applyFont="1" applyAlignment="1">
      <alignment horizontal="center"/>
    </xf>
    <xf numFmtId="0" fontId="141" fillId="0" borderId="0" xfId="47" applyNumberFormat="1" applyFont="1" applyAlignment="1"/>
    <xf numFmtId="41" fontId="139" fillId="0" borderId="0" xfId="47" applyNumberFormat="1" applyFont="1" applyAlignment="1">
      <alignment horizontal="center" vertical="top" shrinkToFit="1"/>
    </xf>
    <xf numFmtId="1" fontId="59" fillId="0" borderId="0" xfId="0" applyNumberFormat="1" applyFont="1"/>
    <xf numFmtId="0" fontId="59" fillId="0" borderId="0" xfId="0" applyFont="1" applyAlignment="1">
      <alignment horizontal="center" vertical="center"/>
    </xf>
    <xf numFmtId="0" fontId="59" fillId="0" borderId="2" xfId="0" applyFont="1" applyBorder="1" applyAlignment="1">
      <alignment horizontal="center" vertical="center"/>
    </xf>
    <xf numFmtId="0" fontId="59" fillId="0" borderId="9" xfId="0" applyFont="1" applyBorder="1" applyAlignment="1">
      <alignment horizontal="center" vertical="center"/>
    </xf>
    <xf numFmtId="3" fontId="59" fillId="0" borderId="19" xfId="0" applyNumberFormat="1" applyFont="1" applyBorder="1" applyAlignment="1">
      <alignment horizontal="center" vertical="center"/>
    </xf>
    <xf numFmtId="3" fontId="59" fillId="0" borderId="24" xfId="0" applyNumberFormat="1" applyFont="1" applyBorder="1" applyAlignment="1">
      <alignment horizontal="center" vertical="center"/>
    </xf>
    <xf numFmtId="3" fontId="59" fillId="0" borderId="45" xfId="0" applyNumberFormat="1" applyFont="1" applyBorder="1" applyAlignment="1">
      <alignment horizontal="center" vertical="center"/>
    </xf>
    <xf numFmtId="0" fontId="59" fillId="0" borderId="0" xfId="0" applyFont="1" applyBorder="1" applyAlignment="1">
      <alignment vertical="center"/>
    </xf>
    <xf numFmtId="3" fontId="59" fillId="0" borderId="0" xfId="0" applyNumberFormat="1" applyFont="1" applyBorder="1" applyAlignment="1">
      <alignment vertical="center"/>
    </xf>
    <xf numFmtId="0" fontId="59" fillId="0" borderId="0" xfId="0" applyFont="1" applyBorder="1" applyAlignment="1">
      <alignment horizontal="center" vertical="center"/>
    </xf>
    <xf numFmtId="3" fontId="59" fillId="0" borderId="0" xfId="0" applyNumberFormat="1" applyFont="1" applyBorder="1" applyAlignment="1">
      <alignment horizontal="center" vertical="center"/>
    </xf>
    <xf numFmtId="3" fontId="59" fillId="0" borderId="0" xfId="0" applyNumberFormat="1" applyFont="1" applyFill="1" applyBorder="1" applyAlignment="1">
      <alignment horizontal="center" vertical="center"/>
    </xf>
    <xf numFmtId="0" fontId="137" fillId="0" borderId="0" xfId="0" applyFont="1" applyAlignment="1">
      <alignment horizontal="center"/>
    </xf>
    <xf numFmtId="0" fontId="42" fillId="9" borderId="0" xfId="0" applyFont="1" applyFill="1"/>
    <xf numFmtId="0" fontId="32" fillId="9" borderId="0" xfId="18" applyFont="1" applyFill="1" applyAlignment="1">
      <alignment vertical="center"/>
    </xf>
    <xf numFmtId="164" fontId="32" fillId="9" borderId="0" xfId="17" applyNumberFormat="1" applyFont="1" applyFill="1" applyBorder="1" applyAlignment="1">
      <alignment vertical="center"/>
    </xf>
    <xf numFmtId="164" fontId="34" fillId="9" borderId="0" xfId="17" applyNumberFormat="1" applyFont="1" applyFill="1" applyBorder="1" applyAlignment="1">
      <alignment vertical="center"/>
    </xf>
    <xf numFmtId="0" fontId="42" fillId="9" borderId="0" xfId="0" applyFont="1" applyFill="1" applyBorder="1"/>
    <xf numFmtId="166" fontId="50" fillId="9" borderId="0" xfId="5" applyNumberFormat="1" applyFont="1" applyFill="1" applyBorder="1" applyAlignment="1">
      <alignment horizontal="center" vertical="center" readingOrder="2"/>
    </xf>
    <xf numFmtId="0" fontId="44" fillId="9" borderId="0" xfId="22" applyFont="1" applyFill="1"/>
    <xf numFmtId="0" fontId="35" fillId="9" borderId="0" xfId="21" applyNumberFormat="1" applyFont="1" applyFill="1" applyBorder="1" applyAlignment="1">
      <alignment horizontal="center" vertical="center" readingOrder="2"/>
    </xf>
    <xf numFmtId="0" fontId="44" fillId="9" borderId="0" xfId="31" applyFont="1" applyFill="1"/>
    <xf numFmtId="0" fontId="45" fillId="9" borderId="0" xfId="31" applyFont="1" applyFill="1" applyAlignment="1">
      <alignment horizontal="center" vertical="top"/>
    </xf>
    <xf numFmtId="0" fontId="30" fillId="9" borderId="0" xfId="31" applyFont="1" applyFill="1" applyAlignment="1">
      <alignment horizontal="right" vertical="center" readingOrder="2"/>
    </xf>
    <xf numFmtId="0" fontId="44" fillId="9" borderId="0" xfId="31" applyFont="1" applyFill="1" applyAlignment="1">
      <alignment horizontal="right"/>
    </xf>
    <xf numFmtId="0" fontId="29" fillId="9" borderId="0" xfId="31" applyFont="1" applyFill="1" applyAlignment="1">
      <alignment horizontal="left" vertical="top" readingOrder="2"/>
    </xf>
    <xf numFmtId="0" fontId="86" fillId="9" borderId="0" xfId="31" applyFont="1" applyFill="1" applyAlignment="1">
      <alignment horizontal="right" vertical="center" readingOrder="2"/>
    </xf>
    <xf numFmtId="0" fontId="48" fillId="9" borderId="0" xfId="31" applyFont="1" applyFill="1" applyAlignment="1">
      <alignment horizontal="right" vertical="top"/>
    </xf>
    <xf numFmtId="0" fontId="48" fillId="9" borderId="0" xfId="31" applyFont="1" applyFill="1" applyAlignment="1">
      <alignment vertical="top"/>
    </xf>
    <xf numFmtId="0" fontId="49" fillId="9" borderId="0" xfId="31" applyFont="1" applyFill="1"/>
    <xf numFmtId="0" fontId="87" fillId="9" borderId="0" xfId="31" applyFont="1" applyFill="1" applyBorder="1" applyAlignment="1">
      <alignment horizontal="center" readingOrder="2"/>
    </xf>
    <xf numFmtId="0" fontId="49" fillId="9" borderId="0" xfId="31" applyFont="1" applyFill="1" applyAlignment="1">
      <alignment horizontal="right"/>
    </xf>
    <xf numFmtId="0" fontId="44" fillId="9" borderId="0" xfId="31" applyFont="1" applyFill="1" applyAlignment="1">
      <alignment vertical="center"/>
    </xf>
    <xf numFmtId="0" fontId="50" fillId="9" borderId="0" xfId="31" applyFont="1" applyFill="1" applyAlignment="1">
      <alignment horizontal="right" readingOrder="2"/>
    </xf>
    <xf numFmtId="0" fontId="29" fillId="0" borderId="0" xfId="33" applyFont="1" applyAlignment="1">
      <alignment horizontal="right" vertical="center" readingOrder="2"/>
    </xf>
    <xf numFmtId="0" fontId="43" fillId="9" borderId="0" xfId="0" applyFont="1" applyFill="1" applyAlignment="1">
      <alignment horizontal="left"/>
    </xf>
    <xf numFmtId="0" fontId="29" fillId="0" borderId="0" xfId="8" applyFont="1" applyAlignment="1">
      <alignment horizontal="right" vertical="top" readingOrder="2"/>
    </xf>
    <xf numFmtId="0" fontId="45" fillId="0" borderId="0" xfId="6" applyFont="1" applyAlignment="1">
      <alignment horizontal="center" vertical="top"/>
    </xf>
    <xf numFmtId="0" fontId="44" fillId="0" borderId="0" xfId="6" applyFont="1" applyAlignment="1"/>
    <xf numFmtId="0" fontId="35" fillId="0" borderId="0" xfId="6" applyFont="1" applyAlignment="1">
      <alignment horizontal="center"/>
    </xf>
    <xf numFmtId="49" fontId="46" fillId="0" borderId="0" xfId="6" applyNumberFormat="1" applyFont="1" applyAlignment="1">
      <alignment horizontal="justify" readingOrder="2"/>
    </xf>
    <xf numFmtId="0" fontId="46" fillId="0" borderId="0" xfId="6" applyFont="1" applyAlignment="1">
      <alignment horizontal="justify" readingOrder="2"/>
    </xf>
    <xf numFmtId="0" fontId="34" fillId="0" borderId="0" xfId="6" applyFont="1" applyAlignment="1">
      <alignment horizontal="right" readingOrder="2"/>
    </xf>
    <xf numFmtId="0" fontId="47" fillId="0" borderId="0" xfId="6" applyFont="1" applyAlignment="1">
      <alignment horizontal="right" readingOrder="2"/>
    </xf>
    <xf numFmtId="49" fontId="47" fillId="0" borderId="0" xfId="6" applyNumberFormat="1" applyFont="1" applyAlignment="1">
      <alignment horizontal="center"/>
    </xf>
    <xf numFmtId="0" fontId="47" fillId="0" borderId="0" xfId="6" applyFont="1"/>
    <xf numFmtId="0" fontId="47" fillId="0" borderId="0" xfId="6" applyFont="1" applyAlignment="1">
      <alignment horizontal="center"/>
    </xf>
    <xf numFmtId="49" fontId="31" fillId="0" borderId="0" xfId="6" applyNumberFormat="1" applyFont="1" applyBorder="1" applyAlignment="1">
      <alignment horizontal="center" vertical="center"/>
    </xf>
    <xf numFmtId="164" fontId="31" fillId="0" borderId="35" xfId="6" applyNumberFormat="1" applyFont="1" applyBorder="1" applyAlignment="1">
      <alignment vertical="center"/>
    </xf>
    <xf numFmtId="164" fontId="31" fillId="0" borderId="0" xfId="6" applyNumberFormat="1" applyFont="1" applyFill="1" applyBorder="1" applyAlignment="1">
      <alignment vertical="center"/>
    </xf>
    <xf numFmtId="164" fontId="31" fillId="9" borderId="34" xfId="6" applyNumberFormat="1" applyFont="1" applyFill="1" applyBorder="1" applyAlignment="1">
      <alignment vertical="center"/>
    </xf>
    <xf numFmtId="164" fontId="31" fillId="0" borderId="34" xfId="6" applyNumberFormat="1" applyFont="1" applyBorder="1" applyAlignment="1">
      <alignment vertical="center"/>
    </xf>
    <xf numFmtId="167" fontId="31" fillId="0" borderId="0" xfId="36" applyNumberFormat="1" applyFont="1" applyAlignment="1">
      <alignment vertical="center"/>
    </xf>
    <xf numFmtId="164" fontId="31" fillId="9" borderId="0" xfId="6" applyNumberFormat="1" applyFont="1" applyFill="1" applyBorder="1" applyAlignment="1">
      <alignment vertical="center"/>
    </xf>
    <xf numFmtId="164" fontId="31" fillId="0" borderId="24" xfId="6" applyNumberFormat="1" applyFont="1" applyBorder="1" applyAlignment="1">
      <alignment vertical="center"/>
    </xf>
    <xf numFmtId="164" fontId="31" fillId="9" borderId="35" xfId="6" applyNumberFormat="1" applyFont="1" applyFill="1" applyBorder="1" applyAlignment="1">
      <alignment vertical="center"/>
    </xf>
    <xf numFmtId="164" fontId="46" fillId="0" borderId="0" xfId="0" applyNumberFormat="1" applyFont="1"/>
    <xf numFmtId="0" fontId="105" fillId="0" borderId="0" xfId="6" applyFont="1" applyAlignment="1">
      <alignment horizontal="right" readingOrder="2"/>
    </xf>
    <xf numFmtId="0" fontId="144" fillId="0" borderId="0" xfId="6" applyFont="1" applyAlignment="1">
      <alignment horizontal="center" readingOrder="2"/>
    </xf>
    <xf numFmtId="49" fontId="64" fillId="0" borderId="0" xfId="6" applyNumberFormat="1" applyFont="1"/>
    <xf numFmtId="0" fontId="64" fillId="0" borderId="0" xfId="6" applyFont="1"/>
    <xf numFmtId="43" fontId="95" fillId="0" borderId="0" xfId="0" applyNumberFormat="1" applyFont="1"/>
    <xf numFmtId="0" fontId="44" fillId="9" borderId="0" xfId="31" applyFont="1" applyFill="1" applyAlignment="1">
      <alignment horizontal="left" vertical="top"/>
    </xf>
    <xf numFmtId="164" fontId="34" fillId="9" borderId="0" xfId="31" applyNumberFormat="1" applyFont="1" applyFill="1" applyBorder="1" applyAlignment="1">
      <alignment vertical="center"/>
    </xf>
    <xf numFmtId="167" fontId="47" fillId="9" borderId="32" xfId="8" applyNumberFormat="1" applyFont="1" applyFill="1" applyBorder="1" applyAlignment="1">
      <alignment horizontal="right" vertical="top" readingOrder="2"/>
    </xf>
    <xf numFmtId="0" fontId="46" fillId="9" borderId="0" xfId="0" applyFont="1" applyFill="1" applyAlignment="1">
      <alignment horizontal="center" vertical="center"/>
    </xf>
    <xf numFmtId="0" fontId="49" fillId="9" borderId="19" xfId="3" applyFont="1" applyFill="1" applyBorder="1" applyAlignment="1" applyProtection="1">
      <alignment horizontal="center" vertical="center"/>
      <protection locked="0"/>
    </xf>
    <xf numFmtId="49" fontId="49" fillId="9" borderId="19" xfId="3" applyNumberFormat="1" applyFont="1" applyFill="1" applyBorder="1" applyAlignment="1" applyProtection="1">
      <alignment horizontal="center" vertical="center"/>
      <protection locked="0"/>
    </xf>
    <xf numFmtId="0" fontId="49" fillId="9" borderId="19" xfId="3" applyFont="1" applyFill="1" applyBorder="1" applyAlignment="1" applyProtection="1">
      <alignment horizontal="right" vertical="center"/>
      <protection locked="0"/>
    </xf>
    <xf numFmtId="0" fontId="44" fillId="9" borderId="19" xfId="3" applyFont="1" applyFill="1" applyBorder="1" applyAlignment="1" applyProtection="1">
      <alignment horizontal="right" vertical="center"/>
      <protection locked="0"/>
    </xf>
    <xf numFmtId="0" fontId="46" fillId="9" borderId="19" xfId="3" applyFont="1" applyFill="1" applyBorder="1" applyAlignment="1" applyProtection="1">
      <alignment horizontal="right" vertical="center"/>
      <protection locked="0"/>
    </xf>
    <xf numFmtId="0" fontId="46" fillId="9" borderId="19" xfId="3" applyFont="1" applyFill="1" applyBorder="1" applyAlignment="1" applyProtection="1">
      <alignment horizontal="right" vertical="center" wrapText="1"/>
      <protection locked="0"/>
    </xf>
    <xf numFmtId="0" fontId="88" fillId="9" borderId="19" xfId="3" applyFont="1" applyFill="1" applyBorder="1" applyAlignment="1" applyProtection="1">
      <alignment horizontal="right" vertical="center"/>
      <protection locked="0"/>
    </xf>
    <xf numFmtId="0" fontId="49" fillId="9" borderId="11" xfId="3" applyFont="1" applyFill="1" applyBorder="1" applyAlignment="1" applyProtection="1">
      <alignment horizontal="center" vertical="center"/>
      <protection locked="0"/>
    </xf>
    <xf numFmtId="0" fontId="49" fillId="9" borderId="38" xfId="3" applyFont="1" applyFill="1" applyBorder="1" applyAlignment="1" applyProtection="1">
      <alignment horizontal="right" vertical="center"/>
      <protection locked="0"/>
    </xf>
    <xf numFmtId="0" fontId="49" fillId="11" borderId="19" xfId="3" applyFont="1" applyFill="1" applyBorder="1" applyAlignment="1" applyProtection="1">
      <alignment horizontal="center" vertical="center"/>
      <protection locked="0"/>
    </xf>
    <xf numFmtId="0" fontId="49" fillId="11" borderId="19" xfId="3" applyFont="1" applyFill="1" applyBorder="1" applyAlignment="1" applyProtection="1">
      <alignment horizontal="right" vertical="center"/>
      <protection locked="0"/>
    </xf>
    <xf numFmtId="168" fontId="63" fillId="12" borderId="19" xfId="10" applyNumberFormat="1" applyFont="1" applyFill="1" applyBorder="1" applyAlignment="1">
      <alignment horizontal="right" vertical="center"/>
    </xf>
    <xf numFmtId="0" fontId="63" fillId="12" borderId="19" xfId="10" applyNumberFormat="1" applyFont="1" applyFill="1" applyBorder="1" applyAlignment="1">
      <alignment horizontal="right" vertical="center"/>
    </xf>
    <xf numFmtId="174" fontId="63" fillId="12" borderId="19" xfId="42" applyNumberFormat="1" applyFont="1" applyFill="1" applyBorder="1" applyAlignment="1">
      <alignment horizontal="right"/>
    </xf>
    <xf numFmtId="168" fontId="63" fillId="12" borderId="38" xfId="10" applyNumberFormat="1" applyFont="1" applyFill="1" applyBorder="1" applyAlignment="1">
      <alignment horizontal="right" vertical="center"/>
    </xf>
    <xf numFmtId="168" fontId="63" fillId="11" borderId="19" xfId="10" applyNumberFormat="1" applyFont="1" applyFill="1" applyBorder="1" applyAlignment="1">
      <alignment horizontal="right" vertical="center"/>
    </xf>
    <xf numFmtId="0" fontId="46" fillId="9" borderId="0" xfId="0" applyFont="1" applyFill="1" applyAlignment="1">
      <alignment horizontal="right" vertical="center"/>
    </xf>
    <xf numFmtId="3" fontId="46" fillId="9" borderId="0" xfId="0" applyNumberFormat="1" applyFont="1" applyFill="1" applyAlignment="1">
      <alignment horizontal="right" vertical="center"/>
    </xf>
    <xf numFmtId="168" fontId="49" fillId="9" borderId="19" xfId="10" applyNumberFormat="1" applyFont="1" applyFill="1" applyBorder="1" applyAlignment="1">
      <alignment horizontal="right" vertical="center"/>
    </xf>
    <xf numFmtId="0" fontId="49" fillId="9" borderId="19" xfId="10" applyNumberFormat="1" applyFont="1" applyFill="1" applyBorder="1" applyAlignment="1">
      <alignment horizontal="right" vertical="center"/>
    </xf>
    <xf numFmtId="168" fontId="128" fillId="9" borderId="19" xfId="10" applyNumberFormat="1" applyFont="1" applyFill="1" applyBorder="1" applyAlignment="1">
      <alignment horizontal="right" vertical="center"/>
    </xf>
    <xf numFmtId="168" fontId="63" fillId="9" borderId="19" xfId="10" applyNumberFormat="1" applyFont="1" applyFill="1" applyBorder="1" applyAlignment="1">
      <alignment horizontal="right" vertical="center"/>
    </xf>
    <xf numFmtId="174" fontId="49" fillId="9" borderId="19" xfId="42" applyNumberFormat="1" applyFont="1" applyFill="1" applyBorder="1" applyAlignment="1">
      <alignment horizontal="right"/>
    </xf>
    <xf numFmtId="168" fontId="49" fillId="9" borderId="11" xfId="10" applyNumberFormat="1" applyFont="1" applyFill="1" applyBorder="1" applyAlignment="1">
      <alignment horizontal="right" vertical="center"/>
    </xf>
    <xf numFmtId="168" fontId="49" fillId="11" borderId="19" xfId="10" applyNumberFormat="1" applyFont="1" applyFill="1" applyBorder="1" applyAlignment="1">
      <alignment horizontal="right" vertical="center"/>
    </xf>
    <xf numFmtId="0" fontId="46" fillId="9" borderId="19" xfId="0" applyFont="1" applyFill="1" applyBorder="1" applyAlignment="1">
      <alignment horizontal="right" vertical="center"/>
    </xf>
    <xf numFmtId="168" fontId="49" fillId="9" borderId="38" xfId="10" applyNumberFormat="1" applyFont="1" applyFill="1" applyBorder="1" applyAlignment="1">
      <alignment horizontal="right" vertical="center"/>
    </xf>
    <xf numFmtId="0" fontId="44" fillId="9" borderId="0" xfId="0" applyFont="1" applyFill="1" applyAlignment="1">
      <alignment horizontal="right" vertical="center"/>
    </xf>
    <xf numFmtId="0" fontId="49" fillId="9" borderId="0" xfId="0" applyFont="1" applyFill="1" applyAlignment="1">
      <alignment horizontal="right" vertical="center"/>
    </xf>
    <xf numFmtId="0" fontId="49" fillId="9" borderId="11" xfId="3" applyFont="1" applyFill="1" applyBorder="1" applyAlignment="1" applyProtection="1">
      <alignment horizontal="right" vertical="center"/>
      <protection locked="0"/>
    </xf>
    <xf numFmtId="168" fontId="64" fillId="9" borderId="19" xfId="10" applyNumberFormat="1" applyFont="1" applyFill="1" applyBorder="1" applyAlignment="1">
      <alignment horizontal="right" vertical="center"/>
    </xf>
    <xf numFmtId="0" fontId="46" fillId="9" borderId="0" xfId="0" applyFont="1" applyFill="1" applyBorder="1" applyAlignment="1">
      <alignment horizontal="right" vertical="center"/>
    </xf>
    <xf numFmtId="3" fontId="46" fillId="9" borderId="0" xfId="0" applyNumberFormat="1" applyFont="1" applyFill="1" applyBorder="1" applyAlignment="1">
      <alignment horizontal="right" vertical="center"/>
    </xf>
    <xf numFmtId="0" fontId="112" fillId="9" borderId="0" xfId="0" applyFont="1" applyFill="1"/>
    <xf numFmtId="0" fontId="30" fillId="9" borderId="0" xfId="0" applyFont="1" applyFill="1"/>
    <xf numFmtId="0" fontId="47" fillId="9" borderId="0" xfId="0" applyFont="1" applyFill="1"/>
    <xf numFmtId="0" fontId="148" fillId="0" borderId="0" xfId="0" applyFont="1" applyAlignment="1">
      <alignment vertical="top"/>
    </xf>
    <xf numFmtId="168" fontId="63" fillId="10" borderId="19" xfId="10" applyNumberFormat="1" applyFont="1" applyFill="1" applyBorder="1" applyAlignment="1">
      <alignment horizontal="right" vertical="center"/>
    </xf>
    <xf numFmtId="0" fontId="63" fillId="10" borderId="19" xfId="3" applyFont="1" applyFill="1" applyBorder="1" applyAlignment="1" applyProtection="1">
      <alignment horizontal="right" vertical="center"/>
      <protection locked="0"/>
    </xf>
    <xf numFmtId="0" fontId="63" fillId="10" borderId="19" xfId="10" applyNumberFormat="1" applyFont="1" applyFill="1" applyBorder="1" applyAlignment="1">
      <alignment horizontal="right" vertical="center"/>
    </xf>
    <xf numFmtId="0" fontId="111" fillId="10" borderId="19" xfId="3" applyFont="1" applyFill="1" applyBorder="1" applyAlignment="1" applyProtection="1">
      <alignment horizontal="right" vertical="center"/>
      <protection locked="0"/>
    </xf>
    <xf numFmtId="0" fontId="59" fillId="10" borderId="19" xfId="3" applyFont="1" applyFill="1" applyBorder="1" applyAlignment="1" applyProtection="1">
      <alignment horizontal="right" vertical="center"/>
      <protection locked="0"/>
    </xf>
    <xf numFmtId="0" fontId="59" fillId="10" borderId="19" xfId="3" applyFont="1" applyFill="1" applyBorder="1" applyAlignment="1" applyProtection="1">
      <alignment horizontal="right" vertical="center" wrapText="1"/>
      <protection locked="0"/>
    </xf>
    <xf numFmtId="174" fontId="63" fillId="10" borderId="19" xfId="42" applyNumberFormat="1" applyFont="1" applyFill="1" applyBorder="1" applyAlignment="1">
      <alignment horizontal="right"/>
    </xf>
    <xf numFmtId="0" fontId="145" fillId="10" borderId="19" xfId="3" applyFont="1" applyFill="1" applyBorder="1" applyAlignment="1" applyProtection="1">
      <alignment horizontal="right" vertical="center"/>
      <protection locked="0"/>
    </xf>
    <xf numFmtId="168" fontId="63" fillId="10" borderId="19" xfId="3" applyNumberFormat="1" applyFont="1" applyFill="1" applyBorder="1" applyAlignment="1" applyProtection="1">
      <alignment horizontal="right" vertical="center"/>
      <protection locked="0"/>
    </xf>
    <xf numFmtId="168" fontId="63" fillId="10" borderId="38" xfId="10" applyNumberFormat="1" applyFont="1" applyFill="1" applyBorder="1" applyAlignment="1">
      <alignment horizontal="right" vertical="center"/>
    </xf>
    <xf numFmtId="168" fontId="63" fillId="10" borderId="38" xfId="3" applyNumberFormat="1" applyFont="1" applyFill="1" applyBorder="1" applyAlignment="1" applyProtection="1">
      <alignment horizontal="right" vertical="center"/>
      <protection locked="0"/>
    </xf>
    <xf numFmtId="0" fontId="56" fillId="0" borderId="0" xfId="5" applyFont="1" applyAlignment="1">
      <alignment horizontal="center" vertical="top" readingOrder="2"/>
    </xf>
    <xf numFmtId="0" fontId="32" fillId="0" borderId="0" xfId="28" applyFont="1" applyAlignment="1">
      <alignment vertical="center"/>
    </xf>
    <xf numFmtId="164" fontId="97" fillId="0" borderId="0" xfId="14" applyNumberFormat="1" applyFont="1" applyBorder="1" applyAlignment="1">
      <alignment horizontal="right" vertical="center"/>
    </xf>
    <xf numFmtId="0" fontId="34" fillId="0" borderId="0" xfId="14" applyFont="1" applyAlignment="1">
      <alignment horizontal="right"/>
    </xf>
    <xf numFmtId="174" fontId="60" fillId="0" borderId="0" xfId="42" applyNumberFormat="1" applyFont="1" applyAlignment="1">
      <alignment horizontal="right" readingOrder="2"/>
    </xf>
    <xf numFmtId="174" fontId="60" fillId="0" borderId="0" xfId="42" applyNumberFormat="1" applyFont="1" applyAlignment="1">
      <alignment horizontal="right"/>
    </xf>
    <xf numFmtId="174" fontId="34" fillId="0" borderId="0" xfId="42" applyNumberFormat="1" applyFont="1" applyBorder="1" applyAlignment="1">
      <alignment horizontal="right"/>
    </xf>
    <xf numFmtId="174" fontId="34" fillId="0" borderId="0" xfId="42" applyNumberFormat="1" applyFont="1" applyFill="1" applyAlignment="1">
      <alignment horizontal="right" readingOrder="2"/>
    </xf>
    <xf numFmtId="174" fontId="34" fillId="0" borderId="0" xfId="42" applyNumberFormat="1" applyFont="1" applyAlignment="1">
      <alignment horizontal="right" readingOrder="2"/>
    </xf>
    <xf numFmtId="174" fontId="64" fillId="0" borderId="0" xfId="42" applyNumberFormat="1" applyFont="1" applyAlignment="1">
      <alignment horizontal="right" readingOrder="2"/>
    </xf>
    <xf numFmtId="0" fontId="31" fillId="0" borderId="0" xfId="27" applyFont="1" applyBorder="1" applyAlignment="1">
      <alignment horizontal="center" readingOrder="2"/>
    </xf>
    <xf numFmtId="0" fontId="64" fillId="0" borderId="0" xfId="27" applyFont="1"/>
    <xf numFmtId="0" fontId="64" fillId="0" borderId="0" xfId="27" applyFont="1" applyBorder="1" applyAlignment="1"/>
    <xf numFmtId="0" fontId="31" fillId="0" borderId="0" xfId="27" applyFont="1" applyAlignment="1">
      <alignment readingOrder="2"/>
    </xf>
    <xf numFmtId="0" fontId="31" fillId="0" borderId="0" xfId="27" applyFont="1" applyAlignment="1">
      <alignment horizontal="center" readingOrder="2"/>
    </xf>
    <xf numFmtId="0" fontId="64" fillId="0" borderId="0" xfId="27" applyFont="1" applyAlignment="1">
      <alignment vertical="center"/>
    </xf>
    <xf numFmtId="164" fontId="31" fillId="0" borderId="0" xfId="23" applyNumberFormat="1" applyFont="1" applyBorder="1" applyAlignment="1">
      <alignment horizontal="right" vertical="center"/>
    </xf>
    <xf numFmtId="164" fontId="31" fillId="0" borderId="0" xfId="27" applyNumberFormat="1" applyFont="1" applyFill="1" applyBorder="1" applyAlignment="1">
      <alignment vertical="center"/>
    </xf>
    <xf numFmtId="0" fontId="31" fillId="0" borderId="0" xfId="33" applyFont="1" applyAlignment="1">
      <alignment horizontal="right" vertical="center" readingOrder="2"/>
    </xf>
    <xf numFmtId="0" fontId="31" fillId="0" borderId="0" xfId="27" applyFont="1" applyFill="1" applyAlignment="1">
      <alignment readingOrder="2"/>
    </xf>
    <xf numFmtId="164" fontId="31" fillId="0" borderId="36" xfId="23" applyNumberFormat="1" applyFont="1" applyBorder="1" applyAlignment="1">
      <alignment horizontal="right" vertical="center"/>
    </xf>
    <xf numFmtId="164" fontId="31" fillId="0" borderId="36" xfId="27" applyNumberFormat="1" applyFont="1" applyFill="1" applyBorder="1" applyAlignment="1">
      <alignment vertical="center"/>
    </xf>
    <xf numFmtId="0" fontId="64" fillId="0" borderId="0" xfId="33" applyFont="1" applyAlignment="1">
      <alignment horizontal="right" vertical="center" readingOrder="2"/>
    </xf>
    <xf numFmtId="164" fontId="31" fillId="0" borderId="34" xfId="27" applyNumberFormat="1" applyFont="1" applyFill="1" applyBorder="1" applyAlignment="1">
      <alignment vertical="center"/>
    </xf>
    <xf numFmtId="0" fontId="124" fillId="0" borderId="0" xfId="0" applyFont="1" applyAlignment="1">
      <alignment vertical="top"/>
    </xf>
    <xf numFmtId="0" fontId="150" fillId="0" borderId="0" xfId="0" applyFont="1" applyAlignment="1">
      <alignment vertical="top"/>
    </xf>
    <xf numFmtId="0" fontId="43" fillId="0" borderId="0" xfId="37" applyFont="1" applyAlignment="1">
      <alignment horizontal="left" vertical="top"/>
    </xf>
    <xf numFmtId="0" fontId="48" fillId="9" borderId="0" xfId="25" applyFont="1" applyFill="1" applyAlignment="1">
      <alignment horizontal="left" vertical="top" readingOrder="2"/>
    </xf>
    <xf numFmtId="0" fontId="90" fillId="9" borderId="0" xfId="0" applyFont="1" applyFill="1"/>
    <xf numFmtId="0" fontId="44" fillId="9" borderId="0" xfId="26" applyFont="1" applyFill="1"/>
    <xf numFmtId="0" fontId="44" fillId="9" borderId="0" xfId="26" applyFont="1" applyFill="1" applyAlignment="1">
      <alignment horizontal="right"/>
    </xf>
    <xf numFmtId="0" fontId="44" fillId="9" borderId="0" xfId="26" applyFont="1" applyFill="1" applyAlignment="1"/>
    <xf numFmtId="0" fontId="44" fillId="9" borderId="0" xfId="26" applyFont="1" applyFill="1" applyBorder="1"/>
    <xf numFmtId="179" fontId="44" fillId="9" borderId="0" xfId="26" applyNumberFormat="1" applyFont="1" applyFill="1" applyAlignment="1">
      <alignment horizontal="right"/>
    </xf>
    <xf numFmtId="0" fontId="35" fillId="9" borderId="0" xfId="26" applyFont="1" applyFill="1" applyAlignment="1">
      <alignment horizontal="right" readingOrder="2"/>
    </xf>
    <xf numFmtId="0" fontId="50" fillId="9" borderId="0" xfId="26" applyFont="1" applyFill="1" applyBorder="1" applyAlignment="1">
      <alignment horizontal="center" readingOrder="2"/>
    </xf>
    <xf numFmtId="0" fontId="34" fillId="9" borderId="0" xfId="26" applyFont="1" applyFill="1" applyAlignment="1">
      <alignment vertical="center"/>
    </xf>
    <xf numFmtId="0" fontId="49" fillId="9" borderId="0" xfId="26" applyFont="1" applyFill="1" applyAlignment="1">
      <alignment horizontal="right" readingOrder="2"/>
    </xf>
    <xf numFmtId="0" fontId="34" fillId="9" borderId="0" xfId="25" applyFont="1" applyFill="1" applyAlignment="1">
      <alignment horizontal="right" vertical="center" readingOrder="2"/>
    </xf>
    <xf numFmtId="0" fontId="36" fillId="9" borderId="0" xfId="26" applyFont="1" applyFill="1" applyBorder="1" applyAlignment="1">
      <alignment horizontal="right" wrapText="1"/>
    </xf>
    <xf numFmtId="0" fontId="36" fillId="9" borderId="0" xfId="26" applyFont="1" applyFill="1" applyAlignment="1">
      <alignment horizontal="center"/>
    </xf>
    <xf numFmtId="0" fontId="36" fillId="9" borderId="0" xfId="26" applyFont="1" applyFill="1" applyBorder="1" applyAlignment="1">
      <alignment horizontal="center"/>
    </xf>
    <xf numFmtId="0" fontId="36" fillId="9" borderId="0" xfId="26" applyFont="1" applyFill="1" applyBorder="1" applyAlignment="1"/>
    <xf numFmtId="0" fontId="36" fillId="9" borderId="0" xfId="26" applyFont="1" applyFill="1" applyBorder="1" applyAlignment="1">
      <alignment horizontal="center" wrapText="1"/>
    </xf>
    <xf numFmtId="0" fontId="60" fillId="9" borderId="0" xfId="25" applyFont="1" applyFill="1" applyAlignment="1">
      <alignment horizontal="right" vertical="center" readingOrder="2"/>
    </xf>
    <xf numFmtId="3" fontId="35" fillId="9" borderId="0" xfId="17" applyNumberFormat="1" applyFont="1" applyFill="1" applyBorder="1" applyAlignment="1">
      <alignment horizontal="right" vertical="center"/>
    </xf>
    <xf numFmtId="3" fontId="35" fillId="9" borderId="0" xfId="23" applyNumberFormat="1" applyFont="1" applyFill="1" applyBorder="1" applyAlignment="1">
      <alignment horizontal="right" vertical="center"/>
    </xf>
    <xf numFmtId="176" fontId="35" fillId="9" borderId="0" xfId="23" applyNumberFormat="1" applyFont="1" applyFill="1" applyBorder="1" applyAlignment="1">
      <alignment horizontal="center" vertical="center" shrinkToFit="1"/>
    </xf>
    <xf numFmtId="164" fontId="34" fillId="9" borderId="0" xfId="23" applyNumberFormat="1" applyFont="1" applyFill="1" applyBorder="1" applyAlignment="1">
      <alignment vertical="center"/>
    </xf>
    <xf numFmtId="179" fontId="35" fillId="9" borderId="0" xfId="23" applyNumberFormat="1" applyFont="1" applyFill="1" applyBorder="1" applyAlignment="1">
      <alignment horizontal="right" vertical="center"/>
    </xf>
    <xf numFmtId="172" fontId="35" fillId="9" borderId="0" xfId="17" applyNumberFormat="1" applyFont="1" applyFill="1" applyBorder="1" applyAlignment="1">
      <alignment vertical="top"/>
    </xf>
    <xf numFmtId="2" fontId="35" fillId="9" borderId="0" xfId="23" applyNumberFormat="1" applyFont="1" applyFill="1" applyBorder="1" applyAlignment="1">
      <alignment horizontal="center" vertical="center" shrinkToFit="1"/>
    </xf>
    <xf numFmtId="3" fontId="35" fillId="9" borderId="35" xfId="17" applyNumberFormat="1" applyFont="1" applyFill="1" applyBorder="1" applyAlignment="1">
      <alignment horizontal="right" vertical="center"/>
    </xf>
    <xf numFmtId="164" fontId="34" fillId="9" borderId="35" xfId="23" applyNumberFormat="1" applyFont="1" applyFill="1" applyBorder="1" applyAlignment="1">
      <alignment vertical="center"/>
    </xf>
    <xf numFmtId="3" fontId="35" fillId="9" borderId="32" xfId="17" applyNumberFormat="1" applyFont="1" applyFill="1" applyBorder="1" applyAlignment="1">
      <alignment horizontal="right" vertical="top"/>
    </xf>
    <xf numFmtId="164" fontId="34" fillId="9" borderId="32" xfId="23" applyNumberFormat="1" applyFont="1" applyFill="1" applyBorder="1" applyAlignment="1">
      <alignment vertical="center"/>
    </xf>
    <xf numFmtId="3" fontId="35" fillId="9" borderId="0" xfId="17" applyNumberFormat="1" applyFont="1" applyFill="1" applyBorder="1" applyAlignment="1">
      <alignment horizontal="right" vertical="top"/>
    </xf>
    <xf numFmtId="0" fontId="60" fillId="9" borderId="0" xfId="26" applyFont="1" applyFill="1" applyBorder="1" applyAlignment="1">
      <alignment vertical="center" readingOrder="2"/>
    </xf>
    <xf numFmtId="172" fontId="35" fillId="9" borderId="0" xfId="23" applyNumberFormat="1" applyFont="1" applyFill="1" applyBorder="1" applyAlignment="1">
      <alignment horizontal="right" vertical="center"/>
    </xf>
    <xf numFmtId="0" fontId="60" fillId="9" borderId="0" xfId="26" applyFont="1" applyFill="1" applyBorder="1" applyAlignment="1">
      <alignment horizontal="right" vertical="center" readingOrder="2"/>
    </xf>
    <xf numFmtId="3" fontId="35" fillId="9" borderId="32" xfId="17" applyNumberFormat="1" applyFont="1" applyFill="1" applyBorder="1" applyAlignment="1">
      <alignment horizontal="right" vertical="center"/>
    </xf>
    <xf numFmtId="0" fontId="31" fillId="9" borderId="0" xfId="25" applyFont="1" applyFill="1" applyAlignment="1">
      <alignment horizontal="right" vertical="center" readingOrder="2"/>
    </xf>
    <xf numFmtId="3" fontId="35" fillId="9" borderId="34" xfId="23" applyNumberFormat="1" applyFont="1" applyFill="1" applyBorder="1" applyAlignment="1">
      <alignment horizontal="right" vertical="center"/>
    </xf>
    <xf numFmtId="164" fontId="35" fillId="9" borderId="0" xfId="17" applyNumberFormat="1" applyFont="1" applyFill="1" applyBorder="1" applyAlignment="1">
      <alignment vertical="top"/>
    </xf>
    <xf numFmtId="177" fontId="35" fillId="9" borderId="0" xfId="23" applyNumberFormat="1" applyFont="1" applyFill="1" applyBorder="1" applyAlignment="1">
      <alignment horizontal="center" vertical="center" shrinkToFit="1"/>
    </xf>
    <xf numFmtId="164" fontId="34" fillId="9" borderId="36" xfId="23" applyNumberFormat="1" applyFont="1" applyFill="1" applyBorder="1" applyAlignment="1">
      <alignment vertical="center"/>
    </xf>
    <xf numFmtId="179" fontId="34" fillId="9" borderId="0" xfId="23" applyNumberFormat="1" applyFont="1" applyFill="1" applyBorder="1" applyAlignment="1">
      <alignment horizontal="right" vertical="center"/>
    </xf>
    <xf numFmtId="0" fontId="60" fillId="9" borderId="0" xfId="26" applyFont="1" applyFill="1" applyBorder="1" applyAlignment="1">
      <alignment horizontal="center" readingOrder="2"/>
    </xf>
    <xf numFmtId="164" fontId="34" fillId="9" borderId="33" xfId="23" applyNumberFormat="1" applyFont="1" applyFill="1" applyBorder="1" applyAlignment="1">
      <alignment vertical="center"/>
    </xf>
    <xf numFmtId="0" fontId="34" fillId="9" borderId="0" xfId="25" applyFont="1" applyFill="1" applyAlignment="1">
      <alignment horizontal="left" vertical="top" readingOrder="2"/>
    </xf>
    <xf numFmtId="0" fontId="49" fillId="9" borderId="0" xfId="26" applyFont="1" applyFill="1"/>
    <xf numFmtId="0" fontId="49" fillId="9" borderId="0" xfId="26" applyFont="1" applyFill="1" applyAlignment="1">
      <alignment horizontal="right"/>
    </xf>
    <xf numFmtId="0" fontId="49" fillId="9" borderId="0" xfId="26" applyFont="1" applyFill="1" applyAlignment="1"/>
    <xf numFmtId="0" fontId="50" fillId="9" borderId="0" xfId="26" applyFont="1" applyFill="1" applyAlignment="1">
      <alignment horizontal="center" readingOrder="2"/>
    </xf>
    <xf numFmtId="0" fontId="60" fillId="9" borderId="0" xfId="26" applyFont="1" applyFill="1" applyBorder="1"/>
    <xf numFmtId="0" fontId="60" fillId="9" borderId="0" xfId="26" applyFont="1" applyFill="1"/>
    <xf numFmtId="0" fontId="33" fillId="9" borderId="0" xfId="26" applyFont="1" applyFill="1"/>
    <xf numFmtId="0" fontId="33" fillId="9" borderId="0" xfId="26" applyFont="1" applyFill="1" applyAlignment="1">
      <alignment horizontal="right"/>
    </xf>
    <xf numFmtId="0" fontId="33" fillId="9" borderId="0" xfId="26" applyFont="1" applyFill="1" applyAlignment="1"/>
    <xf numFmtId="0" fontId="33" fillId="9" borderId="0" xfId="26" applyFont="1" applyFill="1" applyAlignment="1">
      <alignment horizontal="center" readingOrder="2"/>
    </xf>
    <xf numFmtId="0" fontId="33" fillId="9" borderId="0" xfId="26" applyFont="1" applyFill="1" applyBorder="1"/>
    <xf numFmtId="0" fontId="48" fillId="9" borderId="0" xfId="26" applyFont="1" applyFill="1" applyAlignment="1">
      <alignment vertical="center"/>
    </xf>
    <xf numFmtId="0" fontId="60" fillId="9" borderId="0" xfId="26" applyFont="1" applyFill="1" applyAlignment="1">
      <alignment horizontal="right" vertical="center" readingOrder="2"/>
    </xf>
    <xf numFmtId="0" fontId="48" fillId="9" borderId="0" xfId="26" applyFont="1" applyFill="1" applyAlignment="1">
      <alignment horizontal="right" vertical="center"/>
    </xf>
    <xf numFmtId="3" fontId="48" fillId="9" borderId="0" xfId="26" applyNumberFormat="1" applyFont="1" applyFill="1" applyAlignment="1">
      <alignment vertical="center" readingOrder="2"/>
    </xf>
    <xf numFmtId="0" fontId="60" fillId="9" borderId="0" xfId="26" applyFont="1" applyFill="1" applyBorder="1" applyAlignment="1">
      <alignment vertical="center"/>
    </xf>
    <xf numFmtId="0" fontId="60" fillId="9" borderId="0" xfId="26" applyFont="1" applyFill="1" applyAlignment="1">
      <alignment vertical="center"/>
    </xf>
    <xf numFmtId="3" fontId="48" fillId="9" borderId="0" xfId="26" applyNumberFormat="1" applyFont="1" applyFill="1" applyAlignment="1">
      <alignment horizontal="right" vertical="center" readingOrder="2"/>
    </xf>
    <xf numFmtId="3" fontId="48" fillId="9" borderId="0" xfId="26" applyNumberFormat="1" applyFont="1" applyFill="1" applyAlignment="1">
      <alignment horizontal="right" vertical="center"/>
    </xf>
    <xf numFmtId="3" fontId="48" fillId="9" borderId="0" xfId="26" applyNumberFormat="1" applyFont="1" applyFill="1" applyAlignment="1">
      <alignment vertical="center"/>
    </xf>
    <xf numFmtId="168" fontId="34" fillId="9" borderId="0" xfId="10" applyNumberFormat="1" applyFont="1" applyFill="1" applyBorder="1" applyAlignment="1">
      <alignment vertical="center"/>
    </xf>
    <xf numFmtId="168" fontId="34" fillId="9" borderId="34" xfId="10" applyNumberFormat="1" applyFont="1" applyFill="1" applyBorder="1" applyAlignment="1">
      <alignment vertical="center"/>
    </xf>
    <xf numFmtId="0" fontId="46" fillId="9" borderId="0" xfId="0" applyFont="1" applyFill="1" applyAlignment="1">
      <alignment horizontal="right"/>
    </xf>
    <xf numFmtId="0" fontId="46" fillId="9" borderId="0" xfId="0" applyFont="1" applyFill="1" applyAlignment="1"/>
    <xf numFmtId="179" fontId="46" fillId="9" borderId="0" xfId="0" applyNumberFormat="1" applyFont="1" applyFill="1"/>
    <xf numFmtId="164" fontId="103" fillId="9" borderId="0" xfId="23" applyNumberFormat="1" applyFont="1" applyFill="1" applyBorder="1" applyAlignment="1">
      <alignment horizontal="right" vertical="center"/>
    </xf>
    <xf numFmtId="0" fontId="30" fillId="9" borderId="0" xfId="0" applyFont="1" applyFill="1" applyAlignment="1">
      <alignment horizontal="left" vertical="center"/>
    </xf>
    <xf numFmtId="164" fontId="35" fillId="0" borderId="19" xfId="5" applyNumberFormat="1" applyFont="1" applyBorder="1" applyAlignment="1">
      <alignment horizontal="center" vertical="center"/>
    </xf>
    <xf numFmtId="0" fontId="56" fillId="0" borderId="0" xfId="5" applyFont="1" applyAlignment="1">
      <alignment horizontal="center" vertical="top" readingOrder="2"/>
    </xf>
    <xf numFmtId="164" fontId="35" fillId="0" borderId="31" xfId="5" applyNumberFormat="1" applyFont="1" applyBorder="1" applyAlignment="1">
      <alignment horizontal="right" vertical="center"/>
    </xf>
    <xf numFmtId="164" fontId="35" fillId="0" borderId="32" xfId="5" applyNumberFormat="1" applyFont="1" applyBorder="1" applyAlignment="1">
      <alignment horizontal="right" vertical="center"/>
    </xf>
    <xf numFmtId="0" fontId="31" fillId="9" borderId="0" xfId="24" applyFont="1" applyFill="1" applyAlignment="1">
      <alignment horizontal="center" readingOrder="2"/>
    </xf>
    <xf numFmtId="3" fontId="35" fillId="9" borderId="48" xfId="34" applyNumberFormat="1" applyFont="1" applyFill="1" applyBorder="1" applyAlignment="1">
      <alignment vertical="top"/>
    </xf>
    <xf numFmtId="167" fontId="54" fillId="0" borderId="0" xfId="15" applyNumberFormat="1" applyFont="1" applyFill="1" applyBorder="1"/>
    <xf numFmtId="0" fontId="54" fillId="0" borderId="0" xfId="15" applyFont="1" applyFill="1" applyBorder="1"/>
    <xf numFmtId="167" fontId="52" fillId="9" borderId="0" xfId="15" applyNumberFormat="1" applyFont="1" applyFill="1" applyBorder="1"/>
    <xf numFmtId="168" fontId="49" fillId="10" borderId="19" xfId="10" applyNumberFormat="1" applyFont="1" applyFill="1" applyBorder="1" applyAlignment="1">
      <alignment horizontal="right" vertical="center"/>
    </xf>
    <xf numFmtId="0" fontId="56" fillId="0" borderId="0" xfId="5" applyFont="1" applyAlignment="1">
      <alignment horizontal="center" vertical="top" readingOrder="2"/>
    </xf>
    <xf numFmtId="0" fontId="109" fillId="0" borderId="0" xfId="6" applyFont="1" applyAlignment="1">
      <alignment horizontal="center" readingOrder="2"/>
    </xf>
    <xf numFmtId="0" fontId="31" fillId="0" borderId="0" xfId="11" applyFont="1" applyBorder="1" applyAlignment="1">
      <alignment horizontal="center" vertical="center" readingOrder="2"/>
    </xf>
    <xf numFmtId="0" fontId="31" fillId="0" borderId="35" xfId="11" applyFont="1" applyBorder="1" applyAlignment="1">
      <alignment horizontal="center" vertical="center" shrinkToFit="1" readingOrder="2"/>
    </xf>
    <xf numFmtId="0" fontId="31" fillId="0" borderId="0" xfId="11" applyFont="1" applyAlignment="1">
      <alignment vertical="center" readingOrder="2"/>
    </xf>
    <xf numFmtId="164" fontId="31" fillId="0" borderId="32" xfId="6" applyNumberFormat="1" applyFont="1" applyBorder="1" applyAlignment="1">
      <alignment vertical="center"/>
    </xf>
    <xf numFmtId="164" fontId="31" fillId="0" borderId="33" xfId="6" applyNumberFormat="1" applyFont="1" applyBorder="1" applyAlignment="1">
      <alignment vertical="center"/>
    </xf>
    <xf numFmtId="49" fontId="31" fillId="0" borderId="35" xfId="6" applyNumberFormat="1" applyFont="1" applyBorder="1" applyAlignment="1">
      <alignment horizontal="center" readingOrder="2"/>
    </xf>
    <xf numFmtId="0" fontId="31" fillId="0" borderId="0" xfId="6" applyFont="1" applyBorder="1" applyAlignment="1">
      <alignment horizontal="center" readingOrder="2"/>
    </xf>
    <xf numFmtId="0" fontId="31" fillId="0" borderId="0" xfId="6" applyFont="1"/>
    <xf numFmtId="0" fontId="31" fillId="0" borderId="35" xfId="6" applyFont="1" applyBorder="1" applyAlignment="1">
      <alignment horizontal="center"/>
    </xf>
    <xf numFmtId="49" fontId="31" fillId="0" borderId="0" xfId="6" applyNumberFormat="1" applyFont="1"/>
    <xf numFmtId="0" fontId="31" fillId="0" borderId="0" xfId="6" applyFont="1" applyAlignment="1">
      <alignment horizontal="center"/>
    </xf>
    <xf numFmtId="0" fontId="31" fillId="0" borderId="0" xfId="6" applyFont="1" applyAlignment="1">
      <alignment vertical="center" readingOrder="2"/>
    </xf>
    <xf numFmtId="178" fontId="31" fillId="0" borderId="0" xfId="9" applyNumberFormat="1" applyFont="1" applyBorder="1" applyAlignment="1">
      <alignment vertical="center"/>
    </xf>
    <xf numFmtId="49" fontId="31" fillId="0" borderId="0" xfId="6" applyNumberFormat="1" applyFont="1" applyBorder="1" applyAlignment="1">
      <alignment horizontal="right" vertical="center" readingOrder="2"/>
    </xf>
    <xf numFmtId="0" fontId="115" fillId="0" borderId="0" xfId="6" applyFont="1" applyAlignment="1">
      <alignment readingOrder="2"/>
    </xf>
    <xf numFmtId="1" fontId="31" fillId="0" borderId="0" xfId="11" applyNumberFormat="1" applyFont="1" applyAlignment="1">
      <alignment vertical="center"/>
    </xf>
    <xf numFmtId="0" fontId="31" fillId="0" borderId="0" xfId="11" applyFont="1" applyAlignment="1">
      <alignment vertical="center"/>
    </xf>
    <xf numFmtId="0" fontId="31" fillId="0" borderId="0" xfId="11" applyFont="1" applyAlignment="1">
      <alignment horizontal="right" vertical="center" readingOrder="2"/>
    </xf>
    <xf numFmtId="0" fontId="31" fillId="0" borderId="0" xfId="11" applyFont="1" applyAlignment="1">
      <alignment horizontal="center" vertical="center"/>
    </xf>
    <xf numFmtId="0" fontId="31" fillId="0" borderId="0" xfId="11" applyFont="1" applyAlignment="1">
      <alignment horizontal="center" vertical="center" shrinkToFit="1"/>
    </xf>
    <xf numFmtId="0" fontId="110" fillId="0" borderId="0" xfId="0" applyFont="1"/>
    <xf numFmtId="0" fontId="32" fillId="0" borderId="0" xfId="6" applyFont="1" applyAlignment="1">
      <alignment readingOrder="2"/>
    </xf>
    <xf numFmtId="0" fontId="48" fillId="0" borderId="0" xfId="5" applyFont="1" applyFill="1" applyAlignment="1">
      <alignment horizontal="right" vertical="center" readingOrder="2"/>
    </xf>
    <xf numFmtId="0" fontId="48" fillId="0" borderId="0" xfId="5" applyFont="1" applyAlignment="1">
      <alignment horizontal="right" vertical="center" readingOrder="2"/>
    </xf>
    <xf numFmtId="0" fontId="34" fillId="9" borderId="0" xfId="0" applyFont="1" applyFill="1"/>
    <xf numFmtId="164" fontId="34" fillId="9" borderId="0" xfId="23" applyNumberFormat="1" applyFont="1" applyFill="1" applyBorder="1" applyAlignment="1">
      <alignment horizontal="right"/>
    </xf>
    <xf numFmtId="3" fontId="155" fillId="0" borderId="0" xfId="40" applyNumberFormat="1" applyFont="1" applyBorder="1" applyAlignment="1">
      <alignment horizontal="center" vertical="center" readingOrder="2"/>
    </xf>
    <xf numFmtId="0" fontId="156" fillId="0" borderId="0" xfId="40" applyFont="1" applyBorder="1" applyAlignment="1">
      <alignment horizontal="center" vertical="center" readingOrder="2"/>
    </xf>
    <xf numFmtId="0" fontId="153" fillId="6" borderId="0" xfId="0" applyNumberFormat="1" applyFont="1" applyFill="1" applyBorder="1" applyAlignment="1" applyProtection="1">
      <alignment horizontal="center" vertical="center"/>
      <protection hidden="1"/>
    </xf>
    <xf numFmtId="0" fontId="157" fillId="6" borderId="0" xfId="0" applyNumberFormat="1" applyFont="1" applyFill="1" applyBorder="1" applyAlignment="1" applyProtection="1">
      <alignment horizontal="center" vertical="center"/>
      <protection hidden="1"/>
    </xf>
    <xf numFmtId="0" fontId="155" fillId="0" borderId="0" xfId="40" applyFont="1" applyBorder="1" applyAlignment="1">
      <alignment horizontal="center" vertical="center" textRotation="90" readingOrder="2"/>
    </xf>
    <xf numFmtId="0" fontId="155" fillId="0" borderId="0" xfId="40" applyNumberFormat="1" applyFont="1" applyBorder="1" applyAlignment="1">
      <alignment horizontal="center" vertical="center" readingOrder="2"/>
    </xf>
    <xf numFmtId="0" fontId="155" fillId="0" borderId="0" xfId="40" applyNumberFormat="1" applyFont="1" applyBorder="1" applyAlignment="1">
      <alignment vertical="center" readingOrder="2"/>
    </xf>
    <xf numFmtId="0" fontId="155" fillId="0" borderId="0" xfId="40" applyFont="1" applyBorder="1" applyAlignment="1">
      <alignment horizontal="center" vertical="center" readingOrder="2"/>
    </xf>
    <xf numFmtId="49" fontId="158" fillId="0" borderId="0" xfId="5" applyNumberFormat="1" applyFont="1" applyFill="1" applyBorder="1" applyAlignment="1">
      <alignment horizontal="right" vertical="center" wrapText="1" readingOrder="2"/>
    </xf>
    <xf numFmtId="3" fontId="153" fillId="0" borderId="0" xfId="0" applyNumberFormat="1" applyFont="1" applyFill="1" applyBorder="1" applyProtection="1">
      <protection hidden="1"/>
    </xf>
    <xf numFmtId="3" fontId="153" fillId="0" borderId="0" xfId="0" applyNumberFormat="1" applyFont="1" applyFill="1" applyBorder="1" applyAlignment="1" applyProtection="1">
      <protection hidden="1"/>
    </xf>
    <xf numFmtId="0" fontId="155" fillId="0" borderId="0" xfId="40" applyFont="1" applyBorder="1" applyAlignment="1">
      <alignment horizontal="right" vertical="center" readingOrder="2"/>
    </xf>
    <xf numFmtId="3" fontId="156" fillId="0" borderId="0" xfId="40" applyNumberFormat="1" applyFont="1" applyBorder="1" applyAlignment="1">
      <alignment horizontal="center" vertical="center" readingOrder="2"/>
    </xf>
    <xf numFmtId="3" fontId="156" fillId="0" borderId="35" xfId="40" applyNumberFormat="1" applyFont="1" applyBorder="1" applyAlignment="1">
      <alignment horizontal="center" readingOrder="2"/>
    </xf>
    <xf numFmtId="3" fontId="156" fillId="0" borderId="0" xfId="40" applyNumberFormat="1" applyFont="1" applyBorder="1" applyAlignment="1">
      <alignment horizontal="center" readingOrder="2"/>
    </xf>
    <xf numFmtId="3" fontId="156" fillId="0" borderId="35" xfId="40" applyNumberFormat="1" applyFont="1" applyBorder="1" applyAlignment="1">
      <alignment horizontal="center" vertical="center" readingOrder="2"/>
    </xf>
    <xf numFmtId="0" fontId="156" fillId="0" borderId="0" xfId="40" applyFont="1" applyBorder="1" applyAlignment="1">
      <alignment horizontal="right" vertical="center" readingOrder="2"/>
    </xf>
    <xf numFmtId="3" fontId="156" fillId="0" borderId="0" xfId="40" applyNumberFormat="1" applyFont="1" applyBorder="1" applyAlignment="1">
      <alignment horizontal="center" vertical="top" readingOrder="2"/>
    </xf>
    <xf numFmtId="3" fontId="156" fillId="0" borderId="35" xfId="40" applyNumberFormat="1" applyFont="1" applyBorder="1" applyAlignment="1">
      <alignment horizontal="center" vertical="center" readingOrder="2"/>
    </xf>
    <xf numFmtId="0" fontId="155" fillId="0" borderId="0" xfId="40" applyFont="1" applyBorder="1" applyAlignment="1">
      <alignment horizontal="right" vertical="center" wrapText="1" readingOrder="2"/>
    </xf>
    <xf numFmtId="49" fontId="158" fillId="0" borderId="19" xfId="5" applyNumberFormat="1" applyFont="1" applyFill="1" applyBorder="1" applyAlignment="1">
      <alignment horizontal="right" vertical="center" wrapText="1" readingOrder="2"/>
    </xf>
    <xf numFmtId="3" fontId="153" fillId="3" borderId="0" xfId="0" applyNumberFormat="1" applyFont="1" applyFill="1" applyBorder="1" applyAlignment="1" applyProtection="1">
      <protection hidden="1"/>
    </xf>
    <xf numFmtId="3" fontId="153" fillId="3" borderId="19" xfId="0" applyNumberFormat="1" applyFont="1" applyFill="1" applyBorder="1" applyAlignment="1" applyProtection="1">
      <protection hidden="1"/>
    </xf>
    <xf numFmtId="49" fontId="158" fillId="0" borderId="0" xfId="5" applyNumberFormat="1" applyFont="1" applyBorder="1" applyAlignment="1">
      <alignment horizontal="right" vertical="center" wrapText="1" readingOrder="2"/>
    </xf>
    <xf numFmtId="3" fontId="153" fillId="6" borderId="19" xfId="0" applyNumberFormat="1" applyFont="1" applyFill="1" applyBorder="1" applyAlignment="1" applyProtection="1">
      <alignment horizontal="center"/>
      <protection hidden="1"/>
    </xf>
    <xf numFmtId="3" fontId="153" fillId="4" borderId="19" xfId="0" applyNumberFormat="1" applyFont="1" applyFill="1" applyBorder="1" applyAlignment="1" applyProtection="1">
      <protection hidden="1"/>
    </xf>
    <xf numFmtId="3" fontId="153" fillId="9" borderId="0" xfId="0" applyNumberFormat="1" applyFont="1" applyFill="1" applyBorder="1" applyAlignment="1" applyProtection="1">
      <alignment horizontal="center"/>
      <protection hidden="1"/>
    </xf>
    <xf numFmtId="3" fontId="153" fillId="6" borderId="0" xfId="0" applyNumberFormat="1" applyFont="1" applyFill="1" applyBorder="1" applyAlignment="1" applyProtection="1">
      <alignment horizontal="center"/>
      <protection hidden="1"/>
    </xf>
    <xf numFmtId="0" fontId="153" fillId="0" borderId="0" xfId="0" applyNumberFormat="1" applyFont="1" applyFill="1" applyBorder="1" applyAlignment="1" applyProtection="1">
      <alignment horizontal="center"/>
      <protection hidden="1"/>
    </xf>
    <xf numFmtId="3" fontId="159" fillId="0" borderId="35" xfId="40" applyNumberFormat="1" applyFont="1" applyBorder="1" applyAlignment="1">
      <alignment horizontal="center" readingOrder="2"/>
    </xf>
    <xf numFmtId="3" fontId="159" fillId="0" borderId="0" xfId="40" applyNumberFormat="1" applyFont="1" applyBorder="1" applyAlignment="1">
      <alignment horizontal="center" vertical="top" readingOrder="2"/>
    </xf>
    <xf numFmtId="3" fontId="153" fillId="9" borderId="0" xfId="0" applyNumberFormat="1" applyFont="1" applyFill="1" applyBorder="1" applyAlignment="1" applyProtection="1">
      <protection hidden="1"/>
    </xf>
    <xf numFmtId="0" fontId="156" fillId="0" borderId="35" xfId="40" applyFont="1" applyBorder="1" applyAlignment="1">
      <alignment horizontal="center" wrapText="1" readingOrder="2"/>
    </xf>
    <xf numFmtId="0" fontId="156" fillId="0" borderId="0" xfId="40" applyFont="1" applyBorder="1" applyAlignment="1">
      <alignment horizontal="center" vertical="top" wrapText="1" readingOrder="2"/>
    </xf>
    <xf numFmtId="0" fontId="156" fillId="0" borderId="0" xfId="40" applyFont="1" applyBorder="1" applyAlignment="1">
      <alignment horizontal="left" vertical="center" readingOrder="2"/>
    </xf>
    <xf numFmtId="4" fontId="156" fillId="0" borderId="0" xfId="40" applyNumberFormat="1" applyFont="1" applyBorder="1" applyAlignment="1">
      <alignment horizontal="center" vertical="center" readingOrder="2"/>
    </xf>
    <xf numFmtId="0" fontId="155" fillId="0" borderId="0" xfId="40" applyFont="1" applyBorder="1" applyAlignment="1">
      <alignment vertical="center" readingOrder="2"/>
    </xf>
    <xf numFmtId="49" fontId="158" fillId="0" borderId="0" xfId="5" applyNumberFormat="1" applyFont="1" applyFill="1" applyBorder="1" applyAlignment="1">
      <alignment horizontal="center" vertical="center" wrapText="1" readingOrder="2"/>
    </xf>
    <xf numFmtId="176" fontId="153" fillId="0" borderId="0" xfId="0" applyNumberFormat="1" applyFont="1" applyFill="1" applyBorder="1" applyAlignment="1" applyProtection="1">
      <protection hidden="1"/>
    </xf>
    <xf numFmtId="2" fontId="153" fillId="0" borderId="0" xfId="0" applyNumberFormat="1" applyFont="1" applyFill="1" applyBorder="1" applyAlignment="1" applyProtection="1">
      <protection hidden="1"/>
    </xf>
    <xf numFmtId="0" fontId="161" fillId="0" borderId="0" xfId="0" applyFont="1" applyFill="1" applyBorder="1" applyAlignment="1">
      <alignment horizontal="center" vertical="center"/>
    </xf>
    <xf numFmtId="175" fontId="153" fillId="6" borderId="0" xfId="0" applyNumberFormat="1" applyFont="1" applyFill="1" applyBorder="1" applyAlignment="1" applyProtection="1">
      <alignment horizontal="center"/>
      <protection hidden="1"/>
    </xf>
    <xf numFmtId="0" fontId="153" fillId="6" borderId="0" xfId="42" applyNumberFormat="1" applyFont="1" applyFill="1" applyBorder="1" applyAlignment="1" applyProtection="1">
      <alignment horizontal="center"/>
      <protection hidden="1"/>
    </xf>
    <xf numFmtId="175" fontId="153" fillId="6" borderId="0" xfId="0" applyNumberFormat="1" applyFont="1" applyFill="1" applyBorder="1" applyAlignment="1" applyProtection="1">
      <protection hidden="1"/>
    </xf>
    <xf numFmtId="164" fontId="153" fillId="0" borderId="0" xfId="0" applyNumberFormat="1" applyFont="1" applyFill="1" applyBorder="1" applyProtection="1">
      <protection hidden="1"/>
    </xf>
    <xf numFmtId="164" fontId="153" fillId="0" borderId="0" xfId="42" applyNumberFormat="1" applyFont="1" applyFill="1" applyBorder="1" applyAlignment="1" applyProtection="1">
      <protection hidden="1"/>
    </xf>
    <xf numFmtId="3" fontId="153" fillId="0" borderId="19" xfId="0" applyNumberFormat="1" applyFont="1" applyFill="1" applyBorder="1" applyProtection="1">
      <protection hidden="1"/>
    </xf>
    <xf numFmtId="49" fontId="158" fillId="0" borderId="19" xfId="5" applyNumberFormat="1" applyFont="1" applyBorder="1" applyAlignment="1">
      <alignment horizontal="right" vertical="center" wrapText="1" readingOrder="2"/>
    </xf>
    <xf numFmtId="3" fontId="63" fillId="12" borderId="19" xfId="3" applyNumberFormat="1" applyFont="1" applyFill="1" applyBorder="1" applyAlignment="1" applyProtection="1">
      <alignment horizontal="right" vertical="center"/>
      <protection locked="0"/>
    </xf>
    <xf numFmtId="3" fontId="35" fillId="9" borderId="32" xfId="23" applyNumberFormat="1" applyFont="1" applyFill="1" applyBorder="1" applyAlignment="1">
      <alignment horizontal="right" vertical="center"/>
    </xf>
    <xf numFmtId="3" fontId="35" fillId="9" borderId="32" xfId="17" applyNumberFormat="1" applyFont="1" applyFill="1" applyBorder="1" applyAlignment="1">
      <alignment vertical="top"/>
    </xf>
    <xf numFmtId="167" fontId="92" fillId="9" borderId="0" xfId="8" applyNumberFormat="1" applyFont="1" applyFill="1" applyAlignment="1">
      <alignment horizontal="right" vertical="center" readingOrder="2"/>
    </xf>
    <xf numFmtId="173" fontId="92" fillId="9" borderId="0" xfId="8" applyNumberFormat="1" applyFont="1" applyFill="1" applyAlignment="1">
      <alignment horizontal="right" vertical="center" readingOrder="2"/>
    </xf>
    <xf numFmtId="180" fontId="92" fillId="9" borderId="0" xfId="8" applyNumberFormat="1" applyFont="1" applyFill="1" applyAlignment="1">
      <alignment horizontal="right" vertical="center" readingOrder="2"/>
    </xf>
    <xf numFmtId="164" fontId="35" fillId="0" borderId="0" xfId="5" applyNumberFormat="1" applyFont="1" applyFill="1" applyBorder="1" applyAlignment="1">
      <alignment vertical="center"/>
    </xf>
    <xf numFmtId="0" fontId="49" fillId="0" borderId="0" xfId="5" applyFont="1" applyAlignment="1">
      <alignment horizontal="right" vertical="center" readingOrder="2"/>
    </xf>
    <xf numFmtId="0" fontId="138" fillId="0" borderId="0" xfId="5" applyFont="1" applyAlignment="1">
      <alignment horizontal="center" vertical="top" readingOrder="2"/>
    </xf>
    <xf numFmtId="164" fontId="31" fillId="9" borderId="11" xfId="6" applyNumberFormat="1" applyFont="1" applyFill="1" applyBorder="1" applyAlignment="1">
      <alignment vertical="center"/>
    </xf>
    <xf numFmtId="164" fontId="31" fillId="9" borderId="21" xfId="6" applyNumberFormat="1" applyFont="1" applyFill="1" applyBorder="1" applyAlignment="1">
      <alignment vertical="center"/>
    </xf>
    <xf numFmtId="0" fontId="64" fillId="0" borderId="0" xfId="33" applyFont="1" applyBorder="1" applyAlignment="1">
      <alignment vertical="center" readingOrder="2"/>
    </xf>
    <xf numFmtId="0" fontId="44" fillId="0" borderId="0" xfId="27" applyFont="1" applyBorder="1"/>
    <xf numFmtId="0" fontId="44" fillId="0" borderId="0" xfId="27" applyFont="1" applyBorder="1" applyAlignment="1"/>
    <xf numFmtId="0" fontId="64" fillId="0" borderId="0" xfId="33" applyFont="1" applyAlignment="1">
      <alignment vertical="center" readingOrder="2"/>
    </xf>
    <xf numFmtId="0" fontId="34" fillId="9" borderId="0" xfId="26" applyFont="1" applyFill="1" applyBorder="1" applyAlignment="1">
      <alignment vertical="center"/>
    </xf>
    <xf numFmtId="164" fontId="34" fillId="9" borderId="0" xfId="5" applyNumberFormat="1" applyFont="1" applyFill="1" applyBorder="1" applyAlignment="1">
      <alignment horizontal="right" vertical="center"/>
    </xf>
    <xf numFmtId="0" fontId="35" fillId="0" borderId="35" xfId="11" applyFont="1" applyBorder="1" applyAlignment="1">
      <alignment horizontal="center" vertical="center" readingOrder="2"/>
    </xf>
    <xf numFmtId="174" fontId="31" fillId="0" borderId="0" xfId="42" applyNumberFormat="1" applyFont="1" applyBorder="1" applyAlignment="1">
      <alignment horizontal="right"/>
    </xf>
    <xf numFmtId="174" fontId="31" fillId="0" borderId="0" xfId="42" applyNumberFormat="1" applyFont="1" applyBorder="1" applyAlignment="1">
      <alignment horizontal="center" vertical="center"/>
    </xf>
    <xf numFmtId="174" fontId="74" fillId="0" borderId="0" xfId="42" applyNumberFormat="1" applyFont="1" applyAlignment="1">
      <alignment horizontal="center" vertical="center"/>
    </xf>
    <xf numFmtId="0" fontId="64" fillId="0" borderId="41" xfId="33" applyFont="1" applyBorder="1" applyAlignment="1">
      <alignment horizontal="center" vertical="center" readingOrder="2"/>
    </xf>
    <xf numFmtId="0" fontId="29" fillId="9" borderId="0" xfId="31" applyFont="1" applyFill="1" applyAlignment="1">
      <alignment horizontal="left" vertical="center" readingOrder="2"/>
    </xf>
    <xf numFmtId="0" fontId="64" fillId="9" borderId="0" xfId="31" applyFont="1" applyFill="1" applyAlignment="1">
      <alignment vertical="center"/>
    </xf>
    <xf numFmtId="0" fontId="35" fillId="9" borderId="0" xfId="31" applyFont="1" applyFill="1" applyBorder="1" applyAlignment="1">
      <alignment horizontal="center" readingOrder="2"/>
    </xf>
    <xf numFmtId="0" fontId="31" fillId="0" borderId="0" xfId="11" applyFont="1" applyAlignment="1">
      <alignment horizontal="right" vertical="center" readingOrder="2"/>
    </xf>
    <xf numFmtId="164" fontId="92" fillId="9" borderId="32" xfId="19" applyNumberFormat="1" applyFont="1" applyFill="1" applyBorder="1" applyAlignment="1">
      <alignment vertical="center"/>
    </xf>
    <xf numFmtId="164" fontId="92" fillId="9" borderId="32" xfId="17" applyNumberFormat="1" applyFont="1" applyFill="1" applyBorder="1" applyAlignment="1">
      <alignment vertical="center"/>
    </xf>
    <xf numFmtId="0" fontId="48" fillId="9" borderId="0" xfId="31" applyFont="1" applyFill="1" applyAlignment="1">
      <alignment vertical="center" readingOrder="2"/>
    </xf>
    <xf numFmtId="164" fontId="34" fillId="9" borderId="33" xfId="27" applyNumberFormat="1" applyFont="1" applyFill="1" applyBorder="1" applyAlignment="1">
      <alignment vertical="center"/>
    </xf>
    <xf numFmtId="0" fontId="32" fillId="0" borderId="0" xfId="6" applyFont="1" applyAlignment="1">
      <alignment horizontal="center" readingOrder="2"/>
    </xf>
    <xf numFmtId="0" fontId="154" fillId="0" borderId="0" xfId="11" applyFont="1" applyAlignment="1">
      <alignment horizontal="center" readingOrder="2"/>
    </xf>
    <xf numFmtId="0" fontId="60" fillId="9" borderId="0" xfId="8" applyFont="1" applyFill="1" applyAlignment="1">
      <alignment vertical="top" wrapText="1" readingOrder="2"/>
    </xf>
    <xf numFmtId="1" fontId="35" fillId="9" borderId="0" xfId="23" applyNumberFormat="1" applyFont="1" applyFill="1" applyBorder="1" applyAlignment="1">
      <alignment horizontal="center" vertical="center" shrinkToFit="1"/>
    </xf>
    <xf numFmtId="0" fontId="32" fillId="0" borderId="0" xfId="28" applyFont="1" applyAlignment="1">
      <alignment horizontal="right" vertical="top" readingOrder="2"/>
    </xf>
    <xf numFmtId="0" fontId="34" fillId="0" borderId="0" xfId="28" applyFont="1" applyAlignment="1">
      <alignment horizontal="right" vertical="top" readingOrder="2"/>
    </xf>
    <xf numFmtId="0" fontId="35" fillId="0" borderId="0" xfId="28" applyFont="1" applyAlignment="1">
      <alignment horizontal="left" vertical="center" readingOrder="2"/>
    </xf>
    <xf numFmtId="0" fontId="34" fillId="0" borderId="0" xfId="28" applyFont="1" applyAlignment="1">
      <alignment horizontal="left" vertical="center" readingOrder="2"/>
    </xf>
    <xf numFmtId="0" fontId="67" fillId="0" borderId="0" xfId="0" applyFont="1"/>
    <xf numFmtId="0" fontId="42" fillId="0" borderId="0" xfId="0" applyFont="1"/>
    <xf numFmtId="0" fontId="162" fillId="0" borderId="0" xfId="0" applyFont="1"/>
    <xf numFmtId="0" fontId="48" fillId="0" borderId="0" xfId="12" applyFont="1" applyAlignment="1">
      <alignment vertical="center" readingOrder="2"/>
    </xf>
    <xf numFmtId="0" fontId="52" fillId="9" borderId="0" xfId="31" applyFont="1" applyFill="1" applyAlignment="1">
      <alignment vertical="center"/>
    </xf>
    <xf numFmtId="0" fontId="32" fillId="9" borderId="0" xfId="25" applyFont="1" applyFill="1" applyAlignment="1">
      <alignment horizontal="center" vertical="top"/>
    </xf>
    <xf numFmtId="0" fontId="34" fillId="9" borderId="0" xfId="26" applyFont="1" applyFill="1" applyBorder="1" applyAlignment="1">
      <alignment horizontal="center" vertical="center"/>
    </xf>
    <xf numFmtId="0" fontId="34" fillId="9" borderId="0" xfId="26" applyFont="1" applyFill="1" applyAlignment="1">
      <alignment horizontal="center"/>
    </xf>
    <xf numFmtId="0" fontId="34" fillId="9" borderId="0" xfId="26" applyFont="1" applyFill="1" applyBorder="1" applyAlignment="1">
      <alignment horizontal="center"/>
    </xf>
    <xf numFmtId="0" fontId="34" fillId="9" borderId="0" xfId="26" applyFont="1" applyFill="1" applyBorder="1" applyAlignment="1">
      <alignment horizontal="center" wrapText="1"/>
    </xf>
    <xf numFmtId="0" fontId="34" fillId="9" borderId="41" xfId="26" applyFont="1" applyFill="1" applyBorder="1" applyAlignment="1">
      <alignment horizontal="center" vertical="center"/>
    </xf>
    <xf numFmtId="0" fontId="34" fillId="9" borderId="35" xfId="26" applyFont="1" applyFill="1" applyBorder="1" applyAlignment="1">
      <alignment horizontal="center" vertical="center"/>
    </xf>
    <xf numFmtId="0" fontId="35" fillId="9" borderId="0" xfId="15" applyFont="1" applyFill="1" applyAlignment="1">
      <alignment vertical="top" wrapText="1" readingOrder="2"/>
    </xf>
    <xf numFmtId="0" fontId="29" fillId="9" borderId="0" xfId="31" applyFont="1" applyFill="1" applyAlignment="1">
      <alignment vertical="center" readingOrder="2"/>
    </xf>
    <xf numFmtId="168" fontId="49" fillId="13" borderId="19" xfId="10" applyNumberFormat="1" applyFont="1" applyFill="1" applyBorder="1" applyAlignment="1">
      <alignment horizontal="right" vertical="center"/>
    </xf>
    <xf numFmtId="0" fontId="53" fillId="9" borderId="35" xfId="21" applyNumberFormat="1" applyFont="1" applyFill="1" applyBorder="1" applyAlignment="1">
      <alignment vertical="center" readingOrder="2"/>
    </xf>
    <xf numFmtId="0" fontId="35" fillId="9" borderId="35" xfId="20" applyNumberFormat="1" applyFont="1" applyFill="1" applyBorder="1" applyAlignment="1">
      <alignment vertical="center" readingOrder="2"/>
    </xf>
    <xf numFmtId="0" fontId="53" fillId="9" borderId="35" xfId="20" applyNumberFormat="1" applyFont="1" applyFill="1" applyBorder="1" applyAlignment="1">
      <alignment vertical="center" readingOrder="2"/>
    </xf>
    <xf numFmtId="0" fontId="109" fillId="0" borderId="0" xfId="6" applyFont="1" applyAlignment="1">
      <alignment horizontal="center" readingOrder="2"/>
    </xf>
    <xf numFmtId="0" fontId="127" fillId="0" borderId="0" xfId="0" applyFont="1" applyAlignment="1">
      <alignment horizontal="center"/>
    </xf>
    <xf numFmtId="0" fontId="166" fillId="0" borderId="0" xfId="5" applyFont="1" applyAlignment="1">
      <alignment horizontal="center" vertical="top" readingOrder="2"/>
    </xf>
    <xf numFmtId="0" fontId="152" fillId="9" borderId="0" xfId="0" applyFont="1" applyFill="1"/>
    <xf numFmtId="0" fontId="51" fillId="9" borderId="0" xfId="0" applyFont="1" applyFill="1"/>
    <xf numFmtId="0" fontId="128" fillId="0" borderId="0" xfId="5" applyFont="1" applyAlignment="1">
      <alignment vertical="center"/>
    </xf>
    <xf numFmtId="0" fontId="106" fillId="0" borderId="0" xfId="5" applyFont="1" applyAlignment="1">
      <alignment horizontal="right" vertical="center" readingOrder="2"/>
    </xf>
    <xf numFmtId="0" fontId="152" fillId="0" borderId="0" xfId="5" applyFont="1" applyAlignment="1">
      <alignment horizontal="center" vertical="center"/>
    </xf>
    <xf numFmtId="0" fontId="167" fillId="0" borderId="0" xfId="5" applyFont="1" applyAlignment="1">
      <alignment horizontal="right" vertical="center" readingOrder="2"/>
    </xf>
    <xf numFmtId="0" fontId="168" fillId="0" borderId="0" xfId="5" applyFont="1" applyFill="1" applyAlignment="1">
      <alignment horizontal="center" vertical="center" readingOrder="2"/>
    </xf>
    <xf numFmtId="0" fontId="104" fillId="0" borderId="0" xfId="5" applyFont="1" applyAlignment="1">
      <alignment vertical="center" readingOrder="2"/>
    </xf>
    <xf numFmtId="0" fontId="104" fillId="0" borderId="0" xfId="5" applyFont="1" applyAlignment="1">
      <alignment vertical="center"/>
    </xf>
    <xf numFmtId="0" fontId="104" fillId="0" borderId="0" xfId="5" applyFont="1" applyAlignment="1">
      <alignment horizontal="right" vertical="center" readingOrder="2"/>
    </xf>
    <xf numFmtId="0" fontId="104" fillId="0" borderId="0" xfId="5" applyFont="1" applyFill="1" applyAlignment="1">
      <alignment vertical="center"/>
    </xf>
    <xf numFmtId="0" fontId="169" fillId="0" borderId="0" xfId="0" applyFont="1"/>
    <xf numFmtId="0" fontId="109" fillId="0" borderId="0" xfId="5" applyFont="1" applyAlignment="1">
      <alignment vertical="center"/>
    </xf>
    <xf numFmtId="0" fontId="170" fillId="9" borderId="0" xfId="19" applyFont="1" applyFill="1" applyAlignment="1">
      <alignment vertical="top" readingOrder="2"/>
    </xf>
    <xf numFmtId="0" fontId="128" fillId="0" borderId="0" xfId="0" applyFont="1" applyAlignment="1">
      <alignment horizontal="right"/>
    </xf>
    <xf numFmtId="0" fontId="165" fillId="0" borderId="0" xfId="0" applyFont="1"/>
    <xf numFmtId="168" fontId="46" fillId="9" borderId="0" xfId="0" applyNumberFormat="1" applyFont="1" applyFill="1" applyAlignment="1">
      <alignment horizontal="right" vertical="center"/>
    </xf>
    <xf numFmtId="168" fontId="63" fillId="14" borderId="19" xfId="10" applyNumberFormat="1" applyFont="1" applyFill="1" applyBorder="1" applyAlignment="1">
      <alignment horizontal="right" vertical="center"/>
    </xf>
    <xf numFmtId="164" fontId="92" fillId="0" borderId="0" xfId="19" applyNumberFormat="1" applyFont="1" applyFill="1" applyBorder="1" applyAlignment="1">
      <alignment vertical="center"/>
    </xf>
    <xf numFmtId="164" fontId="92" fillId="0" borderId="0" xfId="17" applyNumberFormat="1" applyFont="1" applyFill="1" applyBorder="1" applyAlignment="1">
      <alignment vertical="center"/>
    </xf>
    <xf numFmtId="0" fontId="51" fillId="0" borderId="0" xfId="0" applyFont="1" applyAlignment="1">
      <alignment vertical="center"/>
    </xf>
    <xf numFmtId="164" fontId="31" fillId="0" borderId="36" xfId="23" applyNumberFormat="1" applyFont="1" applyFill="1" applyBorder="1" applyAlignment="1">
      <alignment horizontal="right" vertical="center"/>
    </xf>
    <xf numFmtId="164" fontId="34" fillId="0" borderId="34" xfId="23" applyNumberFormat="1" applyFont="1" applyFill="1" applyBorder="1" applyAlignment="1">
      <alignment horizontal="right" vertical="center"/>
    </xf>
    <xf numFmtId="0" fontId="35" fillId="0" borderId="0" xfId="27" applyFont="1" applyFill="1" applyAlignment="1">
      <alignment horizontal="left" vertical="top" readingOrder="2"/>
    </xf>
    <xf numFmtId="0" fontId="41" fillId="9" borderId="0" xfId="8" applyFont="1" applyFill="1" applyAlignment="1">
      <alignment horizontal="left" vertical="top" readingOrder="2"/>
    </xf>
    <xf numFmtId="0" fontId="127" fillId="0" borderId="0" xfId="0" applyFont="1" applyAlignment="1">
      <alignment horizontal="center"/>
    </xf>
    <xf numFmtId="0" fontId="59" fillId="0" borderId="0" xfId="0" applyFont="1"/>
    <xf numFmtId="0" fontId="84" fillId="0" borderId="0" xfId="0" applyFont="1" applyFill="1"/>
    <xf numFmtId="0" fontId="146" fillId="9" borderId="0" xfId="0" applyFont="1" applyFill="1"/>
    <xf numFmtId="164" fontId="31" fillId="9" borderId="34" xfId="27" applyNumberFormat="1" applyFont="1" applyFill="1" applyBorder="1" applyAlignment="1">
      <alignment vertical="center"/>
    </xf>
    <xf numFmtId="0" fontId="156" fillId="0" borderId="0" xfId="40" applyFont="1" applyBorder="1" applyAlignment="1">
      <alignment horizontal="center" vertical="center" readingOrder="2"/>
    </xf>
    <xf numFmtId="3" fontId="156" fillId="0" borderId="0" xfId="40" applyNumberFormat="1" applyFont="1" applyBorder="1" applyAlignment="1">
      <alignment horizontal="center" vertical="center" readingOrder="2"/>
    </xf>
    <xf numFmtId="4" fontId="156" fillId="0" borderId="0" xfId="40" applyNumberFormat="1" applyFont="1" applyBorder="1" applyAlignment="1">
      <alignment horizontal="center" vertical="center" readingOrder="2"/>
    </xf>
    <xf numFmtId="3" fontId="156" fillId="0" borderId="0" xfId="40" applyNumberFormat="1" applyFont="1" applyBorder="1" applyAlignment="1">
      <alignment horizontal="center" vertical="top" readingOrder="2"/>
    </xf>
    <xf numFmtId="3" fontId="156" fillId="0" borderId="35" xfId="40" applyNumberFormat="1" applyFont="1" applyBorder="1" applyAlignment="1">
      <alignment horizontal="center" readingOrder="2"/>
    </xf>
    <xf numFmtId="4" fontId="156" fillId="0" borderId="0" xfId="40" applyNumberFormat="1" applyFont="1" applyBorder="1" applyAlignment="1">
      <alignment horizontal="center" vertical="center" readingOrder="2"/>
    </xf>
    <xf numFmtId="4" fontId="153" fillId="0" borderId="0" xfId="0" applyNumberFormat="1" applyFont="1" applyFill="1" applyBorder="1" applyProtection="1">
      <protection hidden="1"/>
    </xf>
    <xf numFmtId="4" fontId="158" fillId="0" borderId="0" xfId="5" applyNumberFormat="1" applyFont="1" applyFill="1" applyBorder="1" applyAlignment="1">
      <alignment horizontal="right" vertical="center" wrapText="1" readingOrder="2"/>
    </xf>
    <xf numFmtId="4" fontId="158" fillId="0" borderId="19" xfId="5" applyNumberFormat="1" applyFont="1" applyFill="1" applyBorder="1" applyAlignment="1">
      <alignment horizontal="right" vertical="center" wrapText="1" readingOrder="2"/>
    </xf>
    <xf numFmtId="4" fontId="153" fillId="6" borderId="0" xfId="0" applyNumberFormat="1" applyFont="1" applyFill="1" applyBorder="1" applyAlignment="1" applyProtection="1">
      <alignment horizontal="center" vertical="center"/>
      <protection hidden="1"/>
    </xf>
    <xf numFmtId="4" fontId="158" fillId="0" borderId="0" xfId="5" applyNumberFormat="1" applyFont="1" applyBorder="1" applyAlignment="1">
      <alignment horizontal="right" vertical="center" wrapText="1" readingOrder="2"/>
    </xf>
    <xf numFmtId="4" fontId="158" fillId="0" borderId="19" xfId="5" applyNumberFormat="1" applyFont="1" applyBorder="1" applyAlignment="1">
      <alignment horizontal="right" vertical="center" wrapText="1" readingOrder="2"/>
    </xf>
    <xf numFmtId="4" fontId="153" fillId="6" borderId="19" xfId="0" applyNumberFormat="1" applyFont="1" applyFill="1" applyBorder="1" applyAlignment="1" applyProtection="1">
      <alignment horizontal="center"/>
      <protection hidden="1"/>
    </xf>
    <xf numFmtId="4" fontId="153" fillId="9" borderId="0" xfId="0" applyNumberFormat="1" applyFont="1" applyFill="1" applyBorder="1" applyAlignment="1" applyProtection="1">
      <alignment horizontal="center"/>
      <protection hidden="1"/>
    </xf>
    <xf numFmtId="4" fontId="153" fillId="6" borderId="0" xfId="0" applyNumberFormat="1" applyFont="1" applyFill="1" applyBorder="1" applyAlignment="1" applyProtection="1">
      <alignment horizontal="center"/>
      <protection hidden="1"/>
    </xf>
    <xf numFmtId="4" fontId="158" fillId="0" borderId="0" xfId="5" applyNumberFormat="1" applyFont="1" applyFill="1" applyBorder="1" applyAlignment="1">
      <alignment horizontal="center" vertical="center" wrapText="1" readingOrder="2"/>
    </xf>
    <xf numFmtId="4" fontId="161" fillId="0" borderId="0" xfId="0" applyNumberFormat="1" applyFont="1" applyFill="1" applyBorder="1" applyAlignment="1">
      <alignment horizontal="center" vertical="center"/>
    </xf>
    <xf numFmtId="4" fontId="153" fillId="6" borderId="0" xfId="0" applyNumberFormat="1" applyFont="1" applyFill="1" applyBorder="1" applyAlignment="1" applyProtection="1">
      <protection hidden="1"/>
    </xf>
    <xf numFmtId="0" fontId="59" fillId="0" borderId="0" xfId="0" applyFont="1"/>
    <xf numFmtId="0" fontId="87" fillId="9" borderId="0" xfId="15" applyFont="1" applyFill="1" applyAlignment="1">
      <alignment horizontal="right" vertical="top" wrapText="1" readingOrder="2"/>
    </xf>
    <xf numFmtId="0" fontId="112" fillId="0" borderId="0" xfId="37" applyFont="1"/>
    <xf numFmtId="3" fontId="113" fillId="9" borderId="0" xfId="23" applyNumberFormat="1" applyFont="1" applyFill="1" applyBorder="1" applyAlignment="1">
      <alignment horizontal="right" vertical="center"/>
    </xf>
    <xf numFmtId="2" fontId="113" fillId="9" borderId="0" xfId="23" applyNumberFormat="1" applyFont="1" applyFill="1" applyBorder="1" applyAlignment="1">
      <alignment horizontal="center" vertical="center" shrinkToFit="1"/>
    </xf>
    <xf numFmtId="176" fontId="113" fillId="9" borderId="0" xfId="23" applyNumberFormat="1" applyFont="1" applyFill="1" applyBorder="1" applyAlignment="1">
      <alignment horizontal="center" vertical="center" shrinkToFit="1"/>
    </xf>
    <xf numFmtId="0" fontId="52" fillId="0" borderId="0" xfId="8" applyFont="1"/>
    <xf numFmtId="0" fontId="52" fillId="0" borderId="0" xfId="11" applyFont="1" applyAlignment="1">
      <alignment vertical="center"/>
    </xf>
    <xf numFmtId="0" fontId="41" fillId="9" borderId="0" xfId="8" applyFont="1" applyFill="1" applyAlignment="1">
      <alignment horizontal="right" vertical="top" wrapText="1" readingOrder="2"/>
    </xf>
    <xf numFmtId="172" fontId="48" fillId="9" borderId="0" xfId="26" applyNumberFormat="1" applyFont="1" applyFill="1" applyAlignment="1">
      <alignment vertical="center"/>
    </xf>
    <xf numFmtId="0" fontId="52" fillId="0" borderId="0" xfId="27" applyFont="1" applyFill="1"/>
    <xf numFmtId="0" fontId="37" fillId="9" borderId="0" xfId="8" applyFont="1" applyFill="1" applyAlignment="1">
      <alignment vertical="top" wrapText="1" readingOrder="2"/>
    </xf>
    <xf numFmtId="167" fontId="34" fillId="0" borderId="0" xfId="8" applyNumberFormat="1" applyFont="1" applyFill="1" applyBorder="1" applyAlignment="1">
      <alignment horizontal="center" vertical="center" readingOrder="2"/>
    </xf>
    <xf numFmtId="164" fontId="54" fillId="0" borderId="0" xfId="15" applyNumberFormat="1" applyFont="1" applyFill="1" applyBorder="1"/>
    <xf numFmtId="169" fontId="181" fillId="0" borderId="0" xfId="15" applyNumberFormat="1" applyFont="1" applyFill="1" applyBorder="1"/>
    <xf numFmtId="164" fontId="181" fillId="0" borderId="0" xfId="15" applyNumberFormat="1" applyFont="1" applyFill="1" applyBorder="1"/>
    <xf numFmtId="3" fontId="182" fillId="0" borderId="0" xfId="15" applyNumberFormat="1" applyFont="1" applyFill="1" applyBorder="1"/>
    <xf numFmtId="3" fontId="127" fillId="0" borderId="0" xfId="15" applyNumberFormat="1" applyFont="1" applyFill="1" applyBorder="1"/>
    <xf numFmtId="167" fontId="34" fillId="0" borderId="35" xfId="8" applyNumberFormat="1" applyFont="1" applyFill="1" applyBorder="1" applyAlignment="1">
      <alignment horizontal="center" vertical="center" readingOrder="2"/>
    </xf>
    <xf numFmtId="0" fontId="41" fillId="9" borderId="0" xfId="8" applyFont="1" applyFill="1" applyAlignment="1">
      <alignment horizontal="right" vertical="top" wrapText="1" readingOrder="2"/>
    </xf>
    <xf numFmtId="164" fontId="31" fillId="9" borderId="2" xfId="6" applyNumberFormat="1" applyFont="1" applyFill="1" applyBorder="1" applyAlignment="1">
      <alignment vertical="center"/>
    </xf>
    <xf numFmtId="164" fontId="31" fillId="0" borderId="58" xfId="6" applyNumberFormat="1" applyFont="1" applyBorder="1" applyAlignment="1">
      <alignment vertical="center"/>
    </xf>
    <xf numFmtId="0" fontId="34" fillId="0" borderId="0" xfId="11" applyFont="1" applyAlignment="1">
      <alignment vertical="center" readingOrder="2"/>
    </xf>
    <xf numFmtId="0" fontId="183" fillId="0" borderId="0" xfId="11" applyFont="1" applyAlignment="1">
      <alignment horizontal="justify" vertical="center" readingOrder="2"/>
    </xf>
    <xf numFmtId="0" fontId="107" fillId="0" borderId="0" xfId="0" applyFont="1" applyAlignment="1">
      <alignment horizontal="center"/>
    </xf>
    <xf numFmtId="0" fontId="184" fillId="0" borderId="0" xfId="0" applyFont="1" applyAlignment="1">
      <alignment horizontal="center"/>
    </xf>
    <xf numFmtId="0" fontId="84" fillId="0" borderId="0" xfId="0" applyFont="1"/>
    <xf numFmtId="0" fontId="147" fillId="0" borderId="0" xfId="13" applyFont="1" applyFill="1" applyAlignment="1">
      <alignment horizontal="center"/>
    </xf>
    <xf numFmtId="0" fontId="107" fillId="0" borderId="0" xfId="13" applyFont="1" applyFill="1" applyAlignment="1">
      <alignment horizontal="center"/>
    </xf>
    <xf numFmtId="0" fontId="34" fillId="9" borderId="0" xfId="24" applyFont="1" applyFill="1" applyAlignment="1"/>
    <xf numFmtId="0" fontId="60" fillId="0" borderId="0" xfId="13" applyFont="1" applyAlignment="1">
      <alignment horizontal="right" readingOrder="2"/>
    </xf>
    <xf numFmtId="49" fontId="34" fillId="0" borderId="0" xfId="13" applyNumberFormat="1" applyFont="1" applyAlignment="1">
      <alignment horizontal="center" vertical="center"/>
    </xf>
    <xf numFmtId="0" fontId="147" fillId="0" borderId="0" xfId="13" applyFont="1" applyAlignment="1">
      <alignment horizontal="center"/>
    </xf>
    <xf numFmtId="0" fontId="107" fillId="0" borderId="0" xfId="13" applyFont="1" applyAlignment="1">
      <alignment horizontal="center"/>
    </xf>
    <xf numFmtId="0" fontId="34" fillId="9" borderId="0" xfId="24" applyFont="1" applyFill="1" applyAlignment="1">
      <alignment horizontal="right"/>
    </xf>
    <xf numFmtId="0" fontId="147" fillId="0" borderId="0" xfId="14" applyFont="1" applyFill="1"/>
    <xf numFmtId="0" fontId="60" fillId="0" borderId="0" xfId="14" applyFont="1" applyAlignment="1">
      <alignment horizontal="right"/>
    </xf>
    <xf numFmtId="0" fontId="185" fillId="0" borderId="0" xfId="14" applyFont="1" applyFill="1" applyBorder="1"/>
    <xf numFmtId="49" fontId="185" fillId="0" borderId="0" xfId="14" applyNumberFormat="1" applyFont="1" applyFill="1" applyBorder="1"/>
    <xf numFmtId="3" fontId="185" fillId="0" borderId="0" xfId="14" applyNumberFormat="1" applyFont="1" applyFill="1" applyBorder="1" applyAlignment="1">
      <alignment horizontal="right" readingOrder="2"/>
    </xf>
    <xf numFmtId="0" fontId="60" fillId="0" borderId="0" xfId="14" applyFont="1" applyFill="1"/>
    <xf numFmtId="0" fontId="34" fillId="0" borderId="0" xfId="14" applyFont="1" applyAlignment="1">
      <alignment horizontal="right" readingOrder="2"/>
    </xf>
    <xf numFmtId="0" fontId="60" fillId="0" borderId="0" xfId="14" applyFont="1" applyFill="1" applyBorder="1"/>
    <xf numFmtId="0" fontId="34" fillId="0" borderId="0" xfId="13" applyNumberFormat="1" applyFont="1" applyBorder="1" applyAlignment="1">
      <alignment horizontal="center" vertical="center" readingOrder="2"/>
    </xf>
    <xf numFmtId="3" fontId="34" fillId="9" borderId="0" xfId="0" applyNumberFormat="1" applyFont="1" applyFill="1" applyBorder="1" applyAlignment="1">
      <alignment horizontal="center" vertical="center"/>
    </xf>
    <xf numFmtId="0" fontId="34" fillId="0" borderId="0" xfId="14" applyFont="1" applyBorder="1" applyAlignment="1">
      <alignment horizontal="right" readingOrder="2"/>
    </xf>
    <xf numFmtId="0" fontId="34" fillId="0" borderId="0" xfId="14" applyNumberFormat="1" applyFont="1" applyBorder="1" applyAlignment="1">
      <alignment horizontal="right" readingOrder="2"/>
    </xf>
    <xf numFmtId="3" fontId="60" fillId="0" borderId="0" xfId="14" applyNumberFormat="1" applyFont="1" applyFill="1" applyBorder="1" applyAlignment="1">
      <alignment horizontal="right" readingOrder="2"/>
    </xf>
    <xf numFmtId="49" fontId="60" fillId="0" borderId="0" xfId="14" applyNumberFormat="1" applyFont="1" applyFill="1" applyBorder="1"/>
    <xf numFmtId="0" fontId="60" fillId="0" borderId="0" xfId="14" applyFont="1" applyAlignment="1">
      <alignment horizontal="right" vertical="center"/>
    </xf>
    <xf numFmtId="0" fontId="60" fillId="0" borderId="0" xfId="14" applyFont="1" applyAlignment="1">
      <alignment horizontal="right" readingOrder="2"/>
    </xf>
    <xf numFmtId="0" fontId="34" fillId="0" borderId="0" xfId="14" applyFont="1" applyBorder="1" applyAlignment="1">
      <alignment horizontal="right"/>
    </xf>
    <xf numFmtId="3" fontId="147" fillId="0" borderId="0" xfId="14" applyNumberFormat="1" applyFont="1" applyFill="1" applyBorder="1" applyAlignment="1">
      <alignment horizontal="right" readingOrder="2"/>
    </xf>
    <xf numFmtId="0" fontId="147" fillId="0" borderId="0" xfId="0" applyFont="1" applyFill="1"/>
    <xf numFmtId="0" fontId="56" fillId="9" borderId="0" xfId="5" applyFont="1" applyFill="1" applyAlignment="1">
      <alignment vertical="top" readingOrder="2"/>
    </xf>
    <xf numFmtId="3" fontId="47" fillId="9" borderId="48" xfId="34" applyNumberFormat="1" applyFont="1" applyFill="1" applyBorder="1" applyAlignment="1">
      <alignment horizontal="center" vertical="top" wrapText="1"/>
    </xf>
    <xf numFmtId="3" fontId="35" fillId="9" borderId="17" xfId="34" applyNumberFormat="1" applyFont="1" applyFill="1" applyBorder="1" applyAlignment="1">
      <alignment vertical="top"/>
    </xf>
    <xf numFmtId="3" fontId="82" fillId="9" borderId="0" xfId="47" applyNumberFormat="1" applyFont="1" applyFill="1" applyBorder="1" applyAlignment="1">
      <alignment vertical="top"/>
    </xf>
    <xf numFmtId="49" fontId="82" fillId="9" borderId="44" xfId="47" applyNumberFormat="1" applyFont="1" applyFill="1" applyBorder="1" applyAlignment="1">
      <alignment vertical="top"/>
    </xf>
    <xf numFmtId="3" fontId="35" fillId="9" borderId="48" xfId="34" applyNumberFormat="1" applyFont="1" applyFill="1" applyBorder="1" applyAlignment="1">
      <alignment horizontal="right" vertical="center"/>
    </xf>
    <xf numFmtId="0" fontId="186" fillId="9" borderId="0" xfId="31" applyFont="1" applyFill="1" applyAlignment="1">
      <alignment horizontal="right" vertical="center" readingOrder="2"/>
    </xf>
    <xf numFmtId="0" fontId="64" fillId="9" borderId="0" xfId="31" applyFont="1" applyFill="1" applyAlignment="1">
      <alignment horizontal="right" vertical="center" readingOrder="2"/>
    </xf>
    <xf numFmtId="0" fontId="64" fillId="9" borderId="0" xfId="31" applyFont="1" applyFill="1" applyAlignment="1">
      <alignment horizontal="right" vertical="center"/>
    </xf>
    <xf numFmtId="164" fontId="31" fillId="9" borderId="0" xfId="27" applyNumberFormat="1" applyFont="1" applyFill="1" applyBorder="1" applyAlignment="1">
      <alignment vertical="center"/>
    </xf>
    <xf numFmtId="0" fontId="43" fillId="9" borderId="0" xfId="0" applyFont="1" applyFill="1"/>
    <xf numFmtId="0" fontId="92" fillId="9" borderId="35" xfId="19" applyNumberFormat="1" applyFont="1" applyFill="1" applyBorder="1" applyAlignment="1">
      <alignment horizontal="center" vertical="center" readingOrder="2"/>
    </xf>
    <xf numFmtId="0" fontId="92" fillId="9" borderId="35" xfId="19" applyNumberFormat="1" applyFont="1" applyFill="1" applyBorder="1" applyAlignment="1">
      <alignment horizontal="center" vertical="center" wrapText="1" readingOrder="2"/>
    </xf>
    <xf numFmtId="0" fontId="92" fillId="9" borderId="0" xfId="19" applyNumberFormat="1" applyFont="1" applyFill="1" applyBorder="1" applyAlignment="1">
      <alignment horizontal="center" vertical="center" readingOrder="2"/>
    </xf>
    <xf numFmtId="0" fontId="92" fillId="9" borderId="0" xfId="19" applyNumberFormat="1" applyFont="1" applyFill="1" applyBorder="1" applyAlignment="1">
      <alignment horizontal="center" vertical="center" wrapText="1" readingOrder="2"/>
    </xf>
    <xf numFmtId="0" fontId="116" fillId="9" borderId="0" xfId="19" applyFont="1" applyFill="1" applyAlignment="1">
      <alignment horizontal="right" vertical="top" readingOrder="2"/>
    </xf>
    <xf numFmtId="164" fontId="35" fillId="9" borderId="48" xfId="34" applyNumberFormat="1" applyFont="1" applyFill="1" applyBorder="1" applyAlignment="1">
      <alignment horizontal="center" vertical="center"/>
    </xf>
    <xf numFmtId="0" fontId="187" fillId="9" borderId="0" xfId="19" applyFont="1" applyFill="1" applyAlignment="1">
      <alignment horizontal="right" vertical="top" readingOrder="2"/>
    </xf>
    <xf numFmtId="0" fontId="187" fillId="9" borderId="0" xfId="19" applyFont="1" applyFill="1" applyAlignment="1">
      <alignment vertical="center" readingOrder="2"/>
    </xf>
    <xf numFmtId="0" fontId="52" fillId="0" borderId="0" xfId="11" applyFont="1"/>
    <xf numFmtId="0" fontId="46" fillId="9" borderId="0" xfId="31" applyFont="1" applyFill="1" applyAlignment="1">
      <alignment vertical="center"/>
    </xf>
    <xf numFmtId="0" fontId="46" fillId="0" borderId="0" xfId="28" applyFont="1" applyAlignment="1">
      <alignment vertical="center"/>
    </xf>
    <xf numFmtId="0" fontId="47" fillId="0" borderId="0" xfId="11" applyFont="1" applyAlignment="1">
      <alignment horizontal="justify" vertical="center" readingOrder="2"/>
    </xf>
    <xf numFmtId="0" fontId="47" fillId="0" borderId="0" xfId="5" applyFont="1" applyFill="1" applyAlignment="1">
      <alignment vertical="center"/>
    </xf>
    <xf numFmtId="0" fontId="60" fillId="0" borderId="0" xfId="28" applyFont="1" applyAlignment="1">
      <alignment vertical="center"/>
    </xf>
    <xf numFmtId="0" fontId="60" fillId="0" borderId="0" xfId="0" applyFont="1"/>
    <xf numFmtId="0" fontId="60" fillId="0" borderId="0" xfId="6" applyFont="1" applyAlignment="1">
      <alignment horizontal="center" readingOrder="2"/>
    </xf>
    <xf numFmtId="0" fontId="48" fillId="9" borderId="0" xfId="31" applyFont="1" applyFill="1" applyAlignment="1">
      <alignment horizontal="right" vertical="center" readingOrder="2"/>
    </xf>
    <xf numFmtId="164" fontId="48" fillId="0" borderId="0" xfId="27" applyNumberFormat="1" applyFont="1" applyFill="1" applyBorder="1" applyAlignment="1">
      <alignment vertical="center"/>
    </xf>
    <xf numFmtId="0" fontId="48" fillId="9" borderId="0" xfId="19" applyFont="1" applyFill="1" applyAlignment="1">
      <alignment vertical="center" readingOrder="2"/>
    </xf>
    <xf numFmtId="164" fontId="48" fillId="0" borderId="0" xfId="6" applyNumberFormat="1" applyFont="1" applyBorder="1" applyAlignment="1">
      <alignment vertical="center"/>
    </xf>
    <xf numFmtId="0" fontId="48" fillId="0" borderId="0" xfId="5" applyFont="1" applyFill="1" applyAlignment="1">
      <alignment vertical="center" readingOrder="2"/>
    </xf>
    <xf numFmtId="0" fontId="59" fillId="0" borderId="0" xfId="0" applyFont="1"/>
    <xf numFmtId="0" fontId="68" fillId="0" borderId="0" xfId="0" applyFont="1" applyAlignment="1">
      <alignment horizontal="center" vertical="center"/>
    </xf>
    <xf numFmtId="49" fontId="49" fillId="9" borderId="0" xfId="16" applyNumberFormat="1" applyFont="1" applyFill="1"/>
    <xf numFmtId="0" fontId="44" fillId="9" borderId="0" xfId="16" applyFont="1" applyFill="1"/>
    <xf numFmtId="49" fontId="60" fillId="9" borderId="0" xfId="16" applyNumberFormat="1" applyFont="1" applyFill="1" applyBorder="1"/>
    <xf numFmtId="0" fontId="64" fillId="9" borderId="0" xfId="16" applyFont="1" applyFill="1" applyBorder="1"/>
    <xf numFmtId="3" fontId="162" fillId="9" borderId="0" xfId="0" applyNumberFormat="1" applyFont="1" applyFill="1" applyAlignment="1">
      <alignment horizontal="center" vertical="center"/>
    </xf>
    <xf numFmtId="3" fontId="113" fillId="9" borderId="0" xfId="0" applyNumberFormat="1" applyFont="1" applyFill="1" applyAlignment="1">
      <alignment horizontal="center" vertical="center"/>
    </xf>
    <xf numFmtId="43" fontId="59" fillId="0" borderId="0" xfId="0" applyNumberFormat="1" applyFont="1"/>
    <xf numFmtId="0" fontId="32" fillId="0" borderId="0" xfId="14" applyFont="1" applyAlignment="1">
      <alignment horizontal="center" readingOrder="2"/>
    </xf>
    <xf numFmtId="0" fontId="59" fillId="0" borderId="0" xfId="0" applyFont="1"/>
    <xf numFmtId="0" fontId="31" fillId="9" borderId="0" xfId="31" applyFont="1" applyFill="1" applyAlignment="1">
      <alignment horizontal="right" vertical="top" wrapText="1" readingOrder="2"/>
    </xf>
    <xf numFmtId="0" fontId="132" fillId="0" borderId="0" xfId="0" applyFont="1" applyAlignment="1">
      <alignment horizontal="center" vertical="center" shrinkToFit="1"/>
    </xf>
    <xf numFmtId="0" fontId="90" fillId="0" borderId="0" xfId="32" applyFont="1" applyBorder="1" applyAlignment="1">
      <alignment horizontal="right" vertical="top" shrinkToFit="1" readingOrder="2"/>
    </xf>
    <xf numFmtId="14" fontId="32" fillId="9" borderId="0" xfId="15" applyNumberFormat="1" applyFont="1" applyFill="1" applyAlignment="1">
      <alignment vertical="top" wrapText="1" readingOrder="2"/>
    </xf>
    <xf numFmtId="0" fontId="32" fillId="9" borderId="0" xfId="15" applyFont="1" applyFill="1" applyAlignment="1">
      <alignment vertical="top" wrapText="1" readingOrder="2"/>
    </xf>
    <xf numFmtId="0" fontId="51" fillId="9" borderId="0" xfId="0" applyFont="1" applyFill="1" applyAlignment="1">
      <alignment horizontal="center"/>
    </xf>
    <xf numFmtId="0" fontId="110" fillId="9" borderId="0" xfId="0" applyFont="1" applyFill="1"/>
    <xf numFmtId="0" fontId="59" fillId="0" borderId="0" xfId="0" applyFont="1"/>
    <xf numFmtId="0" fontId="137" fillId="9" borderId="0" xfId="0" applyFont="1" applyFill="1"/>
    <xf numFmtId="0" fontId="63" fillId="9" borderId="0" xfId="0" applyFont="1" applyFill="1"/>
    <xf numFmtId="164" fontId="110" fillId="0" borderId="0" xfId="14" applyNumberFormat="1" applyFont="1" applyBorder="1" applyAlignment="1">
      <alignment horizontal="right" vertical="center"/>
    </xf>
    <xf numFmtId="174" fontId="31" fillId="0" borderId="0" xfId="42" applyNumberFormat="1" applyFont="1" applyFill="1" applyAlignment="1">
      <alignment horizontal="right" readingOrder="2"/>
    </xf>
    <xf numFmtId="174" fontId="64" fillId="0" borderId="0" xfId="42" applyNumberFormat="1" applyFont="1" applyAlignment="1">
      <alignment horizontal="right"/>
    </xf>
    <xf numFmtId="49" fontId="82" fillId="9" borderId="40" xfId="47" applyNumberFormat="1" applyFont="1" applyFill="1" applyBorder="1" applyAlignment="1">
      <alignment vertical="center"/>
    </xf>
    <xf numFmtId="0" fontId="59" fillId="0" borderId="0" xfId="0" applyFont="1"/>
    <xf numFmtId="0" fontId="34" fillId="0" borderId="0" xfId="12" applyFont="1" applyAlignment="1">
      <alignment horizontal="center" vertical="center" readingOrder="2"/>
    </xf>
    <xf numFmtId="0" fontId="34" fillId="0" borderId="0" xfId="12" applyFont="1" applyAlignment="1">
      <alignment horizontal="right" vertical="center" readingOrder="2"/>
    </xf>
    <xf numFmtId="0" fontId="35" fillId="0" borderId="0" xfId="12" applyFont="1" applyAlignment="1">
      <alignment horizontal="center" vertical="center" readingOrder="2"/>
    </xf>
    <xf numFmtId="0" fontId="35" fillId="0" borderId="0" xfId="12" applyFont="1" applyAlignment="1">
      <alignment horizontal="right" vertical="center" readingOrder="2"/>
    </xf>
    <xf numFmtId="0" fontId="87" fillId="0" borderId="0" xfId="37" applyFont="1"/>
    <xf numFmtId="0" fontId="87" fillId="0" borderId="0" xfId="28" applyFont="1" applyAlignment="1">
      <alignment vertical="center"/>
    </xf>
    <xf numFmtId="0" fontId="87" fillId="9" borderId="0" xfId="0" applyFont="1" applyFill="1"/>
    <xf numFmtId="0" fontId="87" fillId="0" borderId="0" xfId="0" applyFont="1" applyAlignment="1">
      <alignment horizontal="center" vertical="center"/>
    </xf>
    <xf numFmtId="0" fontId="87" fillId="0" borderId="0" xfId="11" applyFont="1" applyAlignment="1">
      <alignment horizontal="justify" vertical="center" readingOrder="2"/>
    </xf>
    <xf numFmtId="49" fontId="87" fillId="0" borderId="0" xfId="6" applyNumberFormat="1" applyFont="1" applyBorder="1" applyAlignment="1">
      <alignment horizontal="center" vertical="center"/>
    </xf>
    <xf numFmtId="168" fontId="49" fillId="12" borderId="19" xfId="10" applyNumberFormat="1" applyFont="1" applyFill="1" applyBorder="1" applyAlignment="1">
      <alignment horizontal="right" vertical="center"/>
    </xf>
    <xf numFmtId="168" fontId="49" fillId="0" borderId="19" xfId="10" applyNumberFormat="1" applyFont="1" applyFill="1" applyBorder="1" applyAlignment="1">
      <alignment horizontal="right" vertical="center"/>
    </xf>
    <xf numFmtId="168" fontId="63" fillId="0" borderId="19" xfId="10" applyNumberFormat="1" applyFont="1" applyFill="1" applyBorder="1" applyAlignment="1">
      <alignment horizontal="right" vertical="center"/>
    </xf>
    <xf numFmtId="3" fontId="46" fillId="0" borderId="0" xfId="0" applyNumberFormat="1" applyFont="1" applyFill="1" applyAlignment="1">
      <alignment horizontal="right" vertical="center"/>
    </xf>
    <xf numFmtId="0" fontId="46" fillId="0" borderId="0" xfId="0" applyFont="1" applyFill="1" applyBorder="1" applyAlignment="1">
      <alignment horizontal="right" vertical="center"/>
    </xf>
    <xf numFmtId="3" fontId="46" fillId="0" borderId="0" xfId="0" applyNumberFormat="1" applyFont="1" applyFill="1" applyBorder="1" applyAlignment="1">
      <alignment horizontal="right" vertical="center"/>
    </xf>
    <xf numFmtId="0" fontId="46" fillId="0" borderId="0" xfId="0" applyFont="1" applyFill="1" applyAlignment="1">
      <alignment horizontal="right" vertical="center"/>
    </xf>
    <xf numFmtId="0" fontId="54" fillId="9" borderId="0" xfId="26" applyFont="1" applyFill="1"/>
    <xf numFmtId="0" fontId="109" fillId="9" borderId="0" xfId="26" applyFont="1" applyFill="1" applyAlignment="1">
      <alignment horizontal="right" readingOrder="2"/>
    </xf>
    <xf numFmtId="0" fontId="103" fillId="9" borderId="0" xfId="26" applyFont="1" applyFill="1" applyAlignment="1">
      <alignment horizontal="right" readingOrder="2"/>
    </xf>
    <xf numFmtId="0" fontId="106" fillId="9" borderId="0" xfId="26" applyFont="1" applyFill="1" applyAlignment="1">
      <alignment horizontal="right" readingOrder="2"/>
    </xf>
    <xf numFmtId="0" fontId="128" fillId="9" borderId="0" xfId="26" applyFont="1" applyFill="1" applyAlignment="1">
      <alignment horizontal="right" readingOrder="2"/>
    </xf>
    <xf numFmtId="0" fontId="128" fillId="9" borderId="0" xfId="26" applyFont="1" applyFill="1"/>
    <xf numFmtId="0" fontId="128" fillId="9" borderId="0" xfId="26" applyFont="1" applyFill="1" applyAlignment="1">
      <alignment horizontal="right"/>
    </xf>
    <xf numFmtId="0" fontId="136" fillId="9" borderId="0" xfId="26" applyFont="1" applyFill="1" applyAlignment="1">
      <alignment horizontal="right" readingOrder="2"/>
    </xf>
    <xf numFmtId="0" fontId="127" fillId="9" borderId="0" xfId="26" applyFont="1" applyFill="1" applyAlignment="1">
      <alignment vertical="center"/>
    </xf>
    <xf numFmtId="0" fontId="127" fillId="9" borderId="0" xfId="26" applyFont="1" applyFill="1" applyAlignment="1">
      <alignment horizontal="right" vertical="center" readingOrder="2"/>
    </xf>
    <xf numFmtId="49" fontId="82" fillId="9" borderId="60" xfId="47" applyNumberFormat="1" applyFont="1" applyFill="1" applyBorder="1" applyAlignment="1">
      <alignment vertical="center"/>
    </xf>
    <xf numFmtId="168" fontId="49" fillId="16" borderId="19" xfId="10" applyNumberFormat="1" applyFont="1" applyFill="1" applyBorder="1" applyAlignment="1">
      <alignment horizontal="right" vertical="center"/>
    </xf>
    <xf numFmtId="168" fontId="63" fillId="16" borderId="19" xfId="10" applyNumberFormat="1" applyFont="1" applyFill="1" applyBorder="1" applyAlignment="1">
      <alignment horizontal="right" vertical="center"/>
    </xf>
    <xf numFmtId="3" fontId="46" fillId="16" borderId="0" xfId="0" applyNumberFormat="1" applyFont="1" applyFill="1" applyAlignment="1">
      <alignment horizontal="right" vertical="center"/>
    </xf>
    <xf numFmtId="0" fontId="46" fillId="16" borderId="0" xfId="0" applyFont="1" applyFill="1" applyBorder="1" applyAlignment="1">
      <alignment horizontal="right" vertical="center"/>
    </xf>
    <xf numFmtId="3" fontId="46" fillId="16" borderId="0" xfId="0" applyNumberFormat="1" applyFont="1" applyFill="1" applyBorder="1" applyAlignment="1">
      <alignment horizontal="right" vertical="center"/>
    </xf>
    <xf numFmtId="0" fontId="46" fillId="16" borderId="0" xfId="0" applyFont="1" applyFill="1" applyAlignment="1">
      <alignment horizontal="right" vertical="center"/>
    </xf>
    <xf numFmtId="164" fontId="92" fillId="0" borderId="32" xfId="19" applyNumberFormat="1" applyFont="1" applyFill="1" applyBorder="1" applyAlignment="1">
      <alignment vertical="center"/>
    </xf>
    <xf numFmtId="3" fontId="34" fillId="9" borderId="0" xfId="34" applyNumberFormat="1" applyFont="1" applyFill="1" applyBorder="1" applyAlignment="1">
      <alignment horizontal="left" vertical="center" wrapText="1"/>
    </xf>
    <xf numFmtId="3" fontId="35" fillId="9" borderId="0" xfId="34" applyNumberFormat="1" applyFont="1" applyFill="1" applyBorder="1" applyAlignment="1">
      <alignment horizontal="right" vertical="center"/>
    </xf>
    <xf numFmtId="164" fontId="35" fillId="9" borderId="0" xfId="34" applyNumberFormat="1" applyFont="1" applyFill="1" applyBorder="1" applyAlignment="1">
      <alignment horizontal="center" vertical="center"/>
    </xf>
    <xf numFmtId="0" fontId="59" fillId="0" borderId="0" xfId="37" applyFont="1" applyBorder="1"/>
    <xf numFmtId="3" fontId="35" fillId="9" borderId="24" xfId="34" applyNumberFormat="1" applyFont="1" applyFill="1" applyBorder="1" applyAlignment="1">
      <alignment vertical="top"/>
    </xf>
    <xf numFmtId="0" fontId="29" fillId="9" borderId="0" xfId="14" applyFont="1" applyFill="1" applyAlignment="1">
      <alignment horizontal="center" readingOrder="2"/>
    </xf>
    <xf numFmtId="0" fontId="49" fillId="10" borderId="19" xfId="3" applyFont="1" applyFill="1" applyBorder="1" applyAlignment="1" applyProtection="1">
      <alignment horizontal="right" vertical="center"/>
      <protection locked="0"/>
    </xf>
    <xf numFmtId="0" fontId="49" fillId="10" borderId="19" xfId="3" applyFont="1" applyFill="1" applyBorder="1" applyAlignment="1" applyProtection="1">
      <alignment horizontal="center" vertical="center"/>
      <protection locked="0"/>
    </xf>
    <xf numFmtId="0" fontId="34" fillId="0" borderId="35" xfId="12" applyNumberFormat="1" applyFont="1" applyBorder="1" applyAlignment="1">
      <alignment horizontal="center" vertical="center" readingOrder="2"/>
    </xf>
    <xf numFmtId="0" fontId="34" fillId="0" borderId="0" xfId="12" applyNumberFormat="1" applyFont="1" applyAlignment="1">
      <alignment horizontal="center" vertical="center" readingOrder="2"/>
    </xf>
    <xf numFmtId="0" fontId="44" fillId="0" borderId="0" xfId="12" applyFont="1" applyAlignment="1">
      <alignment vertical="center"/>
    </xf>
    <xf numFmtId="0" fontId="49" fillId="10" borderId="19" xfId="3" applyFont="1" applyFill="1" applyBorder="1" applyAlignment="1" applyProtection="1">
      <alignment horizontal="right" vertical="center"/>
      <protection locked="0"/>
    </xf>
    <xf numFmtId="0" fontId="60" fillId="9" borderId="0" xfId="34" applyFont="1" applyFill="1" applyBorder="1" applyAlignment="1">
      <alignment horizontal="center" vertical="center" wrapText="1"/>
    </xf>
    <xf numFmtId="0" fontId="49" fillId="9" borderId="19" xfId="3" applyNumberFormat="1" applyFont="1" applyFill="1" applyBorder="1" applyAlignment="1" applyProtection="1">
      <alignment horizontal="center" vertical="center"/>
      <protection locked="0"/>
    </xf>
    <xf numFmtId="0" fontId="143" fillId="9" borderId="19" xfId="3" applyFont="1" applyFill="1" applyBorder="1" applyAlignment="1" applyProtection="1">
      <alignment horizontal="right" vertical="center"/>
      <protection locked="0"/>
    </xf>
    <xf numFmtId="0" fontId="143" fillId="9" borderId="19" xfId="3" applyFont="1" applyFill="1" applyBorder="1" applyAlignment="1" applyProtection="1">
      <alignment horizontal="right" vertical="center" wrapText="1"/>
      <protection locked="0"/>
    </xf>
    <xf numFmtId="0" fontId="143" fillId="9" borderId="0" xfId="0" applyFont="1" applyFill="1" applyAlignment="1">
      <alignment horizontal="right" vertical="center"/>
    </xf>
    <xf numFmtId="3" fontId="143" fillId="9" borderId="0" xfId="0" applyNumberFormat="1" applyFont="1" applyFill="1" applyAlignment="1">
      <alignment horizontal="right" vertical="center"/>
    </xf>
    <xf numFmtId="0" fontId="49" fillId="9" borderId="24" xfId="3" applyNumberFormat="1" applyFont="1" applyFill="1" applyBorder="1" applyAlignment="1" applyProtection="1">
      <alignment horizontal="center" vertical="center"/>
      <protection locked="0"/>
    </xf>
    <xf numFmtId="0" fontId="49" fillId="9" borderId="21" xfId="3" applyNumberFormat="1" applyFont="1" applyFill="1" applyBorder="1" applyAlignment="1" applyProtection="1">
      <alignment horizontal="center" vertical="center"/>
      <protection locked="0"/>
    </xf>
    <xf numFmtId="0" fontId="46" fillId="9" borderId="0" xfId="0" applyNumberFormat="1" applyFont="1" applyFill="1" applyAlignment="1">
      <alignment horizontal="right" vertical="center"/>
    </xf>
    <xf numFmtId="0" fontId="46" fillId="9" borderId="0" xfId="0" applyNumberFormat="1" applyFont="1" applyFill="1" applyAlignment="1">
      <alignment horizontal="center" vertical="center"/>
    </xf>
    <xf numFmtId="164" fontId="31" fillId="0" borderId="36" xfId="6" applyNumberFormat="1" applyFont="1" applyFill="1" applyBorder="1" applyAlignment="1">
      <alignment vertical="center"/>
    </xf>
    <xf numFmtId="0" fontId="59" fillId="0" borderId="0" xfId="0" applyFont="1"/>
    <xf numFmtId="0" fontId="190" fillId="0" borderId="0" xfId="11" applyFont="1" applyAlignment="1">
      <alignment vertical="center" readingOrder="2"/>
    </xf>
    <xf numFmtId="0" fontId="190" fillId="0" borderId="0" xfId="11" applyFont="1" applyAlignment="1">
      <alignment horizontal="justify" vertical="center" readingOrder="2"/>
    </xf>
    <xf numFmtId="164" fontId="190" fillId="0" borderId="0" xfId="6" applyNumberFormat="1" applyFont="1" applyBorder="1" applyAlignment="1">
      <alignment vertical="center"/>
    </xf>
    <xf numFmtId="164" fontId="191" fillId="0" borderId="0" xfId="6" applyNumberFormat="1" applyFont="1" applyBorder="1" applyAlignment="1">
      <alignment vertical="center"/>
    </xf>
    <xf numFmtId="49" fontId="191" fillId="0" borderId="0" xfId="6" applyNumberFormat="1" applyFont="1" applyBorder="1" applyAlignment="1">
      <alignment vertical="center"/>
    </xf>
    <xf numFmtId="0" fontId="192" fillId="0" borderId="0" xfId="11" applyFont="1" applyAlignment="1">
      <alignment horizontal="center" readingOrder="2"/>
    </xf>
    <xf numFmtId="0" fontId="49" fillId="10" borderId="19" xfId="3" applyFont="1" applyFill="1" applyBorder="1" applyAlignment="1" applyProtection="1">
      <alignment horizontal="right" vertical="center"/>
      <protection locked="0"/>
    </xf>
    <xf numFmtId="0" fontId="109" fillId="0" borderId="0" xfId="6" applyFont="1" applyAlignment="1">
      <alignment horizontal="center" readingOrder="2"/>
    </xf>
    <xf numFmtId="0" fontId="59" fillId="0" borderId="0" xfId="0" applyFont="1"/>
    <xf numFmtId="164" fontId="115" fillId="0" borderId="0" xfId="6" applyNumberFormat="1" applyFont="1" applyBorder="1" applyAlignment="1">
      <alignment vertical="center"/>
    </xf>
    <xf numFmtId="174" fontId="60" fillId="0" borderId="0" xfId="14" applyNumberFormat="1" applyFont="1" applyAlignment="1">
      <alignment horizontal="right" vertical="center"/>
    </xf>
    <xf numFmtId="174" fontId="60" fillId="0" borderId="0" xfId="14" applyNumberFormat="1" applyFont="1" applyAlignment="1">
      <alignment horizontal="right"/>
    </xf>
    <xf numFmtId="174" fontId="46" fillId="0" borderId="0" xfId="0" applyNumberFormat="1" applyFont="1"/>
    <xf numFmtId="0" fontId="49" fillId="10" borderId="19" xfId="3" applyFont="1" applyFill="1" applyBorder="1" applyAlignment="1" applyProtection="1">
      <alignment horizontal="right" vertical="center"/>
      <protection locked="0"/>
    </xf>
    <xf numFmtId="168" fontId="123" fillId="9" borderId="19" xfId="10" applyNumberFormat="1" applyFont="1" applyFill="1" applyBorder="1" applyAlignment="1">
      <alignment horizontal="right" vertical="center"/>
    </xf>
    <xf numFmtId="168" fontId="143" fillId="9" borderId="0" xfId="0" applyNumberFormat="1" applyFont="1" applyFill="1" applyAlignment="1">
      <alignment horizontal="right" vertical="center"/>
    </xf>
    <xf numFmtId="0" fontId="56" fillId="0" borderId="0" xfId="5" applyFont="1" applyAlignment="1">
      <alignment horizontal="center" vertical="top" readingOrder="2"/>
    </xf>
    <xf numFmtId="0" fontId="138" fillId="0" borderId="0" xfId="5" applyFont="1" applyAlignment="1">
      <alignment horizontal="center" vertical="top" readingOrder="2"/>
    </xf>
    <xf numFmtId="174" fontId="34" fillId="0" borderId="36" xfId="42" applyNumberFormat="1" applyFont="1" applyBorder="1" applyAlignment="1">
      <alignment horizontal="right" wrapText="1"/>
    </xf>
    <xf numFmtId="174" fontId="34" fillId="0" borderId="0" xfId="42" applyNumberFormat="1" applyFont="1" applyBorder="1" applyAlignment="1">
      <alignment horizontal="right" wrapText="1"/>
    </xf>
    <xf numFmtId="164" fontId="97" fillId="0" borderId="34" xfId="14" applyNumberFormat="1" applyFont="1" applyBorder="1" applyAlignment="1">
      <alignment horizontal="right" vertical="center"/>
    </xf>
    <xf numFmtId="0" fontId="56" fillId="0" borderId="0" xfId="5" applyFont="1" applyBorder="1" applyAlignment="1">
      <alignment horizontal="center" vertical="top" readingOrder="2"/>
    </xf>
    <xf numFmtId="0" fontId="64" fillId="0" borderId="6" xfId="33" applyFont="1" applyBorder="1" applyAlignment="1">
      <alignment vertical="center" readingOrder="2"/>
    </xf>
    <xf numFmtId="0" fontId="31" fillId="0" borderId="6" xfId="27" applyFont="1" applyBorder="1" applyAlignment="1">
      <alignment readingOrder="2"/>
    </xf>
    <xf numFmtId="0" fontId="59" fillId="0" borderId="6" xfId="0" applyFont="1" applyBorder="1"/>
    <xf numFmtId="0" fontId="64" fillId="0" borderId="41" xfId="33" applyFont="1" applyBorder="1" applyAlignment="1">
      <alignment horizontal="center" vertical="center" wrapText="1" readingOrder="2"/>
    </xf>
    <xf numFmtId="0" fontId="193" fillId="0" borderId="0" xfId="5" applyFont="1" applyBorder="1" applyAlignment="1">
      <alignment horizontal="center" vertical="top" readingOrder="2"/>
    </xf>
    <xf numFmtId="0" fontId="195" fillId="0" borderId="0" xfId="5" applyFont="1" applyAlignment="1">
      <alignment vertical="top" readingOrder="2"/>
    </xf>
    <xf numFmtId="0" fontId="194" fillId="0" borderId="0" xfId="5" applyFont="1" applyAlignment="1">
      <alignment horizontal="center" vertical="top" readingOrder="2"/>
    </xf>
    <xf numFmtId="0" fontId="194" fillId="0" borderId="0" xfId="5" applyFont="1" applyAlignment="1">
      <alignment vertical="top" readingOrder="2"/>
    </xf>
    <xf numFmtId="0" fontId="194" fillId="0" borderId="0" xfId="5" applyFont="1" applyBorder="1" applyAlignment="1">
      <alignment horizontal="center" vertical="top" readingOrder="2"/>
    </xf>
    <xf numFmtId="0" fontId="49" fillId="0" borderId="41" xfId="33" applyFont="1" applyBorder="1" applyAlignment="1">
      <alignment horizontal="center" vertical="center" wrapText="1"/>
    </xf>
    <xf numFmtId="0" fontId="67" fillId="0" borderId="41" xfId="33" applyFont="1" applyBorder="1" applyAlignment="1">
      <alignment horizontal="center" vertical="center" wrapText="1" readingOrder="2"/>
    </xf>
    <xf numFmtId="183" fontId="34" fillId="9" borderId="0" xfId="5" applyNumberFormat="1" applyFont="1" applyFill="1" applyBorder="1" applyAlignment="1">
      <alignment vertical="center"/>
    </xf>
    <xf numFmtId="0" fontId="34" fillId="9" borderId="35" xfId="31" applyFont="1" applyFill="1" applyBorder="1" applyAlignment="1">
      <alignment horizontal="center" vertical="center" wrapText="1" readingOrder="2"/>
    </xf>
    <xf numFmtId="164" fontId="34" fillId="0" borderId="0" xfId="5" applyNumberFormat="1" applyFont="1" applyFill="1" applyAlignment="1">
      <alignment horizontal="right" vertical="center" readingOrder="2"/>
    </xf>
    <xf numFmtId="164" fontId="31" fillId="0" borderId="62" xfId="23" applyNumberFormat="1" applyFont="1" applyBorder="1" applyAlignment="1">
      <alignment horizontal="right" vertical="center"/>
    </xf>
    <xf numFmtId="174" fontId="34" fillId="0" borderId="0" xfId="42" applyNumberFormat="1" applyFont="1" applyFill="1" applyBorder="1" applyAlignment="1">
      <alignment horizontal="right"/>
    </xf>
    <xf numFmtId="164" fontId="31" fillId="0" borderId="0" xfId="36" applyNumberFormat="1" applyFont="1" applyAlignment="1">
      <alignment vertical="center"/>
    </xf>
    <xf numFmtId="167" fontId="47" fillId="9" borderId="0" xfId="8" applyNumberFormat="1" applyFont="1" applyFill="1" applyAlignment="1">
      <alignment horizontal="center" vertical="center" readingOrder="2"/>
    </xf>
    <xf numFmtId="167" fontId="47" fillId="0" borderId="0" xfId="8" applyNumberFormat="1" applyFont="1" applyAlignment="1">
      <alignment horizontal="center" vertical="center" readingOrder="2"/>
    </xf>
    <xf numFmtId="0" fontId="84" fillId="0" borderId="0" xfId="0" applyFont="1" applyAlignment="1">
      <alignment horizontal="right"/>
    </xf>
    <xf numFmtId="3" fontId="84" fillId="0" borderId="0" xfId="0" applyNumberFormat="1" applyFont="1"/>
    <xf numFmtId="3" fontId="59" fillId="0" borderId="0" xfId="0" applyNumberFormat="1" applyFont="1"/>
    <xf numFmtId="164" fontId="118" fillId="9" borderId="0" xfId="6" applyNumberFormat="1" applyFont="1" applyFill="1" applyAlignment="1">
      <alignment horizontal="center" readingOrder="2"/>
    </xf>
    <xf numFmtId="0" fontId="59" fillId="0" borderId="0" xfId="0" applyFont="1"/>
    <xf numFmtId="0" fontId="138" fillId="0" borderId="0" xfId="5" applyFont="1" applyAlignment="1">
      <alignment horizontal="center" vertical="top" readingOrder="2"/>
    </xf>
    <xf numFmtId="167" fontId="118" fillId="0" borderId="0" xfId="6" applyNumberFormat="1" applyFont="1" applyAlignment="1">
      <alignment horizontal="center" readingOrder="2"/>
    </xf>
    <xf numFmtId="3" fontId="156" fillId="10" borderId="0" xfId="40" applyNumberFormat="1" applyFont="1" applyFill="1" applyBorder="1" applyAlignment="1">
      <alignment horizontal="center" vertical="center" readingOrder="2"/>
    </xf>
    <xf numFmtId="4" fontId="156" fillId="10" borderId="0" xfId="40" applyNumberFormat="1" applyFont="1" applyFill="1" applyBorder="1" applyAlignment="1">
      <alignment horizontal="center" vertical="center" readingOrder="2"/>
    </xf>
    <xf numFmtId="0" fontId="156" fillId="10" borderId="0" xfId="40" applyFont="1" applyFill="1" applyBorder="1" applyAlignment="1">
      <alignment horizontal="center" vertical="center" readingOrder="2"/>
    </xf>
    <xf numFmtId="3" fontId="198" fillId="10" borderId="0" xfId="40" applyNumberFormat="1" applyFont="1" applyFill="1" applyBorder="1" applyAlignment="1">
      <alignment horizontal="center" vertical="center" readingOrder="2"/>
    </xf>
    <xf numFmtId="4" fontId="198" fillId="10" borderId="0" xfId="40" applyNumberFormat="1" applyFont="1" applyFill="1" applyBorder="1" applyAlignment="1">
      <alignment horizontal="center" vertical="center" readingOrder="2"/>
    </xf>
    <xf numFmtId="0" fontId="198" fillId="10" borderId="0" xfId="40" applyFont="1" applyFill="1" applyBorder="1" applyAlignment="1">
      <alignment horizontal="center" vertical="center" readingOrder="2"/>
    </xf>
    <xf numFmtId="0" fontId="49" fillId="10" borderId="19" xfId="3" applyFont="1" applyFill="1" applyBorder="1" applyAlignment="1" applyProtection="1">
      <alignment horizontal="right" vertical="center"/>
      <protection locked="0"/>
    </xf>
    <xf numFmtId="177" fontId="198" fillId="10" borderId="0" xfId="40" applyNumberFormat="1" applyFont="1" applyFill="1" applyBorder="1" applyAlignment="1">
      <alignment horizontal="center" vertical="center" readingOrder="2"/>
    </xf>
    <xf numFmtId="0" fontId="154" fillId="0" borderId="0" xfId="5" applyFont="1" applyFill="1" applyAlignment="1">
      <alignment horizontal="center" vertical="center" readingOrder="2"/>
    </xf>
    <xf numFmtId="0" fontId="151" fillId="0" borderId="0" xfId="6" applyFont="1" applyAlignment="1">
      <alignment horizontal="center" vertical="top"/>
    </xf>
    <xf numFmtId="0" fontId="54" fillId="0" borderId="0" xfId="6" applyFont="1" applyAlignment="1"/>
    <xf numFmtId="0" fontId="103" fillId="0" borderId="0" xfId="6" applyFont="1" applyAlignment="1">
      <alignment horizontal="right" readingOrder="2"/>
    </xf>
    <xf numFmtId="0" fontId="152" fillId="0" borderId="0" xfId="6" applyFont="1" applyAlignment="1">
      <alignment horizontal="right" readingOrder="2"/>
    </xf>
    <xf numFmtId="49" fontId="109" fillId="0" borderId="0" xfId="6" applyNumberFormat="1" applyFont="1" applyBorder="1" applyAlignment="1">
      <alignment horizontal="right" vertical="center" readingOrder="2"/>
    </xf>
    <xf numFmtId="164" fontId="109" fillId="0" borderId="0" xfId="6" applyNumberFormat="1" applyFont="1" applyBorder="1" applyAlignment="1">
      <alignment horizontal="right" vertical="center"/>
    </xf>
    <xf numFmtId="0" fontId="154" fillId="0" borderId="0" xfId="6" applyFont="1" applyAlignment="1">
      <alignment horizontal="center" readingOrder="2"/>
    </xf>
    <xf numFmtId="0" fontId="199" fillId="0" borderId="0" xfId="6" applyFont="1" applyAlignment="1">
      <alignment horizontal="center" readingOrder="2"/>
    </xf>
    <xf numFmtId="0" fontId="135" fillId="0" borderId="0" xfId="0" applyFont="1"/>
    <xf numFmtId="0" fontId="152" fillId="17" borderId="0" xfId="0" applyFont="1" applyFill="1"/>
    <xf numFmtId="0" fontId="200" fillId="0" borderId="0" xfId="0" applyFont="1"/>
    <xf numFmtId="0" fontId="51" fillId="0" borderId="0" xfId="0" applyFont="1" applyAlignment="1">
      <alignment horizontal="center" vertical="center"/>
    </xf>
    <xf numFmtId="0" fontId="196" fillId="0" borderId="0" xfId="0" applyFont="1" applyAlignment="1">
      <alignment vertical="top"/>
    </xf>
    <xf numFmtId="0" fontId="196" fillId="0" borderId="0" xfId="0" applyFont="1" applyAlignment="1"/>
    <xf numFmtId="164" fontId="31" fillId="17" borderId="35" xfId="6" applyNumberFormat="1" applyFont="1" applyFill="1" applyBorder="1" applyAlignment="1">
      <alignment vertical="center"/>
    </xf>
    <xf numFmtId="0" fontId="54" fillId="9" borderId="0" xfId="26" applyFont="1" applyFill="1" applyAlignment="1">
      <alignment horizontal="right"/>
    </xf>
    <xf numFmtId="0" fontId="106" fillId="9" borderId="0" xfId="26" applyFont="1" applyFill="1" applyBorder="1" applyAlignment="1">
      <alignment horizontal="right" readingOrder="2"/>
    </xf>
    <xf numFmtId="0" fontId="103" fillId="9" borderId="0" xfId="25" applyFont="1" applyFill="1" applyAlignment="1">
      <alignment horizontal="right" vertical="center" readingOrder="2"/>
    </xf>
    <xf numFmtId="0" fontId="107" fillId="9" borderId="0" xfId="26" applyFont="1" applyFill="1" applyBorder="1" applyAlignment="1">
      <alignment horizontal="right" vertical="center" readingOrder="2"/>
    </xf>
    <xf numFmtId="0" fontId="107" fillId="9" borderId="0" xfId="26" applyFont="1" applyFill="1" applyBorder="1" applyAlignment="1">
      <alignment horizontal="center" readingOrder="2"/>
    </xf>
    <xf numFmtId="0" fontId="128" fillId="9" borderId="0" xfId="26" applyFont="1" applyFill="1" applyAlignment="1">
      <alignment vertical="top" wrapText="1" readingOrder="2"/>
    </xf>
    <xf numFmtId="0" fontId="136" fillId="9" borderId="0" xfId="26" applyFont="1" applyFill="1"/>
    <xf numFmtId="0" fontId="107" fillId="9" borderId="0" xfId="26" applyFont="1" applyFill="1" applyAlignment="1">
      <alignment horizontal="right" vertical="center" readingOrder="2"/>
    </xf>
    <xf numFmtId="0" fontId="49" fillId="17" borderId="19" xfId="3" applyNumberFormat="1" applyFont="1" applyFill="1" applyBorder="1" applyAlignment="1" applyProtection="1">
      <alignment horizontal="center" vertical="center"/>
      <protection locked="0"/>
    </xf>
    <xf numFmtId="0" fontId="49" fillId="17" borderId="19" xfId="3" applyFont="1" applyFill="1" applyBorder="1" applyAlignment="1" applyProtection="1">
      <alignment horizontal="center" vertical="center"/>
      <protection locked="0"/>
    </xf>
    <xf numFmtId="0" fontId="49" fillId="18" borderId="19" xfId="3" applyFont="1" applyFill="1" applyBorder="1" applyAlignment="1" applyProtection="1">
      <alignment horizontal="right" vertical="center"/>
      <protection locked="0"/>
    </xf>
    <xf numFmtId="0" fontId="49" fillId="20" borderId="19" xfId="3" applyFont="1" applyFill="1" applyBorder="1" applyAlignment="1" applyProtection="1">
      <alignment horizontal="right" vertical="center"/>
      <protection locked="0"/>
    </xf>
    <xf numFmtId="0" fontId="63" fillId="19" borderId="19" xfId="3" applyFont="1" applyFill="1" applyBorder="1" applyAlignment="1" applyProtection="1">
      <alignment horizontal="center" vertical="center"/>
      <protection locked="0"/>
    </xf>
    <xf numFmtId="0" fontId="49" fillId="19" borderId="19" xfId="3" applyFont="1" applyFill="1" applyBorder="1" applyAlignment="1" applyProtection="1">
      <alignment horizontal="center" vertical="center"/>
      <protection locked="0"/>
    </xf>
    <xf numFmtId="0" fontId="170" fillId="9" borderId="0" xfId="0" applyFont="1" applyFill="1" applyAlignment="1">
      <alignment horizontal="left" vertical="center"/>
    </xf>
    <xf numFmtId="0" fontId="51" fillId="9" borderId="0" xfId="0" applyFont="1" applyFill="1" applyAlignment="1">
      <alignment vertical="top"/>
    </xf>
    <xf numFmtId="0" fontId="49" fillId="19" borderId="19" xfId="3" applyFont="1" applyFill="1" applyBorder="1" applyAlignment="1" applyProtection="1">
      <alignment horizontal="right" vertical="center"/>
      <protection locked="0"/>
    </xf>
    <xf numFmtId="0" fontId="189" fillId="0" borderId="0" xfId="33" applyFont="1" applyAlignment="1">
      <alignment horizontal="right" vertical="center" readingOrder="2"/>
    </xf>
    <xf numFmtId="0" fontId="34" fillId="9" borderId="0" xfId="30" applyFont="1" applyFill="1" applyAlignment="1">
      <alignment horizontal="right" readingOrder="2"/>
    </xf>
    <xf numFmtId="0" fontId="132" fillId="9" borderId="0" xfId="0" applyFont="1" applyFill="1" applyAlignment="1">
      <alignment horizontal="left" vertical="top"/>
    </xf>
    <xf numFmtId="0" fontId="92" fillId="9" borderId="0" xfId="32" applyFont="1" applyFill="1" applyBorder="1" applyAlignment="1">
      <alignment horizontal="right" vertical="top" readingOrder="2"/>
    </xf>
    <xf numFmtId="0" fontId="57" fillId="9" borderId="0" xfId="32" applyFont="1" applyFill="1" applyBorder="1" applyAlignment="1">
      <alignment horizontal="right" vertical="top" readingOrder="2"/>
    </xf>
    <xf numFmtId="0" fontId="90" fillId="9" borderId="0" xfId="32" applyFont="1" applyFill="1" applyBorder="1" applyAlignment="1">
      <alignment horizontal="right" vertical="top" shrinkToFit="1"/>
    </xf>
    <xf numFmtId="0" fontId="90" fillId="9" borderId="0" xfId="32" applyFont="1" applyFill="1" applyBorder="1" applyAlignment="1">
      <alignment horizontal="center" vertical="top"/>
    </xf>
    <xf numFmtId="0" fontId="90" fillId="9" borderId="0" xfId="32" applyFont="1" applyFill="1" applyBorder="1" applyAlignment="1">
      <alignment horizontal="right" vertical="top"/>
    </xf>
    <xf numFmtId="0" fontId="90" fillId="9" borderId="0" xfId="32" applyFont="1" applyFill="1" applyBorder="1" applyAlignment="1">
      <alignment vertical="top"/>
    </xf>
    <xf numFmtId="0" fontId="78" fillId="9" borderId="0" xfId="0" applyFont="1" applyFill="1" applyAlignment="1">
      <alignment vertical="top"/>
    </xf>
    <xf numFmtId="0" fontId="124" fillId="9" borderId="0" xfId="0" applyFont="1" applyFill="1" applyAlignment="1">
      <alignment vertical="top"/>
    </xf>
    <xf numFmtId="0" fontId="89" fillId="9" borderId="0" xfId="32" applyFont="1" applyFill="1" applyBorder="1" applyAlignment="1">
      <alignment vertical="top" wrapText="1" readingOrder="2"/>
    </xf>
    <xf numFmtId="0" fontId="43" fillId="9" borderId="0" xfId="32" applyFont="1" applyFill="1" applyBorder="1" applyAlignment="1">
      <alignment horizontal="center" vertical="center" wrapText="1"/>
    </xf>
    <xf numFmtId="0" fontId="43" fillId="9" borderId="0" xfId="32" applyFont="1" applyFill="1" applyBorder="1" applyAlignment="1">
      <alignment horizontal="center"/>
    </xf>
    <xf numFmtId="0" fontId="43" fillId="9" borderId="0" xfId="32" applyFont="1" applyFill="1" applyBorder="1" applyAlignment="1">
      <alignment horizontal="center" wrapText="1"/>
    </xf>
    <xf numFmtId="0" fontId="43" fillId="9" borderId="23" xfId="32" applyFont="1" applyFill="1" applyBorder="1" applyAlignment="1">
      <alignment horizontal="center" vertical="center" wrapText="1"/>
    </xf>
    <xf numFmtId="164" fontId="43" fillId="9" borderId="19" xfId="23" applyNumberFormat="1" applyFont="1" applyFill="1" applyBorder="1" applyAlignment="1">
      <alignment horizontal="center" vertical="center"/>
    </xf>
    <xf numFmtId="0" fontId="150" fillId="9" borderId="0" xfId="0" applyFont="1" applyFill="1" applyAlignment="1">
      <alignment vertical="top"/>
    </xf>
    <xf numFmtId="164" fontId="43" fillId="9" borderId="19" xfId="23" applyNumberFormat="1" applyFont="1" applyFill="1" applyBorder="1" applyAlignment="1">
      <alignment horizontal="right" vertical="center"/>
    </xf>
    <xf numFmtId="164" fontId="43" fillId="9" borderId="23" xfId="23" applyNumberFormat="1" applyFont="1" applyFill="1" applyBorder="1" applyAlignment="1">
      <alignment horizontal="right" vertical="center"/>
    </xf>
    <xf numFmtId="164" fontId="43" fillId="9" borderId="0" xfId="23" applyNumberFormat="1" applyFont="1" applyFill="1" applyBorder="1" applyAlignment="1">
      <alignment horizontal="right" vertical="center"/>
    </xf>
    <xf numFmtId="9" fontId="30" fillId="9" borderId="51" xfId="43" applyFont="1" applyFill="1" applyBorder="1" applyAlignment="1">
      <alignment horizontal="center" vertical="center" wrapText="1"/>
    </xf>
    <xf numFmtId="164" fontId="30" fillId="9" borderId="51" xfId="23" applyNumberFormat="1" applyFont="1" applyFill="1" applyBorder="1" applyAlignment="1">
      <alignment horizontal="center" vertical="center"/>
    </xf>
    <xf numFmtId="164" fontId="30" fillId="9" borderId="51" xfId="23" applyNumberFormat="1" applyFont="1" applyFill="1" applyBorder="1" applyAlignment="1">
      <alignment horizontal="right" vertical="center"/>
    </xf>
    <xf numFmtId="164" fontId="30" fillId="9" borderId="25" xfId="23" applyNumberFormat="1" applyFont="1" applyFill="1" applyBorder="1" applyAlignment="1">
      <alignment horizontal="right" vertical="center"/>
    </xf>
    <xf numFmtId="164" fontId="43" fillId="9" borderId="0" xfId="23" applyNumberFormat="1" applyFont="1" applyFill="1" applyBorder="1" applyAlignment="1">
      <alignment horizontal="center" vertical="center"/>
    </xf>
    <xf numFmtId="0" fontId="59" fillId="9" borderId="0" xfId="0" applyFont="1" applyFill="1" applyAlignment="1">
      <alignment vertical="top"/>
    </xf>
    <xf numFmtId="164" fontId="43" fillId="9" borderId="0" xfId="23" applyNumberFormat="1" applyFont="1" applyFill="1" applyBorder="1" applyAlignment="1">
      <alignment horizontal="right" vertical="top"/>
    </xf>
    <xf numFmtId="0" fontId="150" fillId="9" borderId="0" xfId="0" applyFont="1" applyFill="1" applyAlignment="1">
      <alignment vertical="top" shrinkToFit="1"/>
    </xf>
    <xf numFmtId="0" fontId="29" fillId="9" borderId="0" xfId="32" applyFont="1" applyFill="1" applyBorder="1" applyAlignment="1">
      <alignment vertical="top"/>
    </xf>
    <xf numFmtId="0" fontId="29" fillId="9" borderId="0" xfId="32" applyFont="1" applyFill="1" applyBorder="1" applyAlignment="1">
      <alignment horizontal="center" wrapText="1"/>
    </xf>
    <xf numFmtId="0" fontId="29" fillId="9" borderId="23" xfId="32" applyFont="1" applyFill="1" applyBorder="1" applyAlignment="1">
      <alignment wrapText="1"/>
    </xf>
    <xf numFmtId="0" fontId="78" fillId="9" borderId="0" xfId="0" applyFont="1" applyFill="1" applyAlignment="1"/>
    <xf numFmtId="0" fontId="43" fillId="9" borderId="0" xfId="32" applyFont="1" applyFill="1" applyBorder="1" applyAlignment="1">
      <alignment wrapText="1"/>
    </xf>
    <xf numFmtId="0" fontId="87" fillId="9" borderId="0" xfId="32" applyFont="1" applyFill="1" applyBorder="1" applyAlignment="1">
      <alignment horizontal="center" vertical="top" textRotation="90" wrapText="1" readingOrder="2"/>
    </xf>
    <xf numFmtId="0" fontId="43" fillId="9" borderId="0" xfId="32" applyFont="1" applyFill="1" applyBorder="1" applyAlignment="1">
      <alignment vertical="center" wrapText="1"/>
    </xf>
    <xf numFmtId="0" fontId="29" fillId="9" borderId="0" xfId="32" applyFont="1" applyFill="1" applyBorder="1" applyAlignment="1">
      <alignment horizontal="center" vertical="center" wrapText="1"/>
    </xf>
    <xf numFmtId="0" fontId="29" fillId="9" borderId="23" xfId="32" applyFont="1" applyFill="1" applyBorder="1" applyAlignment="1">
      <alignment horizontal="center" vertical="center" wrapText="1"/>
    </xf>
    <xf numFmtId="0" fontId="29" fillId="9" borderId="0" xfId="32" applyFont="1" applyFill="1" applyBorder="1" applyAlignment="1">
      <alignment horizontal="center" vertical="top" wrapText="1" readingOrder="2"/>
    </xf>
    <xf numFmtId="164" fontId="29" fillId="9" borderId="0" xfId="23" applyNumberFormat="1" applyFont="1" applyFill="1" applyBorder="1" applyAlignment="1">
      <alignment horizontal="right" vertical="center"/>
    </xf>
    <xf numFmtId="164" fontId="29" fillId="9" borderId="23" xfId="23" applyNumberFormat="1" applyFont="1" applyFill="1" applyBorder="1" applyAlignment="1">
      <alignment horizontal="right" vertical="center"/>
    </xf>
    <xf numFmtId="164" fontId="43" fillId="9" borderId="0" xfId="23" applyNumberFormat="1" applyFont="1" applyFill="1" applyBorder="1" applyAlignment="1">
      <alignment vertical="center"/>
    </xf>
    <xf numFmtId="164" fontId="29" fillId="9" borderId="0" xfId="23" applyNumberFormat="1" applyFont="1" applyFill="1" applyBorder="1" applyAlignment="1">
      <alignment horizontal="center" vertical="center"/>
    </xf>
    <xf numFmtId="164" fontId="29" fillId="9" borderId="23" xfId="23" applyNumberFormat="1" applyFont="1" applyFill="1" applyBorder="1" applyAlignment="1">
      <alignment horizontal="center" vertical="center"/>
    </xf>
    <xf numFmtId="164" fontId="179" fillId="9" borderId="23" xfId="23" applyNumberFormat="1" applyFont="1" applyFill="1" applyBorder="1" applyAlignment="1">
      <alignment horizontal="right" vertical="center"/>
    </xf>
    <xf numFmtId="0" fontId="178" fillId="9" borderId="0" xfId="0" applyFont="1" applyFill="1" applyAlignment="1">
      <alignment vertical="top"/>
    </xf>
    <xf numFmtId="164" fontId="43" fillId="9" borderId="0" xfId="12" applyNumberFormat="1" applyFont="1" applyFill="1" applyBorder="1" applyAlignment="1">
      <alignment vertical="center" readingOrder="2"/>
    </xf>
    <xf numFmtId="164" fontId="29" fillId="9" borderId="0" xfId="12" applyNumberFormat="1" applyFont="1" applyFill="1" applyBorder="1" applyAlignment="1">
      <alignment horizontal="right" vertical="center" readingOrder="2"/>
    </xf>
    <xf numFmtId="0" fontId="91" fillId="9" borderId="0" xfId="32" applyFont="1" applyFill="1" applyBorder="1" applyAlignment="1">
      <alignment horizontal="right" readingOrder="2"/>
    </xf>
    <xf numFmtId="0" fontId="29" fillId="9" borderId="0" xfId="31" applyFont="1" applyFill="1" applyBorder="1" applyAlignment="1">
      <alignment horizontal="left" vertical="top" readingOrder="2"/>
    </xf>
    <xf numFmtId="0" fontId="92" fillId="9" borderId="0" xfId="32" applyFont="1" applyFill="1" applyBorder="1" applyAlignment="1">
      <alignment horizontal="left" vertical="top" readingOrder="2"/>
    </xf>
    <xf numFmtId="0" fontId="92" fillId="9" borderId="0" xfId="12" applyFont="1" applyFill="1" applyBorder="1" applyAlignment="1">
      <alignment horizontal="right" vertical="top" readingOrder="2"/>
    </xf>
    <xf numFmtId="0" fontId="37" fillId="9" borderId="0" xfId="0" applyFont="1" applyFill="1" applyAlignment="1"/>
    <xf numFmtId="0" fontId="29" fillId="9" borderId="0" xfId="12" applyFont="1" applyFill="1" applyBorder="1" applyAlignment="1">
      <alignment vertical="center" readingOrder="2"/>
    </xf>
    <xf numFmtId="49" fontId="43" fillId="9" borderId="0" xfId="32" applyNumberFormat="1" applyFont="1" applyFill="1" applyBorder="1" applyAlignment="1">
      <alignment horizontal="center"/>
    </xf>
    <xf numFmtId="0" fontId="150" fillId="9" borderId="0" xfId="0" applyFont="1" applyFill="1" applyBorder="1" applyAlignment="1">
      <alignment horizontal="center"/>
    </xf>
    <xf numFmtId="0" fontId="129" fillId="9" borderId="0" xfId="0" applyFont="1" applyFill="1" applyBorder="1" applyAlignment="1">
      <alignment horizontal="center"/>
    </xf>
    <xf numFmtId="0" fontId="37" fillId="9" borderId="0" xfId="0" applyFont="1" applyFill="1" applyBorder="1" applyAlignment="1">
      <alignment horizontal="center"/>
    </xf>
    <xf numFmtId="3" fontId="57" fillId="9" borderId="0" xfId="32" applyNumberFormat="1" applyFont="1" applyFill="1" applyBorder="1" applyAlignment="1">
      <alignment horizontal="center"/>
    </xf>
    <xf numFmtId="3" fontId="29" fillId="9" borderId="0" xfId="32" applyNumberFormat="1" applyFont="1" applyFill="1" applyBorder="1" applyAlignment="1">
      <alignment horizontal="right"/>
    </xf>
    <xf numFmtId="0" fontId="29" fillId="9" borderId="0" xfId="32" applyFont="1" applyFill="1" applyBorder="1" applyAlignment="1">
      <alignment horizontal="center" readingOrder="2"/>
    </xf>
    <xf numFmtId="0" fontId="78" fillId="9" borderId="0" xfId="0" applyFont="1" applyFill="1" applyAlignment="1">
      <alignment vertical="top" shrinkToFit="1"/>
    </xf>
    <xf numFmtId="164" fontId="110" fillId="9" borderId="0" xfId="0" applyNumberFormat="1" applyFont="1" applyFill="1"/>
    <xf numFmtId="164" fontId="29" fillId="9" borderId="35" xfId="17" applyNumberFormat="1" applyFont="1" applyFill="1" applyBorder="1" applyAlignment="1">
      <alignment vertical="center"/>
    </xf>
    <xf numFmtId="174" fontId="37" fillId="9" borderId="0" xfId="42" applyNumberFormat="1" applyFont="1" applyFill="1" applyBorder="1" applyAlignment="1">
      <alignment vertical="top" wrapText="1" readingOrder="2"/>
    </xf>
    <xf numFmtId="0" fontId="179" fillId="9" borderId="0" xfId="8" applyFont="1" applyFill="1" applyAlignment="1">
      <alignment vertical="top" wrapText="1" readingOrder="2"/>
    </xf>
    <xf numFmtId="0" fontId="48" fillId="9" borderId="0" xfId="0" applyFont="1" applyFill="1" applyAlignment="1">
      <alignment vertical="center"/>
    </xf>
    <xf numFmtId="164" fontId="34" fillId="9" borderId="0" xfId="6" applyNumberFormat="1" applyFont="1" applyFill="1" applyBorder="1" applyAlignment="1">
      <alignment vertical="center"/>
    </xf>
    <xf numFmtId="0" fontId="43" fillId="9" borderId="0" xfId="29" applyFont="1" applyFill="1" applyAlignment="1">
      <alignment vertical="top" wrapText="1" readingOrder="2"/>
    </xf>
    <xf numFmtId="0" fontId="64" fillId="9" borderId="0" xfId="29" applyFont="1" applyFill="1" applyAlignment="1">
      <alignment horizontal="justify" vertical="top" wrapText="1" readingOrder="2"/>
    </xf>
    <xf numFmtId="0" fontId="44" fillId="9" borderId="0" xfId="30" applyFont="1" applyFill="1"/>
    <xf numFmtId="0" fontId="50" fillId="9" borderId="0" xfId="30" applyFont="1" applyFill="1" applyAlignment="1">
      <alignment horizontal="right" readingOrder="2"/>
    </xf>
    <xf numFmtId="0" fontId="79" fillId="9" borderId="0" xfId="0" applyFont="1" applyFill="1" applyAlignment="1">
      <alignment horizontal="left" vertical="top"/>
    </xf>
    <xf numFmtId="0" fontId="107" fillId="0" borderId="0" xfId="13" applyFont="1" applyAlignment="1">
      <alignment horizontal="right" readingOrder="2"/>
    </xf>
    <xf numFmtId="0" fontId="59" fillId="9" borderId="0" xfId="0" applyFont="1" applyFill="1" applyAlignment="1">
      <alignment vertical="center"/>
    </xf>
    <xf numFmtId="0" fontId="112" fillId="9" borderId="0" xfId="37" applyFont="1" applyFill="1"/>
    <xf numFmtId="0" fontId="81" fillId="0" borderId="0" xfId="0" applyFont="1"/>
    <xf numFmtId="0" fontId="146" fillId="9" borderId="0" xfId="0" applyFont="1" applyFill="1" applyAlignment="1">
      <alignment vertical="center"/>
    </xf>
    <xf numFmtId="0" fontId="81" fillId="0" borderId="0" xfId="15" applyFont="1"/>
    <xf numFmtId="0" fontId="81" fillId="9" borderId="0" xfId="15" applyFont="1" applyFill="1" applyAlignment="1">
      <alignment vertical="top"/>
    </xf>
    <xf numFmtId="0" fontId="81" fillId="9" borderId="0" xfId="15" applyFont="1" applyFill="1" applyBorder="1" applyAlignment="1">
      <alignment vertical="top" readingOrder="2"/>
    </xf>
    <xf numFmtId="0" fontId="81" fillId="9" borderId="0" xfId="15" applyFont="1" applyFill="1" applyBorder="1" applyAlignment="1">
      <alignment vertical="center" readingOrder="2"/>
    </xf>
    <xf numFmtId="164" fontId="112" fillId="0" borderId="0" xfId="0" applyNumberFormat="1" applyFont="1"/>
    <xf numFmtId="164" fontId="34" fillId="9" borderId="35" xfId="23" applyNumberFormat="1" applyFont="1" applyFill="1" applyBorder="1" applyAlignment="1">
      <alignment horizontal="right" vertical="center"/>
    </xf>
    <xf numFmtId="167" fontId="47" fillId="0" borderId="32" xfId="8" applyNumberFormat="1" applyFont="1" applyBorder="1" applyAlignment="1">
      <alignment horizontal="center" vertical="center" readingOrder="2"/>
    </xf>
    <xf numFmtId="0" fontId="138" fillId="9" borderId="0" xfId="5" applyFont="1" applyFill="1" applyAlignment="1">
      <alignment horizontal="center" vertical="top" readingOrder="2"/>
    </xf>
    <xf numFmtId="41" fontId="139" fillId="9" borderId="0" xfId="9" applyNumberFormat="1" applyFont="1" applyFill="1" applyAlignment="1">
      <alignment horizontal="center" vertical="top" shrinkToFit="1"/>
    </xf>
    <xf numFmtId="0" fontId="141" fillId="9" borderId="0" xfId="47" applyNumberFormat="1" applyFont="1" applyFill="1" applyAlignment="1"/>
    <xf numFmtId="174" fontId="84" fillId="0" borderId="0" xfId="0" applyNumberFormat="1" applyFont="1"/>
    <xf numFmtId="0" fontId="59" fillId="0" borderId="0" xfId="0" applyFont="1"/>
    <xf numFmtId="0" fontId="29" fillId="0" borderId="0" xfId="5" applyFont="1" applyFill="1" applyAlignment="1">
      <alignment horizontal="left" readingOrder="2"/>
    </xf>
    <xf numFmtId="0" fontId="48" fillId="0" borderId="0" xfId="13" applyFont="1" applyAlignment="1">
      <alignment horizontal="center"/>
    </xf>
    <xf numFmtId="0" fontId="48" fillId="0" borderId="0" xfId="13" applyFont="1" applyFill="1" applyAlignment="1">
      <alignment horizontal="center"/>
    </xf>
    <xf numFmtId="0" fontId="46" fillId="0" borderId="0" xfId="13" applyFont="1" applyAlignment="1">
      <alignment horizontal="center"/>
    </xf>
    <xf numFmtId="0" fontId="60" fillId="0" borderId="0" xfId="14" applyFont="1"/>
    <xf numFmtId="0" fontId="48" fillId="0" borderId="0" xfId="0" applyFont="1" applyAlignment="1">
      <alignment horizontal="center"/>
    </xf>
    <xf numFmtId="0" fontId="60" fillId="0" borderId="0" xfId="0" applyFont="1" applyAlignment="1">
      <alignment horizontal="center"/>
    </xf>
    <xf numFmtId="0" fontId="201" fillId="0" borderId="0" xfId="15" applyFont="1" applyAlignment="1">
      <alignment horizontal="center" vertical="justify"/>
    </xf>
    <xf numFmtId="0" fontId="149" fillId="0" borderId="0" xfId="15" applyFont="1" applyFill="1" applyAlignment="1">
      <alignment horizontal="right" readingOrder="2"/>
    </xf>
    <xf numFmtId="0" fontId="81" fillId="0" borderId="0" xfId="15" applyFont="1" applyFill="1" applyAlignment="1">
      <alignment horizontal="right" readingOrder="2"/>
    </xf>
    <xf numFmtId="0" fontId="146" fillId="0" borderId="0" xfId="15" applyFont="1" applyFill="1" applyBorder="1" applyAlignment="1">
      <alignment horizontal="center" vertical="center" wrapText="1"/>
    </xf>
    <xf numFmtId="0" fontId="146" fillId="0" borderId="0" xfId="15" applyFont="1" applyFill="1" applyBorder="1" applyAlignment="1">
      <alignment vertical="top" wrapText="1"/>
    </xf>
    <xf numFmtId="164" fontId="112" fillId="0" borderId="0" xfId="15" applyNumberFormat="1" applyFont="1" applyFill="1" applyBorder="1" applyAlignment="1">
      <alignment vertical="top"/>
    </xf>
    <xf numFmtId="167" fontId="146" fillId="0" borderId="0" xfId="8" applyNumberFormat="1" applyFont="1" applyBorder="1" applyAlignment="1">
      <alignment horizontal="right" vertical="top" readingOrder="2"/>
    </xf>
    <xf numFmtId="167" fontId="146" fillId="0" borderId="0" xfId="8" applyNumberFormat="1" applyFont="1" applyBorder="1" applyAlignment="1">
      <alignment horizontal="right" vertical="center" readingOrder="2"/>
    </xf>
    <xf numFmtId="0" fontId="151" fillId="9" borderId="0" xfId="15" applyFont="1" applyFill="1" applyAlignment="1">
      <alignment horizontal="center" vertical="justify"/>
    </xf>
    <xf numFmtId="0" fontId="54" fillId="9" borderId="0" xfId="15" applyFont="1" applyFill="1"/>
    <xf numFmtId="0" fontId="180" fillId="9" borderId="0" xfId="15" applyFont="1" applyFill="1" applyBorder="1" applyAlignment="1">
      <alignment horizontal="center" vertical="center" wrapText="1"/>
    </xf>
    <xf numFmtId="0" fontId="152" fillId="9" borderId="0" xfId="15" applyFont="1" applyFill="1" applyBorder="1" applyAlignment="1">
      <alignment horizontal="center" vertical="center" wrapText="1"/>
    </xf>
    <xf numFmtId="167" fontId="180" fillId="9" borderId="0" xfId="8" applyNumberFormat="1" applyFont="1" applyFill="1" applyBorder="1" applyAlignment="1">
      <alignment horizontal="right" vertical="top" readingOrder="2"/>
    </xf>
    <xf numFmtId="167" fontId="180" fillId="9" borderId="0" xfId="8" applyNumberFormat="1" applyFont="1" applyFill="1" applyBorder="1" applyAlignment="1">
      <alignment horizontal="right" vertical="center" readingOrder="2"/>
    </xf>
    <xf numFmtId="167" fontId="54" fillId="9" borderId="0" xfId="15" applyNumberFormat="1" applyFont="1" applyFill="1" applyBorder="1"/>
    <xf numFmtId="0" fontId="37" fillId="0" borderId="0" xfId="5" applyFont="1" applyFill="1" applyAlignment="1">
      <alignment horizontal="left" vertical="top" readingOrder="2"/>
    </xf>
    <xf numFmtId="0" fontId="162" fillId="0" borderId="0" xfId="8" applyFont="1" applyAlignment="1">
      <alignment vertical="center" readingOrder="2"/>
    </xf>
    <xf numFmtId="0" fontId="111" fillId="0" borderId="0" xfId="8" applyFont="1" applyBorder="1" applyAlignment="1">
      <alignment vertical="center" readingOrder="2"/>
    </xf>
    <xf numFmtId="0" fontId="162" fillId="0" borderId="0" xfId="8" applyFont="1" applyBorder="1" applyAlignment="1">
      <alignment horizontal="right" vertical="center" readingOrder="2"/>
    </xf>
    <xf numFmtId="0" fontId="202" fillId="0" borderId="0" xfId="8" applyFont="1" applyAlignment="1">
      <alignment horizontal="right" vertical="center" readingOrder="2"/>
    </xf>
    <xf numFmtId="0" fontId="134" fillId="9" borderId="0" xfId="17" applyFont="1" applyFill="1" applyAlignment="1">
      <alignment horizontal="center" vertical="center"/>
    </xf>
    <xf numFmtId="0" fontId="134" fillId="9" borderId="0" xfId="17" applyFont="1" applyFill="1" applyAlignment="1">
      <alignment vertical="center"/>
    </xf>
    <xf numFmtId="0" fontId="34" fillId="9" borderId="0" xfId="24" applyFont="1" applyFill="1" applyAlignment="1">
      <alignment horizontal="right" vertical="top"/>
    </xf>
    <xf numFmtId="174" fontId="34" fillId="0" borderId="0" xfId="42" applyNumberFormat="1" applyFont="1" applyFill="1" applyAlignment="1">
      <alignment horizontal="right" vertical="top" readingOrder="2"/>
    </xf>
    <xf numFmtId="0" fontId="60" fillId="0" borderId="0" xfId="13" applyFont="1" applyAlignment="1">
      <alignment horizontal="right" vertical="top" readingOrder="2"/>
    </xf>
    <xf numFmtId="164" fontId="97" fillId="0" borderId="36" xfId="14" applyNumberFormat="1" applyFont="1" applyBorder="1" applyAlignment="1">
      <alignment horizontal="right" vertical="top"/>
    </xf>
    <xf numFmtId="0" fontId="32" fillId="0" borderId="0" xfId="47" applyNumberFormat="1" applyFont="1" applyAlignment="1">
      <alignment vertical="center"/>
    </xf>
    <xf numFmtId="0" fontId="59" fillId="9" borderId="0" xfId="0" applyFont="1" applyFill="1" applyAlignment="1"/>
    <xf numFmtId="0" fontId="203" fillId="0" borderId="0" xfId="0" applyFont="1" applyAlignment="1">
      <alignment horizontal="right" vertical="top" wrapText="1"/>
    </xf>
    <xf numFmtId="169" fontId="54" fillId="0" borderId="0" xfId="15" applyNumberFormat="1" applyFont="1" applyFill="1" applyBorder="1"/>
    <xf numFmtId="3" fontId="182" fillId="0" borderId="0" xfId="15" applyNumberFormat="1" applyFont="1" applyFill="1" applyBorder="1" applyAlignment="1">
      <alignment horizontal="right" readingOrder="2"/>
    </xf>
    <xf numFmtId="0" fontId="59" fillId="0" borderId="0" xfId="0" applyFont="1"/>
    <xf numFmtId="3" fontId="31" fillId="0" borderId="0" xfId="17" applyNumberFormat="1" applyFont="1" applyFill="1" applyBorder="1" applyAlignment="1">
      <alignment horizontal="center"/>
    </xf>
    <xf numFmtId="3" fontId="64" fillId="0" borderId="0" xfId="42" applyNumberFormat="1" applyFont="1" applyAlignment="1">
      <alignment horizontal="right"/>
    </xf>
    <xf numFmtId="164" fontId="84" fillId="0" borderId="0" xfId="0" applyNumberFormat="1" applyFont="1"/>
    <xf numFmtId="0" fontId="154" fillId="0" borderId="0" xfId="11" applyFont="1" applyAlignment="1">
      <alignment horizontal="center" readingOrder="2"/>
    </xf>
    <xf numFmtId="0" fontId="59" fillId="0" borderId="0" xfId="0" applyFont="1"/>
    <xf numFmtId="0" fontId="48" fillId="0" borderId="0" xfId="27" applyFont="1" applyFill="1" applyAlignment="1">
      <alignment horizontal="right" vertical="top" wrapText="1" readingOrder="2"/>
    </xf>
    <xf numFmtId="0" fontId="49" fillId="17" borderId="19" xfId="3" applyFont="1" applyFill="1" applyBorder="1" applyAlignment="1" applyProtection="1">
      <alignment horizontal="right" vertical="center"/>
      <protection locked="0"/>
    </xf>
    <xf numFmtId="0" fontId="143" fillId="17" borderId="19" xfId="3" applyFont="1" applyFill="1" applyBorder="1" applyAlignment="1" applyProtection="1">
      <alignment horizontal="right" vertical="center"/>
      <protection locked="0"/>
    </xf>
    <xf numFmtId="168" fontId="49" fillId="17" borderId="19" xfId="10" applyNumberFormat="1" applyFont="1" applyFill="1" applyBorder="1" applyAlignment="1">
      <alignment horizontal="right" vertical="center"/>
    </xf>
    <xf numFmtId="168" fontId="63" fillId="17" borderId="19" xfId="10" applyNumberFormat="1" applyFont="1" applyFill="1" applyBorder="1" applyAlignment="1">
      <alignment horizontal="right" vertical="center"/>
    </xf>
    <xf numFmtId="0" fontId="63" fillId="17" borderId="19" xfId="3" applyFont="1" applyFill="1" applyBorder="1" applyAlignment="1" applyProtection="1">
      <alignment horizontal="right" vertical="center"/>
      <protection locked="0"/>
    </xf>
    <xf numFmtId="0" fontId="46" fillId="17" borderId="0" xfId="0" applyFont="1" applyFill="1" applyAlignment="1">
      <alignment horizontal="right" vertical="center"/>
    </xf>
    <xf numFmtId="0" fontId="52" fillId="0" borderId="0" xfId="15" applyFont="1"/>
    <xf numFmtId="0" fontId="112" fillId="0" borderId="0" xfId="15" applyFont="1" applyAlignment="1">
      <alignment vertical="top"/>
    </xf>
    <xf numFmtId="0" fontId="112" fillId="0" borderId="0" xfId="15" applyFont="1" applyBorder="1" applyAlignment="1">
      <alignment vertical="top"/>
    </xf>
    <xf numFmtId="0" fontId="52" fillId="9" borderId="0" xfId="15" applyFont="1" applyFill="1" applyBorder="1" applyAlignment="1">
      <alignment vertical="top" readingOrder="2"/>
    </xf>
    <xf numFmtId="0" fontId="52" fillId="0" borderId="0" xfId="15" applyFont="1" applyFill="1" applyBorder="1" applyAlignment="1">
      <alignment vertical="center" readingOrder="2"/>
    </xf>
    <xf numFmtId="168" fontId="46" fillId="16" borderId="0" xfId="0" applyNumberFormat="1" applyFont="1" applyFill="1" applyBorder="1" applyAlignment="1">
      <alignment horizontal="right" vertical="center"/>
    </xf>
    <xf numFmtId="0" fontId="49" fillId="12" borderId="21" xfId="3" applyFont="1" applyFill="1" applyBorder="1" applyAlignment="1" applyProtection="1">
      <alignment horizontal="right" vertical="center"/>
      <protection locked="0"/>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164" fontId="59" fillId="9" borderId="0" xfId="0" applyNumberFormat="1" applyFont="1" applyFill="1"/>
    <xf numFmtId="167" fontId="103" fillId="9" borderId="0" xfId="5" applyNumberFormat="1" applyFont="1" applyFill="1" applyAlignment="1">
      <alignment vertical="center"/>
    </xf>
    <xf numFmtId="1" fontId="165" fillId="9" borderId="0" xfId="0" applyNumberFormat="1" applyFont="1" applyFill="1"/>
    <xf numFmtId="164" fontId="109" fillId="9" borderId="0" xfId="6" applyNumberFormat="1" applyFont="1" applyFill="1" applyBorder="1" applyAlignment="1">
      <alignment vertical="center"/>
    </xf>
    <xf numFmtId="0" fontId="49" fillId="10" borderId="19" xfId="3" applyFont="1" applyFill="1" applyBorder="1" applyAlignment="1" applyProtection="1">
      <alignment horizontal="right" vertical="center"/>
      <protection locked="0"/>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0" fontId="49" fillId="21" borderId="19" xfId="3" applyFont="1" applyFill="1" applyBorder="1" applyAlignment="1" applyProtection="1">
      <alignment horizontal="right" vertical="center"/>
      <protection locked="0"/>
    </xf>
    <xf numFmtId="0" fontId="49" fillId="21" borderId="19" xfId="3" applyNumberFormat="1" applyFont="1" applyFill="1" applyBorder="1" applyAlignment="1" applyProtection="1">
      <alignment horizontal="center" vertical="center"/>
      <protection locked="0"/>
    </xf>
    <xf numFmtId="0" fontId="143" fillId="21" borderId="19" xfId="3" applyFont="1" applyFill="1" applyBorder="1" applyAlignment="1" applyProtection="1">
      <alignment horizontal="right" vertical="center"/>
      <protection locked="0"/>
    </xf>
    <xf numFmtId="168" fontId="49" fillId="21" borderId="19" xfId="10" applyNumberFormat="1" applyFont="1" applyFill="1" applyBorder="1" applyAlignment="1">
      <alignment horizontal="right" vertical="center"/>
    </xf>
    <xf numFmtId="168" fontId="63" fillId="21" borderId="19" xfId="10" applyNumberFormat="1" applyFont="1" applyFill="1" applyBorder="1" applyAlignment="1">
      <alignment horizontal="right" vertical="center"/>
    </xf>
    <xf numFmtId="0" fontId="63" fillId="21" borderId="19" xfId="3" applyFont="1" applyFill="1" applyBorder="1" applyAlignment="1" applyProtection="1">
      <alignment horizontal="right" vertical="center"/>
      <protection locked="0"/>
    </xf>
    <xf numFmtId="0" fontId="46" fillId="21" borderId="0" xfId="0" applyFont="1" applyFill="1" applyAlignment="1">
      <alignment horizontal="right" vertical="center"/>
    </xf>
    <xf numFmtId="0" fontId="127" fillId="0" borderId="0" xfId="0" applyFont="1"/>
    <xf numFmtId="0" fontId="32" fillId="0" borderId="0" xfId="6" applyFont="1" applyAlignment="1">
      <alignment horizontal="center" readingOrder="2"/>
    </xf>
    <xf numFmtId="0" fontId="59" fillId="0" borderId="0" xfId="0" applyFont="1"/>
    <xf numFmtId="0" fontId="32" fillId="0" borderId="0" xfId="6" applyFont="1" applyAlignment="1">
      <alignment horizontal="center" readingOrder="2"/>
    </xf>
    <xf numFmtId="0" fontId="59" fillId="0" borderId="0" xfId="0" applyFont="1"/>
    <xf numFmtId="0" fontId="59" fillId="0" borderId="0" xfId="0" applyFont="1"/>
    <xf numFmtId="164" fontId="31" fillId="9" borderId="32" xfId="6" applyNumberFormat="1" applyFont="1" applyFill="1" applyBorder="1" applyAlignment="1">
      <alignment vertical="center"/>
    </xf>
    <xf numFmtId="49" fontId="37" fillId="0" borderId="0" xfId="6" applyNumberFormat="1" applyFont="1" applyBorder="1" applyAlignment="1">
      <alignment horizontal="right" vertical="center" readingOrder="2"/>
    </xf>
    <xf numFmtId="49" fontId="137" fillId="0" borderId="0" xfId="6" applyNumberFormat="1" applyFont="1" applyBorder="1" applyAlignment="1">
      <alignment horizontal="right" vertical="center" readingOrder="2"/>
    </xf>
    <xf numFmtId="164" fontId="31" fillId="0" borderId="32" xfId="6" applyNumberFormat="1" applyFont="1" applyFill="1" applyBorder="1" applyAlignment="1">
      <alignment vertical="center"/>
    </xf>
    <xf numFmtId="164" fontId="31" fillId="9" borderId="36" xfId="6" applyNumberFormat="1" applyFont="1" applyFill="1" applyBorder="1" applyAlignment="1">
      <alignment vertical="center"/>
    </xf>
    <xf numFmtId="0" fontId="206" fillId="0" borderId="0" xfId="0" applyFont="1"/>
    <xf numFmtId="0" fontId="171" fillId="0" borderId="0" xfId="0" applyFont="1"/>
    <xf numFmtId="0" fontId="208" fillId="0" borderId="0" xfId="0" applyFont="1" applyAlignment="1">
      <alignment horizontal="center" vertical="center"/>
    </xf>
    <xf numFmtId="0" fontId="171" fillId="0" borderId="35" xfId="0" applyFont="1" applyBorder="1"/>
    <xf numFmtId="0" fontId="171" fillId="0" borderId="0" xfId="0" applyFont="1" applyBorder="1"/>
    <xf numFmtId="0" fontId="205" fillId="0" borderId="35" xfId="0" applyFont="1" applyBorder="1" applyAlignment="1">
      <alignment horizontal="center" vertical="center"/>
    </xf>
    <xf numFmtId="0" fontId="205" fillId="0" borderId="0" xfId="0" applyFont="1" applyAlignment="1">
      <alignment horizontal="center" vertical="center"/>
    </xf>
    <xf numFmtId="0" fontId="205" fillId="0" borderId="35" xfId="0" applyFont="1" applyBorder="1" applyAlignment="1">
      <alignment horizontal="center" vertical="center" wrapText="1"/>
    </xf>
    <xf numFmtId="0" fontId="205" fillId="0" borderId="0" xfId="0" applyFont="1" applyAlignment="1">
      <alignment horizontal="center" vertical="center" wrapText="1"/>
    </xf>
    <xf numFmtId="0" fontId="207" fillId="0" borderId="0" xfId="0" applyFont="1"/>
    <xf numFmtId="0" fontId="171" fillId="0" borderId="32" xfId="0" applyFont="1" applyBorder="1"/>
    <xf numFmtId="0" fontId="171" fillId="0" borderId="63" xfId="0" applyFont="1" applyBorder="1"/>
    <xf numFmtId="0" fontId="59" fillId="0" borderId="0" xfId="0" applyFont="1"/>
    <xf numFmtId="0" fontId="154" fillId="0" borderId="0" xfId="11" applyFont="1" applyAlignment="1">
      <alignment horizontal="center" readingOrder="2"/>
    </xf>
    <xf numFmtId="0" fontId="59" fillId="0" borderId="0" xfId="0" applyFont="1"/>
    <xf numFmtId="0" fontId="210" fillId="9" borderId="0" xfId="5" applyFont="1" applyFill="1" applyAlignment="1">
      <alignment horizontal="center" vertical="top" readingOrder="2"/>
    </xf>
    <xf numFmtId="0" fontId="127" fillId="9" borderId="0" xfId="19" applyFont="1" applyFill="1" applyAlignment="1">
      <alignment horizontal="right" vertical="center" readingOrder="2"/>
    </xf>
    <xf numFmtId="0" fontId="211" fillId="9" borderId="0" xfId="19" applyFont="1" applyFill="1" applyAlignment="1">
      <alignment horizontal="left" vertical="top" readingOrder="2"/>
    </xf>
    <xf numFmtId="0" fontId="204" fillId="9" borderId="0" xfId="19" applyFont="1" applyFill="1" applyAlignment="1">
      <alignment horizontal="left" vertical="top" readingOrder="2"/>
    </xf>
    <xf numFmtId="0" fontId="32" fillId="9" borderId="0" xfId="20" applyFont="1" applyFill="1" applyAlignment="1">
      <alignment horizontal="left" vertical="top" readingOrder="2"/>
    </xf>
    <xf numFmtId="0" fontId="32" fillId="9" borderId="0" xfId="0" applyFont="1" applyFill="1"/>
    <xf numFmtId="0" fontId="50" fillId="0" borderId="35" xfId="15" applyNumberFormat="1" applyFont="1" applyFill="1" applyBorder="1" applyAlignment="1">
      <alignment horizontal="center" readingOrder="2"/>
    </xf>
    <xf numFmtId="0" fontId="47" fillId="0" borderId="0" xfId="15" applyFont="1" applyFill="1" applyBorder="1" applyAlignment="1">
      <alignment horizontal="center" vertical="center" wrapText="1"/>
    </xf>
    <xf numFmtId="0" fontId="36" fillId="0" borderId="0" xfId="15" applyFont="1" applyFill="1" applyBorder="1" applyAlignment="1">
      <alignment horizontal="center" vertical="center" wrapText="1"/>
    </xf>
    <xf numFmtId="0" fontId="50" fillId="0" borderId="0" xfId="15" applyFont="1" applyFill="1" applyBorder="1" applyAlignment="1">
      <alignment horizontal="center" vertical="center" wrapText="1"/>
    </xf>
    <xf numFmtId="0" fontId="33" fillId="0" borderId="0" xfId="15" applyFont="1" applyFill="1" applyBorder="1" applyAlignment="1">
      <alignment horizontal="center" vertical="center" wrapText="1"/>
    </xf>
    <xf numFmtId="0" fontId="212" fillId="0" borderId="0" xfId="0" applyFont="1"/>
    <xf numFmtId="0" fontId="50" fillId="0" borderId="0" xfId="15" applyFont="1" applyFill="1" applyBorder="1" applyAlignment="1">
      <alignment vertical="top" wrapText="1"/>
    </xf>
    <xf numFmtId="0" fontId="47" fillId="0" borderId="0" xfId="15" applyFont="1" applyFill="1" applyBorder="1" applyAlignment="1">
      <alignment horizontal="right" vertical="center" wrapText="1"/>
    </xf>
    <xf numFmtId="167" fontId="47" fillId="0" borderId="32" xfId="8" applyNumberFormat="1" applyFont="1" applyBorder="1" applyAlignment="1">
      <alignment horizontal="right" vertical="center" readingOrder="2"/>
    </xf>
    <xf numFmtId="0" fontId="127" fillId="0" borderId="0" xfId="15" applyFont="1"/>
    <xf numFmtId="0" fontId="54" fillId="0" borderId="0" xfId="15" applyFont="1"/>
    <xf numFmtId="0" fontId="109" fillId="0" borderId="0" xfId="15" applyFont="1" applyAlignment="1">
      <alignment horizontal="left" readingOrder="2"/>
    </xf>
    <xf numFmtId="0" fontId="128" fillId="0" borderId="0" xfId="15" applyFont="1" applyFill="1"/>
    <xf numFmtId="0" fontId="127" fillId="9" borderId="0" xfId="15" applyFont="1" applyFill="1" applyAlignment="1">
      <alignment vertical="top"/>
    </xf>
    <xf numFmtId="0" fontId="51" fillId="0" borderId="0" xfId="15" applyFont="1" applyAlignment="1">
      <alignment vertical="top"/>
    </xf>
    <xf numFmtId="0" fontId="51" fillId="0" borderId="0" xfId="15" applyFont="1" applyBorder="1" applyAlignment="1">
      <alignment vertical="top"/>
    </xf>
    <xf numFmtId="0" fontId="127" fillId="9" borderId="0" xfId="15" applyFont="1" applyFill="1" applyBorder="1" applyAlignment="1">
      <alignment vertical="top" readingOrder="2"/>
    </xf>
    <xf numFmtId="0" fontId="54" fillId="9" borderId="0" xfId="15" applyFont="1" applyFill="1" applyBorder="1" applyAlignment="1">
      <alignment vertical="top" readingOrder="2"/>
    </xf>
    <xf numFmtId="0" fontId="127" fillId="9" borderId="0" xfId="15" applyFont="1" applyFill="1" applyBorder="1" applyAlignment="1">
      <alignment vertical="center" readingOrder="2"/>
    </xf>
    <xf numFmtId="0" fontId="54" fillId="0" borderId="0" xfId="15" applyFont="1" applyFill="1" applyBorder="1" applyAlignment="1">
      <alignment vertical="center" readingOrder="2"/>
    </xf>
    <xf numFmtId="0" fontId="127" fillId="0" borderId="0" xfId="15" applyFont="1" applyFill="1" applyBorder="1" applyAlignment="1">
      <alignment readingOrder="2"/>
    </xf>
    <xf numFmtId="0" fontId="54" fillId="0" borderId="0" xfId="15" applyFont="1" applyFill="1" applyBorder="1" applyAlignment="1">
      <alignment readingOrder="2"/>
    </xf>
    <xf numFmtId="0" fontId="106" fillId="9" borderId="0" xfId="15" applyNumberFormat="1" applyFont="1" applyFill="1" applyAlignment="1">
      <alignment horizontal="left" vertical="top" wrapText="1" readingOrder="2"/>
    </xf>
    <xf numFmtId="0" fontId="106" fillId="9" borderId="0" xfId="15" applyFont="1" applyFill="1" applyAlignment="1">
      <alignment horizontal="left" vertical="top" wrapText="1" readingOrder="2"/>
    </xf>
    <xf numFmtId="0" fontId="60" fillId="0" borderId="0" xfId="8" applyFont="1" applyAlignment="1">
      <alignment horizontal="right" vertical="center" wrapText="1" readingOrder="2"/>
    </xf>
    <xf numFmtId="0" fontId="59" fillId="0" borderId="0" xfId="0" applyFont="1"/>
    <xf numFmtId="174" fontId="48" fillId="0" borderId="0" xfId="13" applyNumberFormat="1" applyFont="1" applyAlignment="1">
      <alignment horizontal="right" readingOrder="2"/>
    </xf>
    <xf numFmtId="0" fontId="59" fillId="0" borderId="0" xfId="0" applyFont="1" applyBorder="1"/>
    <xf numFmtId="164" fontId="31" fillId="0" borderId="0" xfId="36" applyNumberFormat="1" applyFont="1" applyBorder="1" applyAlignment="1">
      <alignment vertical="center"/>
    </xf>
    <xf numFmtId="167" fontId="31" fillId="0" borderId="0" xfId="36" applyNumberFormat="1" applyFont="1" applyBorder="1" applyAlignment="1">
      <alignment vertical="center"/>
    </xf>
    <xf numFmtId="0" fontId="46" fillId="0" borderId="0" xfId="0" applyFont="1" applyBorder="1"/>
    <xf numFmtId="164" fontId="46" fillId="0" borderId="0" xfId="0" applyNumberFormat="1" applyFont="1" applyBorder="1"/>
    <xf numFmtId="0" fontId="59" fillId="0" borderId="0" xfId="0" applyFont="1"/>
    <xf numFmtId="0" fontId="81" fillId="0" borderId="0" xfId="0" applyFont="1" applyAlignment="1">
      <alignment vertical="center"/>
    </xf>
    <xf numFmtId="0" fontId="32" fillId="0" borderId="0" xfId="14" applyFont="1" applyAlignment="1">
      <alignment horizontal="right" readingOrder="2"/>
    </xf>
    <xf numFmtId="0" fontId="213" fillId="0" borderId="0" xfId="0" applyFont="1"/>
    <xf numFmtId="0" fontId="214" fillId="9" borderId="0" xfId="15" applyFont="1" applyFill="1" applyAlignment="1">
      <alignment horizontal="left" vertical="top" wrapText="1" readingOrder="2"/>
    </xf>
    <xf numFmtId="0" fontId="216" fillId="0" borderId="0" xfId="0" applyFont="1"/>
    <xf numFmtId="0" fontId="143" fillId="10" borderId="19" xfId="3" applyFont="1" applyFill="1" applyBorder="1" applyAlignment="1" applyProtection="1">
      <alignment horizontal="right" vertical="center"/>
      <protection locked="0"/>
    </xf>
    <xf numFmtId="167" fontId="51" fillId="0" borderId="0" xfId="0" applyNumberFormat="1" applyFont="1"/>
    <xf numFmtId="164" fontId="217" fillId="18" borderId="0" xfId="0" applyNumberFormat="1" applyFont="1" applyFill="1"/>
    <xf numFmtId="0" fontId="59" fillId="0" borderId="0" xfId="0" applyFont="1"/>
    <xf numFmtId="0" fontId="162" fillId="0" borderId="0" xfId="0" applyFont="1" applyAlignment="1">
      <alignment vertical="top" wrapText="1"/>
    </xf>
    <xf numFmtId="168" fontId="49" fillId="22" borderId="19" xfId="10" applyNumberFormat="1" applyFont="1" applyFill="1" applyBorder="1" applyAlignment="1">
      <alignment horizontal="right" vertical="center"/>
    </xf>
    <xf numFmtId="0" fontId="34" fillId="0" borderId="0" xfId="15" applyFont="1" applyFill="1" applyBorder="1" applyAlignment="1">
      <alignment vertical="top" wrapText="1"/>
    </xf>
    <xf numFmtId="0" fontId="31" fillId="0" borderId="35" xfId="6" applyFont="1" applyBorder="1" applyAlignment="1"/>
    <xf numFmtId="0" fontId="31" fillId="0" borderId="35" xfId="6" applyFont="1" applyBorder="1" applyAlignment="1">
      <alignment horizontal="center" vertical="center"/>
    </xf>
    <xf numFmtId="0" fontId="138" fillId="0" borderId="0" xfId="7" applyFont="1" applyAlignment="1">
      <alignment horizontal="center" vertical="top"/>
    </xf>
    <xf numFmtId="0" fontId="56" fillId="0" borderId="0" xfId="7" applyFont="1" applyAlignment="1">
      <alignment horizontal="center" vertical="top"/>
    </xf>
    <xf numFmtId="0" fontId="59" fillId="0" borderId="0" xfId="0" applyFont="1"/>
    <xf numFmtId="49" fontId="150" fillId="0" borderId="0" xfId="6" applyNumberFormat="1" applyFont="1" applyBorder="1" applyAlignment="1">
      <alignment horizontal="right" vertical="center" readingOrder="2"/>
    </xf>
    <xf numFmtId="49" fontId="129" fillId="0" borderId="0" xfId="6" applyNumberFormat="1" applyFont="1" applyBorder="1" applyAlignment="1">
      <alignment horizontal="right" vertical="center" readingOrder="2"/>
    </xf>
    <xf numFmtId="164" fontId="43" fillId="9" borderId="34" xfId="6" applyNumberFormat="1" applyFont="1" applyFill="1" applyBorder="1" applyAlignment="1">
      <alignment vertical="center"/>
    </xf>
    <xf numFmtId="164" fontId="43" fillId="0" borderId="0" xfId="6" applyNumberFormat="1" applyFont="1" applyBorder="1" applyAlignment="1">
      <alignment vertical="center"/>
    </xf>
    <xf numFmtId="164" fontId="43" fillId="0" borderId="34" xfId="6" applyNumberFormat="1" applyFont="1" applyBorder="1" applyAlignment="1">
      <alignment vertical="center"/>
    </xf>
    <xf numFmtId="174" fontId="31" fillId="0" borderId="0" xfId="42" applyNumberFormat="1" applyFont="1" applyFill="1" applyAlignment="1">
      <alignment horizontal="center" vertical="center" readingOrder="2"/>
    </xf>
    <xf numFmtId="3" fontId="34" fillId="0" borderId="0" xfId="12" applyNumberFormat="1" applyFont="1" applyBorder="1" applyAlignment="1">
      <alignment horizontal="center" vertical="center" readingOrder="2"/>
    </xf>
    <xf numFmtId="3" fontId="34" fillId="0" borderId="0" xfId="8" applyNumberFormat="1" applyFont="1" applyAlignment="1">
      <alignment horizontal="center" vertical="center" readingOrder="2"/>
    </xf>
    <xf numFmtId="3" fontId="34" fillId="0" borderId="34" xfId="8" applyNumberFormat="1" applyFont="1" applyBorder="1" applyAlignment="1">
      <alignment horizontal="center" vertical="center" readingOrder="2"/>
    </xf>
    <xf numFmtId="3" fontId="34" fillId="9" borderId="0" xfId="8" applyNumberFormat="1" applyFont="1" applyFill="1" applyBorder="1" applyAlignment="1">
      <alignment vertical="center"/>
    </xf>
    <xf numFmtId="3" fontId="48" fillId="0" borderId="0" xfId="42" applyNumberFormat="1" applyFont="1" applyAlignment="1">
      <alignment horizontal="right"/>
    </xf>
    <xf numFmtId="3" fontId="48" fillId="0" borderId="0" xfId="42" applyNumberFormat="1" applyFont="1" applyFill="1" applyAlignment="1">
      <alignment horizontal="right"/>
    </xf>
    <xf numFmtId="174" fontId="52" fillId="0" borderId="0" xfId="13" applyNumberFormat="1" applyFont="1" applyAlignment="1">
      <alignment horizontal="right"/>
    </xf>
    <xf numFmtId="167" fontId="34" fillId="9" borderId="0" xfId="8" applyNumberFormat="1" applyFont="1" applyFill="1" applyBorder="1" applyAlignment="1">
      <alignment horizontal="center" vertical="center" readingOrder="2"/>
    </xf>
    <xf numFmtId="0" fontId="65" fillId="0" borderId="0" xfId="13" applyNumberFormat="1" applyFont="1" applyBorder="1" applyAlignment="1">
      <alignment horizontal="center" readingOrder="2"/>
    </xf>
    <xf numFmtId="0" fontId="33" fillId="0" borderId="0" xfId="13" applyFont="1" applyBorder="1" applyAlignment="1">
      <alignment horizontal="center"/>
    </xf>
    <xf numFmtId="174" fontId="34" fillId="0" borderId="0" xfId="42" applyNumberFormat="1" applyFont="1" applyBorder="1" applyAlignment="1">
      <alignment horizontal="right" readingOrder="2"/>
    </xf>
    <xf numFmtId="0" fontId="59" fillId="0" borderId="0" xfId="0" applyFont="1"/>
    <xf numFmtId="168" fontId="49" fillId="23" borderId="19" xfId="10" applyNumberFormat="1" applyFont="1" applyFill="1" applyBorder="1" applyAlignment="1">
      <alignment horizontal="right" vertical="center"/>
    </xf>
    <xf numFmtId="0" fontId="32" fillId="9" borderId="0" xfId="30" applyFont="1" applyFill="1" applyAlignment="1">
      <alignment horizontal="right" vertical="top" readingOrder="2"/>
    </xf>
    <xf numFmtId="0" fontId="95" fillId="0" borderId="0" xfId="0" applyFont="1" applyAlignment="1">
      <alignment horizontal="right" vertical="center" wrapText="1" readingOrder="2"/>
    </xf>
    <xf numFmtId="0" fontId="49" fillId="24" borderId="19" xfId="3" applyFont="1" applyFill="1" applyBorder="1" applyAlignment="1" applyProtection="1">
      <alignment horizontal="right" vertical="center"/>
      <protection locked="0"/>
    </xf>
    <xf numFmtId="0" fontId="64" fillId="0" borderId="0" xfId="0" applyFont="1" applyAlignment="1">
      <alignment horizontal="center"/>
    </xf>
    <xf numFmtId="0" fontId="137" fillId="0" borderId="0" xfId="0" applyFont="1" applyAlignment="1">
      <alignment vertical="center"/>
    </xf>
    <xf numFmtId="0" fontId="90" fillId="9" borderId="0" xfId="31" applyFont="1" applyFill="1"/>
    <xf numFmtId="0" fontId="90" fillId="9" borderId="0" xfId="31" applyFont="1" applyFill="1" applyAlignment="1">
      <alignment horizontal="right"/>
    </xf>
    <xf numFmtId="0" fontId="59" fillId="0" borderId="0" xfId="0" applyFont="1"/>
    <xf numFmtId="0" fontId="59" fillId="0" borderId="0" xfId="0" applyFont="1"/>
    <xf numFmtId="0" fontId="48" fillId="0" borderId="0" xfId="28" applyFont="1" applyBorder="1" applyAlignment="1">
      <alignment vertical="center"/>
    </xf>
    <xf numFmtId="0" fontId="59" fillId="0" borderId="0" xfId="0" applyFont="1"/>
    <xf numFmtId="0" fontId="32" fillId="0" borderId="0" xfId="6" applyFont="1" applyAlignment="1">
      <alignment horizontal="center" readingOrder="2"/>
    </xf>
    <xf numFmtId="0" fontId="59" fillId="0" borderId="0" xfId="0" applyFont="1"/>
    <xf numFmtId="0" fontId="31" fillId="0" borderId="35" xfId="6" applyFont="1" applyBorder="1" applyAlignment="1">
      <alignment horizontal="center"/>
    </xf>
    <xf numFmtId="0" fontId="60" fillId="9" borderId="0" xfId="12" applyFont="1" applyFill="1" applyAlignment="1">
      <alignment vertical="center" readingOrder="2"/>
    </xf>
    <xf numFmtId="174" fontId="31" fillId="9" borderId="0" xfId="42" applyNumberFormat="1" applyFont="1" applyFill="1" applyBorder="1" applyAlignment="1">
      <alignment horizontal="right" vertical="center"/>
    </xf>
    <xf numFmtId="0" fontId="84" fillId="0" borderId="0" xfId="0" applyFont="1" applyFill="1" applyAlignment="1">
      <alignment vertical="center"/>
    </xf>
    <xf numFmtId="164" fontId="31" fillId="0" borderId="0" xfId="17" applyNumberFormat="1" applyFont="1" applyFill="1" applyBorder="1" applyAlignment="1">
      <alignment horizontal="center" vertical="center"/>
    </xf>
    <xf numFmtId="164" fontId="31" fillId="0" borderId="34" xfId="17" applyNumberFormat="1" applyFont="1" applyFill="1" applyBorder="1" applyAlignment="1">
      <alignment horizontal="center" vertical="center"/>
    </xf>
    <xf numFmtId="0" fontId="34" fillId="0" borderId="0" xfId="8" applyFont="1" applyAlignment="1">
      <alignment horizontal="left" readingOrder="2"/>
    </xf>
    <xf numFmtId="164" fontId="35" fillId="9" borderId="24" xfId="34" applyNumberFormat="1" applyFont="1" applyFill="1" applyBorder="1" applyAlignment="1">
      <alignment horizontal="center" vertical="center"/>
    </xf>
    <xf numFmtId="0" fontId="48" fillId="9" borderId="61" xfId="34" applyFont="1" applyFill="1" applyBorder="1" applyAlignment="1">
      <alignment horizontal="center" vertical="top" wrapText="1"/>
    </xf>
    <xf numFmtId="0" fontId="60" fillId="9" borderId="38" xfId="34" applyFont="1" applyFill="1" applyBorder="1" applyAlignment="1">
      <alignment horizontal="center" vertical="center" wrapText="1"/>
    </xf>
    <xf numFmtId="0" fontId="48" fillId="9" borderId="48" xfId="34" applyFont="1" applyFill="1" applyBorder="1" applyAlignment="1">
      <alignment horizontal="right" vertical="center" wrapText="1"/>
    </xf>
    <xf numFmtId="0" fontId="48" fillId="9" borderId="17" xfId="34" applyFont="1" applyFill="1" applyBorder="1" applyAlignment="1">
      <alignment horizontal="right" vertical="center" wrapText="1"/>
    </xf>
    <xf numFmtId="164" fontId="35" fillId="9" borderId="17" xfId="34" applyNumberFormat="1" applyFont="1" applyFill="1" applyBorder="1" applyAlignment="1">
      <alignment horizontal="center" vertical="center"/>
    </xf>
    <xf numFmtId="3" fontId="35" fillId="9" borderId="17" xfId="34" applyNumberFormat="1" applyFont="1" applyFill="1" applyBorder="1" applyAlignment="1">
      <alignment horizontal="right" vertical="center"/>
    </xf>
    <xf numFmtId="3" fontId="35" fillId="9" borderId="48" xfId="34" applyNumberFormat="1" applyFont="1" applyFill="1" applyBorder="1" applyAlignment="1">
      <alignment horizontal="left" vertical="center" wrapText="1"/>
    </xf>
    <xf numFmtId="0" fontId="218" fillId="0" borderId="0" xfId="5" applyFont="1" applyAlignment="1">
      <alignment vertical="top" readingOrder="2"/>
    </xf>
    <xf numFmtId="164" fontId="40" fillId="0" borderId="0" xfId="6" applyNumberFormat="1" applyFont="1" applyBorder="1" applyAlignment="1">
      <alignment vertical="center"/>
    </xf>
    <xf numFmtId="49" fontId="40" fillId="0" borderId="0" xfId="6" applyNumberFormat="1" applyFont="1" applyBorder="1" applyAlignment="1">
      <alignment vertical="center"/>
    </xf>
    <xf numFmtId="0" fontId="32" fillId="0" borderId="0" xfId="11" applyFont="1" applyAlignment="1">
      <alignment horizontal="center" readingOrder="2"/>
    </xf>
    <xf numFmtId="0" fontId="133" fillId="9" borderId="0" xfId="19" applyFont="1" applyFill="1" applyBorder="1" applyAlignment="1">
      <alignment horizontal="right" vertical="center" wrapText="1"/>
    </xf>
    <xf numFmtId="0" fontId="133" fillId="9" borderId="0" xfId="19" applyFont="1" applyFill="1" applyBorder="1" applyAlignment="1">
      <alignment horizontal="right" vertical="center" wrapText="1" readingOrder="2"/>
    </xf>
    <xf numFmtId="0" fontId="133" fillId="9" borderId="0" xfId="0" applyFont="1" applyFill="1"/>
    <xf numFmtId="0" fontId="133" fillId="9" borderId="0" xfId="0" applyFont="1" applyFill="1" applyBorder="1"/>
    <xf numFmtId="0" fontId="29" fillId="0" borderId="0" xfId="5" applyFont="1" applyFill="1" applyAlignment="1">
      <alignment horizontal="left" vertical="center" readingOrder="2"/>
    </xf>
    <xf numFmtId="0" fontId="31" fillId="0" borderId="0" xfId="13" applyFont="1" applyAlignment="1">
      <alignment vertical="center" readingOrder="2"/>
    </xf>
    <xf numFmtId="0" fontId="48" fillId="9" borderId="0" xfId="0" applyFont="1" applyFill="1"/>
    <xf numFmtId="0" fontId="30" fillId="9" borderId="0" xfId="31" applyFont="1" applyFill="1" applyAlignment="1">
      <alignment horizontal="left" vertical="top" readingOrder="2"/>
    </xf>
    <xf numFmtId="0" fontId="68" fillId="9" borderId="0" xfId="0" applyFont="1" applyFill="1" applyAlignment="1">
      <alignment vertical="top"/>
    </xf>
    <xf numFmtId="3" fontId="48" fillId="9" borderId="51" xfId="34" applyNumberFormat="1" applyFont="1" applyFill="1" applyBorder="1" applyAlignment="1">
      <alignment horizontal="left" vertical="center" wrapText="1"/>
    </xf>
    <xf numFmtId="167" fontId="27" fillId="0" borderId="0" xfId="8" applyNumberFormat="1" applyFont="1" applyAlignment="1">
      <alignment horizontal="right" vertical="top" readingOrder="2"/>
    </xf>
    <xf numFmtId="0" fontId="59" fillId="0" borderId="0" xfId="0" applyFont="1" applyBorder="1" applyAlignment="1">
      <alignment vertical="top"/>
    </xf>
    <xf numFmtId="0" fontId="27" fillId="0" borderId="0" xfId="15" applyFont="1" applyFill="1" applyBorder="1" applyAlignment="1">
      <alignment vertical="top" wrapText="1"/>
    </xf>
    <xf numFmtId="164" fontId="59" fillId="0" borderId="0" xfId="15" applyNumberFormat="1" applyFont="1" applyFill="1" applyBorder="1" applyAlignment="1">
      <alignment vertical="top"/>
    </xf>
    <xf numFmtId="0" fontId="79" fillId="0" borderId="0" xfId="0" applyFont="1" applyAlignment="1">
      <alignment horizontal="left" vertical="top"/>
    </xf>
    <xf numFmtId="0" fontId="59" fillId="0" borderId="0" xfId="0" applyFont="1"/>
    <xf numFmtId="0" fontId="39" fillId="0" borderId="0" xfId="0" applyFont="1" applyAlignment="1">
      <alignment horizontal="right" vertical="center" wrapText="1" readingOrder="2"/>
    </xf>
    <xf numFmtId="0" fontId="37" fillId="0" borderId="0" xfId="33" applyFont="1" applyAlignment="1">
      <alignment horizontal="right" vertical="center" readingOrder="2"/>
    </xf>
    <xf numFmtId="0" fontId="32" fillId="9" borderId="0" xfId="14" applyFont="1" applyFill="1" applyAlignment="1">
      <alignment horizontal="center" readingOrder="2"/>
    </xf>
    <xf numFmtId="0" fontId="31" fillId="9" borderId="0" xfId="25" applyFont="1" applyFill="1" applyAlignment="1">
      <alignment horizontal="right" vertical="top" wrapText="1" readingOrder="2"/>
    </xf>
    <xf numFmtId="164" fontId="118" fillId="0" borderId="0" xfId="6" applyNumberFormat="1" applyFont="1" applyBorder="1" applyAlignment="1">
      <alignment vertical="center"/>
    </xf>
    <xf numFmtId="167" fontId="27" fillId="0" borderId="0" xfId="8" applyNumberFormat="1" applyFont="1" applyBorder="1" applyAlignment="1">
      <alignment horizontal="right" vertical="top" readingOrder="2"/>
    </xf>
    <xf numFmtId="167" fontId="47" fillId="0" borderId="36" xfId="8" applyNumberFormat="1" applyFont="1" applyBorder="1" applyAlignment="1">
      <alignment horizontal="right" vertical="top" readingOrder="2"/>
    </xf>
    <xf numFmtId="167" fontId="146" fillId="9" borderId="0" xfId="8" applyNumberFormat="1" applyFont="1" applyFill="1" applyBorder="1" applyAlignment="1">
      <alignment horizontal="right" vertical="top" readingOrder="2"/>
    </xf>
    <xf numFmtId="167" fontId="46" fillId="0" borderId="34" xfId="0" applyNumberFormat="1" applyFont="1" applyBorder="1"/>
    <xf numFmtId="167" fontId="47" fillId="0" borderId="68" xfId="8" applyNumberFormat="1" applyFont="1" applyBorder="1" applyAlignment="1">
      <alignment horizontal="right" vertical="center" readingOrder="2"/>
    </xf>
    <xf numFmtId="0" fontId="46" fillId="0" borderId="0" xfId="0" applyFont="1" applyBorder="1" applyAlignment="1">
      <alignment vertical="top"/>
    </xf>
    <xf numFmtId="0" fontId="131" fillId="9" borderId="0" xfId="19" applyFont="1" applyFill="1" applyAlignment="1">
      <alignment vertical="center" readingOrder="2"/>
    </xf>
    <xf numFmtId="0" fontId="131" fillId="9" borderId="0" xfId="19" applyFont="1" applyFill="1" applyAlignment="1">
      <alignment horizontal="right" vertical="center" readingOrder="2"/>
    </xf>
    <xf numFmtId="0" fontId="230" fillId="9" borderId="0" xfId="19" applyFont="1" applyFill="1" applyAlignment="1">
      <alignment vertical="top" readingOrder="2"/>
    </xf>
    <xf numFmtId="0" fontId="230" fillId="9" borderId="0" xfId="19" applyNumberFormat="1" applyFont="1" applyFill="1" applyBorder="1" applyAlignment="1">
      <alignment horizontal="center" vertical="center" readingOrder="2"/>
    </xf>
    <xf numFmtId="0" fontId="231" fillId="9" borderId="0" xfId="0" applyFont="1" applyFill="1"/>
    <xf numFmtId="0" fontId="232" fillId="9" borderId="0" xfId="0" applyFont="1" applyFill="1"/>
    <xf numFmtId="164" fontId="163" fillId="9" borderId="0" xfId="6" applyNumberFormat="1" applyFont="1" applyFill="1" applyBorder="1" applyAlignment="1">
      <alignment vertical="center"/>
    </xf>
    <xf numFmtId="0" fontId="232" fillId="0" borderId="0" xfId="0" applyFont="1"/>
    <xf numFmtId="0" fontId="163" fillId="9" borderId="35" xfId="30" applyFont="1" applyFill="1" applyBorder="1" applyAlignment="1">
      <alignment horizontal="center" readingOrder="2"/>
    </xf>
    <xf numFmtId="0" fontId="29" fillId="9" borderId="0" xfId="31" applyFont="1" applyFill="1" applyAlignment="1">
      <alignment horizontal="right" vertical="center" readingOrder="2"/>
    </xf>
    <xf numFmtId="0" fontId="236" fillId="9" borderId="0" xfId="0" applyFont="1" applyFill="1"/>
    <xf numFmtId="0" fontId="239" fillId="0" borderId="0" xfId="0" applyFont="1" applyAlignment="1">
      <alignment horizontal="right" vertical="center" wrapText="1" readingOrder="2"/>
    </xf>
    <xf numFmtId="0" fontId="240" fillId="9" borderId="0" xfId="31" applyFont="1" applyFill="1"/>
    <xf numFmtId="0" fontId="239" fillId="9" borderId="0" xfId="0" applyFont="1" applyFill="1"/>
    <xf numFmtId="0" fontId="37" fillId="0" borderId="0" xfId="0" applyFont="1" applyAlignment="1">
      <alignment horizontal="right" vertical="center" wrapText="1" readingOrder="2"/>
    </xf>
    <xf numFmtId="164" fontId="29" fillId="9" borderId="0" xfId="27" applyNumberFormat="1" applyFont="1" applyFill="1" applyBorder="1" applyAlignment="1">
      <alignment vertical="center"/>
    </xf>
    <xf numFmtId="0" fontId="169" fillId="9" borderId="0" xfId="0" applyFont="1" applyFill="1"/>
    <xf numFmtId="0" fontId="95" fillId="0" borderId="35" xfId="0" applyFont="1" applyBorder="1" applyAlignment="1">
      <alignment horizontal="center" vertical="center" wrapText="1" readingOrder="2"/>
    </xf>
    <xf numFmtId="0" fontId="95" fillId="0" borderId="0" xfId="0" applyFont="1" applyBorder="1" applyAlignment="1">
      <alignment vertical="center" wrapText="1" readingOrder="2"/>
    </xf>
    <xf numFmtId="0" fontId="42" fillId="9" borderId="0" xfId="31" applyFont="1" applyFill="1" applyAlignment="1">
      <alignment vertical="center"/>
    </xf>
    <xf numFmtId="164" fontId="32" fillId="9" borderId="0" xfId="27" applyNumberFormat="1" applyFont="1" applyFill="1" applyBorder="1" applyAlignment="1">
      <alignment vertical="center"/>
    </xf>
    <xf numFmtId="0" fontId="80" fillId="0" borderId="0" xfId="0" applyFont="1"/>
    <xf numFmtId="0" fontId="211" fillId="9" borderId="0" xfId="0" applyFont="1" applyFill="1"/>
    <xf numFmtId="0" fontId="211" fillId="9" borderId="0" xfId="19" applyFont="1" applyFill="1" applyBorder="1" applyAlignment="1">
      <alignment horizontal="right" vertical="center" readingOrder="2"/>
    </xf>
    <xf numFmtId="0" fontId="241" fillId="9" borderId="0" xfId="0" applyFont="1" applyFill="1"/>
    <xf numFmtId="0" fontId="43" fillId="9" borderId="0" xfId="25" applyFont="1" applyFill="1" applyAlignment="1">
      <alignment horizontal="right" vertical="top"/>
    </xf>
    <xf numFmtId="0" fontId="43" fillId="0" borderId="0" xfId="13" applyFont="1" applyAlignment="1">
      <alignment vertical="center" readingOrder="2"/>
    </xf>
    <xf numFmtId="0" fontId="89" fillId="0" borderId="0" xfId="8" applyFont="1" applyAlignment="1">
      <alignment horizontal="right" vertical="center" wrapText="1" readingOrder="2"/>
    </xf>
    <xf numFmtId="0" fontId="43" fillId="9" borderId="0" xfId="25" applyFont="1" applyFill="1" applyAlignment="1">
      <alignment horizontal="right" vertical="center" readingOrder="2"/>
    </xf>
    <xf numFmtId="0" fontId="43" fillId="9" borderId="0" xfId="25" applyFont="1" applyFill="1" applyAlignment="1">
      <alignment vertical="top"/>
    </xf>
    <xf numFmtId="0" fontId="43" fillId="9" borderId="0" xfId="25" applyFont="1" applyFill="1" applyAlignment="1">
      <alignment horizontal="right" vertical="top" wrapText="1" readingOrder="2"/>
    </xf>
    <xf numFmtId="164" fontId="150" fillId="0" borderId="0" xfId="14" applyNumberFormat="1" applyFont="1" applyBorder="1" applyAlignment="1">
      <alignment horizontal="right" vertical="center"/>
    </xf>
    <xf numFmtId="0" fontId="43" fillId="9" borderId="0" xfId="25" applyFont="1" applyFill="1" applyAlignment="1">
      <alignment vertical="center"/>
    </xf>
    <xf numFmtId="0" fontId="32" fillId="9" borderId="0" xfId="25" applyFont="1" applyFill="1" applyAlignment="1">
      <alignment horizontal="left" vertical="center" readingOrder="2"/>
    </xf>
    <xf numFmtId="0" fontId="32" fillId="9" borderId="0" xfId="25" applyFont="1" applyFill="1" applyAlignment="1">
      <alignment vertical="top"/>
    </xf>
    <xf numFmtId="164" fontId="39" fillId="0" borderId="0" xfId="14" applyNumberFormat="1" applyFont="1" applyBorder="1" applyAlignment="1">
      <alignment horizontal="right" vertical="center"/>
    </xf>
    <xf numFmtId="0" fontId="32" fillId="9" borderId="0" xfId="25" applyFont="1" applyFill="1" applyAlignment="1">
      <alignment vertical="center"/>
    </xf>
    <xf numFmtId="164" fontId="39" fillId="0" borderId="0" xfId="14" applyNumberFormat="1" applyFont="1" applyBorder="1" applyAlignment="1">
      <alignment horizontal="right" vertical="top"/>
    </xf>
    <xf numFmtId="0" fontId="31" fillId="9" borderId="0" xfId="25" applyFont="1" applyFill="1" applyAlignment="1">
      <alignment vertical="top" wrapText="1" readingOrder="2"/>
    </xf>
    <xf numFmtId="0" fontId="43" fillId="0" borderId="0" xfId="13" applyFont="1" applyAlignment="1">
      <alignment horizontal="right" vertical="center" readingOrder="2"/>
    </xf>
    <xf numFmtId="0" fontId="32" fillId="0" borderId="0" xfId="6" applyFont="1" applyAlignment="1">
      <alignment horizontal="center" readingOrder="2"/>
    </xf>
    <xf numFmtId="0" fontId="59" fillId="0" borderId="0" xfId="0" applyFont="1"/>
    <xf numFmtId="0" fontId="31" fillId="0" borderId="0" xfId="6" applyFont="1" applyBorder="1" applyAlignment="1">
      <alignment horizontal="center"/>
    </xf>
    <xf numFmtId="164" fontId="43" fillId="9" borderId="0" xfId="6" applyNumberFormat="1" applyFont="1" applyFill="1" applyBorder="1" applyAlignment="1">
      <alignment vertical="center"/>
    </xf>
    <xf numFmtId="0" fontId="49" fillId="0" borderId="0" xfId="8" applyFont="1" applyAlignment="1">
      <alignment horizontal="right" vertical="center" readingOrder="2"/>
    </xf>
    <xf numFmtId="0" fontId="48" fillId="9" borderId="0" xfId="26" applyFont="1" applyFill="1" applyAlignment="1">
      <alignment horizontal="right" vertical="top" wrapText="1" readingOrder="2"/>
    </xf>
    <xf numFmtId="0" fontId="48" fillId="9" borderId="0" xfId="26" applyFont="1" applyFill="1" applyAlignment="1">
      <alignment horizontal="right" vertical="top" wrapText="1" readingOrder="2"/>
    </xf>
    <xf numFmtId="0" fontId="48" fillId="9" borderId="0" xfId="26" applyFont="1" applyFill="1" applyAlignment="1">
      <alignment horizontal="center" vertical="top" wrapText="1" readingOrder="2"/>
    </xf>
    <xf numFmtId="49" fontId="60" fillId="9" borderId="0" xfId="25" applyNumberFormat="1" applyFont="1" applyFill="1" applyAlignment="1">
      <alignment horizontal="left" vertical="top" readingOrder="2"/>
    </xf>
    <xf numFmtId="0" fontId="60" fillId="9" borderId="0" xfId="26" applyFont="1" applyFill="1" applyAlignment="1">
      <alignment horizontal="center" vertical="top" wrapText="1" readingOrder="2"/>
    </xf>
    <xf numFmtId="4" fontId="48" fillId="9" borderId="0" xfId="26" applyNumberFormat="1" applyFont="1" applyFill="1" applyAlignment="1">
      <alignment vertical="center" wrapText="1" readingOrder="2"/>
    </xf>
    <xf numFmtId="4" fontId="48" fillId="9" borderId="0" xfId="26" applyNumberFormat="1" applyFont="1" applyFill="1" applyBorder="1" applyAlignment="1">
      <alignment vertical="top" wrapText="1" readingOrder="2"/>
    </xf>
    <xf numFmtId="0" fontId="48" fillId="9" borderId="32" xfId="26" applyFont="1" applyFill="1" applyBorder="1" applyAlignment="1">
      <alignment horizontal="center" vertical="top" wrapText="1" readingOrder="2"/>
    </xf>
    <xf numFmtId="0" fontId="48" fillId="9" borderId="36" xfId="26" applyFont="1" applyFill="1" applyBorder="1" applyAlignment="1">
      <alignment horizontal="center" vertical="top" wrapText="1" readingOrder="2"/>
    </xf>
    <xf numFmtId="3" fontId="35" fillId="9" borderId="34" xfId="17" applyNumberFormat="1" applyFont="1" applyFill="1" applyBorder="1" applyAlignment="1">
      <alignment horizontal="right" vertical="center"/>
    </xf>
    <xf numFmtId="0" fontId="60" fillId="9" borderId="0" xfId="26" applyFont="1" applyFill="1" applyAlignment="1">
      <alignment horizontal="center" vertical="top" wrapText="1" readingOrder="2"/>
    </xf>
    <xf numFmtId="0" fontId="48" fillId="9" borderId="0" xfId="26" applyFont="1" applyFill="1" applyBorder="1" applyAlignment="1">
      <alignment horizontal="center" vertical="top" wrapText="1" readingOrder="2"/>
    </xf>
    <xf numFmtId="0" fontId="128" fillId="9" borderId="0" xfId="26" applyFont="1" applyFill="1" applyAlignment="1">
      <alignment horizontal="right" vertical="center"/>
    </xf>
    <xf numFmtId="0" fontId="51" fillId="9" borderId="0" xfId="0" applyFont="1" applyFill="1" applyAlignment="1">
      <alignment horizontal="right" vertical="center"/>
    </xf>
    <xf numFmtId="0" fontId="78" fillId="0" borderId="0" xfId="0" applyFont="1" applyBorder="1" applyAlignment="1">
      <alignment vertical="center" wrapText="1" readingOrder="2"/>
    </xf>
    <xf numFmtId="0" fontId="74" fillId="9" borderId="0" xfId="0" applyFont="1" applyFill="1"/>
    <xf numFmtId="0" fontId="74" fillId="0" borderId="0" xfId="0" applyFont="1" applyBorder="1" applyAlignment="1">
      <alignment vertical="center" wrapText="1" readingOrder="2"/>
    </xf>
    <xf numFmtId="3" fontId="49" fillId="12" borderId="24" xfId="3" applyNumberFormat="1" applyFont="1" applyFill="1" applyBorder="1" applyAlignment="1" applyProtection="1">
      <alignment horizontal="right" vertical="center"/>
      <protection locked="0"/>
    </xf>
    <xf numFmtId="3" fontId="49" fillId="9" borderId="19" xfId="10" applyNumberFormat="1" applyFont="1" applyFill="1" applyBorder="1" applyAlignment="1">
      <alignment horizontal="right" vertical="center"/>
    </xf>
    <xf numFmtId="3" fontId="63" fillId="14" borderId="19" xfId="10" applyNumberFormat="1" applyFont="1" applyFill="1" applyBorder="1" applyAlignment="1">
      <alignment horizontal="right" vertical="center"/>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0" fontId="31" fillId="0" borderId="35" xfId="6" applyFont="1" applyBorder="1" applyAlignment="1">
      <alignment horizontal="center"/>
    </xf>
    <xf numFmtId="0" fontId="64" fillId="0" borderId="0" xfId="16" applyFont="1" applyAlignment="1">
      <alignment horizontal="left"/>
    </xf>
    <xf numFmtId="0" fontId="59" fillId="0" borderId="0" xfId="0" applyFont="1"/>
    <xf numFmtId="0" fontId="51" fillId="0" borderId="0" xfId="0" applyFont="1" applyBorder="1"/>
    <xf numFmtId="167" fontId="35" fillId="9" borderId="19" xfId="8" applyNumberFormat="1" applyFont="1" applyFill="1" applyBorder="1" applyAlignment="1">
      <alignment horizontal="right" vertical="top" readingOrder="2"/>
    </xf>
    <xf numFmtId="1" fontId="35" fillId="9" borderId="19" xfId="8" applyNumberFormat="1" applyFont="1" applyFill="1" applyBorder="1" applyAlignment="1">
      <alignment horizontal="right" vertical="top" readingOrder="2"/>
    </xf>
    <xf numFmtId="167" fontId="35" fillId="9" borderId="46" xfId="8" applyNumberFormat="1" applyFont="1" applyFill="1" applyBorder="1" applyAlignment="1">
      <alignment horizontal="right" vertical="top" readingOrder="2"/>
    </xf>
    <xf numFmtId="167" fontId="35" fillId="9" borderId="24" xfId="8" applyNumberFormat="1" applyFont="1" applyFill="1" applyBorder="1" applyAlignment="1">
      <alignment horizontal="right" vertical="top" readingOrder="2"/>
    </xf>
    <xf numFmtId="167" fontId="35" fillId="0" borderId="24" xfId="8" applyNumberFormat="1" applyFont="1" applyFill="1" applyBorder="1" applyAlignment="1">
      <alignment horizontal="right" vertical="top" readingOrder="2"/>
    </xf>
    <xf numFmtId="167" fontId="35" fillId="9" borderId="24" xfId="8" applyNumberFormat="1" applyFont="1" applyFill="1" applyBorder="1" applyAlignment="1">
      <alignment horizontal="center" vertical="top" readingOrder="2"/>
    </xf>
    <xf numFmtId="167" fontId="35" fillId="9" borderId="28" xfId="8" applyNumberFormat="1" applyFont="1" applyFill="1" applyBorder="1" applyAlignment="1">
      <alignment horizontal="center" vertical="top" readingOrder="2"/>
    </xf>
    <xf numFmtId="0" fontId="60" fillId="9" borderId="37" xfId="34" applyFont="1" applyFill="1" applyBorder="1" applyAlignment="1">
      <alignment horizontal="right" vertical="center" wrapText="1"/>
    </xf>
    <xf numFmtId="167" fontId="35" fillId="0" borderId="19" xfId="8" applyNumberFormat="1" applyFont="1" applyFill="1" applyBorder="1" applyAlignment="1">
      <alignment horizontal="right" vertical="top" readingOrder="2"/>
    </xf>
    <xf numFmtId="167" fontId="35" fillId="9" borderId="19" xfId="8" applyNumberFormat="1" applyFont="1" applyFill="1" applyBorder="1" applyAlignment="1">
      <alignment horizontal="center" vertical="top" readingOrder="2"/>
    </xf>
    <xf numFmtId="167" fontId="35" fillId="9" borderId="43" xfId="8" applyNumberFormat="1" applyFont="1" applyFill="1" applyBorder="1" applyAlignment="1">
      <alignment horizontal="center" vertical="top" readingOrder="2"/>
    </xf>
    <xf numFmtId="0" fontId="60" fillId="9" borderId="31" xfId="34" applyFont="1" applyFill="1" applyBorder="1" applyAlignment="1">
      <alignment horizontal="right" vertical="center" wrapText="1"/>
    </xf>
    <xf numFmtId="0" fontId="68" fillId="0" borderId="0" xfId="0" applyFont="1" applyAlignment="1">
      <alignment horizontal="left"/>
    </xf>
    <xf numFmtId="167" fontId="35" fillId="9" borderId="25" xfId="8" applyNumberFormat="1" applyFont="1" applyFill="1" applyBorder="1" applyAlignment="1">
      <alignment horizontal="right" vertical="top" readingOrder="2"/>
    </xf>
    <xf numFmtId="167" fontId="35" fillId="9" borderId="51" xfId="8" applyNumberFormat="1" applyFont="1" applyFill="1" applyBorder="1" applyAlignment="1">
      <alignment horizontal="right" vertical="top" readingOrder="2"/>
    </xf>
    <xf numFmtId="167" fontId="35" fillId="0" borderId="51" xfId="8" applyNumberFormat="1" applyFont="1" applyFill="1" applyBorder="1" applyAlignment="1">
      <alignment horizontal="right" vertical="top" readingOrder="2"/>
    </xf>
    <xf numFmtId="167" fontId="35" fillId="9" borderId="30" xfId="8" applyNumberFormat="1" applyFont="1" applyFill="1" applyBorder="1" applyAlignment="1">
      <alignment horizontal="right" vertical="top" readingOrder="2"/>
    </xf>
    <xf numFmtId="167" fontId="35" fillId="9" borderId="48" xfId="8" applyNumberFormat="1" applyFont="1" applyFill="1" applyBorder="1" applyAlignment="1">
      <alignment horizontal="center" vertical="top" readingOrder="2"/>
    </xf>
    <xf numFmtId="167" fontId="35" fillId="9" borderId="47" xfId="8" applyNumberFormat="1" applyFont="1" applyFill="1" applyBorder="1" applyAlignment="1">
      <alignment horizontal="right" vertical="top" readingOrder="2"/>
    </xf>
    <xf numFmtId="167" fontId="35" fillId="9" borderId="48" xfId="8" applyNumberFormat="1" applyFont="1" applyFill="1" applyBorder="1" applyAlignment="1">
      <alignment horizontal="right" vertical="top" readingOrder="2"/>
    </xf>
    <xf numFmtId="167" fontId="35" fillId="0" borderId="48" xfId="8" applyNumberFormat="1" applyFont="1" applyFill="1" applyBorder="1" applyAlignment="1">
      <alignment horizontal="right" vertical="top" readingOrder="2"/>
    </xf>
    <xf numFmtId="167" fontId="35" fillId="9" borderId="3" xfId="8" applyNumberFormat="1" applyFont="1" applyFill="1" applyBorder="1" applyAlignment="1">
      <alignment horizontal="center" vertical="top" readingOrder="2"/>
    </xf>
    <xf numFmtId="0" fontId="60" fillId="9" borderId="39" xfId="34" applyFont="1" applyFill="1" applyBorder="1" applyAlignment="1">
      <alignment horizontal="right" vertical="center" wrapText="1"/>
    </xf>
    <xf numFmtId="1" fontId="35" fillId="9" borderId="16" xfId="8" applyNumberFormat="1" applyFont="1" applyFill="1" applyBorder="1" applyAlignment="1">
      <alignment horizontal="right" vertical="top" readingOrder="2"/>
    </xf>
    <xf numFmtId="0" fontId="68" fillId="0" borderId="0" xfId="0" applyFont="1" applyAlignment="1">
      <alignment horizontal="center"/>
    </xf>
    <xf numFmtId="0" fontId="60" fillId="9" borderId="31" xfId="16" applyFont="1" applyFill="1" applyBorder="1" applyAlignment="1">
      <alignment horizontal="right" vertical="center" wrapText="1"/>
    </xf>
    <xf numFmtId="2" fontId="50" fillId="9" borderId="19" xfId="16" applyNumberFormat="1" applyFont="1" applyFill="1" applyBorder="1" applyAlignment="1">
      <alignment horizontal="center" vertical="center" wrapText="1"/>
    </xf>
    <xf numFmtId="166" fontId="50" fillId="9" borderId="19" xfId="16" applyNumberFormat="1" applyFont="1" applyFill="1" applyBorder="1" applyAlignment="1">
      <alignment horizontal="center" vertical="center" readingOrder="2"/>
    </xf>
    <xf numFmtId="0" fontId="122" fillId="9" borderId="19" xfId="0" applyFont="1" applyFill="1" applyBorder="1" applyAlignment="1">
      <alignment horizontal="center" vertical="center"/>
    </xf>
    <xf numFmtId="0" fontId="122" fillId="9" borderId="43" xfId="0" applyFont="1" applyFill="1" applyBorder="1" applyAlignment="1">
      <alignment horizontal="center" vertical="center"/>
    </xf>
    <xf numFmtId="0" fontId="69" fillId="0" borderId="35" xfId="28" applyFont="1" applyBorder="1" applyAlignment="1">
      <alignment horizontal="center" vertical="center" wrapText="1" readingOrder="2"/>
    </xf>
    <xf numFmtId="0" fontId="107" fillId="9" borderId="0" xfId="14" applyFont="1" applyFill="1"/>
    <xf numFmtId="0" fontId="10" fillId="0" borderId="0" xfId="1" applyFont="1" applyBorder="1" applyAlignment="1" applyProtection="1">
      <alignment horizontal="center" vertical="center" readingOrder="2"/>
    </xf>
    <xf numFmtId="0" fontId="48" fillId="0" borderId="0" xfId="15" applyFont="1" applyFill="1" applyBorder="1" applyAlignment="1">
      <alignment readingOrder="2"/>
    </xf>
    <xf numFmtId="0" fontId="44" fillId="0" borderId="0" xfId="15" applyFont="1" applyFill="1" applyBorder="1" applyAlignment="1">
      <alignment readingOrder="2"/>
    </xf>
    <xf numFmtId="0" fontId="34" fillId="0" borderId="35" xfId="12" applyNumberFormat="1" applyFont="1" applyBorder="1" applyAlignment="1">
      <alignment horizontal="center" vertical="center" wrapText="1" readingOrder="2"/>
    </xf>
    <xf numFmtId="0" fontId="147" fillId="0" borderId="0" xfId="14" applyFont="1" applyAlignment="1">
      <alignment horizontal="right"/>
    </xf>
    <xf numFmtId="0" fontId="163" fillId="9" borderId="35" xfId="30" applyFont="1" applyFill="1" applyBorder="1" applyAlignment="1">
      <alignment horizontal="center" wrapText="1" readingOrder="2"/>
    </xf>
    <xf numFmtId="0" fontId="103" fillId="0" borderId="0" xfId="15" applyFont="1" applyAlignment="1">
      <alignment readingOrder="2"/>
    </xf>
    <xf numFmtId="0" fontId="103" fillId="0" borderId="0" xfId="15" applyFont="1" applyFill="1" applyAlignment="1">
      <alignment horizontal="right" readingOrder="2"/>
    </xf>
    <xf numFmtId="3" fontId="44" fillId="0" borderId="0" xfId="13" applyNumberFormat="1" applyFont="1" applyAlignment="1">
      <alignment horizontal="right"/>
    </xf>
    <xf numFmtId="164" fontId="243" fillId="0" borderId="0" xfId="0" applyNumberFormat="1" applyFont="1"/>
    <xf numFmtId="0" fontId="123" fillId="0" borderId="0" xfId="0" applyFont="1" applyAlignment="1">
      <alignment horizontal="right"/>
    </xf>
    <xf numFmtId="0" fontId="108" fillId="0" borderId="0" xfId="0" applyFont="1"/>
    <xf numFmtId="49" fontId="60" fillId="0" borderId="0" xfId="28" applyNumberFormat="1" applyFont="1" applyAlignment="1">
      <alignment vertical="center"/>
    </xf>
    <xf numFmtId="49" fontId="35" fillId="0" borderId="0" xfId="28" applyNumberFormat="1" applyFont="1" applyAlignment="1">
      <alignment vertical="top"/>
    </xf>
    <xf numFmtId="0" fontId="48" fillId="0" borderId="0" xfId="28" applyFont="1" applyAlignment="1">
      <alignment horizontal="right" vertical="top" readingOrder="2"/>
    </xf>
    <xf numFmtId="0" fontId="81" fillId="9" borderId="0" xfId="15" applyFont="1" applyFill="1" applyBorder="1" applyAlignment="1">
      <alignment readingOrder="2"/>
    </xf>
    <xf numFmtId="0" fontId="52" fillId="9" borderId="0" xfId="15" applyFont="1" applyFill="1" applyBorder="1" applyAlignment="1">
      <alignment readingOrder="2"/>
    </xf>
    <xf numFmtId="0" fontId="52" fillId="9" borderId="0" xfId="15" applyFont="1" applyFill="1" applyBorder="1"/>
    <xf numFmtId="164" fontId="52" fillId="9" borderId="0" xfId="15" applyNumberFormat="1" applyFont="1" applyFill="1" applyBorder="1"/>
    <xf numFmtId="0" fontId="81" fillId="9" borderId="0" xfId="0" applyFont="1" applyFill="1"/>
    <xf numFmtId="0" fontId="35" fillId="0" borderId="35" xfId="13" applyNumberFormat="1" applyFont="1" applyBorder="1" applyAlignment="1">
      <alignment horizontal="center" wrapText="1" readingOrder="2"/>
    </xf>
    <xf numFmtId="49" fontId="49" fillId="10" borderId="19" xfId="3" applyNumberFormat="1" applyFont="1" applyFill="1" applyBorder="1" applyAlignment="1" applyProtection="1">
      <alignment horizontal="center" vertical="center"/>
      <protection locked="0"/>
    </xf>
    <xf numFmtId="168" fontId="49" fillId="9" borderId="19" xfId="10" applyNumberFormat="1" applyFont="1" applyFill="1" applyBorder="1" applyAlignment="1">
      <alignment horizontal="center" vertical="center"/>
    </xf>
    <xf numFmtId="168" fontId="63" fillId="14" borderId="19" xfId="10" applyNumberFormat="1" applyFont="1" applyFill="1" applyBorder="1" applyAlignment="1">
      <alignment horizontal="center" vertical="center"/>
    </xf>
    <xf numFmtId="168" fontId="63" fillId="0" borderId="19" xfId="0" applyNumberFormat="1" applyFont="1" applyFill="1" applyBorder="1" applyAlignment="1">
      <alignment horizontal="center" vertical="center"/>
    </xf>
    <xf numFmtId="168" fontId="245" fillId="0" borderId="19" xfId="0" applyNumberFormat="1" applyFont="1" applyFill="1" applyBorder="1" applyAlignment="1" applyProtection="1">
      <alignment horizontal="center" vertical="center"/>
    </xf>
    <xf numFmtId="168" fontId="50" fillId="0" borderId="19" xfId="0" applyNumberFormat="1" applyFont="1" applyFill="1" applyBorder="1" applyAlignment="1" applyProtection="1">
      <alignment horizontal="center" vertical="center"/>
    </xf>
    <xf numFmtId="168" fontId="245" fillId="10" borderId="19" xfId="0" applyNumberFormat="1" applyFont="1" applyFill="1" applyBorder="1" applyAlignment="1" applyProtection="1">
      <alignment horizontal="center" vertical="center"/>
    </xf>
    <xf numFmtId="168" fontId="50" fillId="10" borderId="19" xfId="0" applyNumberFormat="1" applyFont="1" applyFill="1" applyBorder="1" applyAlignment="1" applyProtection="1">
      <alignment horizontal="center" vertical="center"/>
    </xf>
    <xf numFmtId="168" fontId="246" fillId="0" borderId="19" xfId="0" applyNumberFormat="1" applyFont="1" applyFill="1" applyBorder="1" applyAlignment="1">
      <alignment horizontal="center" vertical="center"/>
    </xf>
    <xf numFmtId="164" fontId="60" fillId="9" borderId="0" xfId="26" applyNumberFormat="1" applyFont="1" applyFill="1" applyBorder="1" applyAlignment="1">
      <alignment horizontal="right" vertical="center" readingOrder="2"/>
    </xf>
    <xf numFmtId="164" fontId="48" fillId="9" borderId="0" xfId="26" applyNumberFormat="1" applyFont="1" applyFill="1" applyAlignment="1">
      <alignment vertical="center"/>
    </xf>
    <xf numFmtId="37" fontId="246" fillId="0" borderId="0" xfId="0" applyNumberFormat="1" applyFont="1" applyFill="1"/>
    <xf numFmtId="0" fontId="48" fillId="0" borderId="0" xfId="15" applyFont="1"/>
    <xf numFmtId="0" fontId="42" fillId="10" borderId="0" xfId="0" applyFont="1" applyFill="1"/>
    <xf numFmtId="164" fontId="32" fillId="10" borderId="0" xfId="17" applyNumberFormat="1" applyFont="1" applyFill="1" applyBorder="1" applyAlignment="1">
      <alignment vertical="center"/>
    </xf>
    <xf numFmtId="0" fontId="90" fillId="9" borderId="0" xfId="18" applyFont="1" applyFill="1" applyAlignment="1">
      <alignment vertical="center" readingOrder="2"/>
    </xf>
    <xf numFmtId="0" fontId="42" fillId="9" borderId="0" xfId="18" applyFont="1" applyFill="1" applyAlignment="1">
      <alignment vertical="center"/>
    </xf>
    <xf numFmtId="164" fontId="29" fillId="9" borderId="0" xfId="17" applyNumberFormat="1" applyFont="1" applyFill="1" applyBorder="1" applyAlignment="1">
      <alignment vertical="center"/>
    </xf>
    <xf numFmtId="3" fontId="90" fillId="9" borderId="0" xfId="18" applyNumberFormat="1" applyFont="1" applyFill="1" applyAlignment="1">
      <alignment vertical="center" readingOrder="2"/>
    </xf>
    <xf numFmtId="164" fontId="32" fillId="9" borderId="0" xfId="18" applyNumberFormat="1" applyFont="1" applyFill="1" applyBorder="1" applyAlignment="1">
      <alignment vertical="center"/>
    </xf>
    <xf numFmtId="0" fontId="42" fillId="9" borderId="0" xfId="18" applyFont="1" applyFill="1" applyAlignment="1">
      <alignment vertical="center" readingOrder="2"/>
    </xf>
    <xf numFmtId="0" fontId="48" fillId="9" borderId="0" xfId="18" applyFont="1" applyFill="1" applyAlignment="1">
      <alignment vertical="center"/>
    </xf>
    <xf numFmtId="164" fontId="29" fillId="9" borderId="36" xfId="17" applyNumberFormat="1" applyFont="1" applyFill="1" applyBorder="1" applyAlignment="1">
      <alignment vertical="center"/>
    </xf>
    <xf numFmtId="164" fontId="29" fillId="9" borderId="0" xfId="18" applyNumberFormat="1" applyFont="1" applyFill="1" applyBorder="1" applyAlignment="1">
      <alignment vertical="center"/>
    </xf>
    <xf numFmtId="0" fontId="210" fillId="9" borderId="0" xfId="5" applyFont="1" applyFill="1" applyBorder="1" applyAlignment="1">
      <alignment horizontal="center" vertical="top" readingOrder="2"/>
    </xf>
    <xf numFmtId="0" fontId="92" fillId="9" borderId="0" xfId="19" applyFont="1" applyFill="1" applyBorder="1" applyAlignment="1">
      <alignment vertical="center" readingOrder="2"/>
    </xf>
    <xf numFmtId="0" fontId="92" fillId="9" borderId="0" xfId="19" applyFont="1" applyFill="1" applyBorder="1" applyAlignment="1">
      <alignment horizontal="center" vertical="center" readingOrder="2"/>
    </xf>
    <xf numFmtId="0" fontId="116" fillId="9" borderId="0" xfId="19" applyFont="1" applyFill="1" applyBorder="1" applyAlignment="1">
      <alignment horizontal="right" vertical="center" wrapText="1"/>
    </xf>
    <xf numFmtId="0" fontId="92" fillId="9" borderId="35" xfId="19" applyFont="1" applyFill="1" applyBorder="1" applyAlignment="1">
      <alignment vertical="center" readingOrder="2"/>
    </xf>
    <xf numFmtId="164" fontId="92" fillId="9" borderId="0" xfId="19" applyNumberFormat="1" applyFont="1" applyFill="1" applyBorder="1" applyAlignment="1">
      <alignment horizontal="center" vertical="center"/>
    </xf>
    <xf numFmtId="0" fontId="51" fillId="9" borderId="0" xfId="0" applyFont="1" applyFill="1" applyBorder="1"/>
    <xf numFmtId="0" fontId="133" fillId="9" borderId="0" xfId="19" applyFont="1" applyFill="1" applyBorder="1" applyAlignment="1">
      <alignment vertical="center" readingOrder="2"/>
    </xf>
    <xf numFmtId="164" fontId="92" fillId="9" borderId="36" xfId="19" applyNumberFormat="1" applyFont="1" applyFill="1" applyBorder="1" applyAlignment="1">
      <alignment vertical="center"/>
    </xf>
    <xf numFmtId="0" fontId="30" fillId="9" borderId="0" xfId="29" applyFont="1" applyFill="1" applyAlignment="1">
      <alignment horizontal="right" vertical="top" wrapText="1" readingOrder="2"/>
    </xf>
    <xf numFmtId="0" fontId="76" fillId="9" borderId="0" xfId="0" applyFont="1" applyFill="1"/>
    <xf numFmtId="0" fontId="44" fillId="9" borderId="0" xfId="28" applyFont="1" applyFill="1" applyAlignment="1">
      <alignment horizontal="right" vertical="center"/>
    </xf>
    <xf numFmtId="164" fontId="34" fillId="9" borderId="34" xfId="23" applyNumberFormat="1" applyFont="1" applyFill="1" applyBorder="1" applyAlignment="1">
      <alignment horizontal="right" vertical="center"/>
    </xf>
    <xf numFmtId="168" fontId="49" fillId="9" borderId="31" xfId="10" applyNumberFormat="1" applyFont="1" applyFill="1" applyBorder="1" applyAlignment="1">
      <alignment horizontal="right" vertical="center"/>
    </xf>
    <xf numFmtId="0" fontId="142" fillId="9" borderId="0" xfId="5" applyFont="1" applyFill="1" applyAlignment="1">
      <alignment horizontal="center" vertical="top" readingOrder="2"/>
    </xf>
    <xf numFmtId="0" fontId="57" fillId="9" borderId="0" xfId="18" applyFont="1" applyFill="1" applyAlignment="1">
      <alignment horizontal="center" readingOrder="2"/>
    </xf>
    <xf numFmtId="0" fontId="57" fillId="9" borderId="0" xfId="18" applyFont="1" applyFill="1" applyAlignment="1">
      <alignment horizontal="right" vertical="center" readingOrder="2"/>
    </xf>
    <xf numFmtId="0" fontId="85" fillId="9" borderId="0" xfId="18" applyFont="1" applyFill="1" applyAlignment="1">
      <alignment horizontal="center" vertical="top"/>
    </xf>
    <xf numFmtId="0" fontId="32" fillId="9" borderId="0" xfId="18" applyFont="1" applyFill="1" applyAlignment="1">
      <alignment horizontal="center" vertical="center" readingOrder="2"/>
    </xf>
    <xf numFmtId="0" fontId="30" fillId="9" borderId="0" xfId="18" applyFont="1" applyFill="1" applyAlignment="1">
      <alignment horizontal="right" vertical="center" readingOrder="2"/>
    </xf>
    <xf numFmtId="164" fontId="196" fillId="9" borderId="0" xfId="0" applyNumberFormat="1" applyFont="1" applyFill="1" applyBorder="1"/>
    <xf numFmtId="0" fontId="42" fillId="9" borderId="0" xfId="18" applyFont="1" applyFill="1" applyAlignment="1">
      <alignment horizontal="right" vertical="center" readingOrder="2"/>
    </xf>
    <xf numFmtId="164" fontId="189" fillId="9" borderId="0" xfId="17" applyNumberFormat="1" applyFont="1" applyFill="1" applyBorder="1" applyAlignment="1">
      <alignment vertical="center"/>
    </xf>
    <xf numFmtId="0" fontId="90" fillId="9" borderId="0" xfId="18" applyFont="1" applyFill="1" applyAlignment="1">
      <alignment horizontal="right" vertical="center" readingOrder="2"/>
    </xf>
    <xf numFmtId="164" fontId="29" fillId="9" borderId="34" xfId="18" applyNumberFormat="1" applyFont="1" applyFill="1" applyBorder="1" applyAlignment="1">
      <alignment vertical="center"/>
    </xf>
    <xf numFmtId="0" fontId="34" fillId="9" borderId="0" xfId="20" applyNumberFormat="1" applyFont="1" applyFill="1" applyBorder="1" applyAlignment="1">
      <alignment vertical="center" readingOrder="2"/>
    </xf>
    <xf numFmtId="37" fontId="246" fillId="0" borderId="19" xfId="0" applyNumberFormat="1" applyFont="1" applyFill="1" applyBorder="1"/>
    <xf numFmtId="0" fontId="59" fillId="0" borderId="0" xfId="0" applyFont="1"/>
    <xf numFmtId="167" fontId="27" fillId="9" borderId="0" xfId="8" applyNumberFormat="1" applyFont="1" applyFill="1" applyBorder="1" applyAlignment="1">
      <alignment horizontal="right" vertical="top" readingOrder="2"/>
    </xf>
    <xf numFmtId="167" fontId="27" fillId="9" borderId="0" xfId="8" applyNumberFormat="1" applyFont="1" applyFill="1" applyAlignment="1">
      <alignment horizontal="right" vertical="top" readingOrder="2"/>
    </xf>
    <xf numFmtId="0" fontId="59" fillId="9" borderId="0" xfId="0" applyFont="1" applyFill="1" applyBorder="1" applyAlignment="1">
      <alignment vertical="top"/>
    </xf>
    <xf numFmtId="0" fontId="27" fillId="9" borderId="0" xfId="15" applyFont="1" applyFill="1" applyBorder="1" applyAlignment="1">
      <alignment vertical="top" wrapText="1"/>
    </xf>
    <xf numFmtId="0" fontId="163" fillId="9" borderId="0" xfId="30" applyFont="1" applyFill="1" applyAlignment="1">
      <alignment horizontal="center" vertical="top" readingOrder="2"/>
    </xf>
    <xf numFmtId="0" fontId="234" fillId="9" borderId="0" xfId="31" applyFont="1" applyFill="1" applyAlignment="1">
      <alignment horizontal="right" vertical="center" readingOrder="2"/>
    </xf>
    <xf numFmtId="164" fontId="163" fillId="9" borderId="33" xfId="27" applyNumberFormat="1" applyFont="1" applyFill="1" applyBorder="1" applyAlignment="1">
      <alignment vertical="center"/>
    </xf>
    <xf numFmtId="0" fontId="235" fillId="9" borderId="0" xfId="31" applyFont="1" applyFill="1" applyAlignment="1">
      <alignment horizontal="center" vertical="top"/>
    </xf>
    <xf numFmtId="0" fontId="31" fillId="9" borderId="0" xfId="30" applyFont="1" applyFill="1" applyAlignment="1">
      <alignment horizontal="right" readingOrder="2"/>
    </xf>
    <xf numFmtId="0" fontId="32" fillId="9" borderId="0" xfId="30" applyFont="1" applyFill="1" applyAlignment="1">
      <alignment horizontal="right" readingOrder="2"/>
    </xf>
    <xf numFmtId="0" fontId="48" fillId="9" borderId="0" xfId="30" applyFont="1" applyFill="1" applyAlignment="1">
      <alignment horizontal="right" readingOrder="2"/>
    </xf>
    <xf numFmtId="0" fontId="44" fillId="9" borderId="0" xfId="30" applyFont="1" applyFill="1" applyAlignment="1">
      <alignment horizontal="right"/>
    </xf>
    <xf numFmtId="0" fontId="44" fillId="9" borderId="0" xfId="30" applyFont="1" applyFill="1" applyAlignment="1">
      <alignment vertical="center"/>
    </xf>
    <xf numFmtId="0" fontId="44" fillId="9" borderId="0" xfId="30" applyFont="1" applyFill="1" applyAlignment="1">
      <alignment horizontal="right" vertical="center"/>
    </xf>
    <xf numFmtId="0" fontId="35" fillId="9" borderId="0" xfId="30" applyFont="1" applyFill="1" applyBorder="1" applyAlignment="1">
      <alignment horizontal="center" vertical="center" readingOrder="2"/>
    </xf>
    <xf numFmtId="0" fontId="35" fillId="9" borderId="0" xfId="30" applyFont="1" applyFill="1" applyAlignment="1">
      <alignment horizontal="right" vertical="center" readingOrder="2"/>
    </xf>
    <xf numFmtId="0" fontId="163" fillId="9" borderId="0" xfId="30" applyFont="1" applyFill="1" applyAlignment="1">
      <alignment horizontal="right" vertical="top" readingOrder="2"/>
    </xf>
    <xf numFmtId="0" fontId="197" fillId="9" borderId="0" xfId="30" applyFont="1" applyFill="1" applyAlignment="1">
      <alignment horizontal="right" readingOrder="2"/>
    </xf>
    <xf numFmtId="0" fontId="163" fillId="9" borderId="0" xfId="30" applyFont="1" applyFill="1" applyAlignment="1">
      <alignment horizontal="center" readingOrder="2"/>
    </xf>
    <xf numFmtId="164" fontId="163" fillId="9" borderId="36" xfId="6" applyNumberFormat="1" applyFont="1" applyFill="1" applyBorder="1" applyAlignment="1">
      <alignment vertical="center"/>
    </xf>
    <xf numFmtId="164" fontId="163" fillId="9" borderId="35" xfId="6" applyNumberFormat="1" applyFont="1" applyFill="1" applyBorder="1" applyAlignment="1">
      <alignment vertical="center"/>
    </xf>
    <xf numFmtId="3" fontId="34" fillId="9" borderId="45" xfId="6" applyNumberFormat="1" applyFont="1" applyFill="1" applyBorder="1" applyAlignment="1">
      <alignment vertical="center"/>
    </xf>
    <xf numFmtId="0" fontId="163" fillId="9" borderId="0" xfId="30" applyFont="1" applyFill="1" applyAlignment="1">
      <alignment horizontal="right" readingOrder="2"/>
    </xf>
    <xf numFmtId="164" fontId="233" fillId="9" borderId="34" xfId="30" applyNumberFormat="1" applyFont="1" applyFill="1" applyBorder="1" applyAlignment="1">
      <alignment vertical="center"/>
    </xf>
    <xf numFmtId="164" fontId="233" fillId="9" borderId="0" xfId="30" applyNumberFormat="1" applyFont="1" applyFill="1" applyBorder="1" applyAlignment="1">
      <alignment vertical="center"/>
    </xf>
    <xf numFmtId="0" fontId="239" fillId="9" borderId="0" xfId="0" applyFont="1" applyFill="1" applyAlignment="1">
      <alignment horizontal="right" vertical="center" wrapText="1" readingOrder="2"/>
    </xf>
    <xf numFmtId="0" fontId="238" fillId="9" borderId="0" xfId="0" applyFont="1" applyFill="1" applyAlignment="1">
      <alignment horizontal="right" vertical="center" wrapText="1" readingOrder="2"/>
    </xf>
    <xf numFmtId="0" fontId="95" fillId="9" borderId="0" xfId="0" applyFont="1" applyFill="1" applyAlignment="1">
      <alignment horizontal="right" vertical="center" wrapText="1" readingOrder="2"/>
    </xf>
    <xf numFmtId="0" fontId="39" fillId="9" borderId="0" xfId="0" applyFont="1" applyFill="1" applyAlignment="1">
      <alignment horizontal="right" vertical="center" wrapText="1" readingOrder="2"/>
    </xf>
    <xf numFmtId="0" fontId="37" fillId="9" borderId="0" xfId="0" applyFont="1" applyFill="1" applyAlignment="1">
      <alignment horizontal="right" vertical="center" wrapText="1" readingOrder="2"/>
    </xf>
    <xf numFmtId="0" fontId="37" fillId="9" borderId="35" xfId="0" applyFont="1" applyFill="1" applyBorder="1" applyAlignment="1">
      <alignment horizontal="right" vertical="center" wrapText="1" readingOrder="2"/>
    </xf>
    <xf numFmtId="0" fontId="37" fillId="9" borderId="0" xfId="0" applyFont="1" applyFill="1" applyBorder="1" applyAlignment="1">
      <alignment horizontal="right" vertical="center" wrapText="1" readingOrder="2"/>
    </xf>
    <xf numFmtId="164" fontId="29" fillId="9" borderId="33" xfId="27" applyNumberFormat="1" applyFont="1" applyFill="1" applyBorder="1" applyAlignment="1">
      <alignment vertical="center"/>
    </xf>
    <xf numFmtId="164" fontId="29" fillId="9" borderId="0" xfId="27" applyNumberFormat="1" applyFont="1" applyFill="1" applyBorder="1" applyAlignment="1">
      <alignment horizontal="center" vertical="center"/>
    </xf>
    <xf numFmtId="0" fontId="81" fillId="0" borderId="0" xfId="0" applyFont="1" applyFill="1"/>
    <xf numFmtId="0" fontId="81" fillId="9" borderId="0" xfId="0" applyFont="1" applyFill="1" applyAlignment="1">
      <alignment horizontal="center"/>
    </xf>
    <xf numFmtId="0" fontId="81" fillId="9" borderId="0" xfId="13" applyFont="1" applyFill="1" applyAlignment="1">
      <alignment horizontal="center"/>
    </xf>
    <xf numFmtId="0" fontId="108" fillId="9" borderId="0" xfId="0" applyFont="1" applyFill="1" applyAlignment="1">
      <alignment horizontal="center"/>
    </xf>
    <xf numFmtId="0" fontId="147" fillId="9" borderId="0" xfId="0" applyFont="1" applyFill="1" applyAlignment="1">
      <alignment horizontal="center"/>
    </xf>
    <xf numFmtId="0" fontId="81" fillId="0" borderId="0" xfId="0" applyFont="1" applyFill="1" applyAlignment="1">
      <alignment vertical="center"/>
    </xf>
    <xf numFmtId="0" fontId="81" fillId="0" borderId="0" xfId="0" applyFont="1" applyFill="1" applyBorder="1"/>
    <xf numFmtId="0" fontId="242" fillId="9" borderId="0" xfId="25" applyFont="1" applyFill="1" applyAlignment="1">
      <alignment horizontal="left" vertical="top" readingOrder="2"/>
    </xf>
    <xf numFmtId="0" fontId="242" fillId="9" borderId="0" xfId="25" applyFont="1" applyFill="1" applyAlignment="1">
      <alignment horizontal="left" vertical="center" readingOrder="2"/>
    </xf>
    <xf numFmtId="0" fontId="192" fillId="9" borderId="0" xfId="0" applyFont="1" applyFill="1"/>
    <xf numFmtId="168" fontId="49" fillId="25" borderId="19" xfId="10" applyNumberFormat="1" applyFont="1" applyFill="1" applyBorder="1" applyAlignment="1">
      <alignment horizontal="right" vertical="center"/>
    </xf>
    <xf numFmtId="168" fontId="63" fillId="25" borderId="19" xfId="10" applyNumberFormat="1" applyFont="1" applyFill="1" applyBorder="1" applyAlignment="1">
      <alignment horizontal="right" vertical="center"/>
    </xf>
    <xf numFmtId="3" fontId="46" fillId="25" borderId="0" xfId="0" applyNumberFormat="1" applyFont="1" applyFill="1" applyAlignment="1">
      <alignment horizontal="right" vertical="center"/>
    </xf>
    <xf numFmtId="3" fontId="46" fillId="25" borderId="0" xfId="0" applyNumberFormat="1" applyFont="1" applyFill="1" applyBorder="1" applyAlignment="1">
      <alignment horizontal="right" vertical="center"/>
    </xf>
    <xf numFmtId="0" fontId="46" fillId="25" borderId="0" xfId="0" applyFont="1" applyFill="1" applyAlignment="1">
      <alignment horizontal="right" vertical="center"/>
    </xf>
    <xf numFmtId="0" fontId="59" fillId="0" borderId="0" xfId="0" applyFont="1"/>
    <xf numFmtId="0" fontId="29" fillId="0" borderId="0" xfId="26" applyFont="1" applyFill="1" applyAlignment="1">
      <alignment horizontal="right"/>
    </xf>
    <xf numFmtId="3" fontId="247" fillId="0" borderId="0" xfId="2130" applyNumberFormat="1" applyFont="1" applyAlignment="1">
      <alignment vertical="center"/>
    </xf>
    <xf numFmtId="164" fontId="254" fillId="0" borderId="19" xfId="2131" applyNumberFormat="1" applyFont="1" applyFill="1" applyBorder="1" applyAlignment="1">
      <alignment vertical="center"/>
    </xf>
    <xf numFmtId="164" fontId="255" fillId="0" borderId="19" xfId="2131" applyNumberFormat="1" applyFont="1" applyFill="1" applyBorder="1" applyAlignment="1">
      <alignment vertical="center"/>
    </xf>
    <xf numFmtId="164" fontId="255" fillId="0" borderId="0" xfId="2131" applyNumberFormat="1" applyFont="1" applyFill="1" applyBorder="1" applyAlignment="1">
      <alignment vertical="center"/>
    </xf>
    <xf numFmtId="164" fontId="255" fillId="0" borderId="19" xfId="2131" applyNumberFormat="1" applyFont="1" applyBorder="1" applyAlignment="1">
      <alignment vertical="center"/>
    </xf>
    <xf numFmtId="164" fontId="255" fillId="0" borderId="0" xfId="2131" applyNumberFormat="1" applyFont="1" applyBorder="1" applyAlignment="1">
      <alignment vertical="center"/>
    </xf>
    <xf numFmtId="177" fontId="254" fillId="0" borderId="19" xfId="2131" applyNumberFormat="1" applyFont="1" applyFill="1" applyBorder="1" applyAlignment="1">
      <alignment vertical="center"/>
    </xf>
    <xf numFmtId="164" fontId="254" fillId="0" borderId="19" xfId="2131" applyNumberFormat="1" applyFont="1" applyBorder="1" applyAlignment="1">
      <alignment vertical="center"/>
    </xf>
    <xf numFmtId="177" fontId="255" fillId="0" borderId="19" xfId="2131" applyNumberFormat="1" applyFont="1" applyFill="1" applyBorder="1" applyAlignment="1">
      <alignment vertical="center"/>
    </xf>
    <xf numFmtId="177" fontId="255" fillId="0" borderId="0" xfId="2131" applyNumberFormat="1" applyFont="1" applyFill="1" applyBorder="1" applyAlignment="1">
      <alignment vertical="center"/>
    </xf>
    <xf numFmtId="49" fontId="253" fillId="0" borderId="0" xfId="2131" applyNumberFormat="1" applyFont="1" applyBorder="1" applyAlignment="1">
      <alignment horizontal="center" vertical="center" readingOrder="2"/>
    </xf>
    <xf numFmtId="49" fontId="253" fillId="0" borderId="0" xfId="2131" applyNumberFormat="1" applyFont="1" applyBorder="1" applyAlignment="1">
      <alignment horizontal="right" vertical="center" readingOrder="2"/>
    </xf>
    <xf numFmtId="3" fontId="247" fillId="10" borderId="0" xfId="2130" applyNumberFormat="1" applyFont="1" applyFill="1" applyAlignment="1">
      <alignment vertical="center"/>
    </xf>
    <xf numFmtId="49" fontId="253" fillId="0" borderId="19" xfId="2131" applyNumberFormat="1" applyFont="1" applyBorder="1" applyAlignment="1">
      <alignment horizontal="right" vertical="center" readingOrder="2"/>
    </xf>
    <xf numFmtId="49" fontId="253" fillId="0" borderId="24" xfId="2131" applyNumberFormat="1" applyFont="1" applyBorder="1" applyAlignment="1">
      <alignment horizontal="right" vertical="center" readingOrder="2"/>
    </xf>
    <xf numFmtId="3" fontId="247" fillId="0" borderId="0" xfId="2132" applyNumberFormat="1" applyFont="1" applyAlignment="1">
      <alignment vertical="center"/>
    </xf>
    <xf numFmtId="3" fontId="248" fillId="0" borderId="0" xfId="2132" applyNumberFormat="1" applyFont="1" applyAlignment="1">
      <alignment vertical="center"/>
    </xf>
    <xf numFmtId="3" fontId="248" fillId="0" borderId="0" xfId="2132" applyNumberFormat="1" applyFont="1" applyFill="1" applyAlignment="1">
      <alignment vertical="center"/>
    </xf>
    <xf numFmtId="3" fontId="249" fillId="0" borderId="0" xfId="2132" applyNumberFormat="1" applyFont="1" applyAlignment="1">
      <alignment vertical="center"/>
    </xf>
    <xf numFmtId="3" fontId="249" fillId="0" borderId="0" xfId="2132" applyNumberFormat="1" applyFont="1" applyFill="1" applyAlignment="1">
      <alignment vertical="center"/>
    </xf>
    <xf numFmtId="3" fontId="251" fillId="0" borderId="0" xfId="2132" applyNumberFormat="1" applyFont="1" applyFill="1" applyAlignment="1">
      <alignment horizontal="center" vertical="center" wrapText="1"/>
    </xf>
    <xf numFmtId="1" fontId="251" fillId="0" borderId="19" xfId="2132" applyNumberFormat="1" applyFont="1" applyBorder="1" applyAlignment="1">
      <alignment horizontal="center" vertical="center" wrapText="1"/>
    </xf>
    <xf numFmtId="1" fontId="252" fillId="0" borderId="0" xfId="2132" applyNumberFormat="1" applyFont="1" applyAlignment="1">
      <alignment horizontal="center" vertical="center"/>
    </xf>
    <xf numFmtId="3" fontId="253" fillId="0" borderId="0" xfId="2132" applyNumberFormat="1" applyFont="1" applyAlignment="1">
      <alignment vertical="center"/>
    </xf>
    <xf numFmtId="3" fontId="253" fillId="0" borderId="19" xfId="2132" applyNumberFormat="1" applyFont="1" applyBorder="1" applyAlignment="1">
      <alignment vertical="center"/>
    </xf>
    <xf numFmtId="3" fontId="256" fillId="0" borderId="19" xfId="2132" applyNumberFormat="1" applyFont="1" applyBorder="1" applyAlignment="1">
      <alignment vertical="center"/>
    </xf>
    <xf numFmtId="3" fontId="256" fillId="0" borderId="0" xfId="2132" applyNumberFormat="1" applyFont="1" applyAlignment="1">
      <alignment vertical="center"/>
    </xf>
    <xf numFmtId="3" fontId="256" fillId="0" borderId="0" xfId="2132" applyNumberFormat="1" applyFont="1" applyAlignment="1">
      <alignment horizontal="center" vertical="center"/>
    </xf>
    <xf numFmtId="3" fontId="256" fillId="0" borderId="34" xfId="2132" applyNumberFormat="1" applyFont="1" applyBorder="1" applyAlignment="1">
      <alignment horizontal="center" vertical="center"/>
    </xf>
    <xf numFmtId="3" fontId="256" fillId="0" borderId="0" xfId="2132" applyNumberFormat="1" applyFont="1" applyFill="1" applyAlignment="1">
      <alignment horizontal="center" vertical="center"/>
    </xf>
    <xf numFmtId="3" fontId="253" fillId="0" borderId="0" xfId="2132" applyNumberFormat="1" applyFont="1" applyAlignment="1">
      <alignment horizontal="center" vertical="center"/>
    </xf>
    <xf numFmtId="3" fontId="256" fillId="0" borderId="0" xfId="2132" applyNumberFormat="1" applyFont="1" applyFill="1" applyAlignment="1">
      <alignment vertical="center"/>
    </xf>
    <xf numFmtId="185" fontId="249" fillId="0" borderId="0" xfId="2132" applyNumberFormat="1" applyFont="1" applyAlignment="1">
      <alignment vertical="center"/>
    </xf>
    <xf numFmtId="3" fontId="247" fillId="10" borderId="0" xfId="2132" applyNumberFormat="1" applyFont="1" applyFill="1" applyAlignment="1">
      <alignment vertical="center"/>
    </xf>
    <xf numFmtId="0" fontId="113" fillId="0" borderId="0" xfId="15" applyFont="1" applyAlignment="1">
      <alignment readingOrder="2"/>
    </xf>
    <xf numFmtId="0" fontId="113" fillId="0" borderId="0" xfId="15" applyFont="1" applyFill="1" applyAlignment="1">
      <alignment horizontal="right" readingOrder="2"/>
    </xf>
    <xf numFmtId="0" fontId="59" fillId="0" borderId="0" xfId="0" applyFont="1"/>
    <xf numFmtId="0" fontId="64" fillId="9" borderId="0" xfId="31" applyFont="1" applyFill="1" applyBorder="1" applyAlignment="1">
      <alignment horizontal="right" vertical="center"/>
    </xf>
    <xf numFmtId="0" fontId="188" fillId="9" borderId="49" xfId="16" applyFont="1" applyFill="1" applyBorder="1" applyAlignment="1">
      <alignment vertical="center"/>
    </xf>
    <xf numFmtId="0" fontId="59" fillId="0" borderId="0" xfId="0" applyFont="1"/>
    <xf numFmtId="164" fontId="32" fillId="9" borderId="34" xfId="31" applyNumberFormat="1" applyFont="1" applyFill="1" applyBorder="1" applyAlignment="1">
      <alignment vertical="center"/>
    </xf>
    <xf numFmtId="49" fontId="109" fillId="0" borderId="0" xfId="6" applyNumberFormat="1" applyFont="1" applyBorder="1" applyAlignment="1">
      <alignment horizontal="center" vertical="center"/>
    </xf>
    <xf numFmtId="186" fontId="35" fillId="9" borderId="43" xfId="8" applyNumberFormat="1" applyFont="1" applyFill="1" applyBorder="1" applyAlignment="1">
      <alignment horizontal="center" vertical="top" readingOrder="2"/>
    </xf>
    <xf numFmtId="174" fontId="60" fillId="0" borderId="0" xfId="42" applyNumberFormat="1" applyFont="1" applyFill="1" applyBorder="1" applyAlignment="1">
      <alignment horizontal="right"/>
    </xf>
    <xf numFmtId="167" fontId="27" fillId="0" borderId="0" xfId="8" applyNumberFormat="1" applyFont="1" applyAlignment="1">
      <alignment horizontal="center" vertical="center" readingOrder="2"/>
    </xf>
    <xf numFmtId="167" fontId="27" fillId="0" borderId="0" xfId="8" applyNumberFormat="1" applyFont="1" applyBorder="1" applyAlignment="1">
      <alignment horizontal="center" vertical="center" readingOrder="2"/>
    </xf>
    <xf numFmtId="164" fontId="59" fillId="0" borderId="0" xfId="15" applyNumberFormat="1" applyFont="1" applyFill="1" applyBorder="1" applyAlignment="1">
      <alignment horizontal="center" vertical="center"/>
    </xf>
    <xf numFmtId="167" fontId="46" fillId="0" borderId="0" xfId="0" applyNumberFormat="1" applyFont="1" applyBorder="1"/>
    <xf numFmtId="0" fontId="34" fillId="0" borderId="0" xfId="28" applyFont="1" applyAlignment="1">
      <alignment horizontal="left" readingOrder="2"/>
    </xf>
    <xf numFmtId="0" fontId="32" fillId="0" borderId="0" xfId="28" applyFont="1" applyAlignment="1"/>
    <xf numFmtId="0" fontId="59" fillId="0" borderId="0" xfId="0" applyFont="1" applyAlignment="1"/>
    <xf numFmtId="0" fontId="79" fillId="0" borderId="0" xfId="0" applyFont="1" applyAlignment="1">
      <alignment horizontal="left" vertical="top"/>
    </xf>
    <xf numFmtId="0" fontId="59" fillId="0" borderId="0" xfId="0" applyFont="1"/>
    <xf numFmtId="0" fontId="78" fillId="0" borderId="0" xfId="0" applyFont="1" applyBorder="1" applyAlignment="1">
      <alignment horizontal="right" vertical="center" wrapText="1" readingOrder="2"/>
    </xf>
    <xf numFmtId="0" fontId="95" fillId="0" borderId="0" xfId="0" applyFont="1" applyBorder="1" applyAlignment="1">
      <alignment horizontal="right" vertical="center" wrapText="1" readingOrder="2"/>
    </xf>
    <xf numFmtId="164" fontId="32" fillId="9" borderId="0" xfId="27" applyNumberFormat="1" applyFont="1" applyFill="1" applyBorder="1" applyAlignment="1">
      <alignment horizontal="center" vertical="center"/>
    </xf>
    <xf numFmtId="164" fontId="32" fillId="9" borderId="34" xfId="27" applyNumberFormat="1" applyFont="1" applyFill="1" applyBorder="1" applyAlignment="1">
      <alignment horizontal="center" vertical="center"/>
    </xf>
    <xf numFmtId="49" fontId="32" fillId="9" borderId="0" xfId="27" applyNumberFormat="1" applyFont="1" applyFill="1" applyBorder="1" applyAlignment="1">
      <alignment horizontal="center" vertical="center"/>
    </xf>
    <xf numFmtId="49" fontId="32" fillId="9" borderId="0" xfId="27" applyNumberFormat="1" applyFont="1" applyFill="1" applyBorder="1" applyAlignment="1">
      <alignment vertical="center"/>
    </xf>
    <xf numFmtId="174" fontId="110" fillId="9" borderId="0" xfId="42" applyNumberFormat="1" applyFont="1" applyFill="1" applyBorder="1" applyAlignment="1">
      <alignment horizontal="center" vertical="center" wrapText="1"/>
    </xf>
    <xf numFmtId="187" fontId="246" fillId="0" borderId="0" xfId="42" applyNumberFormat="1" applyFont="1" applyFill="1" applyBorder="1" applyAlignment="1" applyProtection="1"/>
    <xf numFmtId="187" fontId="245" fillId="0" borderId="70" xfId="42" applyNumberFormat="1" applyFont="1" applyFill="1" applyBorder="1" applyAlignment="1" applyProtection="1"/>
    <xf numFmtId="49" fontId="49" fillId="9" borderId="24" xfId="3" applyNumberFormat="1" applyFont="1" applyFill="1" applyBorder="1" applyAlignment="1" applyProtection="1">
      <alignment horizontal="center" vertical="center"/>
      <protection locked="0"/>
    </xf>
    <xf numFmtId="49" fontId="49" fillId="9" borderId="21" xfId="3" applyNumberFormat="1" applyFont="1" applyFill="1" applyBorder="1" applyAlignment="1" applyProtection="1">
      <alignment horizontal="center" vertical="center"/>
      <protection locked="0"/>
    </xf>
    <xf numFmtId="0" fontId="49" fillId="9" borderId="70" xfId="3" applyFont="1" applyFill="1" applyBorder="1" applyAlignment="1" applyProtection="1">
      <alignment horizontal="right" vertical="center"/>
      <protection locked="0"/>
    </xf>
    <xf numFmtId="0" fontId="49" fillId="9" borderId="70" xfId="3" applyFont="1" applyFill="1" applyBorder="1" applyAlignment="1" applyProtection="1">
      <alignment horizontal="center" vertical="center"/>
      <protection locked="0"/>
    </xf>
    <xf numFmtId="168" fontId="50" fillId="0" borderId="70" xfId="0" applyNumberFormat="1" applyFont="1" applyFill="1" applyBorder="1" applyAlignment="1" applyProtection="1">
      <alignment horizontal="center" vertical="center"/>
    </xf>
    <xf numFmtId="168" fontId="49" fillId="9" borderId="70" xfId="10" applyNumberFormat="1" applyFont="1" applyFill="1" applyBorder="1" applyAlignment="1">
      <alignment horizontal="right" vertical="center"/>
    </xf>
    <xf numFmtId="168" fontId="49" fillId="0" borderId="70" xfId="10" applyNumberFormat="1" applyFont="1" applyFill="1" applyBorder="1" applyAlignment="1">
      <alignment horizontal="right" vertical="center"/>
    </xf>
    <xf numFmtId="168" fontId="63" fillId="10" borderId="70" xfId="10" applyNumberFormat="1" applyFont="1" applyFill="1" applyBorder="1" applyAlignment="1">
      <alignment horizontal="right" vertical="center"/>
    </xf>
    <xf numFmtId="0" fontId="63" fillId="10" borderId="70" xfId="3" applyFont="1" applyFill="1" applyBorder="1" applyAlignment="1" applyProtection="1">
      <alignment horizontal="right" vertical="center"/>
      <protection locked="0"/>
    </xf>
    <xf numFmtId="168" fontId="49" fillId="12" borderId="70" xfId="10" applyNumberFormat="1" applyFont="1" applyFill="1" applyBorder="1" applyAlignment="1">
      <alignment horizontal="right" vertical="center"/>
    </xf>
    <xf numFmtId="168" fontId="49" fillId="13" borderId="70" xfId="10" applyNumberFormat="1" applyFont="1" applyFill="1" applyBorder="1" applyAlignment="1">
      <alignment horizontal="right" vertical="center"/>
    </xf>
    <xf numFmtId="49" fontId="46" fillId="9" borderId="0" xfId="0" applyNumberFormat="1" applyFont="1" applyFill="1" applyAlignment="1">
      <alignment horizontal="right" vertical="center"/>
    </xf>
    <xf numFmtId="49" fontId="46" fillId="9" borderId="0" xfId="0" applyNumberFormat="1" applyFont="1" applyFill="1" applyAlignment="1">
      <alignment horizontal="center" vertical="center"/>
    </xf>
    <xf numFmtId="49" fontId="49" fillId="9" borderId="70" xfId="3" applyNumberFormat="1" applyFont="1" applyFill="1" applyBorder="1" applyAlignment="1" applyProtection="1">
      <alignment horizontal="center" vertical="center"/>
      <protection locked="0"/>
    </xf>
    <xf numFmtId="0" fontId="143" fillId="9" borderId="70" xfId="3" applyFont="1" applyFill="1" applyBorder="1" applyAlignment="1" applyProtection="1">
      <alignment horizontal="right" vertical="center"/>
      <protection locked="0"/>
    </xf>
    <xf numFmtId="168" fontId="49" fillId="9" borderId="70" xfId="10" applyNumberFormat="1" applyFont="1" applyFill="1" applyBorder="1" applyAlignment="1">
      <alignment horizontal="center" vertical="center"/>
    </xf>
    <xf numFmtId="168" fontId="245" fillId="0" borderId="70" xfId="0" applyNumberFormat="1" applyFont="1" applyFill="1" applyBorder="1" applyAlignment="1" applyProtection="1">
      <alignment horizontal="center" vertical="center"/>
    </xf>
    <xf numFmtId="168" fontId="63" fillId="0" borderId="70" xfId="0" applyNumberFormat="1" applyFont="1" applyFill="1" applyBorder="1" applyAlignment="1">
      <alignment horizontal="center" vertical="center"/>
    </xf>
    <xf numFmtId="168" fontId="246" fillId="0" borderId="70" xfId="0" applyNumberFormat="1" applyFont="1" applyFill="1" applyBorder="1" applyAlignment="1">
      <alignment horizontal="center" vertical="center"/>
    </xf>
    <xf numFmtId="168" fontId="49" fillId="0" borderId="0" xfId="10" applyNumberFormat="1" applyFont="1" applyFill="1" applyBorder="1" applyAlignment="1">
      <alignment horizontal="right" vertical="center"/>
    </xf>
    <xf numFmtId="37" fontId="246" fillId="0" borderId="70" xfId="0" applyNumberFormat="1" applyFont="1" applyFill="1" applyBorder="1"/>
    <xf numFmtId="37" fontId="246" fillId="0" borderId="70" xfId="0" applyNumberFormat="1" applyFont="1" applyFill="1" applyBorder="1" applyAlignment="1">
      <alignment vertical="center"/>
    </xf>
    <xf numFmtId="168" fontId="49" fillId="9" borderId="24" xfId="10" applyNumberFormat="1" applyFont="1" applyFill="1" applyBorder="1" applyAlignment="1">
      <alignment horizontal="center" vertical="center"/>
    </xf>
    <xf numFmtId="168" fontId="49" fillId="9" borderId="24" xfId="10" applyNumberFormat="1" applyFont="1" applyFill="1" applyBorder="1" applyAlignment="1">
      <alignment horizontal="right" vertical="center"/>
    </xf>
    <xf numFmtId="168" fontId="49" fillId="0" borderId="24" xfId="10" applyNumberFormat="1" applyFont="1" applyFill="1" applyBorder="1" applyAlignment="1">
      <alignment horizontal="right" vertical="center"/>
    </xf>
    <xf numFmtId="168" fontId="63" fillId="0" borderId="24" xfId="0" applyNumberFormat="1" applyFont="1" applyFill="1" applyBorder="1" applyAlignment="1">
      <alignment horizontal="center" vertical="center"/>
    </xf>
    <xf numFmtId="168" fontId="246" fillId="0" borderId="24" xfId="0" applyNumberFormat="1" applyFont="1" applyFill="1" applyBorder="1" applyAlignment="1">
      <alignment horizontal="center" vertical="center"/>
    </xf>
    <xf numFmtId="168" fontId="49" fillId="9" borderId="21" xfId="10" applyNumberFormat="1" applyFont="1" applyFill="1" applyBorder="1" applyAlignment="1">
      <alignment horizontal="center" vertical="center"/>
    </xf>
    <xf numFmtId="168" fontId="49" fillId="9" borderId="21" xfId="10" applyNumberFormat="1" applyFont="1" applyFill="1" applyBorder="1" applyAlignment="1">
      <alignment horizontal="right" vertical="center"/>
    </xf>
    <xf numFmtId="168" fontId="49" fillId="0" borderId="21" xfId="10" applyNumberFormat="1" applyFont="1" applyFill="1" applyBorder="1" applyAlignment="1">
      <alignment horizontal="right" vertical="center"/>
    </xf>
    <xf numFmtId="168" fontId="63" fillId="0" borderId="21" xfId="0" applyNumberFormat="1" applyFont="1" applyFill="1" applyBorder="1" applyAlignment="1">
      <alignment horizontal="center" vertical="center"/>
    </xf>
    <xf numFmtId="168" fontId="49" fillId="9" borderId="11" xfId="10" applyNumberFormat="1" applyFont="1" applyFill="1" applyBorder="1" applyAlignment="1">
      <alignment horizontal="center" vertical="center"/>
    </xf>
    <xf numFmtId="168" fontId="49" fillId="0" borderId="11" xfId="10" applyNumberFormat="1" applyFont="1" applyFill="1" applyBorder="1" applyAlignment="1">
      <alignment horizontal="right" vertical="center"/>
    </xf>
    <xf numFmtId="168" fontId="246" fillId="0" borderId="70" xfId="0" applyNumberFormat="1" applyFont="1" applyFill="1" applyBorder="1"/>
    <xf numFmtId="0" fontId="46" fillId="9" borderId="70" xfId="0" applyFont="1" applyFill="1" applyBorder="1" applyAlignment="1">
      <alignment horizontal="right" vertical="center"/>
    </xf>
    <xf numFmtId="168" fontId="49" fillId="9" borderId="0" xfId="10" applyNumberFormat="1" applyFont="1" applyFill="1" applyBorder="1" applyAlignment="1">
      <alignment horizontal="right" vertical="center"/>
    </xf>
    <xf numFmtId="37" fontId="49" fillId="0" borderId="70" xfId="0" applyNumberFormat="1" applyFont="1" applyFill="1" applyBorder="1"/>
    <xf numFmtId="49" fontId="49" fillId="10" borderId="70" xfId="3" applyNumberFormat="1" applyFont="1" applyFill="1" applyBorder="1" applyAlignment="1" applyProtection="1">
      <alignment horizontal="center" vertical="center"/>
      <protection locked="0"/>
    </xf>
    <xf numFmtId="168" fontId="63" fillId="9" borderId="21" xfId="10" applyNumberFormat="1" applyFont="1" applyFill="1" applyBorder="1" applyAlignment="1">
      <alignment horizontal="right" vertical="center"/>
    </xf>
    <xf numFmtId="0" fontId="63" fillId="9" borderId="21" xfId="3" applyFont="1" applyFill="1" applyBorder="1" applyAlignment="1" applyProtection="1">
      <alignment horizontal="right" vertical="center"/>
      <protection locked="0"/>
    </xf>
    <xf numFmtId="0" fontId="59" fillId="0" borderId="0" xfId="0" applyFont="1"/>
    <xf numFmtId="168" fontId="49" fillId="17" borderId="70" xfId="10" applyNumberFormat="1" applyFont="1" applyFill="1" applyBorder="1" applyAlignment="1">
      <alignment horizontal="right" vertical="center"/>
    </xf>
    <xf numFmtId="0" fontId="54" fillId="9" borderId="0" xfId="30" applyFont="1" applyFill="1"/>
    <xf numFmtId="0" fontId="154" fillId="9" borderId="0" xfId="30" applyFont="1" applyFill="1" applyAlignment="1">
      <alignment horizontal="right" vertical="top" readingOrder="2"/>
    </xf>
    <xf numFmtId="0" fontId="180" fillId="9" borderId="0" xfId="30" applyFont="1" applyFill="1" applyAlignment="1">
      <alignment horizontal="right" readingOrder="2"/>
    </xf>
    <xf numFmtId="164" fontId="103" fillId="9" borderId="0" xfId="30" applyNumberFormat="1" applyFont="1" applyFill="1" applyBorder="1" applyAlignment="1">
      <alignment vertical="center"/>
    </xf>
    <xf numFmtId="0" fontId="257" fillId="9" borderId="0" xfId="0" applyFont="1" applyFill="1"/>
    <xf numFmtId="0" fontId="244" fillId="9" borderId="0" xfId="0" applyFont="1" applyFill="1"/>
    <xf numFmtId="16" fontId="134" fillId="9" borderId="0" xfId="19" applyNumberFormat="1" applyFont="1" applyFill="1" applyAlignment="1">
      <alignment horizontal="right" vertical="top" readingOrder="2"/>
    </xf>
    <xf numFmtId="0" fontId="59" fillId="0" borderId="0" xfId="0" applyFont="1"/>
    <xf numFmtId="0" fontId="59" fillId="0" borderId="0" xfId="0" applyFont="1"/>
    <xf numFmtId="0" fontId="32" fillId="9" borderId="0" xfId="14" applyFont="1" applyFill="1" applyAlignment="1">
      <alignment readingOrder="2"/>
    </xf>
    <xf numFmtId="49" fontId="32" fillId="0" borderId="0" xfId="6" applyNumberFormat="1" applyFont="1" applyBorder="1" applyAlignment="1">
      <alignment horizontal="right" vertical="center" readingOrder="2"/>
    </xf>
    <xf numFmtId="0" fontId="219" fillId="0" borderId="0" xfId="5" applyFont="1" applyAlignment="1">
      <alignment horizontal="center" vertical="top" readingOrder="2"/>
    </xf>
    <xf numFmtId="0" fontId="37" fillId="0" borderId="0" xfId="0" applyFont="1" applyBorder="1" applyAlignment="1">
      <alignment horizontal="right" vertical="center" wrapText="1" readingOrder="2"/>
    </xf>
    <xf numFmtId="0" fontId="232" fillId="0" borderId="0" xfId="0" applyFont="1" applyBorder="1" applyAlignment="1">
      <alignment horizontal="right" vertical="center" wrapText="1" readingOrder="2"/>
    </xf>
    <xf numFmtId="0" fontId="48" fillId="9" borderId="0" xfId="26" applyFont="1" applyFill="1" applyAlignment="1"/>
    <xf numFmtId="0" fontId="35" fillId="0" borderId="0" xfId="6" applyFont="1" applyBorder="1" applyAlignment="1">
      <alignment horizontal="center"/>
    </xf>
    <xf numFmtId="3" fontId="57" fillId="9" borderId="0" xfId="19" applyNumberFormat="1" applyFont="1" applyFill="1" applyBorder="1" applyAlignment="1">
      <alignment horizontal="right" vertical="center" readingOrder="2"/>
    </xf>
    <xf numFmtId="0" fontId="57" fillId="9" borderId="0" xfId="19" applyFont="1" applyFill="1" applyAlignment="1">
      <alignment horizontal="right" vertical="center" readingOrder="2"/>
    </xf>
    <xf numFmtId="0" fontId="58" fillId="9" borderId="0" xfId="0" applyFont="1" applyFill="1"/>
    <xf numFmtId="0" fontId="48" fillId="0" borderId="0" xfId="12" applyFont="1"/>
    <xf numFmtId="0" fontId="163" fillId="9" borderId="35" xfId="30" applyFont="1" applyFill="1" applyBorder="1" applyAlignment="1">
      <alignment horizontal="center" vertical="top" readingOrder="2"/>
    </xf>
    <xf numFmtId="0" fontId="34" fillId="9" borderId="0" xfId="8" applyNumberFormat="1" applyFont="1" applyFill="1" applyBorder="1" applyAlignment="1">
      <alignment horizontal="center" vertical="center" readingOrder="2"/>
    </xf>
    <xf numFmtId="0" fontId="34" fillId="9" borderId="35" xfId="26" applyFont="1" applyFill="1" applyBorder="1" applyAlignment="1">
      <alignment horizontal="center" vertical="center" readingOrder="2"/>
    </xf>
    <xf numFmtId="3" fontId="71" fillId="0" borderId="0" xfId="35" applyNumberFormat="1" applyFont="1" applyBorder="1" applyAlignment="1">
      <alignment horizontal="right" vertical="center"/>
    </xf>
    <xf numFmtId="168" fontId="246" fillId="0" borderId="19" xfId="0" applyNumberFormat="1" applyFont="1" applyFill="1" applyBorder="1"/>
    <xf numFmtId="3" fontId="246" fillId="0" borderId="19" xfId="0" applyNumberFormat="1" applyFont="1" applyFill="1" applyBorder="1"/>
    <xf numFmtId="37" fontId="49" fillId="0" borderId="19" xfId="0" applyNumberFormat="1" applyFont="1" applyFill="1" applyBorder="1"/>
    <xf numFmtId="3" fontId="246" fillId="0" borderId="0" xfId="0" applyNumberFormat="1" applyFont="1" applyFill="1" applyBorder="1"/>
    <xf numFmtId="168" fontId="246" fillId="0" borderId="0" xfId="0" applyNumberFormat="1" applyFont="1" applyFill="1" applyBorder="1" applyAlignment="1">
      <alignment horizontal="center" vertical="center"/>
    </xf>
    <xf numFmtId="37" fontId="246" fillId="0" borderId="0" xfId="0" applyNumberFormat="1" applyFont="1" applyFill="1" applyBorder="1"/>
    <xf numFmtId="168" fontId="246" fillId="0" borderId="0" xfId="0" applyNumberFormat="1" applyFont="1" applyFill="1" applyBorder="1"/>
    <xf numFmtId="168" fontId="63" fillId="0" borderId="0" xfId="0" applyNumberFormat="1" applyFont="1" applyFill="1" applyBorder="1" applyAlignment="1">
      <alignment horizontal="center" vertical="center"/>
    </xf>
    <xf numFmtId="37" fontId="246" fillId="0" borderId="11" xfId="0" applyNumberFormat="1" applyFont="1" applyFill="1" applyBorder="1"/>
    <xf numFmtId="0" fontId="31" fillId="0" borderId="0" xfId="12" applyNumberFormat="1" applyFont="1" applyBorder="1" applyAlignment="1">
      <alignment horizontal="center" readingOrder="2"/>
    </xf>
    <xf numFmtId="0" fontId="35" fillId="0" borderId="0" xfId="8" applyFont="1" applyBorder="1" applyAlignment="1">
      <alignment horizontal="right" vertical="center" readingOrder="2"/>
    </xf>
    <xf numFmtId="174" fontId="64" fillId="0" borderId="0" xfId="42" applyNumberFormat="1" applyFont="1" applyFill="1" applyBorder="1" applyAlignment="1">
      <alignment horizontal="right"/>
    </xf>
    <xf numFmtId="174" fontId="31" fillId="0" borderId="0" xfId="42" applyNumberFormat="1" applyFont="1" applyFill="1" applyBorder="1" applyAlignment="1">
      <alignment horizontal="right" readingOrder="2"/>
    </xf>
    <xf numFmtId="174" fontId="31" fillId="9" borderId="0" xfId="42" applyNumberFormat="1" applyFont="1" applyFill="1" applyBorder="1" applyAlignment="1">
      <alignment horizontal="right" wrapText="1"/>
    </xf>
    <xf numFmtId="174" fontId="31" fillId="9" borderId="0" xfId="42" applyNumberFormat="1" applyFont="1" applyFill="1" applyBorder="1" applyAlignment="1">
      <alignment horizontal="right"/>
    </xf>
    <xf numFmtId="0" fontId="131" fillId="0" borderId="0" xfId="14" applyFont="1" applyFill="1" applyAlignment="1">
      <alignment readingOrder="2"/>
    </xf>
    <xf numFmtId="0" fontId="258" fillId="0" borderId="0" xfId="14" applyFont="1" applyFill="1" applyAlignment="1">
      <alignment horizontal="center" readingOrder="2"/>
    </xf>
    <xf numFmtId="0" fontId="65" fillId="9" borderId="0" xfId="25" applyFont="1" applyFill="1" applyAlignment="1">
      <alignment horizontal="right" vertical="center" readingOrder="2"/>
    </xf>
    <xf numFmtId="0" fontId="35" fillId="9" borderId="0" xfId="25" applyFont="1" applyFill="1" applyAlignment="1">
      <alignment horizontal="right" vertical="center"/>
    </xf>
    <xf numFmtId="0" fontId="35" fillId="9" borderId="0" xfId="0" applyFont="1" applyFill="1"/>
    <xf numFmtId="164" fontId="35" fillId="9" borderId="0" xfId="25" applyNumberFormat="1" applyFont="1" applyFill="1" applyBorder="1" applyAlignment="1">
      <alignment horizontal="right" vertical="center"/>
    </xf>
    <xf numFmtId="0" fontId="31" fillId="0" borderId="0" xfId="6" applyFont="1" applyBorder="1" applyAlignment="1"/>
    <xf numFmtId="0" fontId="59" fillId="0" borderId="0" xfId="0" applyFont="1"/>
    <xf numFmtId="0" fontId="38" fillId="0" borderId="0" xfId="6" applyFont="1" applyAlignment="1">
      <alignment vertical="top"/>
    </xf>
    <xf numFmtId="0" fontId="259" fillId="0" borderId="0" xfId="6" applyFont="1" applyAlignment="1">
      <alignment horizontal="center" readingOrder="2"/>
    </xf>
    <xf numFmtId="49" fontId="108" fillId="0" borderId="0" xfId="6" applyNumberFormat="1" applyFont="1"/>
    <xf numFmtId="0" fontId="108" fillId="0" borderId="0" xfId="6" applyFont="1"/>
    <xf numFmtId="183" fontId="108" fillId="9" borderId="0" xfId="6" applyNumberFormat="1" applyFont="1" applyFill="1"/>
    <xf numFmtId="0" fontId="108" fillId="9" borderId="0" xfId="6" applyFont="1" applyFill="1"/>
    <xf numFmtId="174" fontId="34" fillId="0" borderId="36" xfId="42" applyNumberFormat="1" applyFont="1" applyBorder="1" applyAlignment="1">
      <alignment horizontal="right"/>
    </xf>
    <xf numFmtId="0" fontId="78" fillId="0" borderId="0" xfId="0" applyFont="1" applyBorder="1" applyAlignment="1">
      <alignment horizontal="center" vertical="center" wrapText="1" readingOrder="2"/>
    </xf>
    <xf numFmtId="0" fontId="44" fillId="9" borderId="0" xfId="31" applyFont="1" applyFill="1" applyBorder="1"/>
    <xf numFmtId="0" fontId="49" fillId="9" borderId="0" xfId="31" applyFont="1" applyFill="1" applyBorder="1"/>
    <xf numFmtId="0" fontId="118" fillId="0" borderId="0" xfId="11" applyFont="1" applyAlignment="1">
      <alignment vertical="center" readingOrder="2"/>
    </xf>
    <xf numFmtId="0" fontId="118" fillId="0" borderId="0" xfId="11" applyFont="1" applyAlignment="1">
      <alignment horizontal="justify" vertical="center" readingOrder="2"/>
    </xf>
    <xf numFmtId="3" fontId="118" fillId="9" borderId="0" xfId="6" applyNumberFormat="1" applyFont="1" applyFill="1" applyBorder="1" applyAlignment="1">
      <alignment vertical="top"/>
    </xf>
    <xf numFmtId="164" fontId="118" fillId="9" borderId="0" xfId="6" applyNumberFormat="1" applyFont="1" applyFill="1" applyBorder="1" applyAlignment="1">
      <alignment vertical="top"/>
    </xf>
    <xf numFmtId="0" fontId="59" fillId="0" borderId="0" xfId="0" applyFont="1"/>
    <xf numFmtId="0" fontId="32" fillId="9" borderId="0" xfId="25" applyFont="1" applyFill="1" applyAlignment="1">
      <alignment horizontal="right" vertical="center"/>
    </xf>
    <xf numFmtId="0" fontId="32" fillId="9" borderId="0" xfId="25" applyFont="1" applyFill="1" applyAlignment="1">
      <alignment horizontal="right" vertical="top"/>
    </xf>
    <xf numFmtId="0" fontId="31" fillId="9" borderId="0" xfId="25" applyFont="1" applyFill="1" applyAlignment="1">
      <alignment horizontal="right" vertical="top" wrapText="1" readingOrder="2"/>
    </xf>
    <xf numFmtId="0" fontId="31" fillId="0" borderId="0" xfId="8" applyFont="1" applyAlignment="1">
      <alignment horizontal="center" vertical="center" readingOrder="2"/>
    </xf>
    <xf numFmtId="174" fontId="31" fillId="0" borderId="0" xfId="42" applyNumberFormat="1" applyFont="1" applyAlignment="1">
      <alignment horizontal="center" vertical="center" readingOrder="2"/>
    </xf>
    <xf numFmtId="0" fontId="35" fillId="0" borderId="0" xfId="8" applyFont="1" applyAlignment="1">
      <alignment horizontal="center" vertical="center" readingOrder="2"/>
    </xf>
    <xf numFmtId="0" fontId="35" fillId="0" borderId="35" xfId="8" applyFont="1" applyBorder="1" applyAlignment="1">
      <alignment horizontal="center" vertical="center" readingOrder="2"/>
    </xf>
    <xf numFmtId="0" fontId="35" fillId="0" borderId="0" xfId="8" applyFont="1" applyBorder="1" applyAlignment="1">
      <alignment horizontal="center" vertical="center" readingOrder="2"/>
    </xf>
    <xf numFmtId="174" fontId="35" fillId="0" borderId="0" xfId="42" applyNumberFormat="1" applyFont="1" applyAlignment="1">
      <alignment horizontal="center" vertical="center" readingOrder="2"/>
    </xf>
    <xf numFmtId="3" fontId="35" fillId="0" borderId="0" xfId="12" applyNumberFormat="1" applyFont="1" applyBorder="1" applyAlignment="1">
      <alignment horizontal="center" vertical="center" readingOrder="2"/>
    </xf>
    <xf numFmtId="0" fontId="110" fillId="0" borderId="0" xfId="37" applyFont="1"/>
    <xf numFmtId="0" fontId="110" fillId="0" borderId="0" xfId="0" applyFont="1" applyAlignment="1">
      <alignment vertical="top"/>
    </xf>
    <xf numFmtId="0" fontId="110" fillId="9" borderId="0" xfId="15" applyFont="1" applyFill="1" applyBorder="1" applyAlignment="1">
      <alignment vertical="top" readingOrder="2"/>
    </xf>
    <xf numFmtId="0" fontId="110" fillId="9" borderId="0" xfId="26" applyFont="1" applyFill="1" applyAlignment="1">
      <alignment horizontal="right" readingOrder="2"/>
    </xf>
    <xf numFmtId="49" fontId="110" fillId="0" borderId="0" xfId="6" applyNumberFormat="1" applyFont="1" applyBorder="1" applyAlignment="1">
      <alignment horizontal="right" vertical="center" readingOrder="2"/>
    </xf>
    <xf numFmtId="0" fontId="111" fillId="0" borderId="0" xfId="15" applyFont="1" applyBorder="1" applyAlignment="1">
      <alignment readingOrder="2"/>
    </xf>
    <xf numFmtId="188" fontId="35" fillId="0" borderId="0" xfId="13" applyNumberFormat="1" applyFont="1" applyBorder="1" applyAlignment="1">
      <alignment horizontal="center" readingOrder="2"/>
    </xf>
    <xf numFmtId="0" fontId="227" fillId="9" borderId="0" xfId="2123" applyFont="1" applyFill="1" applyBorder="1" applyAlignment="1">
      <alignment vertical="top" readingOrder="2"/>
    </xf>
    <xf numFmtId="0" fontId="59" fillId="0" borderId="0" xfId="0" applyFont="1"/>
    <xf numFmtId="0" fontId="137" fillId="0" borderId="3" xfId="0" applyFont="1" applyBorder="1" applyAlignment="1">
      <alignment horizontal="center" vertical="center" wrapText="1"/>
    </xf>
    <xf numFmtId="0" fontId="137" fillId="0" borderId="48" xfId="0" applyFont="1" applyBorder="1" applyAlignment="1">
      <alignment horizontal="center" vertical="center" wrapText="1"/>
    </xf>
    <xf numFmtId="0" fontId="137" fillId="0" borderId="47" xfId="0" applyFont="1" applyBorder="1" applyAlignment="1">
      <alignment horizontal="center" vertical="center" wrapText="1"/>
    </xf>
    <xf numFmtId="0" fontId="137" fillId="0" borderId="17" xfId="0" applyFont="1" applyBorder="1" applyAlignment="1">
      <alignment horizontal="center" vertical="center" wrapText="1"/>
    </xf>
    <xf numFmtId="3" fontId="63" fillId="0" borderId="22" xfId="0" applyNumberFormat="1" applyFont="1" applyBorder="1" applyAlignment="1">
      <alignment horizontal="center" vertical="center"/>
    </xf>
    <xf numFmtId="3" fontId="63" fillId="0" borderId="46" xfId="0" applyNumberFormat="1" applyFont="1" applyBorder="1" applyAlignment="1">
      <alignment horizontal="center" vertical="center"/>
    </xf>
    <xf numFmtId="3" fontId="63" fillId="0" borderId="30" xfId="0" applyNumberFormat="1" applyFont="1" applyBorder="1" applyAlignment="1">
      <alignment horizontal="center" vertical="center"/>
    </xf>
    <xf numFmtId="3" fontId="35" fillId="9" borderId="21" xfId="34" applyNumberFormat="1" applyFont="1" applyFill="1" applyBorder="1" applyAlignment="1">
      <alignment vertical="top"/>
    </xf>
    <xf numFmtId="0" fontId="48" fillId="9" borderId="70" xfId="34" applyFont="1" applyFill="1" applyBorder="1" applyAlignment="1">
      <alignment horizontal="justify" vertical="top" wrapText="1"/>
    </xf>
    <xf numFmtId="3" fontId="35" fillId="9" borderId="70" xfId="34" applyNumberFormat="1" applyFont="1" applyFill="1" applyBorder="1" applyAlignment="1">
      <alignment horizontal="left" vertical="center" wrapText="1"/>
    </xf>
    <xf numFmtId="3" fontId="35" fillId="9" borderId="70" xfId="34" applyNumberFormat="1" applyFont="1" applyFill="1" applyBorder="1" applyAlignment="1">
      <alignment vertical="top"/>
    </xf>
    <xf numFmtId="164" fontId="35" fillId="9" borderId="70" xfId="34" applyNumberFormat="1" applyFont="1" applyFill="1" applyBorder="1" applyAlignment="1">
      <alignment vertical="top"/>
    </xf>
    <xf numFmtId="0" fontId="59" fillId="0" borderId="70" xfId="37" applyFont="1" applyBorder="1"/>
    <xf numFmtId="165" fontId="35" fillId="9" borderId="70" xfId="34" applyNumberFormat="1" applyFont="1" applyFill="1" applyBorder="1" applyAlignment="1">
      <alignment vertical="top"/>
    </xf>
    <xf numFmtId="164" fontId="35" fillId="9" borderId="70" xfId="34" applyNumberFormat="1" applyFont="1" applyFill="1" applyBorder="1" applyAlignment="1">
      <alignment horizontal="center" vertical="center"/>
    </xf>
    <xf numFmtId="0" fontId="48" fillId="9" borderId="24" xfId="34" applyFont="1" applyFill="1" applyBorder="1" applyAlignment="1">
      <alignment horizontal="justify" vertical="top" wrapText="1"/>
    </xf>
    <xf numFmtId="3" fontId="35" fillId="9" borderId="24" xfId="34" applyNumberFormat="1" applyFont="1" applyFill="1" applyBorder="1" applyAlignment="1">
      <alignment horizontal="left" vertical="center" wrapText="1"/>
    </xf>
    <xf numFmtId="0" fontId="59" fillId="0" borderId="24" xfId="37" applyFont="1" applyBorder="1"/>
    <xf numFmtId="165" fontId="35" fillId="9" borderId="24" xfId="34" applyNumberFormat="1" applyFont="1" applyFill="1" applyBorder="1" applyAlignment="1">
      <alignment vertical="top"/>
    </xf>
    <xf numFmtId="3" fontId="35" fillId="9" borderId="51" xfId="34" applyNumberFormat="1" applyFont="1" applyFill="1" applyBorder="1" applyAlignment="1">
      <alignment vertical="top"/>
    </xf>
    <xf numFmtId="165" fontId="35" fillId="9" borderId="25" xfId="34" applyNumberFormat="1" applyFont="1" applyFill="1" applyBorder="1" applyAlignment="1">
      <alignment vertical="top"/>
    </xf>
    <xf numFmtId="165" fontId="35" fillId="9" borderId="0" xfId="34" applyNumberFormat="1" applyFont="1" applyFill="1" applyBorder="1" applyAlignment="1">
      <alignment vertical="top"/>
    </xf>
    <xf numFmtId="0" fontId="48" fillId="9" borderId="70" xfId="34" applyFont="1" applyFill="1" applyBorder="1" applyAlignment="1">
      <alignment horizontal="right" vertical="center" wrapText="1"/>
    </xf>
    <xf numFmtId="3" fontId="35" fillId="9" borderId="70" xfId="34" applyNumberFormat="1" applyFont="1" applyFill="1" applyBorder="1" applyAlignment="1">
      <alignment horizontal="right" vertical="center"/>
    </xf>
    <xf numFmtId="0" fontId="59" fillId="0" borderId="48" xfId="37" applyFont="1" applyBorder="1"/>
    <xf numFmtId="165" fontId="35" fillId="9" borderId="48" xfId="34" applyNumberFormat="1" applyFont="1" applyFill="1" applyBorder="1" applyAlignment="1">
      <alignment vertical="top"/>
    </xf>
    <xf numFmtId="0" fontId="59" fillId="0" borderId="17" xfId="37" applyFont="1" applyBorder="1"/>
    <xf numFmtId="165" fontId="35" fillId="9" borderId="17" xfId="34" applyNumberFormat="1" applyFont="1" applyFill="1" applyBorder="1" applyAlignment="1">
      <alignment vertical="top"/>
    </xf>
    <xf numFmtId="0" fontId="48" fillId="9" borderId="24" xfId="34" applyFont="1" applyFill="1" applyBorder="1" applyAlignment="1">
      <alignment horizontal="right" vertical="center" wrapText="1"/>
    </xf>
    <xf numFmtId="3" fontId="35" fillId="9" borderId="24" xfId="34" applyNumberFormat="1" applyFont="1" applyFill="1" applyBorder="1" applyAlignment="1">
      <alignment horizontal="right" vertical="center"/>
    </xf>
    <xf numFmtId="3" fontId="247" fillId="0" borderId="0" xfId="2130" applyNumberFormat="1" applyFont="1" applyBorder="1" applyAlignment="1">
      <alignment vertical="center"/>
    </xf>
    <xf numFmtId="3" fontId="84" fillId="0" borderId="0" xfId="2130" applyNumberFormat="1" applyFont="1" applyBorder="1" applyAlignment="1">
      <alignment horizontal="right" vertical="center"/>
    </xf>
    <xf numFmtId="3" fontId="35" fillId="0" borderId="51" xfId="34" applyNumberFormat="1" applyFont="1" applyBorder="1" applyAlignment="1">
      <alignment horizontal="left" vertical="center" wrapText="1"/>
    </xf>
    <xf numFmtId="3" fontId="35" fillId="0" borderId="51" xfId="34" applyNumberFormat="1" applyFont="1" applyBorder="1" applyAlignment="1">
      <alignment horizontal="center" vertical="center" wrapText="1"/>
    </xf>
    <xf numFmtId="164" fontId="35" fillId="0" borderId="51" xfId="34" applyNumberFormat="1" applyFont="1" applyBorder="1" applyAlignment="1">
      <alignment vertical="center"/>
    </xf>
    <xf numFmtId="0" fontId="59" fillId="0" borderId="51" xfId="37" applyFont="1" applyBorder="1"/>
    <xf numFmtId="165" fontId="35" fillId="9" borderId="51" xfId="34" applyNumberFormat="1" applyFont="1" applyFill="1" applyBorder="1" applyAlignment="1">
      <alignment vertical="top"/>
    </xf>
    <xf numFmtId="0" fontId="48" fillId="0" borderId="13" xfId="34" applyFont="1" applyBorder="1" applyAlignment="1">
      <alignment horizontal="center" vertical="top" wrapText="1"/>
    </xf>
    <xf numFmtId="3" fontId="35" fillId="0" borderId="17" xfId="34" applyNumberFormat="1" applyFont="1" applyBorder="1" applyAlignment="1">
      <alignment horizontal="left" vertical="top" wrapText="1"/>
    </xf>
    <xf numFmtId="3" fontId="35" fillId="0" borderId="17" xfId="34" applyNumberFormat="1" applyFont="1" applyBorder="1" applyAlignment="1">
      <alignment vertical="top"/>
    </xf>
    <xf numFmtId="164" fontId="35" fillId="0" borderId="17" xfId="34" applyNumberFormat="1" applyFont="1" applyBorder="1" applyAlignment="1">
      <alignment vertical="top"/>
    </xf>
    <xf numFmtId="3" fontId="35" fillId="9" borderId="51" xfId="34" applyNumberFormat="1" applyFont="1" applyFill="1" applyBorder="1" applyAlignment="1">
      <alignment horizontal="left" vertical="top" wrapText="1"/>
    </xf>
    <xf numFmtId="0" fontId="59" fillId="0" borderId="21" xfId="37" applyFont="1" applyBorder="1"/>
    <xf numFmtId="164" fontId="35" fillId="0" borderId="51" xfId="34" applyNumberFormat="1" applyFont="1" applyBorder="1" applyAlignment="1">
      <alignment vertical="top"/>
    </xf>
    <xf numFmtId="3" fontId="35" fillId="9" borderId="70" xfId="34" applyNumberFormat="1" applyFont="1" applyFill="1" applyBorder="1" applyAlignment="1">
      <alignment horizontal="left" vertical="top" wrapText="1"/>
    </xf>
    <xf numFmtId="3" fontId="63" fillId="0" borderId="47" xfId="0" applyNumberFormat="1" applyFont="1" applyBorder="1" applyAlignment="1">
      <alignment horizontal="center" vertical="center"/>
    </xf>
    <xf numFmtId="3" fontId="63" fillId="0" borderId="18" xfId="0" applyNumberFormat="1" applyFont="1" applyBorder="1" applyAlignment="1">
      <alignment horizontal="center" vertical="center"/>
    </xf>
    <xf numFmtId="3" fontId="63" fillId="0" borderId="25" xfId="0" applyNumberFormat="1" applyFont="1" applyBorder="1" applyAlignment="1">
      <alignment horizontal="center" vertical="center"/>
    </xf>
    <xf numFmtId="0" fontId="48" fillId="9" borderId="70" xfId="34" applyFont="1" applyFill="1" applyBorder="1" applyAlignment="1">
      <alignment horizontal="right" vertical="top" wrapText="1"/>
    </xf>
    <xf numFmtId="0" fontId="49" fillId="9" borderId="70" xfId="34" applyFont="1" applyFill="1" applyBorder="1" applyAlignment="1">
      <alignment horizontal="right" vertical="center" wrapText="1"/>
    </xf>
    <xf numFmtId="0" fontId="48" fillId="9" borderId="21" xfId="34" applyFont="1" applyFill="1" applyBorder="1" applyAlignment="1">
      <alignment horizontal="justify" vertical="top" wrapText="1"/>
    </xf>
    <xf numFmtId="3" fontId="35" fillId="9" borderId="21" xfId="34" applyNumberFormat="1" applyFont="1" applyFill="1" applyBorder="1" applyAlignment="1">
      <alignment horizontal="left" vertical="center" wrapText="1"/>
    </xf>
    <xf numFmtId="164" fontId="35" fillId="9" borderId="21" xfId="34" applyNumberFormat="1" applyFont="1" applyFill="1" applyBorder="1" applyAlignment="1">
      <alignment vertical="top"/>
    </xf>
    <xf numFmtId="0" fontId="0" fillId="0" borderId="0" xfId="0" applyAlignment="1">
      <alignment horizontal="center" vertical="center"/>
    </xf>
    <xf numFmtId="0" fontId="137" fillId="0" borderId="64" xfId="0" applyFont="1" applyBorder="1" applyAlignment="1">
      <alignment horizontal="center" vertical="center" wrapText="1"/>
    </xf>
    <xf numFmtId="0" fontId="137" fillId="0" borderId="21" xfId="0" applyFont="1" applyBorder="1" applyAlignment="1">
      <alignment horizontal="center" vertical="center" wrapText="1"/>
    </xf>
    <xf numFmtId="187" fontId="137" fillId="0" borderId="21" xfId="42" applyNumberFormat="1" applyFont="1" applyBorder="1" applyAlignment="1">
      <alignment horizontal="center" vertical="center" wrapText="1"/>
    </xf>
    <xf numFmtId="2" fontId="137" fillId="0" borderId="21" xfId="0" applyNumberFormat="1" applyFont="1" applyBorder="1" applyAlignment="1">
      <alignment horizontal="center" vertical="center" wrapText="1"/>
    </xf>
    <xf numFmtId="0" fontId="137" fillId="0" borderId="22" xfId="0" applyFont="1" applyBorder="1" applyAlignment="1">
      <alignment horizontal="center" vertical="center" wrapText="1"/>
    </xf>
    <xf numFmtId="0" fontId="137" fillId="0" borderId="43" xfId="0" applyFont="1" applyBorder="1" applyAlignment="1">
      <alignment horizontal="center" vertical="center" wrapText="1"/>
    </xf>
    <xf numFmtId="0" fontId="137" fillId="0" borderId="70" xfId="0" applyFont="1" applyBorder="1" applyAlignment="1">
      <alignment horizontal="center" vertical="center" wrapText="1"/>
    </xf>
    <xf numFmtId="187" fontId="137" fillId="0" borderId="70" xfId="42" applyNumberFormat="1" applyFont="1" applyBorder="1" applyAlignment="1">
      <alignment horizontal="center" vertical="center" wrapText="1"/>
    </xf>
    <xf numFmtId="2" fontId="137" fillId="0" borderId="70" xfId="0" applyNumberFormat="1" applyFont="1" applyBorder="1" applyAlignment="1">
      <alignment horizontal="center" vertical="center" wrapText="1"/>
    </xf>
    <xf numFmtId="0" fontId="137" fillId="0" borderId="46" xfId="0" applyFont="1" applyBorder="1" applyAlignment="1">
      <alignment horizontal="center" vertical="center" wrapText="1"/>
    </xf>
    <xf numFmtId="0" fontId="137" fillId="0" borderId="51" xfId="0" applyFont="1" applyBorder="1" applyAlignment="1">
      <alignment horizontal="center" vertical="center" wrapText="1"/>
    </xf>
    <xf numFmtId="187" fontId="137" fillId="0" borderId="51" xfId="42" applyNumberFormat="1" applyFont="1" applyBorder="1" applyAlignment="1">
      <alignment horizontal="center" vertical="center" wrapText="1"/>
    </xf>
    <xf numFmtId="0" fontId="137" fillId="0" borderId="25" xfId="0" applyFont="1" applyBorder="1" applyAlignment="1">
      <alignment horizontal="center" vertical="center" wrapText="1"/>
    </xf>
    <xf numFmtId="0" fontId="137" fillId="0" borderId="61" xfId="0" applyFont="1" applyBorder="1" applyAlignment="1">
      <alignment horizontal="center" vertical="center" wrapText="1"/>
    </xf>
    <xf numFmtId="187" fontId="137" fillId="0" borderId="48" xfId="42" applyNumberFormat="1" applyFont="1" applyBorder="1" applyAlignment="1">
      <alignment horizontal="center" vertical="center" wrapText="1"/>
    </xf>
    <xf numFmtId="0" fontId="137" fillId="0" borderId="48" xfId="0" applyFont="1" applyBorder="1" applyAlignment="1">
      <alignment vertical="center" wrapText="1"/>
    </xf>
    <xf numFmtId="187" fontId="137" fillId="0" borderId="14" xfId="42" applyNumberFormat="1" applyFont="1" applyBorder="1" applyAlignment="1">
      <alignment horizontal="center" vertical="center" wrapText="1"/>
    </xf>
    <xf numFmtId="0" fontId="137" fillId="0" borderId="15" xfId="0" applyFont="1" applyBorder="1" applyAlignment="1">
      <alignment horizontal="center" vertical="center" wrapText="1"/>
    </xf>
    <xf numFmtId="0" fontId="137" fillId="0" borderId="55" xfId="0" applyFont="1" applyBorder="1" applyAlignment="1">
      <alignment horizontal="center" vertical="center" wrapText="1"/>
    </xf>
    <xf numFmtId="187" fontId="137" fillId="0" borderId="51" xfId="0" applyNumberFormat="1" applyFont="1" applyBorder="1" applyAlignment="1">
      <alignment horizontal="center" vertical="center" wrapText="1"/>
    </xf>
    <xf numFmtId="0" fontId="137" fillId="0" borderId="14" xfId="0" applyFont="1" applyBorder="1" applyAlignment="1">
      <alignment horizontal="center" vertical="center" wrapText="1"/>
    </xf>
    <xf numFmtId="187" fontId="137" fillId="0" borderId="14" xfId="42" applyNumberFormat="1" applyFont="1" applyBorder="1" applyAlignment="1">
      <alignment vertical="center" wrapText="1"/>
    </xf>
    <xf numFmtId="0" fontId="137" fillId="0" borderId="70" xfId="0" applyFont="1" applyBorder="1" applyAlignment="1">
      <alignment vertical="center" wrapText="1"/>
    </xf>
    <xf numFmtId="187" fontId="137" fillId="0" borderId="70" xfId="42" applyNumberFormat="1" applyFont="1" applyBorder="1" applyAlignment="1">
      <alignment vertical="center" wrapText="1"/>
    </xf>
    <xf numFmtId="0" fontId="59" fillId="0" borderId="0" xfId="0" applyFont="1"/>
    <xf numFmtId="166" fontId="35" fillId="9" borderId="0" xfId="5" applyNumberFormat="1" applyFont="1" applyFill="1" applyBorder="1" applyAlignment="1">
      <alignment vertical="center" readingOrder="2"/>
    </xf>
    <xf numFmtId="0" fontId="59" fillId="0" borderId="0" xfId="0" applyFont="1"/>
    <xf numFmtId="187" fontId="245" fillId="0" borderId="19" xfId="42" applyNumberFormat="1" applyFont="1" applyFill="1" applyBorder="1" applyAlignment="1" applyProtection="1"/>
    <xf numFmtId="168" fontId="50" fillId="0" borderId="0" xfId="0" applyNumberFormat="1" applyFont="1" applyFill="1" applyBorder="1" applyAlignment="1" applyProtection="1">
      <alignment horizontal="center" vertical="center"/>
    </xf>
    <xf numFmtId="168" fontId="246" fillId="0" borderId="11" xfId="0" applyNumberFormat="1" applyFont="1" applyFill="1" applyBorder="1"/>
    <xf numFmtId="37" fontId="246" fillId="0" borderId="31" xfId="0" applyNumberFormat="1" applyFont="1" applyFill="1" applyBorder="1"/>
    <xf numFmtId="168" fontId="49" fillId="25" borderId="70" xfId="10" applyNumberFormat="1" applyFont="1" applyFill="1" applyBorder="1" applyAlignment="1">
      <alignment horizontal="right" vertical="center"/>
    </xf>
    <xf numFmtId="0" fontId="39" fillId="9" borderId="0" xfId="0" applyFont="1" applyFill="1"/>
    <xf numFmtId="0" fontId="262" fillId="9" borderId="0" xfId="5" applyFont="1" applyFill="1" applyAlignment="1">
      <alignment vertical="top" readingOrder="2"/>
    </xf>
    <xf numFmtId="0" fontId="32" fillId="0" borderId="0" xfId="8" applyFont="1"/>
    <xf numFmtId="0" fontId="39" fillId="0" borderId="0" xfId="0" applyFont="1"/>
    <xf numFmtId="0" fontId="32" fillId="0" borderId="0" xfId="12" applyFont="1"/>
    <xf numFmtId="0" fontId="262" fillId="9" borderId="0" xfId="5" applyFont="1" applyFill="1" applyAlignment="1">
      <alignment horizontal="center" vertical="top" readingOrder="2"/>
    </xf>
    <xf numFmtId="0" fontId="32" fillId="0" borderId="0" xfId="21" applyFont="1" applyFill="1"/>
    <xf numFmtId="0" fontId="32" fillId="9" borderId="0" xfId="22" applyFont="1" applyFill="1" applyAlignment="1">
      <alignment wrapText="1" readingOrder="2"/>
    </xf>
    <xf numFmtId="0" fontId="224" fillId="0" borderId="0" xfId="5" applyFont="1" applyAlignment="1">
      <alignment horizontal="center" vertical="top" readingOrder="2"/>
    </xf>
    <xf numFmtId="49" fontId="32" fillId="9" borderId="0" xfId="27" applyNumberFormat="1" applyFont="1" applyFill="1" applyBorder="1" applyAlignment="1">
      <alignment horizontal="center" vertical="center"/>
    </xf>
    <xf numFmtId="0" fontId="78" fillId="0" borderId="0" xfId="0" applyFont="1" applyBorder="1" applyAlignment="1">
      <alignment horizontal="right" vertical="center" wrapText="1" readingOrder="2"/>
    </xf>
    <xf numFmtId="0" fontId="43" fillId="9" borderId="35" xfId="18" applyNumberFormat="1" applyFont="1" applyFill="1" applyBorder="1" applyAlignment="1">
      <alignment horizontal="center" vertical="center" readingOrder="2"/>
    </xf>
    <xf numFmtId="164" fontId="97" fillId="0" borderId="33" xfId="14" applyNumberFormat="1" applyFont="1" applyBorder="1" applyAlignment="1">
      <alignment horizontal="right" vertical="center"/>
    </xf>
    <xf numFmtId="0" fontId="227" fillId="9" borderId="0" xfId="2123" applyFont="1" applyFill="1" applyBorder="1" applyAlignment="1">
      <alignment horizontal="center" vertical="top" readingOrder="2"/>
    </xf>
    <xf numFmtId="0" fontId="260" fillId="0" borderId="0" xfId="0" applyFont="1"/>
    <xf numFmtId="0" fontId="260" fillId="0" borderId="35" xfId="0" applyFont="1" applyBorder="1" applyAlignment="1">
      <alignment horizontal="center" vertical="center"/>
    </xf>
    <xf numFmtId="165" fontId="260" fillId="0" borderId="35" xfId="42" applyNumberFormat="1" applyFont="1" applyBorder="1" applyAlignment="1">
      <alignment horizontal="center" vertical="center"/>
    </xf>
    <xf numFmtId="165" fontId="0" fillId="0" borderId="0" xfId="42" applyNumberFormat="1" applyFont="1" applyAlignment="1">
      <alignment horizontal="center" vertical="center"/>
    </xf>
    <xf numFmtId="0" fontId="137" fillId="0" borderId="70" xfId="0" applyFont="1" applyBorder="1" applyAlignment="1">
      <alignment horizontal="center" vertical="center"/>
    </xf>
    <xf numFmtId="187" fontId="137" fillId="0" borderId="70" xfId="42" applyNumberFormat="1" applyFont="1" applyBorder="1" applyAlignment="1">
      <alignment horizontal="center" vertical="center"/>
    </xf>
    <xf numFmtId="165" fontId="137" fillId="0" borderId="70" xfId="42" applyNumberFormat="1" applyFont="1" applyBorder="1" applyAlignment="1">
      <alignment horizontal="center" vertical="center"/>
    </xf>
    <xf numFmtId="187" fontId="137" fillId="9" borderId="70" xfId="42" applyNumberFormat="1" applyFont="1" applyFill="1" applyBorder="1" applyAlignment="1">
      <alignment horizontal="center" vertical="center"/>
    </xf>
    <xf numFmtId="165" fontId="137" fillId="9" borderId="70" xfId="42" applyNumberFormat="1" applyFont="1" applyFill="1" applyBorder="1" applyAlignment="1">
      <alignment horizontal="center" vertical="center"/>
    </xf>
    <xf numFmtId="0" fontId="137" fillId="0" borderId="70" xfId="0" applyFont="1" applyBorder="1" applyAlignment="1">
      <alignment horizontal="right" vertical="center"/>
    </xf>
    <xf numFmtId="187" fontId="137" fillId="0" borderId="70" xfId="42" applyNumberFormat="1" applyFont="1" applyBorder="1" applyAlignment="1">
      <alignment horizontal="center" vertical="center" shrinkToFit="1"/>
    </xf>
    <xf numFmtId="49" fontId="137" fillId="0" borderId="70" xfId="42" applyNumberFormat="1" applyFont="1" applyBorder="1" applyAlignment="1">
      <alignment horizontal="center" vertical="center"/>
    </xf>
    <xf numFmtId="0" fontId="137" fillId="0" borderId="0" xfId="0" applyFont="1" applyBorder="1" applyAlignment="1">
      <alignment horizontal="right" vertical="center"/>
    </xf>
    <xf numFmtId="187" fontId="137" fillId="0" borderId="0" xfId="42" applyNumberFormat="1" applyFont="1" applyBorder="1" applyAlignment="1">
      <alignment horizontal="center" vertical="center"/>
    </xf>
    <xf numFmtId="165" fontId="137" fillId="0" borderId="0" xfId="42" applyNumberFormat="1" applyFont="1" applyBorder="1" applyAlignment="1">
      <alignment horizontal="center" vertical="center"/>
    </xf>
    <xf numFmtId="187" fontId="137" fillId="0" borderId="0" xfId="42" applyNumberFormat="1" applyFont="1" applyBorder="1" applyAlignment="1">
      <alignment horizontal="center" vertical="center" shrinkToFit="1"/>
    </xf>
    <xf numFmtId="49" fontId="137" fillId="0" borderId="0" xfId="42" applyNumberFormat="1" applyFont="1" applyBorder="1" applyAlignment="1">
      <alignment horizontal="center" vertical="center"/>
    </xf>
    <xf numFmtId="0" fontId="137" fillId="0" borderId="0" xfId="0" applyFont="1" applyBorder="1" applyAlignment="1">
      <alignment horizontal="center" vertical="center"/>
    </xf>
    <xf numFmtId="0" fontId="137" fillId="0" borderId="0" xfId="0" applyFont="1" applyBorder="1" applyAlignment="1">
      <alignment horizontal="center" vertical="center" shrinkToFit="1"/>
    </xf>
    <xf numFmtId="0" fontId="39" fillId="0" borderId="0" xfId="0" applyFont="1" applyAlignment="1">
      <alignment vertical="center"/>
    </xf>
    <xf numFmtId="0" fontId="137" fillId="0" borderId="70" xfId="0" applyFont="1" applyBorder="1" applyAlignment="1">
      <alignment horizontal="right" vertical="center" shrinkToFit="1"/>
    </xf>
    <xf numFmtId="187" fontId="59" fillId="0" borderId="70" xfId="42" applyNumberFormat="1" applyFont="1" applyBorder="1" applyAlignment="1">
      <alignment horizontal="center" vertical="center" shrinkToFit="1"/>
    </xf>
    <xf numFmtId="0" fontId="137" fillId="9" borderId="0" xfId="0" applyFont="1" applyFill="1" applyBorder="1" applyAlignment="1">
      <alignment horizontal="right" vertical="center"/>
    </xf>
    <xf numFmtId="187" fontId="137" fillId="9" borderId="0" xfId="42" applyNumberFormat="1" applyFont="1" applyFill="1" applyBorder="1" applyAlignment="1">
      <alignment horizontal="center" vertical="center"/>
    </xf>
    <xf numFmtId="165" fontId="137" fillId="9" borderId="0" xfId="42" applyNumberFormat="1" applyFont="1" applyFill="1" applyBorder="1" applyAlignment="1">
      <alignment horizontal="center" vertical="center"/>
    </xf>
    <xf numFmtId="187" fontId="137" fillId="9" borderId="0" xfId="42" applyNumberFormat="1" applyFont="1" applyFill="1" applyBorder="1" applyAlignment="1">
      <alignment horizontal="center" vertical="center" shrinkToFit="1"/>
    </xf>
    <xf numFmtId="49" fontId="137" fillId="9" borderId="0" xfId="42" applyNumberFormat="1" applyFont="1" applyFill="1" applyBorder="1" applyAlignment="1">
      <alignment horizontal="center" vertical="center"/>
    </xf>
    <xf numFmtId="0" fontId="137" fillId="9" borderId="70" xfId="0" applyFont="1" applyFill="1" applyBorder="1" applyAlignment="1">
      <alignment horizontal="right" vertical="center"/>
    </xf>
    <xf numFmtId="187" fontId="137" fillId="9" borderId="70" xfId="42" applyNumberFormat="1" applyFont="1" applyFill="1" applyBorder="1" applyAlignment="1">
      <alignment horizontal="center" vertical="center" shrinkToFit="1"/>
    </xf>
    <xf numFmtId="49" fontId="137" fillId="9" borderId="70" xfId="42" applyNumberFormat="1" applyFont="1" applyFill="1" applyBorder="1" applyAlignment="1">
      <alignment horizontal="center" vertical="center"/>
    </xf>
    <xf numFmtId="187" fontId="137" fillId="0" borderId="70" xfId="42" applyNumberFormat="1" applyFont="1" applyBorder="1" applyAlignment="1">
      <alignment vertical="center" shrinkToFit="1"/>
    </xf>
    <xf numFmtId="0" fontId="111" fillId="0" borderId="0" xfId="0" applyFont="1" applyAlignment="1">
      <alignment horizontal="right" vertical="center" readingOrder="2"/>
    </xf>
    <xf numFmtId="0" fontId="137" fillId="0" borderId="0" xfId="0" applyFont="1"/>
    <xf numFmtId="0" fontId="137" fillId="0" borderId="0" xfId="0" applyFont="1" applyBorder="1"/>
    <xf numFmtId="0" fontId="137" fillId="0" borderId="35" xfId="0" applyFont="1" applyBorder="1" applyAlignment="1">
      <alignment horizontal="center" vertical="center"/>
    </xf>
    <xf numFmtId="0" fontId="84" fillId="0" borderId="0" xfId="0" applyFont="1" applyAlignment="1">
      <alignment horizontal="right" vertical="center" wrapText="1" readingOrder="2"/>
    </xf>
    <xf numFmtId="0" fontId="84" fillId="0" borderId="0" xfId="0" applyFont="1" applyAlignment="1">
      <alignment horizontal="center" vertical="center" wrapText="1" readingOrder="2"/>
    </xf>
    <xf numFmtId="49" fontId="84" fillId="0" borderId="0" xfId="0" applyNumberFormat="1" applyFont="1" applyAlignment="1">
      <alignment horizontal="center" vertical="center"/>
    </xf>
    <xf numFmtId="0" fontId="84" fillId="0" borderId="35" xfId="0" applyFont="1" applyBorder="1" applyAlignment="1">
      <alignment horizontal="center" vertical="center"/>
    </xf>
    <xf numFmtId="0" fontId="84" fillId="0" borderId="0" xfId="0" applyFont="1" applyBorder="1" applyAlignment="1">
      <alignment horizontal="center" vertical="center"/>
    </xf>
    <xf numFmtId="0" fontId="84" fillId="0" borderId="0" xfId="0" applyFont="1" applyBorder="1" applyAlignment="1">
      <alignment horizontal="center" vertical="center" wrapText="1" readingOrder="2"/>
    </xf>
    <xf numFmtId="0" fontId="84" fillId="0" borderId="0" xfId="0" applyFont="1" applyAlignment="1">
      <alignment horizontal="right" vertical="center"/>
    </xf>
    <xf numFmtId="0" fontId="84" fillId="0" borderId="0" xfId="0" applyFont="1" applyAlignment="1">
      <alignment horizontal="center" vertical="center"/>
    </xf>
    <xf numFmtId="0" fontId="227" fillId="9" borderId="0" xfId="2123" applyFont="1" applyFill="1" applyBorder="1" applyAlignment="1">
      <alignment horizontal="center" vertical="top" readingOrder="2"/>
    </xf>
    <xf numFmtId="0" fontId="29" fillId="9" borderId="0" xfId="31" applyFont="1" applyFill="1" applyAlignment="1">
      <alignment vertical="top" readingOrder="2"/>
    </xf>
    <xf numFmtId="0" fontId="263" fillId="9" borderId="0" xfId="2123" applyFont="1" applyFill="1" applyBorder="1" applyAlignment="1">
      <alignment horizontal="center" vertical="top" readingOrder="2"/>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168" fontId="63" fillId="14" borderId="70" xfId="10" applyNumberFormat="1" applyFont="1" applyFill="1" applyBorder="1" applyAlignment="1">
      <alignment horizontal="right" vertical="center"/>
    </xf>
    <xf numFmtId="0" fontId="59" fillId="0" borderId="0" xfId="0" applyFont="1"/>
    <xf numFmtId="49" fontId="253" fillId="0" borderId="24" xfId="2131" applyNumberFormat="1" applyFont="1" applyBorder="1" applyAlignment="1">
      <alignment horizontal="right" vertical="center" readingOrder="2"/>
    </xf>
    <xf numFmtId="3" fontId="248" fillId="0" borderId="0" xfId="2130" applyNumberFormat="1" applyFont="1" applyAlignment="1">
      <alignment vertical="center"/>
    </xf>
    <xf numFmtId="3" fontId="248" fillId="0" borderId="0" xfId="2130" applyNumberFormat="1" applyFont="1" applyFill="1" applyAlignment="1">
      <alignment vertical="center"/>
    </xf>
    <xf numFmtId="3" fontId="249" fillId="0" borderId="0" xfId="2130" applyNumberFormat="1" applyFont="1" applyAlignment="1">
      <alignment vertical="center"/>
    </xf>
    <xf numFmtId="3" fontId="249" fillId="0" borderId="0" xfId="2130" applyNumberFormat="1" applyFont="1" applyFill="1" applyAlignment="1">
      <alignment vertical="center"/>
    </xf>
    <xf numFmtId="3" fontId="251" fillId="0" borderId="0" xfId="2130" applyNumberFormat="1" applyFont="1" applyFill="1" applyAlignment="1">
      <alignment horizontal="center" vertical="center" wrapText="1"/>
    </xf>
    <xf numFmtId="1" fontId="251" fillId="0" borderId="70" xfId="2130" applyNumberFormat="1" applyFont="1" applyBorder="1" applyAlignment="1">
      <alignment horizontal="center" vertical="center" wrapText="1"/>
    </xf>
    <xf numFmtId="164" fontId="254" fillId="0" borderId="70" xfId="2131" applyNumberFormat="1" applyFont="1" applyFill="1" applyBorder="1" applyAlignment="1">
      <alignment vertical="center"/>
    </xf>
    <xf numFmtId="164" fontId="255" fillId="0" borderId="70" xfId="2131" applyNumberFormat="1" applyFont="1" applyFill="1" applyBorder="1" applyAlignment="1">
      <alignment vertical="center"/>
    </xf>
    <xf numFmtId="164" fontId="255" fillId="10" borderId="70" xfId="2131" applyNumberFormat="1" applyFont="1" applyFill="1" applyBorder="1" applyAlignment="1">
      <alignment vertical="center"/>
    </xf>
    <xf numFmtId="49" fontId="253" fillId="0" borderId="70" xfId="2131" applyNumberFormat="1" applyFont="1" applyBorder="1" applyAlignment="1">
      <alignment horizontal="right" vertical="center" readingOrder="2"/>
    </xf>
    <xf numFmtId="164" fontId="254" fillId="10" borderId="70" xfId="2131" applyNumberFormat="1" applyFont="1" applyFill="1" applyBorder="1" applyAlignment="1">
      <alignment vertical="center"/>
    </xf>
    <xf numFmtId="164" fontId="255" fillId="0" borderId="70" xfId="2131" applyNumberFormat="1" applyFont="1" applyBorder="1" applyAlignment="1">
      <alignment vertical="center"/>
    </xf>
    <xf numFmtId="177" fontId="254" fillId="0" borderId="70" xfId="2131" applyNumberFormat="1" applyFont="1" applyFill="1" applyBorder="1" applyAlignment="1">
      <alignment vertical="center"/>
    </xf>
    <xf numFmtId="164" fontId="254" fillId="0" borderId="70" xfId="2131" applyNumberFormat="1" applyFont="1" applyBorder="1" applyAlignment="1">
      <alignment vertical="center"/>
    </xf>
    <xf numFmtId="177" fontId="255" fillId="0" borderId="70" xfId="2131" applyNumberFormat="1" applyFont="1" applyFill="1" applyBorder="1" applyAlignment="1">
      <alignment vertical="center"/>
    </xf>
    <xf numFmtId="3" fontId="253" fillId="0" borderId="70" xfId="2130" applyNumberFormat="1" applyFont="1" applyBorder="1" applyAlignment="1">
      <alignment vertical="center"/>
    </xf>
    <xf numFmtId="3" fontId="256" fillId="0" borderId="70" xfId="2130" applyNumberFormat="1" applyFont="1" applyBorder="1" applyAlignment="1">
      <alignment vertical="center"/>
    </xf>
    <xf numFmtId="3" fontId="256" fillId="0" borderId="0" xfId="2130" applyNumberFormat="1" applyFont="1" applyAlignment="1">
      <alignment horizontal="center" vertical="center"/>
    </xf>
    <xf numFmtId="3" fontId="256" fillId="0" borderId="34" xfId="2130" applyNumberFormat="1" applyFont="1" applyBorder="1" applyAlignment="1">
      <alignment horizontal="center" vertical="center"/>
    </xf>
    <xf numFmtId="3" fontId="256" fillId="0" borderId="0" xfId="2130" applyNumberFormat="1" applyFont="1" applyFill="1" applyAlignment="1">
      <alignment horizontal="center" vertical="center"/>
    </xf>
    <xf numFmtId="3" fontId="256" fillId="0" borderId="0" xfId="2130" applyNumberFormat="1" applyFont="1" applyAlignment="1">
      <alignment vertical="center"/>
    </xf>
    <xf numFmtId="3" fontId="256" fillId="0" borderId="0" xfId="2130" applyNumberFormat="1" applyFont="1" applyFill="1" applyAlignment="1">
      <alignment vertical="center"/>
    </xf>
    <xf numFmtId="3" fontId="246" fillId="0" borderId="70" xfId="0" applyNumberFormat="1" applyFont="1" applyFill="1" applyBorder="1"/>
    <xf numFmtId="187" fontId="246" fillId="0" borderId="70" xfId="42" applyNumberFormat="1" applyFont="1" applyFill="1" applyBorder="1" applyAlignment="1" applyProtection="1"/>
    <xf numFmtId="0" fontId="59" fillId="0" borderId="0" xfId="0" applyFont="1"/>
    <xf numFmtId="174" fontId="35" fillId="9" borderId="0" xfId="42" applyNumberFormat="1" applyFont="1" applyFill="1" applyBorder="1" applyAlignment="1">
      <alignment horizontal="center" vertical="center" shrinkToFit="1"/>
    </xf>
    <xf numFmtId="0" fontId="265" fillId="0" borderId="0" xfId="7" applyFont="1" applyAlignment="1">
      <alignment horizontal="center" vertical="top"/>
    </xf>
    <xf numFmtId="0" fontId="113" fillId="0" borderId="0" xfId="8" applyFont="1" applyFill="1" applyAlignment="1">
      <alignment horizontal="right" vertical="center" readingOrder="2"/>
    </xf>
    <xf numFmtId="0" fontId="81" fillId="0" borderId="0" xfId="8" applyFont="1" applyFill="1" applyAlignment="1">
      <alignment vertical="center" readingOrder="2"/>
    </xf>
    <xf numFmtId="0" fontId="81" fillId="0" borderId="0" xfId="8" applyFont="1" applyAlignment="1">
      <alignment horizontal="right" vertical="center" readingOrder="2"/>
    </xf>
    <xf numFmtId="0" fontId="81" fillId="0" borderId="0" xfId="12" applyFont="1" applyAlignment="1">
      <alignment vertical="top" wrapText="1" readingOrder="2"/>
    </xf>
    <xf numFmtId="0" fontId="266" fillId="0" borderId="0" xfId="7" applyFont="1" applyAlignment="1">
      <alignment horizontal="center" vertical="top"/>
    </xf>
    <xf numFmtId="0" fontId="81" fillId="0" borderId="0" xfId="0" applyFont="1" applyAlignment="1">
      <alignment horizontal="center"/>
    </xf>
    <xf numFmtId="0" fontId="147" fillId="0" borderId="0" xfId="0" applyFont="1" applyAlignment="1">
      <alignment horizontal="center"/>
    </xf>
    <xf numFmtId="0" fontId="112" fillId="0" borderId="0" xfId="0" applyFont="1" applyFill="1" applyAlignment="1">
      <alignment vertical="center"/>
    </xf>
    <xf numFmtId="168" fontId="49" fillId="9" borderId="23" xfId="10" applyNumberFormat="1" applyFont="1" applyFill="1" applyBorder="1" applyAlignment="1">
      <alignment horizontal="right" vertical="center"/>
    </xf>
    <xf numFmtId="168" fontId="49" fillId="0" borderId="31" xfId="10" applyNumberFormat="1" applyFont="1" applyFill="1" applyBorder="1" applyAlignment="1">
      <alignment horizontal="right" vertical="center"/>
    </xf>
    <xf numFmtId="168" fontId="49" fillId="9" borderId="32" xfId="10" applyNumberFormat="1" applyFont="1" applyFill="1" applyBorder="1" applyAlignment="1">
      <alignment horizontal="right" vertical="center"/>
    </xf>
    <xf numFmtId="37" fontId="246" fillId="0" borderId="32" xfId="0" applyNumberFormat="1" applyFont="1" applyFill="1" applyBorder="1"/>
    <xf numFmtId="0" fontId="80" fillId="9" borderId="0" xfId="0" applyFont="1" applyFill="1"/>
    <xf numFmtId="0" fontId="34" fillId="9" borderId="0" xfId="24" applyFont="1" applyFill="1" applyAlignment="1"/>
    <xf numFmtId="0" fontId="60" fillId="0" borderId="0" xfId="0" applyFont="1" applyAlignment="1">
      <alignment horizontal="center"/>
    </xf>
    <xf numFmtId="0" fontId="192" fillId="9" borderId="0" xfId="14" applyFont="1" applyFill="1" applyAlignment="1">
      <alignment readingOrder="2"/>
    </xf>
    <xf numFmtId="0" fontId="113" fillId="9" borderId="0" xfId="0" applyFont="1" applyFill="1"/>
    <xf numFmtId="49" fontId="138" fillId="9" borderId="0" xfId="5" applyNumberFormat="1" applyFont="1" applyFill="1" applyAlignment="1">
      <alignment horizontal="center" vertical="top" readingOrder="2"/>
    </xf>
    <xf numFmtId="49" fontId="139" fillId="9" borderId="0" xfId="9" applyNumberFormat="1" applyFont="1" applyFill="1" applyAlignment="1">
      <alignment horizontal="center" vertical="top" shrinkToFit="1"/>
    </xf>
    <xf numFmtId="49" fontId="141" fillId="9" borderId="0" xfId="47" applyNumberFormat="1" applyFont="1" applyFill="1" applyAlignment="1"/>
    <xf numFmtId="49" fontId="44" fillId="9" borderId="0" xfId="16" applyNumberFormat="1" applyFont="1" applyFill="1"/>
    <xf numFmtId="49" fontId="122" fillId="9" borderId="19" xfId="0" applyNumberFormat="1" applyFont="1" applyFill="1" applyBorder="1" applyAlignment="1">
      <alignment horizontal="center" vertical="center"/>
    </xf>
    <xf numFmtId="49" fontId="35" fillId="9" borderId="19" xfId="8" applyNumberFormat="1" applyFont="1" applyFill="1" applyBorder="1" applyAlignment="1">
      <alignment horizontal="center" vertical="top" readingOrder="2"/>
    </xf>
    <xf numFmtId="49" fontId="35" fillId="9" borderId="48" xfId="8" applyNumberFormat="1" applyFont="1" applyFill="1" applyBorder="1" applyAlignment="1">
      <alignment horizontal="center" vertical="top" readingOrder="2"/>
    </xf>
    <xf numFmtId="49" fontId="35" fillId="9" borderId="24" xfId="8" applyNumberFormat="1" applyFont="1" applyFill="1" applyBorder="1" applyAlignment="1">
      <alignment horizontal="center" vertical="top" readingOrder="2"/>
    </xf>
    <xf numFmtId="49" fontId="59" fillId="9" borderId="0" xfId="0" applyNumberFormat="1" applyFont="1" applyFill="1"/>
    <xf numFmtId="49" fontId="138" fillId="0" borderId="0" xfId="5" applyNumberFormat="1" applyFont="1" applyAlignment="1">
      <alignment horizontal="center" vertical="top" readingOrder="2"/>
    </xf>
    <xf numFmtId="49" fontId="139" fillId="0" borderId="0" xfId="9" applyNumberFormat="1" applyFont="1" applyAlignment="1">
      <alignment horizontal="center" vertical="top" shrinkToFit="1"/>
    </xf>
    <xf numFmtId="49" fontId="141" fillId="0" borderId="0" xfId="47" applyNumberFormat="1" applyFont="1" applyAlignment="1"/>
    <xf numFmtId="49" fontId="122" fillId="9" borderId="43" xfId="0" applyNumberFormat="1" applyFont="1" applyFill="1" applyBorder="1" applyAlignment="1">
      <alignment horizontal="center" vertical="center"/>
    </xf>
    <xf numFmtId="49" fontId="35" fillId="9" borderId="43" xfId="8" applyNumberFormat="1" applyFont="1" applyFill="1" applyBorder="1" applyAlignment="1">
      <alignment horizontal="center" vertical="top" readingOrder="2"/>
    </xf>
    <xf numFmtId="49" fontId="59" fillId="0" borderId="0" xfId="0" applyNumberFormat="1" applyFont="1"/>
    <xf numFmtId="0" fontId="44" fillId="9" borderId="0" xfId="26" applyFont="1" applyFill="1" applyBorder="1" applyAlignment="1">
      <alignment vertical="center" readingOrder="2"/>
    </xf>
    <xf numFmtId="0" fontId="46" fillId="9" borderId="0" xfId="26" applyFont="1" applyFill="1" applyBorder="1" applyAlignment="1">
      <alignment vertical="center" readingOrder="2"/>
    </xf>
    <xf numFmtId="0" fontId="46" fillId="9" borderId="0" xfId="25" applyFont="1" applyFill="1" applyAlignment="1">
      <alignment horizontal="right" vertical="center" readingOrder="2"/>
    </xf>
    <xf numFmtId="3" fontId="35" fillId="9" borderId="0" xfId="17" applyNumberFormat="1" applyFont="1" applyFill="1" applyBorder="1" applyAlignment="1">
      <alignment horizontal="center"/>
    </xf>
    <xf numFmtId="0" fontId="44" fillId="9" borderId="0" xfId="26" applyFont="1" applyFill="1" applyBorder="1" applyAlignment="1">
      <alignment horizontal="right"/>
    </xf>
    <xf numFmtId="0" fontId="59" fillId="0" borderId="0" xfId="0" applyFont="1"/>
    <xf numFmtId="167" fontId="35" fillId="9" borderId="70" xfId="8" applyNumberFormat="1" applyFont="1" applyFill="1" applyBorder="1" applyAlignment="1">
      <alignment horizontal="right" vertical="top" readingOrder="2"/>
    </xf>
    <xf numFmtId="49" fontId="35" fillId="9" borderId="70" xfId="8" applyNumberFormat="1" applyFont="1" applyFill="1" applyBorder="1" applyAlignment="1">
      <alignment horizontal="right" vertical="top" readingOrder="2"/>
    </xf>
    <xf numFmtId="3" fontId="113" fillId="9" borderId="0" xfId="0" applyNumberFormat="1" applyFont="1" applyFill="1" applyBorder="1" applyAlignment="1">
      <alignment horizontal="center" vertical="center"/>
    </xf>
    <xf numFmtId="0" fontId="112" fillId="9" borderId="0" xfId="0" applyFont="1" applyFill="1" applyBorder="1"/>
    <xf numFmtId="0" fontId="59" fillId="0" borderId="0" xfId="0" applyFont="1"/>
    <xf numFmtId="0" fontId="48" fillId="9" borderId="0" xfId="26" applyFont="1" applyFill="1" applyAlignment="1">
      <alignment horizontal="center"/>
    </xf>
    <xf numFmtId="174" fontId="131" fillId="9" borderId="0" xfId="42" applyNumberFormat="1" applyFont="1" applyFill="1" applyBorder="1" applyAlignment="1">
      <alignment horizontal="center" vertical="center" shrinkToFit="1"/>
    </xf>
    <xf numFmtId="164" fontId="97" fillId="0" borderId="35" xfId="14" applyNumberFormat="1" applyFont="1" applyBorder="1" applyAlignment="1">
      <alignment horizontal="right" vertical="center"/>
    </xf>
    <xf numFmtId="0" fontId="29" fillId="9" borderId="0" xfId="14" applyFont="1" applyFill="1" applyAlignment="1">
      <alignment horizontal="center" readingOrder="2"/>
    </xf>
    <xf numFmtId="0" fontId="48" fillId="9" borderId="0" xfId="26" applyFont="1" applyFill="1" applyAlignment="1">
      <alignment horizontal="right" vertical="top" wrapText="1" readingOrder="2"/>
    </xf>
    <xf numFmtId="0" fontId="60" fillId="9" borderId="0" xfId="26" applyFont="1" applyFill="1" applyBorder="1" applyAlignment="1">
      <alignment horizontal="right" vertical="center" readingOrder="2"/>
    </xf>
    <xf numFmtId="0" fontId="60" fillId="9" borderId="0" xfId="26" applyFont="1" applyFill="1" applyAlignment="1">
      <alignment horizontal="center" vertical="top" wrapText="1" readingOrder="2"/>
    </xf>
    <xf numFmtId="0" fontId="34" fillId="9" borderId="0" xfId="26" applyFont="1" applyFill="1" applyBorder="1" applyAlignment="1">
      <alignment horizontal="center" vertical="center"/>
    </xf>
    <xf numFmtId="0" fontId="84" fillId="0" borderId="0" xfId="0" applyFont="1" applyAlignment="1">
      <alignment horizontal="right" vertical="center" wrapText="1" readingOrder="2"/>
    </xf>
    <xf numFmtId="0" fontId="95" fillId="0" borderId="35" xfId="0" applyFont="1" applyBorder="1" applyAlignment="1">
      <alignment horizontal="center" vertical="center" wrapText="1" readingOrder="2"/>
    </xf>
    <xf numFmtId="3" fontId="78" fillId="0" borderId="0" xfId="0" applyNumberFormat="1" applyFont="1" applyBorder="1" applyAlignment="1">
      <alignment horizontal="center" vertical="center" wrapText="1" readingOrder="2"/>
    </xf>
    <xf numFmtId="49" fontId="32" fillId="9" borderId="0" xfId="27" applyNumberFormat="1" applyFont="1" applyFill="1" applyBorder="1" applyAlignment="1">
      <alignment horizontal="center" vertical="center"/>
    </xf>
    <xf numFmtId="0" fontId="74" fillId="0" borderId="0" xfId="0" applyFont="1" applyBorder="1" applyAlignment="1">
      <alignment horizontal="center" vertical="center" wrapText="1" readingOrder="2"/>
    </xf>
    <xf numFmtId="0" fontId="78" fillId="0" borderId="0" xfId="0" applyFont="1" applyBorder="1" applyAlignment="1">
      <alignment horizontal="center" vertical="center" wrapText="1" readingOrder="2"/>
    </xf>
    <xf numFmtId="0" fontId="232" fillId="0" borderId="0" xfId="0" applyFont="1" applyBorder="1" applyAlignment="1">
      <alignment horizontal="right" vertical="center" wrapText="1" readingOrder="2"/>
    </xf>
    <xf numFmtId="0" fontId="80" fillId="9" borderId="0" xfId="0" applyFont="1" applyFill="1" applyAlignment="1"/>
    <xf numFmtId="0" fontId="244" fillId="9" borderId="0" xfId="12" applyFont="1" applyFill="1" applyAlignment="1">
      <alignment horizontal="center" vertical="top" readingOrder="2"/>
    </xf>
    <xf numFmtId="0" fontId="118" fillId="9" borderId="0" xfId="0" applyFont="1" applyFill="1"/>
    <xf numFmtId="0" fontId="112" fillId="9" borderId="0" xfId="0" applyFont="1" applyFill="1" applyAlignment="1"/>
    <xf numFmtId="0" fontId="95" fillId="0" borderId="0" xfId="0" applyFont="1" applyBorder="1" applyAlignment="1">
      <alignment horizontal="center" vertical="center" wrapText="1" readingOrder="2"/>
    </xf>
    <xf numFmtId="3" fontId="34" fillId="0" borderId="34" xfId="12" applyNumberFormat="1" applyFont="1" applyBorder="1" applyAlignment="1">
      <alignment horizontal="center" vertical="center" readingOrder="2"/>
    </xf>
    <xf numFmtId="0" fontId="59" fillId="0" borderId="0" xfId="0" applyFont="1"/>
    <xf numFmtId="0" fontId="42" fillId="9" borderId="0" xfId="18" applyFont="1" applyFill="1" applyAlignment="1">
      <alignment horizontal="right" vertical="center" readingOrder="2"/>
    </xf>
    <xf numFmtId="0" fontId="142" fillId="9" borderId="0" xfId="5" applyFont="1" applyFill="1" applyAlignment="1">
      <alignment horizontal="center" vertical="top" readingOrder="2"/>
    </xf>
    <xf numFmtId="0" fontId="227" fillId="9" borderId="0" xfId="2123" applyFont="1" applyFill="1" applyBorder="1" applyAlignment="1">
      <alignment horizontal="center" vertical="top" readingOrder="2"/>
    </xf>
    <xf numFmtId="0" fontId="42" fillId="9" borderId="0" xfId="18" applyFont="1" applyFill="1" applyBorder="1" applyAlignment="1">
      <alignment vertical="center"/>
    </xf>
    <xf numFmtId="0" fontId="264" fillId="9" borderId="0" xfId="2123" applyFont="1" applyFill="1" applyBorder="1" applyAlignment="1">
      <alignment horizontal="center" vertical="top" readingOrder="2"/>
    </xf>
    <xf numFmtId="0" fontId="267" fillId="9" borderId="0" xfId="2123" applyFont="1" applyFill="1" applyBorder="1" applyAlignment="1">
      <alignment horizontal="center" vertical="top" readingOrder="2"/>
    </xf>
    <xf numFmtId="0" fontId="268" fillId="9" borderId="0" xfId="2123" applyFont="1" applyFill="1" applyBorder="1" applyAlignment="1">
      <alignment horizontal="center" vertical="top" readingOrder="2"/>
    </xf>
    <xf numFmtId="0" fontId="269" fillId="9" borderId="0" xfId="2123" applyFont="1" applyFill="1" applyBorder="1" applyAlignment="1">
      <alignment horizontal="center" vertical="top" readingOrder="2"/>
    </xf>
    <xf numFmtId="0" fontId="261" fillId="9" borderId="0" xfId="2123" applyFont="1" applyFill="1" applyBorder="1" applyAlignment="1">
      <alignment horizontal="center" vertical="top" readingOrder="2"/>
    </xf>
    <xf numFmtId="164" fontId="31" fillId="9" borderId="32" xfId="27" applyNumberFormat="1" applyFont="1" applyFill="1" applyBorder="1" applyAlignment="1">
      <alignment vertical="center"/>
    </xf>
    <xf numFmtId="0" fontId="261" fillId="9" borderId="0" xfId="2123" applyFont="1" applyFill="1" applyBorder="1" applyAlignment="1">
      <alignment horizontal="right" vertical="top" readingOrder="2"/>
    </xf>
    <xf numFmtId="0" fontId="268" fillId="9" borderId="0" xfId="2123" applyFont="1" applyFill="1" applyBorder="1" applyAlignment="1">
      <alignment horizontal="right" vertical="top" readingOrder="2"/>
    </xf>
    <xf numFmtId="0" fontId="267" fillId="9" borderId="0" xfId="2123" applyFont="1" applyFill="1" applyBorder="1" applyAlignment="1">
      <alignment horizontal="right" vertical="top" readingOrder="2"/>
    </xf>
    <xf numFmtId="0" fontId="42" fillId="9" borderId="0" xfId="31" applyFont="1" applyFill="1"/>
    <xf numFmtId="0" fontId="268" fillId="9" borderId="35" xfId="2123" applyFont="1" applyFill="1" applyBorder="1" applyAlignment="1">
      <alignment horizontal="center" vertical="top" readingOrder="2"/>
    </xf>
    <xf numFmtId="164" fontId="267" fillId="9" borderId="34" xfId="2123" applyNumberFormat="1" applyFont="1" applyFill="1" applyBorder="1" applyAlignment="1">
      <alignment horizontal="center" vertical="top" readingOrder="2"/>
    </xf>
    <xf numFmtId="164" fontId="267" fillId="9" borderId="68" xfId="2123" applyNumberFormat="1" applyFont="1" applyFill="1" applyBorder="1" applyAlignment="1">
      <alignment horizontal="center" vertical="top" readingOrder="2"/>
    </xf>
    <xf numFmtId="0" fontId="59" fillId="0" borderId="0" xfId="0" applyFont="1"/>
    <xf numFmtId="3" fontId="63" fillId="0" borderId="0" xfId="0" applyNumberFormat="1" applyFont="1" applyBorder="1" applyAlignment="1">
      <alignment horizontal="center" vertical="center"/>
    </xf>
    <xf numFmtId="0" fontId="48" fillId="9" borderId="0" xfId="34" applyFont="1" applyFill="1" applyBorder="1" applyAlignment="1">
      <alignment horizontal="center" vertical="center" wrapText="1"/>
    </xf>
    <xf numFmtId="0" fontId="48" fillId="9" borderId="0" xfId="34" applyFont="1" applyFill="1" applyBorder="1" applyAlignment="1">
      <alignment horizontal="right" vertical="center" wrapText="1"/>
    </xf>
    <xf numFmtId="0" fontId="60" fillId="9" borderId="52" xfId="34" applyFont="1" applyFill="1" applyBorder="1" applyAlignment="1">
      <alignment horizontal="right" vertical="center" wrapText="1"/>
    </xf>
    <xf numFmtId="49" fontId="35" fillId="9" borderId="3" xfId="8" applyNumberFormat="1" applyFont="1" applyFill="1" applyBorder="1" applyAlignment="1">
      <alignment horizontal="center" vertical="top" readingOrder="2"/>
    </xf>
    <xf numFmtId="167" fontId="35" fillId="0" borderId="47" xfId="8" applyNumberFormat="1" applyFont="1" applyFill="1" applyBorder="1" applyAlignment="1">
      <alignment horizontal="right" vertical="top" readingOrder="2"/>
    </xf>
    <xf numFmtId="167" fontId="35" fillId="9" borderId="70" xfId="8" applyNumberFormat="1" applyFont="1" applyFill="1" applyBorder="1" applyAlignment="1">
      <alignment horizontal="center" vertical="top" readingOrder="2"/>
    </xf>
    <xf numFmtId="49" fontId="35" fillId="9" borderId="70" xfId="8" applyNumberFormat="1" applyFont="1" applyFill="1" applyBorder="1" applyAlignment="1">
      <alignment horizontal="center" vertical="top" readingOrder="2"/>
    </xf>
    <xf numFmtId="167" fontId="35" fillId="0" borderId="70" xfId="8" applyNumberFormat="1" applyFont="1" applyFill="1" applyBorder="1" applyAlignment="1">
      <alignment horizontal="right" vertical="top" readingOrder="2"/>
    </xf>
    <xf numFmtId="167" fontId="35" fillId="0" borderId="46" xfId="8" applyNumberFormat="1" applyFont="1" applyFill="1" applyBorder="1" applyAlignment="1">
      <alignment horizontal="right" vertical="top" readingOrder="2"/>
    </xf>
    <xf numFmtId="167" fontId="35" fillId="0" borderId="30" xfId="8" applyNumberFormat="1" applyFont="1" applyFill="1" applyBorder="1" applyAlignment="1">
      <alignment horizontal="right" vertical="top" readingOrder="2"/>
    </xf>
    <xf numFmtId="1" fontId="35" fillId="9" borderId="51" xfId="8" applyNumberFormat="1" applyFont="1" applyFill="1" applyBorder="1" applyAlignment="1">
      <alignment horizontal="right" vertical="top" readingOrder="2"/>
    </xf>
    <xf numFmtId="167" fontId="35" fillId="0" borderId="50" xfId="8" applyNumberFormat="1" applyFont="1" applyFill="1" applyBorder="1" applyAlignment="1">
      <alignment horizontal="right" vertical="top" readingOrder="2"/>
    </xf>
    <xf numFmtId="0" fontId="59" fillId="9" borderId="6" xfId="0" applyFont="1" applyFill="1" applyBorder="1" applyAlignment="1"/>
    <xf numFmtId="0" fontId="34" fillId="9" borderId="17" xfId="34" applyFont="1" applyFill="1" applyBorder="1" applyAlignment="1">
      <alignment horizontal="right" vertical="center" wrapText="1"/>
    </xf>
    <xf numFmtId="1" fontId="35" fillId="9" borderId="17" xfId="8" applyNumberFormat="1" applyFont="1" applyFill="1" applyBorder="1" applyAlignment="1">
      <alignment horizontal="right" vertical="top" readingOrder="2"/>
    </xf>
    <xf numFmtId="0" fontId="60" fillId="9" borderId="65" xfId="34" applyFont="1" applyFill="1" applyBorder="1" applyAlignment="1">
      <alignment horizontal="right" vertical="center" wrapText="1"/>
    </xf>
    <xf numFmtId="0" fontId="34" fillId="0" borderId="0" xfId="12" applyFont="1" applyAlignment="1">
      <alignment horizontal="center" readingOrder="2"/>
    </xf>
    <xf numFmtId="0" fontId="59" fillId="0" borderId="0" xfId="0" applyFont="1"/>
    <xf numFmtId="0" fontId="34" fillId="0" borderId="0" xfId="12" applyFont="1" applyAlignment="1">
      <alignment readingOrder="2"/>
    </xf>
    <xf numFmtId="0" fontId="35" fillId="0" borderId="0" xfId="5" applyFont="1" applyFill="1" applyAlignment="1">
      <alignment vertical="center" readingOrder="2"/>
    </xf>
    <xf numFmtId="0" fontId="60" fillId="0" borderId="0" xfId="8" applyFont="1" applyAlignment="1">
      <alignment horizontal="right" vertical="center" wrapText="1" readingOrder="2"/>
    </xf>
    <xf numFmtId="0" fontId="59" fillId="0" borderId="0" xfId="0" applyFont="1"/>
    <xf numFmtId="0" fontId="60" fillId="9" borderId="0" xfId="12" applyFont="1" applyFill="1" applyBorder="1" applyAlignment="1">
      <alignment vertical="center" readingOrder="2"/>
    </xf>
    <xf numFmtId="0" fontId="79" fillId="9" borderId="0" xfId="19" applyFont="1" applyFill="1" applyAlignment="1">
      <alignment vertical="center" readingOrder="2"/>
    </xf>
    <xf numFmtId="0" fontId="59" fillId="0" borderId="0" xfId="0" applyFont="1"/>
    <xf numFmtId="0" fontId="31" fillId="0" borderId="0" xfId="12" applyNumberFormat="1" applyFont="1" applyBorder="1" applyAlignment="1">
      <alignment horizontal="center" wrapText="1" readingOrder="2"/>
    </xf>
    <xf numFmtId="0" fontId="47" fillId="0" borderId="0" xfId="12" applyFont="1" applyBorder="1" applyAlignment="1">
      <alignment horizontal="center" vertical="center" readingOrder="2"/>
    </xf>
    <xf numFmtId="0" fontId="47" fillId="0" borderId="0" xfId="12" applyFont="1" applyBorder="1" applyAlignment="1">
      <alignment horizontal="right" vertical="center" readingOrder="2"/>
    </xf>
    <xf numFmtId="174" fontId="64" fillId="0" borderId="0" xfId="42" applyNumberFormat="1" applyFont="1" applyBorder="1" applyAlignment="1">
      <alignment horizontal="right" readingOrder="2"/>
    </xf>
    <xf numFmtId="174" fontId="74" fillId="0" borderId="0" xfId="42" applyNumberFormat="1" applyFont="1" applyBorder="1" applyAlignment="1">
      <alignment horizontal="center" vertical="center"/>
    </xf>
    <xf numFmtId="174" fontId="31" fillId="0" borderId="0" xfId="42" applyNumberFormat="1" applyFont="1" applyFill="1" applyBorder="1" applyAlignment="1">
      <alignment horizontal="center" vertical="center"/>
    </xf>
    <xf numFmtId="174" fontId="110" fillId="0" borderId="0" xfId="42" applyNumberFormat="1" applyFont="1" applyFill="1" applyBorder="1" applyAlignment="1">
      <alignment horizontal="center" vertical="center"/>
    </xf>
    <xf numFmtId="164" fontId="31" fillId="0" borderId="35" xfId="17" applyNumberFormat="1" applyFont="1" applyFill="1" applyBorder="1" applyAlignment="1">
      <alignment horizontal="center" vertical="center"/>
    </xf>
    <xf numFmtId="0" fontId="60" fillId="0" borderId="0" xfId="8" applyFont="1" applyAlignment="1">
      <alignment horizontal="right" vertical="center" readingOrder="2"/>
    </xf>
    <xf numFmtId="0" fontId="60" fillId="0" borderId="0" xfId="8" applyFont="1" applyAlignment="1">
      <alignment horizontal="right" vertical="center" wrapText="1" readingOrder="2"/>
    </xf>
    <xf numFmtId="0" fontId="59" fillId="0" borderId="0" xfId="0" applyFont="1"/>
    <xf numFmtId="0" fontId="150" fillId="9" borderId="0" xfId="0" applyFont="1" applyFill="1"/>
    <xf numFmtId="0" fontId="271" fillId="0" borderId="0" xfId="0" applyFont="1"/>
    <xf numFmtId="0" fontId="89" fillId="9" borderId="0" xfId="8" applyFont="1" applyFill="1" applyAlignment="1">
      <alignment horizontal="right" vertical="top" wrapText="1" readingOrder="2"/>
    </xf>
    <xf numFmtId="0" fontId="59" fillId="0" borderId="0" xfId="0" applyFont="1"/>
    <xf numFmtId="0" fontId="39" fillId="9" borderId="0" xfId="25" applyFont="1" applyFill="1" applyAlignment="1">
      <alignment horizontal="left" vertical="top" readingOrder="2"/>
    </xf>
    <xf numFmtId="0" fontId="150" fillId="0" borderId="0" xfId="33" applyFont="1" applyAlignment="1">
      <alignment horizontal="left" vertical="center" readingOrder="2"/>
    </xf>
    <xf numFmtId="0" fontId="148" fillId="9" borderId="0" xfId="19" applyFont="1" applyFill="1" applyAlignment="1">
      <alignment vertical="center" readingOrder="2"/>
    </xf>
    <xf numFmtId="0" fontId="272" fillId="9" borderId="0" xfId="19" applyFont="1" applyFill="1" applyAlignment="1">
      <alignment vertical="top" readingOrder="2"/>
    </xf>
    <xf numFmtId="0" fontId="59" fillId="0" borderId="0" xfId="0" applyFont="1"/>
    <xf numFmtId="0" fontId="59" fillId="0" borderId="0" xfId="0" applyFont="1"/>
    <xf numFmtId="164" fontId="31" fillId="0" borderId="69" xfId="6" applyNumberFormat="1" applyFont="1" applyBorder="1" applyAlignment="1">
      <alignment vertical="center"/>
    </xf>
    <xf numFmtId="164" fontId="34" fillId="9" borderId="0" xfId="27" applyNumberFormat="1" applyFont="1" applyFill="1" applyBorder="1" applyAlignment="1">
      <alignment vertical="center"/>
    </xf>
    <xf numFmtId="0" fontId="29" fillId="0" borderId="0" xfId="14" applyFont="1" applyAlignment="1">
      <alignment horizontal="center" readingOrder="2"/>
    </xf>
    <xf numFmtId="0" fontId="59" fillId="0" borderId="0" xfId="0" applyFont="1"/>
    <xf numFmtId="0" fontId="90" fillId="9" borderId="0" xfId="18" applyFont="1" applyFill="1" applyAlignment="1">
      <alignment vertical="center"/>
    </xf>
    <xf numFmtId="49" fontId="90" fillId="9" borderId="0" xfId="18" applyNumberFormat="1" applyFont="1" applyFill="1" applyAlignment="1">
      <alignment horizontal="right" vertical="center"/>
    </xf>
    <xf numFmtId="0" fontId="35" fillId="0" borderId="0" xfId="8" applyFont="1" applyAlignment="1">
      <alignment horizontal="center" vertical="center" readingOrder="2"/>
    </xf>
    <xf numFmtId="0" fontId="59" fillId="0" borderId="0" xfId="0" applyFont="1"/>
    <xf numFmtId="164" fontId="29" fillId="9" borderId="0" xfId="17" applyNumberFormat="1" applyFont="1" applyFill="1" applyBorder="1" applyAlignment="1">
      <alignment horizontal="center" vertical="center"/>
    </xf>
    <xf numFmtId="0" fontId="48" fillId="9" borderId="0" xfId="8" applyFont="1" applyFill="1" applyAlignment="1">
      <alignment horizontal="right" vertical="top" wrapText="1" readingOrder="2"/>
    </xf>
    <xf numFmtId="189" fontId="29" fillId="9" borderId="33" xfId="27" applyNumberFormat="1" applyFont="1" applyFill="1" applyBorder="1" applyAlignment="1">
      <alignment vertical="center"/>
    </xf>
    <xf numFmtId="189" fontId="29" fillId="9" borderId="33" xfId="27" applyNumberFormat="1" applyFont="1" applyFill="1" applyBorder="1" applyAlignment="1">
      <alignment horizontal="center" vertical="center"/>
    </xf>
    <xf numFmtId="49" fontId="48" fillId="0" borderId="0" xfId="8" applyNumberFormat="1" applyFont="1" applyAlignment="1">
      <alignment horizontal="center" vertical="center" readingOrder="2"/>
    </xf>
    <xf numFmtId="0" fontId="162" fillId="0" borderId="0" xfId="5" applyFont="1" applyFill="1" applyAlignment="1">
      <alignment horizontal="left" vertical="top" readingOrder="2"/>
    </xf>
    <xf numFmtId="0" fontId="35" fillId="0" borderId="0" xfId="8" applyFont="1" applyAlignment="1">
      <alignment horizontal="right" vertical="top" readingOrder="2"/>
    </xf>
    <xf numFmtId="0" fontId="162" fillId="0" borderId="0" xfId="8" applyFont="1" applyAlignment="1">
      <alignment horizontal="right" vertical="center" readingOrder="2"/>
    </xf>
    <xf numFmtId="0" fontId="35" fillId="0" borderId="0" xfId="8" applyFont="1" applyAlignment="1">
      <alignment horizontal="left" vertical="top" readingOrder="2"/>
    </xf>
    <xf numFmtId="0" fontId="48" fillId="0" borderId="0" xfId="8" applyFont="1" applyAlignment="1">
      <alignment horizontal="right" vertical="top" readingOrder="2"/>
    </xf>
    <xf numFmtId="0" fontId="35" fillId="0" borderId="0" xfId="8" applyFont="1" applyBorder="1" applyAlignment="1">
      <alignment vertical="center" readingOrder="2"/>
    </xf>
    <xf numFmtId="0" fontId="35" fillId="0" borderId="35" xfId="8" applyFont="1" applyBorder="1" applyAlignment="1">
      <alignment horizontal="center" readingOrder="2"/>
    </xf>
    <xf numFmtId="0" fontId="35" fillId="0" borderId="35" xfId="12" applyNumberFormat="1" applyFont="1" applyBorder="1" applyAlignment="1">
      <alignment horizontal="center" readingOrder="2"/>
    </xf>
    <xf numFmtId="0" fontId="35" fillId="0" borderId="0" xfId="12" applyNumberFormat="1" applyFont="1" applyAlignment="1">
      <alignment horizontal="center" readingOrder="2"/>
    </xf>
    <xf numFmtId="0" fontId="137" fillId="0" borderId="0" xfId="8" applyFont="1" applyAlignment="1">
      <alignment vertical="center" readingOrder="2"/>
    </xf>
    <xf numFmtId="0" fontId="106" fillId="0" borderId="0" xfId="8" applyFont="1" applyAlignment="1">
      <alignment horizontal="right" vertical="center" readingOrder="2"/>
    </xf>
    <xf numFmtId="0" fontId="48" fillId="0" borderId="0" xfId="8" applyFont="1" applyAlignment="1">
      <alignment horizontal="right" vertical="center" readingOrder="2"/>
    </xf>
    <xf numFmtId="3" fontId="48" fillId="0" borderId="0" xfId="8" applyNumberFormat="1" applyFont="1" applyBorder="1" applyAlignment="1">
      <alignment vertical="center" readingOrder="2"/>
    </xf>
    <xf numFmtId="164" fontId="35" fillId="0" borderId="0" xfId="8" applyNumberFormat="1" applyFont="1" applyBorder="1" applyAlignment="1">
      <alignment vertical="center"/>
    </xf>
    <xf numFmtId="0" fontId="113" fillId="0" borderId="0" xfId="8" applyFont="1" applyAlignment="1">
      <alignment horizontal="right" vertical="center" readingOrder="2"/>
    </xf>
    <xf numFmtId="164" fontId="35" fillId="9" borderId="0" xfId="8" quotePrefix="1" applyNumberFormat="1" applyFont="1" applyFill="1" applyBorder="1" applyAlignment="1">
      <alignment horizontal="right"/>
    </xf>
    <xf numFmtId="164" fontId="35" fillId="9" borderId="0" xfId="8" quotePrefix="1" applyNumberFormat="1" applyFont="1" applyFill="1" applyBorder="1" applyAlignment="1">
      <alignment vertical="center"/>
    </xf>
    <xf numFmtId="3" fontId="48" fillId="0" borderId="0" xfId="8" applyNumberFormat="1" applyFont="1" applyBorder="1" applyAlignment="1">
      <alignment horizontal="right" vertical="center" readingOrder="2"/>
    </xf>
    <xf numFmtId="3" fontId="35" fillId="0" borderId="0" xfId="8" applyNumberFormat="1" applyFont="1" applyBorder="1" applyAlignment="1">
      <alignment horizontal="right" vertical="center" readingOrder="2"/>
    </xf>
    <xf numFmtId="164" fontId="35" fillId="9" borderId="0" xfId="8" applyNumberFormat="1" applyFont="1" applyFill="1" applyBorder="1" applyAlignment="1">
      <alignment vertical="center"/>
    </xf>
    <xf numFmtId="0" fontId="81" fillId="0" borderId="0" xfId="8" applyFont="1" applyAlignment="1">
      <alignment vertical="center" readingOrder="2"/>
    </xf>
    <xf numFmtId="0" fontId="48" fillId="0" borderId="0" xfId="13" applyFont="1" applyAlignment="1">
      <alignment horizontal="right" vertical="center" readingOrder="2"/>
    </xf>
    <xf numFmtId="164" fontId="35" fillId="9" borderId="32" xfId="8" quotePrefix="1" applyNumberFormat="1" applyFont="1" applyFill="1" applyBorder="1" applyAlignment="1">
      <alignment horizontal="right"/>
    </xf>
    <xf numFmtId="0" fontId="113" fillId="0" borderId="0" xfId="8" applyFont="1" applyAlignment="1">
      <alignment vertical="center" readingOrder="2"/>
    </xf>
    <xf numFmtId="164" fontId="35" fillId="9" borderId="34" xfId="8" quotePrefix="1" applyNumberFormat="1" applyFont="1" applyFill="1" applyBorder="1" applyAlignment="1">
      <alignment horizontal="right"/>
    </xf>
    <xf numFmtId="0" fontId="127" fillId="0" borderId="0" xfId="12" applyFont="1" applyAlignment="1">
      <alignment vertical="top" wrapText="1" readingOrder="2"/>
    </xf>
    <xf numFmtId="0" fontId="35" fillId="0" borderId="0" xfId="8" applyFont="1" applyAlignment="1">
      <alignment vertical="top" wrapText="1" readingOrder="2"/>
    </xf>
    <xf numFmtId="0" fontId="35" fillId="0" borderId="0" xfId="8" applyFont="1" applyAlignment="1">
      <alignment horizontal="right" vertical="top" wrapText="1" readingOrder="2"/>
    </xf>
    <xf numFmtId="0" fontId="35" fillId="0" borderId="0" xfId="8" applyFont="1" applyAlignment="1">
      <alignment horizontal="left" vertical="top" wrapText="1" readingOrder="2"/>
    </xf>
    <xf numFmtId="0" fontId="48" fillId="0" borderId="0" xfId="12" applyFont="1" applyAlignment="1">
      <alignment vertical="center"/>
    </xf>
    <xf numFmtId="0" fontId="35" fillId="0" borderId="0" xfId="12" applyFont="1" applyAlignment="1">
      <alignment vertical="center" readingOrder="2"/>
    </xf>
    <xf numFmtId="0" fontId="137" fillId="0" borderId="0" xfId="0" applyFont="1" applyAlignment="1">
      <alignment horizontal="right"/>
    </xf>
    <xf numFmtId="0" fontId="137" fillId="0" borderId="0" xfId="12" applyFont="1" applyAlignment="1">
      <alignment vertical="top" wrapText="1" readingOrder="2"/>
    </xf>
    <xf numFmtId="0" fontId="48" fillId="0" borderId="0" xfId="0" applyFont="1"/>
    <xf numFmtId="0" fontId="48" fillId="0" borderId="0" xfId="12" applyFont="1" applyAlignment="1">
      <alignment vertical="top" wrapText="1" readingOrder="2"/>
    </xf>
    <xf numFmtId="0" fontId="48" fillId="0" borderId="0" xfId="13" applyFont="1" applyAlignment="1">
      <alignment horizontal="right"/>
    </xf>
    <xf numFmtId="41" fontId="162" fillId="9" borderId="0" xfId="8" applyNumberFormat="1" applyFont="1" applyFill="1" applyBorder="1" applyAlignment="1">
      <alignment horizontal="right" vertical="center" readingOrder="2"/>
    </xf>
    <xf numFmtId="164" fontId="35" fillId="0" borderId="0" xfId="12" applyNumberFormat="1" applyFont="1" applyBorder="1" applyAlignment="1">
      <alignment vertical="top"/>
    </xf>
    <xf numFmtId="41" fontId="162" fillId="0" borderId="0" xfId="8" applyNumberFormat="1" applyFont="1" applyBorder="1" applyAlignment="1">
      <alignment horizontal="right" vertical="center" readingOrder="2"/>
    </xf>
    <xf numFmtId="0" fontId="35" fillId="9" borderId="0" xfId="24" applyFont="1" applyFill="1" applyAlignment="1">
      <alignment vertical="center" wrapText="1"/>
    </xf>
    <xf numFmtId="0" fontId="35" fillId="0" borderId="0" xfId="8" applyFont="1" applyBorder="1" applyAlignment="1">
      <alignment horizontal="center" readingOrder="2"/>
    </xf>
    <xf numFmtId="0" fontId="35" fillId="0" borderId="0" xfId="8" applyFont="1" applyAlignment="1">
      <alignment horizontal="center" vertical="center" readingOrder="2"/>
    </xf>
    <xf numFmtId="0" fontId="59" fillId="0" borderId="0" xfId="0" applyFont="1"/>
    <xf numFmtId="164" fontId="137" fillId="0" borderId="0" xfId="0" applyNumberFormat="1" applyFont="1"/>
    <xf numFmtId="164" fontId="35" fillId="9" borderId="35" xfId="8" quotePrefix="1" applyNumberFormat="1" applyFont="1" applyFill="1" applyBorder="1" applyAlignment="1">
      <alignment horizontal="right"/>
    </xf>
    <xf numFmtId="0" fontId="59" fillId="0" borderId="0" xfId="0" applyFont="1"/>
    <xf numFmtId="0" fontId="59" fillId="0" borderId="0" xfId="0" applyFont="1"/>
    <xf numFmtId="3" fontId="78" fillId="0" borderId="0" xfId="0" applyNumberFormat="1" applyFont="1" applyBorder="1" applyAlignment="1">
      <alignment horizontal="center" vertical="center" wrapText="1" readingOrder="2"/>
    </xf>
    <xf numFmtId="49" fontId="32" fillId="9" borderId="0" xfId="27" applyNumberFormat="1" applyFont="1" applyFill="1" applyBorder="1" applyAlignment="1">
      <alignment horizontal="center" vertical="center"/>
    </xf>
    <xf numFmtId="0" fontId="78" fillId="0" borderId="0" xfId="0" applyFont="1" applyBorder="1" applyAlignment="1">
      <alignment horizontal="right" vertical="center" wrapText="1" readingOrder="2"/>
    </xf>
    <xf numFmtId="49" fontId="74" fillId="0" borderId="0" xfId="6" applyNumberFormat="1" applyFont="1" applyBorder="1" applyAlignment="1">
      <alignment horizontal="right" vertical="center" readingOrder="2"/>
    </xf>
    <xf numFmtId="0" fontId="32" fillId="9" borderId="0" xfId="0" applyFont="1" applyFill="1" applyAlignment="1">
      <alignment horizontal="center"/>
    </xf>
    <xf numFmtId="0" fontId="32" fillId="9" borderId="0" xfId="19" applyFont="1" applyFill="1" applyAlignment="1">
      <alignment horizontal="right" vertical="top" wrapText="1" readingOrder="2"/>
    </xf>
    <xf numFmtId="0" fontId="40" fillId="0" borderId="0" xfId="28" applyFont="1" applyAlignment="1">
      <alignment vertical="center"/>
    </xf>
    <xf numFmtId="0" fontId="277" fillId="9" borderId="0" xfId="5" applyFont="1" applyFill="1" applyAlignment="1">
      <alignment horizontal="center" vertical="top" readingOrder="2"/>
    </xf>
    <xf numFmtId="0" fontId="279" fillId="9" borderId="0" xfId="5" applyFont="1" applyFill="1" applyAlignment="1">
      <alignment horizontal="center" vertical="top" readingOrder="2"/>
    </xf>
    <xf numFmtId="0" fontId="280" fillId="9" borderId="0" xfId="5" applyFont="1" applyFill="1" applyAlignment="1">
      <alignment horizontal="center" vertical="top" readingOrder="2"/>
    </xf>
    <xf numFmtId="0" fontId="281" fillId="9" borderId="0" xfId="0" applyFont="1" applyFill="1"/>
    <xf numFmtId="0" fontId="282" fillId="9" borderId="0" xfId="0" applyFont="1" applyFill="1"/>
    <xf numFmtId="0" fontId="284" fillId="9" borderId="0" xfId="0" applyFont="1" applyFill="1"/>
    <xf numFmtId="0" fontId="285" fillId="9" borderId="0" xfId="0" applyFont="1" applyFill="1"/>
    <xf numFmtId="0" fontId="283" fillId="0" borderId="0" xfId="20" applyNumberFormat="1" applyFont="1" applyFill="1" applyBorder="1" applyAlignment="1">
      <alignment horizontal="center" vertical="center" readingOrder="2"/>
    </xf>
    <xf numFmtId="0" fontId="282" fillId="9" borderId="0" xfId="19" applyFont="1" applyFill="1" applyBorder="1" applyAlignment="1">
      <alignment horizontal="right" vertical="top" wrapText="1" readingOrder="2"/>
    </xf>
    <xf numFmtId="0" fontId="283" fillId="9" borderId="0" xfId="19" applyFont="1" applyFill="1" applyAlignment="1">
      <alignment horizontal="right" vertical="top" wrapText="1" readingOrder="2"/>
    </xf>
    <xf numFmtId="0" fontId="283" fillId="0" borderId="0" xfId="20" applyFont="1" applyFill="1" applyBorder="1" applyAlignment="1">
      <alignment horizontal="center" vertical="center" readingOrder="2"/>
    </xf>
    <xf numFmtId="0" fontId="283" fillId="9" borderId="0" xfId="19" applyFont="1" applyFill="1" applyBorder="1" applyAlignment="1">
      <alignment horizontal="right" vertical="center"/>
    </xf>
    <xf numFmtId="0" fontId="284" fillId="0" borderId="0" xfId="0" applyFont="1" applyFill="1" applyAlignment="1">
      <alignment horizontal="center" vertical="center"/>
    </xf>
    <xf numFmtId="0" fontId="286" fillId="0" borderId="0" xfId="0" applyFont="1" applyFill="1"/>
    <xf numFmtId="3" fontId="283" fillId="0" borderId="0" xfId="8" applyNumberFormat="1" applyFont="1" applyBorder="1" applyAlignment="1">
      <alignment horizontal="right" vertical="center" readingOrder="2"/>
    </xf>
    <xf numFmtId="0" fontId="283" fillId="0" borderId="0" xfId="8" applyFont="1" applyAlignment="1">
      <alignment vertical="center" readingOrder="2"/>
    </xf>
    <xf numFmtId="0" fontId="286" fillId="0" borderId="0" xfId="8" applyFont="1" applyAlignment="1">
      <alignment vertical="center" readingOrder="2"/>
    </xf>
    <xf numFmtId="0" fontId="286" fillId="9" borderId="0" xfId="0" applyFont="1" applyFill="1"/>
    <xf numFmtId="0" fontId="283" fillId="9" borderId="0" xfId="0" applyFont="1" applyFill="1"/>
    <xf numFmtId="0" fontId="283" fillId="9" borderId="0" xfId="12" applyFont="1" applyFill="1" applyAlignment="1">
      <alignment vertical="top" readingOrder="2"/>
    </xf>
    <xf numFmtId="0" fontId="287" fillId="9" borderId="0" xfId="22" applyNumberFormat="1" applyFont="1" applyFill="1" applyAlignment="1">
      <alignment horizontal="right" vertical="top" wrapText="1" readingOrder="2"/>
    </xf>
    <xf numFmtId="0" fontId="283" fillId="9" borderId="0" xfId="0" applyFont="1" applyFill="1" applyAlignment="1">
      <alignment horizontal="center" vertical="center"/>
    </xf>
    <xf numFmtId="0" fontId="79" fillId="9" borderId="0" xfId="0" applyFont="1" applyFill="1"/>
    <xf numFmtId="0" fontId="288" fillId="9" borderId="0" xfId="0" applyFont="1" applyFill="1"/>
    <xf numFmtId="0" fontId="89" fillId="9" borderId="0" xfId="19" applyFont="1" applyFill="1" applyAlignment="1">
      <alignment vertical="center" readingOrder="2"/>
    </xf>
    <xf numFmtId="0" fontId="276" fillId="9" borderId="0" xfId="5" applyFont="1" applyFill="1" applyAlignment="1">
      <alignment horizontal="center" vertical="top" readingOrder="2"/>
    </xf>
    <xf numFmtId="0" fontId="41" fillId="9" borderId="0" xfId="19" applyFont="1" applyFill="1" applyBorder="1" applyAlignment="1">
      <alignment horizontal="right" vertical="center"/>
    </xf>
    <xf numFmtId="164" fontId="30" fillId="0" borderId="0" xfId="17" applyNumberFormat="1" applyFont="1" applyFill="1" applyBorder="1" applyAlignment="1">
      <alignment vertical="center"/>
    </xf>
    <xf numFmtId="0" fontId="41" fillId="9" borderId="0" xfId="19" applyFont="1" applyFill="1" applyBorder="1" applyAlignment="1">
      <alignment horizontal="right" vertical="top" wrapText="1" readingOrder="2"/>
    </xf>
    <xf numFmtId="0" fontId="289" fillId="9" borderId="0" xfId="0" applyFont="1" applyFill="1"/>
    <xf numFmtId="0" fontId="43" fillId="9" borderId="0" xfId="21" applyFont="1" applyFill="1" applyAlignment="1">
      <alignment horizontal="left" vertical="center" readingOrder="2"/>
    </xf>
    <xf numFmtId="0" fontId="89" fillId="9" borderId="0" xfId="19" applyFont="1" applyFill="1" applyAlignment="1">
      <alignment horizontal="right" vertical="center"/>
    </xf>
    <xf numFmtId="0" fontId="89" fillId="9" borderId="0" xfId="19" applyFont="1" applyFill="1" applyBorder="1" applyAlignment="1">
      <alignment horizontal="right" vertical="center"/>
    </xf>
    <xf numFmtId="3" fontId="89" fillId="9" borderId="0" xfId="19" applyNumberFormat="1" applyFont="1" applyFill="1" applyBorder="1" applyAlignment="1">
      <alignment horizontal="right" vertical="center"/>
    </xf>
    <xf numFmtId="164" fontId="43" fillId="0" borderId="0" xfId="17" applyNumberFormat="1" applyFont="1" applyFill="1" applyBorder="1" applyAlignment="1">
      <alignment vertical="center"/>
    </xf>
    <xf numFmtId="0" fontId="124" fillId="9" borderId="0" xfId="0" applyFont="1" applyFill="1"/>
    <xf numFmtId="0" fontId="89" fillId="9" borderId="0" xfId="19" applyFont="1" applyFill="1" applyBorder="1" applyAlignment="1">
      <alignment vertical="center" readingOrder="2"/>
    </xf>
    <xf numFmtId="0" fontId="89" fillId="9" borderId="32" xfId="19" applyFont="1" applyFill="1" applyBorder="1" applyAlignment="1">
      <alignment vertical="center" readingOrder="2"/>
    </xf>
    <xf numFmtId="3" fontId="89" fillId="9" borderId="32" xfId="19" applyNumberFormat="1" applyFont="1" applyFill="1" applyBorder="1" applyAlignment="1">
      <alignment horizontal="right" vertical="center"/>
    </xf>
    <xf numFmtId="164" fontId="43" fillId="0" borderId="32" xfId="17" applyNumberFormat="1" applyFont="1" applyFill="1" applyBorder="1" applyAlignment="1">
      <alignment vertical="center"/>
    </xf>
    <xf numFmtId="1" fontId="289" fillId="9" borderId="0" xfId="19" applyNumberFormat="1" applyFont="1" applyFill="1" applyAlignment="1">
      <alignment horizontal="center" vertical="center"/>
    </xf>
    <xf numFmtId="0" fontId="89" fillId="9" borderId="0" xfId="0" applyFont="1" applyFill="1"/>
    <xf numFmtId="0" fontId="89" fillId="9" borderId="0" xfId="19" applyFont="1" applyFill="1" applyBorder="1" applyAlignment="1">
      <alignment horizontal="right" vertical="top" wrapText="1" readingOrder="2"/>
    </xf>
    <xf numFmtId="3" fontId="43" fillId="9" borderId="0" xfId="19" applyNumberFormat="1" applyFont="1" applyFill="1" applyBorder="1" applyAlignment="1">
      <alignment vertical="center" readingOrder="2"/>
    </xf>
    <xf numFmtId="164" fontId="43" fillId="0" borderId="35" xfId="17" applyNumberFormat="1" applyFont="1" applyFill="1" applyBorder="1" applyAlignment="1">
      <alignment vertical="center"/>
    </xf>
    <xf numFmtId="0" fontId="41" fillId="9" borderId="0" xfId="22" applyFont="1" applyFill="1" applyAlignment="1">
      <alignment horizontal="right" vertical="center" wrapText="1" readingOrder="2"/>
    </xf>
    <xf numFmtId="0" fontId="267" fillId="9" borderId="0" xfId="5" applyFont="1" applyFill="1" applyAlignment="1">
      <alignment horizontal="center" vertical="top" readingOrder="2"/>
    </xf>
    <xf numFmtId="0" fontId="290" fillId="0" borderId="0" xfId="0" applyFont="1" applyFill="1"/>
    <xf numFmtId="3" fontId="30" fillId="0" borderId="0" xfId="8" applyNumberFormat="1" applyFont="1" applyBorder="1" applyAlignment="1">
      <alignment horizontal="right" vertical="center" readingOrder="2"/>
    </xf>
    <xf numFmtId="0" fontId="30" fillId="0" borderId="0" xfId="8" applyFont="1" applyAlignment="1">
      <alignment vertical="center" readingOrder="2"/>
    </xf>
    <xf numFmtId="0" fontId="79" fillId="0" borderId="0" xfId="0" applyFont="1"/>
    <xf numFmtId="0" fontId="289" fillId="9" borderId="0" xfId="0" applyFont="1" applyFill="1" applyAlignment="1">
      <alignment vertical="top"/>
    </xf>
    <xf numFmtId="0" fontId="43" fillId="9" borderId="0" xfId="21" applyFont="1" applyFill="1" applyAlignment="1">
      <alignment horizontal="center" vertical="top" readingOrder="2"/>
    </xf>
    <xf numFmtId="0" fontId="268" fillId="9" borderId="0" xfId="5" applyFont="1" applyFill="1" applyAlignment="1">
      <alignment horizontal="center" vertical="top" readingOrder="2"/>
    </xf>
    <xf numFmtId="0" fontId="242" fillId="0" borderId="0" xfId="0" applyFont="1" applyFill="1"/>
    <xf numFmtId="0" fontId="43" fillId="0" borderId="0" xfId="8" applyFont="1" applyAlignment="1">
      <alignment horizontal="left" vertical="top" readingOrder="2"/>
    </xf>
    <xf numFmtId="0" fontId="43" fillId="0" borderId="0" xfId="8" applyFont="1" applyAlignment="1">
      <alignment horizontal="right" vertical="top" readingOrder="2"/>
    </xf>
    <xf numFmtId="0" fontId="43" fillId="0" borderId="0" xfId="8" applyFont="1" applyBorder="1" applyAlignment="1">
      <alignment vertical="center" readingOrder="2"/>
    </xf>
    <xf numFmtId="3" fontId="43" fillId="0" borderId="0" xfId="8" applyNumberFormat="1" applyFont="1" applyBorder="1" applyAlignment="1">
      <alignment horizontal="right" vertical="center" readingOrder="2"/>
    </xf>
    <xf numFmtId="0" fontId="43" fillId="0" borderId="0" xfId="8" applyFont="1" applyAlignment="1">
      <alignment vertical="center" readingOrder="2"/>
    </xf>
    <xf numFmtId="0" fontId="150" fillId="0" borderId="0" xfId="0" applyFont="1"/>
    <xf numFmtId="0" fontId="290" fillId="0" borderId="0" xfId="8" applyFont="1" applyAlignment="1">
      <alignment vertical="center" readingOrder="2"/>
    </xf>
    <xf numFmtId="49" fontId="30" fillId="0" borderId="0" xfId="20" applyNumberFormat="1" applyFont="1" applyFill="1" applyAlignment="1">
      <alignment horizontal="right" vertical="center" readingOrder="2"/>
    </xf>
    <xf numFmtId="0" fontId="79" fillId="0" borderId="0" xfId="0" applyFont="1" applyFill="1"/>
    <xf numFmtId="0" fontId="30" fillId="9" borderId="0" xfId="19" applyFont="1" applyFill="1" applyAlignment="1">
      <alignment horizontal="right" vertical="center" wrapText="1" readingOrder="2"/>
    </xf>
    <xf numFmtId="0" fontId="30" fillId="9" borderId="0" xfId="22" applyFont="1" applyFill="1" applyAlignment="1">
      <alignment horizontal="right" vertical="center" wrapText="1" readingOrder="2"/>
    </xf>
    <xf numFmtId="0" fontId="41" fillId="9" borderId="0" xfId="19" applyFont="1" applyFill="1" applyAlignment="1">
      <alignment horizontal="right" vertical="top" wrapText="1" readingOrder="2"/>
    </xf>
    <xf numFmtId="0" fontId="68" fillId="0" borderId="0" xfId="0" applyFont="1" applyFill="1" applyAlignment="1">
      <alignment horizontal="center" vertical="center"/>
    </xf>
    <xf numFmtId="0" fontId="290" fillId="9" borderId="0" xfId="22" applyFont="1" applyFill="1" applyAlignment="1">
      <alignment horizontal="right" readingOrder="2"/>
    </xf>
    <xf numFmtId="164" fontId="30" fillId="9" borderId="0" xfId="25" applyNumberFormat="1" applyFont="1" applyFill="1" applyBorder="1" applyAlignment="1">
      <alignment horizontal="right" vertical="center"/>
    </xf>
    <xf numFmtId="0" fontId="291" fillId="9" borderId="0" xfId="5" applyFont="1" applyFill="1" applyAlignment="1">
      <alignment horizontal="center" vertical="top" readingOrder="2"/>
    </xf>
    <xf numFmtId="0" fontId="290" fillId="0" borderId="0" xfId="0" applyFont="1"/>
    <xf numFmtId="0" fontId="30" fillId="0" borderId="0" xfId="8" applyFont="1" applyAlignment="1">
      <alignment vertical="top" wrapText="1" readingOrder="2"/>
    </xf>
    <xf numFmtId="0" fontId="30" fillId="9" borderId="0" xfId="22" applyFont="1" applyFill="1" applyAlignment="1">
      <alignment horizontal="right" readingOrder="2"/>
    </xf>
    <xf numFmtId="0" fontId="30" fillId="9" borderId="0" xfId="21" applyNumberFormat="1" applyFont="1" applyFill="1" applyBorder="1" applyAlignment="1">
      <alignment horizontal="center" vertical="center" readingOrder="2"/>
    </xf>
    <xf numFmtId="0" fontId="290" fillId="0" borderId="0" xfId="21" applyFont="1" applyFill="1" applyAlignment="1">
      <alignment horizontal="right" vertical="center"/>
    </xf>
    <xf numFmtId="0" fontId="30" fillId="9" borderId="0" xfId="21" applyFont="1" applyFill="1" applyAlignment="1">
      <alignment horizontal="right" vertical="center"/>
    </xf>
    <xf numFmtId="0" fontId="30" fillId="9" borderId="0" xfId="20" applyNumberFormat="1" applyFont="1" applyFill="1" applyBorder="1" applyAlignment="1">
      <alignment vertical="center" readingOrder="2"/>
    </xf>
    <xf numFmtId="0" fontId="79" fillId="9" borderId="0" xfId="0" applyFont="1" applyFill="1" applyBorder="1"/>
    <xf numFmtId="0" fontId="30" fillId="9" borderId="35" xfId="20" applyNumberFormat="1" applyFont="1" applyFill="1" applyBorder="1" applyAlignment="1">
      <alignment vertical="center" readingOrder="2"/>
    </xf>
    <xf numFmtId="0" fontId="290" fillId="0" borderId="0" xfId="21" applyFont="1" applyFill="1"/>
    <xf numFmtId="0" fontId="30" fillId="9" borderId="0" xfId="21" applyFont="1" applyFill="1" applyBorder="1" applyAlignment="1">
      <alignment horizontal="center" vertical="center"/>
    </xf>
    <xf numFmtId="0" fontId="30" fillId="9" borderId="35" xfId="21" applyFont="1" applyFill="1" applyBorder="1" applyAlignment="1">
      <alignment horizontal="center" vertical="center" wrapText="1"/>
    </xf>
    <xf numFmtId="0" fontId="290" fillId="9" borderId="0" xfId="21" applyFont="1" applyFill="1"/>
    <xf numFmtId="0" fontId="30" fillId="9" borderId="0" xfId="21" applyFont="1" applyFill="1" applyAlignment="1">
      <alignment vertical="top" readingOrder="2"/>
    </xf>
    <xf numFmtId="164" fontId="30" fillId="9" borderId="0" xfId="20" applyNumberFormat="1" applyFont="1" applyFill="1" applyBorder="1" applyAlignment="1">
      <alignment vertical="top"/>
    </xf>
    <xf numFmtId="0" fontId="30" fillId="9" borderId="0" xfId="0" applyFont="1" applyFill="1" applyBorder="1" applyAlignment="1">
      <alignment vertical="top"/>
    </xf>
    <xf numFmtId="0" fontId="79" fillId="9" borderId="35" xfId="0" applyFont="1" applyFill="1" applyBorder="1"/>
    <xf numFmtId="0" fontId="30" fillId="9" borderId="0" xfId="21" applyFont="1" applyFill="1" applyAlignment="1">
      <alignment horizontal="right" vertical="top"/>
    </xf>
    <xf numFmtId="164" fontId="30" fillId="9" borderId="0" xfId="21" applyNumberFormat="1" applyFont="1" applyFill="1" applyBorder="1" applyAlignment="1">
      <alignment horizontal="right" vertical="top"/>
    </xf>
    <xf numFmtId="0" fontId="30" fillId="9" borderId="0" xfId="19" applyFont="1" applyFill="1" applyAlignment="1">
      <alignment horizontal="right" vertical="top" wrapText="1" readingOrder="2"/>
    </xf>
    <xf numFmtId="164" fontId="30" fillId="9" borderId="34" xfId="21" applyNumberFormat="1" applyFont="1" applyFill="1" applyBorder="1" applyAlignment="1">
      <alignment horizontal="right" vertical="top"/>
    </xf>
    <xf numFmtId="0" fontId="290" fillId="9" borderId="0" xfId="0" applyFont="1" applyFill="1"/>
    <xf numFmtId="0" fontId="290" fillId="9" borderId="0" xfId="0" applyFont="1" applyFill="1" applyAlignment="1">
      <alignment vertical="top"/>
    </xf>
    <xf numFmtId="0" fontId="30" fillId="9" borderId="0" xfId="22" applyFont="1" applyFill="1" applyAlignment="1">
      <alignment horizontal="right" vertical="top" wrapText="1" readingOrder="2"/>
    </xf>
    <xf numFmtId="0" fontId="30" fillId="9" borderId="0" xfId="22" applyFont="1" applyFill="1"/>
    <xf numFmtId="0" fontId="30" fillId="9" borderId="0" xfId="22" applyFont="1" applyFill="1" applyAlignment="1">
      <alignment horizontal="right"/>
    </xf>
    <xf numFmtId="0" fontId="30" fillId="9" borderId="0" xfId="22" applyFont="1" applyFill="1" applyAlignment="1">
      <alignment horizontal="right" vertical="center"/>
    </xf>
    <xf numFmtId="0" fontId="30" fillId="9" borderId="0" xfId="22" applyFont="1" applyFill="1" applyBorder="1" applyAlignment="1">
      <alignment horizontal="center" vertical="center" readingOrder="2"/>
    </xf>
    <xf numFmtId="0" fontId="30" fillId="9" borderId="35" xfId="22" applyFont="1" applyFill="1" applyBorder="1"/>
    <xf numFmtId="0" fontId="30" fillId="9" borderId="0" xfId="22" applyFont="1" applyFill="1" applyAlignment="1">
      <alignment horizontal="right" vertical="center" readingOrder="2"/>
    </xf>
    <xf numFmtId="0" fontId="30" fillId="9" borderId="0" xfId="22" applyFont="1" applyFill="1" applyAlignment="1">
      <alignment vertical="center"/>
    </xf>
    <xf numFmtId="164" fontId="30" fillId="9" borderId="0" xfId="22" applyNumberFormat="1" applyFont="1" applyFill="1" applyBorder="1" applyAlignment="1">
      <alignment vertical="top"/>
    </xf>
    <xf numFmtId="0" fontId="30" fillId="9" borderId="35" xfId="22" applyFont="1" applyFill="1" applyBorder="1" applyAlignment="1">
      <alignment vertical="center"/>
    </xf>
    <xf numFmtId="164" fontId="30" fillId="9" borderId="0" xfId="22" applyNumberFormat="1" applyFont="1" applyFill="1" applyBorder="1" applyAlignment="1">
      <alignment horizontal="right" vertical="top"/>
    </xf>
    <xf numFmtId="0" fontId="30" fillId="9" borderId="34" xfId="22" applyFont="1" applyFill="1" applyBorder="1" applyAlignment="1">
      <alignment vertical="center"/>
    </xf>
    <xf numFmtId="0" fontId="30" fillId="0" borderId="0" xfId="8" applyFont="1" applyAlignment="1">
      <alignment horizontal="right" vertical="top" wrapText="1" readingOrder="2"/>
    </xf>
    <xf numFmtId="0" fontId="30" fillId="9" borderId="0" xfId="22" applyFont="1" applyFill="1" applyAlignment="1">
      <alignment horizontal="left" vertical="top" readingOrder="2"/>
    </xf>
    <xf numFmtId="0" fontId="265" fillId="9" borderId="0" xfId="5" applyFont="1" applyFill="1" applyAlignment="1">
      <alignment horizontal="center" vertical="top" readingOrder="2"/>
    </xf>
    <xf numFmtId="0" fontId="138" fillId="9" borderId="0" xfId="5" applyFont="1" applyFill="1" applyAlignment="1">
      <alignment horizontal="right" vertical="top" readingOrder="2"/>
    </xf>
    <xf numFmtId="164" fontId="30" fillId="9" borderId="0" xfId="21" applyNumberFormat="1" applyFont="1" applyFill="1" applyBorder="1" applyAlignment="1">
      <alignment horizontal="right" vertical="center"/>
    </xf>
    <xf numFmtId="0" fontId="30" fillId="9" borderId="0" xfId="19" applyFont="1" applyFill="1" applyBorder="1" applyAlignment="1">
      <alignment horizontal="right" vertical="top" wrapText="1" readingOrder="2"/>
    </xf>
    <xf numFmtId="0" fontId="30" fillId="9" borderId="0" xfId="12" applyFont="1" applyFill="1" applyAlignment="1">
      <alignment vertical="top" readingOrder="2"/>
    </xf>
    <xf numFmtId="0" fontId="30" fillId="9" borderId="0" xfId="19" applyFont="1" applyFill="1" applyAlignment="1">
      <alignment vertical="center" readingOrder="2"/>
    </xf>
    <xf numFmtId="0" fontId="30" fillId="9" borderId="0" xfId="12" applyFont="1" applyFill="1" applyBorder="1" applyAlignment="1">
      <alignment vertical="top" readingOrder="2"/>
    </xf>
    <xf numFmtId="0" fontId="30" fillId="9" borderId="0" xfId="19" applyFont="1" applyFill="1" applyBorder="1" applyAlignment="1">
      <alignment vertical="top" wrapText="1" readingOrder="2"/>
    </xf>
    <xf numFmtId="0" fontId="30" fillId="9" borderId="0" xfId="19" applyFont="1" applyFill="1" applyBorder="1" applyAlignment="1">
      <alignment horizontal="right" vertical="center"/>
    </xf>
    <xf numFmtId="0" fontId="170" fillId="9" borderId="0" xfId="22" applyNumberFormat="1" applyFont="1" applyFill="1" applyAlignment="1">
      <alignment horizontal="right" vertical="top" wrapText="1" readingOrder="2"/>
    </xf>
    <xf numFmtId="0" fontId="170" fillId="9" borderId="0" xfId="22" applyNumberFormat="1" applyFont="1" applyFill="1" applyBorder="1" applyAlignment="1">
      <alignment horizontal="right" vertical="top" wrapText="1" readingOrder="2"/>
    </xf>
    <xf numFmtId="0" fontId="276" fillId="9" borderId="0" xfId="5" applyFont="1" applyFill="1" applyAlignment="1">
      <alignment horizontal="center" vertical="center" readingOrder="2"/>
    </xf>
    <xf numFmtId="0" fontId="292" fillId="9" borderId="0" xfId="5" applyFont="1" applyFill="1" applyAlignment="1">
      <alignment horizontal="center" vertical="center" readingOrder="2"/>
    </xf>
    <xf numFmtId="0" fontId="32" fillId="9" borderId="0" xfId="0" applyFont="1" applyFill="1" applyAlignment="1">
      <alignment horizontal="center"/>
    </xf>
    <xf numFmtId="0" fontId="293" fillId="9" borderId="0" xfId="5" applyFont="1" applyFill="1" applyAlignment="1">
      <alignment horizontal="center" vertical="center" readingOrder="2"/>
    </xf>
    <xf numFmtId="0" fontId="293" fillId="9" borderId="0" xfId="5" applyFont="1" applyFill="1" applyAlignment="1">
      <alignment horizontal="center" vertical="top" readingOrder="2"/>
    </xf>
    <xf numFmtId="0" fontId="294" fillId="9" borderId="0" xfId="5" applyFont="1" applyFill="1" applyAlignment="1">
      <alignment horizontal="center" vertical="top" readingOrder="2"/>
    </xf>
    <xf numFmtId="0" fontId="295" fillId="9" borderId="0" xfId="0" applyFont="1" applyFill="1"/>
    <xf numFmtId="0" fontId="297" fillId="0" borderId="35" xfId="20" applyNumberFormat="1" applyFont="1" applyFill="1" applyBorder="1" applyAlignment="1">
      <alignment horizontal="center" vertical="center" readingOrder="2"/>
    </xf>
    <xf numFmtId="3" fontId="297" fillId="9" borderId="0" xfId="19" applyNumberFormat="1" applyFont="1" applyFill="1" applyBorder="1" applyAlignment="1">
      <alignment vertical="center" readingOrder="2"/>
    </xf>
    <xf numFmtId="164" fontId="297" fillId="0" borderId="0" xfId="17" applyNumberFormat="1" applyFont="1" applyFill="1" applyBorder="1" applyAlignment="1">
      <alignment vertical="center"/>
    </xf>
    <xf numFmtId="164" fontId="297" fillId="9" borderId="0" xfId="17" applyNumberFormat="1" applyFont="1" applyFill="1" applyBorder="1" applyAlignment="1">
      <alignment vertical="center"/>
    </xf>
    <xf numFmtId="0" fontId="297" fillId="9" borderId="0" xfId="19" applyFont="1" applyFill="1" applyAlignment="1">
      <alignment horizontal="right" vertical="top" wrapText="1" readingOrder="2"/>
    </xf>
    <xf numFmtId="164" fontId="297" fillId="9" borderId="34" xfId="25" applyNumberFormat="1" applyFont="1" applyFill="1" applyBorder="1" applyAlignment="1">
      <alignment horizontal="right" vertical="center"/>
    </xf>
    <xf numFmtId="164" fontId="297" fillId="9" borderId="0" xfId="25" applyNumberFormat="1" applyFont="1" applyFill="1" applyBorder="1" applyAlignment="1">
      <alignment horizontal="right" vertical="center"/>
    </xf>
    <xf numFmtId="49" fontId="298" fillId="9" borderId="0" xfId="19" applyNumberFormat="1" applyFont="1" applyFill="1" applyBorder="1" applyAlignment="1">
      <alignment horizontal="right" vertical="center"/>
    </xf>
    <xf numFmtId="164" fontId="297" fillId="0" borderId="32" xfId="17" applyNumberFormat="1" applyFont="1" applyFill="1" applyBorder="1" applyAlignment="1">
      <alignment vertical="center"/>
    </xf>
    <xf numFmtId="0" fontId="295" fillId="0" borderId="0" xfId="0" applyFont="1" applyFill="1" applyAlignment="1">
      <alignment horizontal="center" vertical="center"/>
    </xf>
    <xf numFmtId="0" fontId="296" fillId="9" borderId="32" xfId="19" applyFont="1" applyFill="1" applyBorder="1" applyAlignment="1">
      <alignment vertical="center" readingOrder="2"/>
    </xf>
    <xf numFmtId="0" fontId="298" fillId="9" borderId="0" xfId="19" applyFont="1" applyFill="1" applyBorder="1" applyAlignment="1">
      <alignment horizontal="right" vertical="top" wrapText="1" readingOrder="2"/>
    </xf>
    <xf numFmtId="164" fontId="297" fillId="0" borderId="35" xfId="17" applyNumberFormat="1" applyFont="1" applyFill="1" applyBorder="1" applyAlignment="1">
      <alignment vertical="center"/>
    </xf>
    <xf numFmtId="164" fontId="297" fillId="9" borderId="0" xfId="19" applyNumberFormat="1" applyFont="1" applyFill="1" applyBorder="1" applyAlignment="1">
      <alignment vertical="center"/>
    </xf>
    <xf numFmtId="3" fontId="296" fillId="9" borderId="32" xfId="19" applyNumberFormat="1" applyFont="1" applyFill="1" applyBorder="1" applyAlignment="1">
      <alignment horizontal="right" vertical="center"/>
    </xf>
    <xf numFmtId="3" fontId="296" fillId="9" borderId="0" xfId="19" applyNumberFormat="1" applyFont="1" applyFill="1" applyBorder="1" applyAlignment="1">
      <alignment horizontal="right" vertical="center"/>
    </xf>
    <xf numFmtId="0" fontId="296" fillId="9" borderId="0" xfId="22" applyFont="1" applyFill="1" applyAlignment="1">
      <alignment horizontal="right" vertical="center" wrapText="1" readingOrder="2"/>
    </xf>
    <xf numFmtId="0" fontId="299" fillId="9" borderId="0" xfId="5" applyFont="1" applyFill="1" applyAlignment="1">
      <alignment horizontal="center" vertical="top" readingOrder="2"/>
    </xf>
    <xf numFmtId="0" fontId="297" fillId="0" borderId="0" xfId="8" applyFont="1" applyAlignment="1">
      <alignment vertical="center" readingOrder="2"/>
    </xf>
    <xf numFmtId="0" fontId="297" fillId="0" borderId="35" xfId="12" applyNumberFormat="1" applyFont="1" applyBorder="1" applyAlignment="1">
      <alignment horizontal="center" vertical="center" wrapText="1" readingOrder="2"/>
    </xf>
    <xf numFmtId="0" fontId="297" fillId="0" borderId="0" xfId="12" applyNumberFormat="1" applyFont="1" applyBorder="1" applyAlignment="1">
      <alignment horizontal="center" vertical="center" wrapText="1" readingOrder="2"/>
    </xf>
    <xf numFmtId="0" fontId="297" fillId="0" borderId="0" xfId="20" applyFont="1" applyFill="1" applyAlignment="1">
      <alignment horizontal="center" vertical="center" readingOrder="2"/>
    </xf>
    <xf numFmtId="164" fontId="300" fillId="9" borderId="0" xfId="17" applyNumberFormat="1" applyFont="1" applyFill="1" applyBorder="1" applyAlignment="1">
      <alignment vertical="center"/>
    </xf>
    <xf numFmtId="0" fontId="297" fillId="9" borderId="0" xfId="22" applyFont="1" applyFill="1" applyAlignment="1">
      <alignment horizontal="right" readingOrder="2"/>
    </xf>
    <xf numFmtId="0" fontId="297" fillId="9" borderId="0" xfId="21" applyNumberFormat="1" applyFont="1" applyFill="1" applyBorder="1" applyAlignment="1">
      <alignment vertical="center" readingOrder="2"/>
    </xf>
    <xf numFmtId="0" fontId="297" fillId="9" borderId="0" xfId="20" applyNumberFormat="1" applyFont="1" applyFill="1" applyBorder="1" applyAlignment="1">
      <alignment vertical="center" readingOrder="2"/>
    </xf>
    <xf numFmtId="0" fontId="297" fillId="9" borderId="35" xfId="21" applyNumberFormat="1" applyFont="1" applyFill="1" applyBorder="1" applyAlignment="1">
      <alignment horizontal="center" vertical="center" readingOrder="2"/>
    </xf>
    <xf numFmtId="0" fontId="300" fillId="9" borderId="35" xfId="0" applyFont="1" applyFill="1" applyBorder="1" applyAlignment="1">
      <alignment horizontal="center" vertical="center"/>
    </xf>
    <xf numFmtId="0" fontId="297" fillId="9" borderId="35" xfId="21" applyFont="1" applyFill="1" applyBorder="1" applyAlignment="1">
      <alignment horizontal="center" vertical="center"/>
    </xf>
    <xf numFmtId="0" fontId="297" fillId="9" borderId="0" xfId="21" applyFont="1" applyFill="1" applyBorder="1" applyAlignment="1">
      <alignment horizontal="center" vertical="center"/>
    </xf>
    <xf numFmtId="0" fontId="297" fillId="9" borderId="35" xfId="21" applyFont="1" applyFill="1" applyBorder="1" applyAlignment="1">
      <alignment horizontal="center" vertical="center" wrapText="1"/>
    </xf>
    <xf numFmtId="164" fontId="297" fillId="9" borderId="0" xfId="20" applyNumberFormat="1" applyFont="1" applyFill="1" applyBorder="1" applyAlignment="1">
      <alignment vertical="top"/>
    </xf>
    <xf numFmtId="164" fontId="297" fillId="9" borderId="34" xfId="21" applyNumberFormat="1" applyFont="1" applyFill="1" applyBorder="1" applyAlignment="1">
      <alignment horizontal="right" vertical="top"/>
    </xf>
    <xf numFmtId="164" fontId="297" fillId="9" borderId="0" xfId="21" applyNumberFormat="1" applyFont="1" applyFill="1" applyBorder="1" applyAlignment="1">
      <alignment horizontal="right" vertical="top"/>
    </xf>
    <xf numFmtId="0" fontId="300" fillId="9" borderId="0" xfId="0" applyFont="1" applyFill="1"/>
    <xf numFmtId="0" fontId="297" fillId="9" borderId="0" xfId="22" applyFont="1" applyFill="1" applyAlignment="1">
      <alignment horizontal="right" vertical="top" wrapText="1" readingOrder="2"/>
    </xf>
    <xf numFmtId="0" fontId="297" fillId="9" borderId="0" xfId="22" applyFont="1" applyFill="1"/>
    <xf numFmtId="0" fontId="297" fillId="9" borderId="0" xfId="21" applyNumberFormat="1" applyFont="1" applyFill="1" applyBorder="1" applyAlignment="1">
      <alignment horizontal="center" vertical="center" readingOrder="2"/>
    </xf>
    <xf numFmtId="0" fontId="297" fillId="9" borderId="0" xfId="22" applyFont="1" applyFill="1" applyBorder="1" applyAlignment="1">
      <alignment horizontal="center" vertical="center" readingOrder="2"/>
    </xf>
    <xf numFmtId="0" fontId="297" fillId="9" borderId="35" xfId="22" applyFont="1" applyFill="1" applyBorder="1" applyAlignment="1">
      <alignment horizontal="center" vertical="center" readingOrder="2"/>
    </xf>
    <xf numFmtId="0" fontId="297" fillId="9" borderId="35" xfId="21" applyFont="1" applyFill="1" applyBorder="1" applyAlignment="1">
      <alignment horizontal="center" vertical="top"/>
    </xf>
    <xf numFmtId="0" fontId="297" fillId="9" borderId="0" xfId="21" applyFont="1" applyFill="1" applyBorder="1" applyAlignment="1">
      <alignment horizontal="center" vertical="top"/>
    </xf>
    <xf numFmtId="164" fontId="297" fillId="9" borderId="0" xfId="22" applyNumberFormat="1" applyFont="1" applyFill="1" applyBorder="1" applyAlignment="1">
      <alignment vertical="top"/>
    </xf>
    <xf numFmtId="164" fontId="297" fillId="9" borderId="35" xfId="22" applyNumberFormat="1" applyFont="1" applyFill="1" applyBorder="1" applyAlignment="1">
      <alignment vertical="top"/>
    </xf>
    <xf numFmtId="164" fontId="297" fillId="9" borderId="0" xfId="22" applyNumberFormat="1" applyFont="1" applyFill="1" applyBorder="1" applyAlignment="1">
      <alignment horizontal="right" vertical="center"/>
    </xf>
    <xf numFmtId="164" fontId="297" fillId="9" borderId="36" xfId="22" applyNumberFormat="1" applyFont="1" applyFill="1" applyBorder="1" applyAlignment="1">
      <alignment horizontal="right" vertical="center"/>
    </xf>
    <xf numFmtId="164" fontId="297" fillId="9" borderId="0" xfId="22" applyNumberFormat="1" applyFont="1" applyFill="1" applyBorder="1" applyAlignment="1">
      <alignment horizontal="right" vertical="top"/>
    </xf>
    <xf numFmtId="164" fontId="297" fillId="9" borderId="35" xfId="22" applyNumberFormat="1" applyFont="1" applyFill="1" applyBorder="1" applyAlignment="1">
      <alignment horizontal="right" vertical="top"/>
    </xf>
    <xf numFmtId="164" fontId="297" fillId="9" borderId="35" xfId="22" applyNumberFormat="1" applyFont="1" applyFill="1" applyBorder="1" applyAlignment="1">
      <alignment horizontal="right" vertical="center"/>
    </xf>
    <xf numFmtId="164" fontId="297" fillId="9" borderId="34" xfId="22" applyNumberFormat="1" applyFont="1" applyFill="1" applyBorder="1" applyAlignment="1">
      <alignment horizontal="right" vertical="top"/>
    </xf>
    <xf numFmtId="164" fontId="297" fillId="9" borderId="34" xfId="22" applyNumberFormat="1" applyFont="1" applyFill="1" applyBorder="1" applyAlignment="1">
      <alignment horizontal="right" vertical="center"/>
    </xf>
    <xf numFmtId="0" fontId="297" fillId="9" borderId="0" xfId="22" applyFont="1" applyFill="1" applyAlignment="1">
      <alignment vertical="center"/>
    </xf>
    <xf numFmtId="0" fontId="301" fillId="9" borderId="0" xfId="5" applyFont="1" applyFill="1" applyAlignment="1">
      <alignment horizontal="center" vertical="top" readingOrder="2"/>
    </xf>
    <xf numFmtId="164" fontId="297" fillId="9" borderId="0" xfId="21" applyNumberFormat="1" applyFont="1" applyFill="1" applyBorder="1" applyAlignment="1">
      <alignment horizontal="right" vertical="center"/>
    </xf>
    <xf numFmtId="0" fontId="297" fillId="0" borderId="35" xfId="13" applyNumberFormat="1" applyFont="1" applyBorder="1" applyAlignment="1">
      <alignment horizontal="center" vertical="center" wrapText="1" readingOrder="2"/>
    </xf>
    <xf numFmtId="0" fontId="297" fillId="0" borderId="0" xfId="13" applyNumberFormat="1" applyFont="1" applyBorder="1" applyAlignment="1">
      <alignment horizontal="center" vertical="center" wrapText="1" readingOrder="2"/>
    </xf>
    <xf numFmtId="0" fontId="297" fillId="9" borderId="0" xfId="21" applyFont="1" applyFill="1" applyAlignment="1">
      <alignment horizontal="center" vertical="top"/>
    </xf>
    <xf numFmtId="0" fontId="297" fillId="9" borderId="0" xfId="12" applyFont="1" applyFill="1" applyAlignment="1">
      <alignment vertical="top" readingOrder="2"/>
    </xf>
    <xf numFmtId="164" fontId="297" fillId="9" borderId="0" xfId="22" applyNumberFormat="1" applyFont="1" applyFill="1" applyBorder="1" applyAlignment="1">
      <alignment horizontal="center" vertical="center"/>
    </xf>
    <xf numFmtId="0" fontId="297" fillId="9" borderId="0" xfId="19" applyFont="1" applyFill="1" applyBorder="1" applyAlignment="1">
      <alignment horizontal="right" vertical="center"/>
    </xf>
    <xf numFmtId="164" fontId="297" fillId="0" borderId="35" xfId="17" applyNumberFormat="1" applyFont="1" applyFill="1" applyBorder="1" applyAlignment="1">
      <alignment horizontal="center" vertical="center"/>
    </xf>
    <xf numFmtId="164" fontId="297" fillId="0" borderId="34" xfId="19" applyNumberFormat="1" applyFont="1" applyFill="1" applyBorder="1" applyAlignment="1">
      <alignment vertical="center"/>
    </xf>
    <xf numFmtId="164" fontId="297" fillId="0" borderId="0" xfId="19" applyNumberFormat="1" applyFont="1" applyFill="1" applyBorder="1" applyAlignment="1">
      <alignment vertical="center"/>
    </xf>
    <xf numFmtId="0" fontId="302" fillId="9" borderId="0" xfId="22" applyNumberFormat="1" applyFont="1" applyFill="1" applyAlignment="1">
      <alignment horizontal="right" vertical="top" wrapText="1" readingOrder="2"/>
    </xf>
    <xf numFmtId="0" fontId="303" fillId="0" borderId="0" xfId="0" applyFont="1"/>
    <xf numFmtId="0" fontId="273" fillId="0" borderId="0" xfId="6" applyFont="1" applyAlignment="1">
      <alignment horizontal="center" vertical="top"/>
    </xf>
    <xf numFmtId="0" fontId="221" fillId="9" borderId="0" xfId="5" applyFont="1" applyFill="1" applyAlignment="1">
      <alignment horizontal="center" vertical="top" readingOrder="2"/>
    </xf>
    <xf numFmtId="0" fontId="37" fillId="9" borderId="0" xfId="0" applyFont="1" applyFill="1"/>
    <xf numFmtId="164" fontId="35" fillId="9" borderId="34" xfId="8" applyNumberFormat="1" applyFont="1" applyFill="1" applyBorder="1" applyAlignment="1">
      <alignment vertical="center"/>
    </xf>
    <xf numFmtId="0" fontId="304" fillId="0" borderId="0" xfId="0" applyFont="1" applyFill="1"/>
    <xf numFmtId="0" fontId="304" fillId="0" borderId="0" xfId="21" applyFont="1" applyFill="1" applyAlignment="1">
      <alignment horizontal="right" vertical="center"/>
    </xf>
    <xf numFmtId="0" fontId="304" fillId="0" borderId="0" xfId="21" applyFont="1" applyFill="1"/>
    <xf numFmtId="0" fontId="305" fillId="9" borderId="0" xfId="0" applyFont="1" applyFill="1"/>
    <xf numFmtId="0" fontId="40" fillId="9" borderId="0" xfId="19" applyFont="1" applyFill="1" applyAlignment="1">
      <alignment horizontal="right" vertical="top" wrapText="1" readingOrder="2"/>
    </xf>
    <xf numFmtId="0" fontId="304" fillId="9" borderId="0" xfId="0" applyFont="1" applyFill="1"/>
    <xf numFmtId="0" fontId="40" fillId="0" borderId="0" xfId="8" applyFont="1" applyAlignment="1">
      <alignment vertical="center" readingOrder="2"/>
    </xf>
    <xf numFmtId="0" fontId="40" fillId="9" borderId="0" xfId="22" applyFont="1" applyFill="1" applyAlignment="1">
      <alignment horizontal="right" vertical="center" readingOrder="2"/>
    </xf>
    <xf numFmtId="0" fontId="306" fillId="9" borderId="0" xfId="5" applyFont="1" applyFill="1" applyAlignment="1">
      <alignment horizontal="center" vertical="top" readingOrder="2"/>
    </xf>
    <xf numFmtId="0" fontId="304" fillId="9" borderId="0" xfId="22" applyFont="1" applyFill="1" applyAlignment="1">
      <alignment horizontal="left" readingOrder="2"/>
    </xf>
    <xf numFmtId="0" fontId="66" fillId="9" borderId="0" xfId="0" applyFont="1" applyFill="1"/>
    <xf numFmtId="0" fontId="307" fillId="9" borderId="0" xfId="0" applyFont="1" applyFill="1"/>
    <xf numFmtId="0" fontId="309" fillId="9" borderId="0" xfId="0" applyFont="1" applyFill="1"/>
    <xf numFmtId="0" fontId="40" fillId="9" borderId="0" xfId="19" applyFont="1" applyFill="1" applyBorder="1" applyAlignment="1">
      <alignment horizontal="right" vertical="top" wrapText="1" readingOrder="2"/>
    </xf>
    <xf numFmtId="0" fontId="40" fillId="9" borderId="0" xfId="12" applyFont="1" applyFill="1" applyAlignment="1">
      <alignment vertical="top" readingOrder="2"/>
    </xf>
    <xf numFmtId="0" fontId="40" fillId="9" borderId="0" xfId="19" applyFont="1" applyFill="1" applyAlignment="1">
      <alignment vertical="center" readingOrder="2"/>
    </xf>
    <xf numFmtId="0" fontId="40" fillId="9" borderId="0" xfId="12" applyFont="1" applyFill="1" applyBorder="1" applyAlignment="1">
      <alignment vertical="top" readingOrder="2"/>
    </xf>
    <xf numFmtId="164" fontId="40" fillId="9" borderId="0" xfId="22" applyNumberFormat="1" applyFont="1" applyFill="1" applyBorder="1" applyAlignment="1">
      <alignment horizontal="center" vertical="center"/>
    </xf>
    <xf numFmtId="0" fontId="40" fillId="9" borderId="0" xfId="19" applyFont="1" applyFill="1" applyBorder="1" applyAlignment="1">
      <alignment vertical="top" wrapText="1" readingOrder="2"/>
    </xf>
    <xf numFmtId="0" fontId="40" fillId="9" borderId="0" xfId="19" applyFont="1" applyFill="1" applyBorder="1" applyAlignment="1">
      <alignment horizontal="right" vertical="center"/>
    </xf>
    <xf numFmtId="164" fontId="40" fillId="0" borderId="35" xfId="17" applyNumberFormat="1" applyFont="1" applyFill="1" applyBorder="1" applyAlignment="1">
      <alignment horizontal="center" vertical="center"/>
    </xf>
    <xf numFmtId="164" fontId="40" fillId="0" borderId="34" xfId="19" applyNumberFormat="1" applyFont="1" applyFill="1" applyBorder="1" applyAlignment="1">
      <alignment vertical="center"/>
    </xf>
    <xf numFmtId="164" fontId="40" fillId="0" borderId="0" xfId="19" applyNumberFormat="1" applyFont="1" applyFill="1" applyBorder="1" applyAlignment="1">
      <alignment vertical="center"/>
    </xf>
    <xf numFmtId="164" fontId="40" fillId="9" borderId="0" xfId="19" applyNumberFormat="1" applyFont="1" applyFill="1" applyBorder="1" applyAlignment="1">
      <alignment vertical="center"/>
    </xf>
    <xf numFmtId="0" fontId="66" fillId="9" borderId="0" xfId="19" applyFont="1" applyFill="1" applyAlignment="1">
      <alignment horizontal="right" vertical="center" readingOrder="2"/>
    </xf>
    <xf numFmtId="0" fontId="40" fillId="9" borderId="0" xfId="19" applyFont="1" applyFill="1" applyAlignment="1">
      <alignment horizontal="right" vertical="center" readingOrder="2"/>
    </xf>
    <xf numFmtId="0" fontId="40" fillId="9" borderId="0" xfId="19" applyFont="1" applyFill="1" applyAlignment="1">
      <alignment horizontal="right" vertical="center"/>
    </xf>
    <xf numFmtId="0" fontId="40" fillId="0" borderId="0" xfId="20" applyNumberFormat="1" applyFont="1" applyFill="1" applyBorder="1" applyAlignment="1">
      <alignment vertical="center" readingOrder="2"/>
    </xf>
    <xf numFmtId="0" fontId="40" fillId="0" borderId="0" xfId="20" applyNumberFormat="1" applyFont="1" applyFill="1" applyBorder="1" applyAlignment="1">
      <alignment horizontal="center" vertical="center" readingOrder="2"/>
    </xf>
    <xf numFmtId="0" fontId="40" fillId="0" borderId="35" xfId="20" applyNumberFormat="1" applyFont="1" applyFill="1" applyBorder="1" applyAlignment="1">
      <alignment horizontal="center" vertical="center" readingOrder="2"/>
    </xf>
    <xf numFmtId="0" fontId="40" fillId="9" borderId="0" xfId="19" applyNumberFormat="1" applyFont="1" applyFill="1" applyBorder="1" applyAlignment="1">
      <alignment horizontal="center" vertical="center" readingOrder="2"/>
    </xf>
    <xf numFmtId="0" fontId="40" fillId="9" borderId="35" xfId="19" applyNumberFormat="1" applyFont="1" applyFill="1" applyBorder="1" applyAlignment="1">
      <alignment horizontal="center" vertical="center" readingOrder="2"/>
    </xf>
    <xf numFmtId="0" fontId="40" fillId="0" borderId="32" xfId="20" applyNumberFormat="1" applyFont="1" applyFill="1" applyBorder="1" applyAlignment="1">
      <alignment horizontal="center" vertical="center" readingOrder="2"/>
    </xf>
    <xf numFmtId="0" fontId="40" fillId="9" borderId="0" xfId="19" applyNumberFormat="1" applyFont="1" applyFill="1" applyBorder="1" applyAlignment="1">
      <alignment vertical="center" readingOrder="2"/>
    </xf>
    <xf numFmtId="0" fontId="40" fillId="9" borderId="0" xfId="19" applyNumberFormat="1" applyFont="1" applyFill="1" applyBorder="1" applyAlignment="1">
      <alignment horizontal="right" vertical="center" readingOrder="2"/>
    </xf>
    <xf numFmtId="0" fontId="66" fillId="9" borderId="0" xfId="12" applyFont="1" applyFill="1" applyAlignment="1">
      <alignment vertical="top" readingOrder="2"/>
    </xf>
    <xf numFmtId="3" fontId="40" fillId="9" borderId="0" xfId="19" applyNumberFormat="1" applyFont="1" applyFill="1" applyBorder="1" applyAlignment="1">
      <alignment vertical="center" readingOrder="2"/>
    </xf>
    <xf numFmtId="174" fontId="310" fillId="9" borderId="0" xfId="42" applyNumberFormat="1" applyFont="1" applyFill="1" applyBorder="1" applyAlignment="1">
      <alignment horizontal="right" vertical="center" readingOrder="2"/>
    </xf>
    <xf numFmtId="164" fontId="40" fillId="0" borderId="0" xfId="20" applyNumberFormat="1" applyFont="1" applyFill="1" applyBorder="1" applyAlignment="1">
      <alignment horizontal="center" vertical="center" readingOrder="2"/>
    </xf>
    <xf numFmtId="3" fontId="40" fillId="9" borderId="35" xfId="19" applyNumberFormat="1" applyFont="1" applyFill="1" applyBorder="1" applyAlignment="1">
      <alignment vertical="center" readingOrder="2"/>
    </xf>
    <xf numFmtId="174" fontId="310" fillId="9" borderId="35" xfId="42" applyNumberFormat="1" applyFont="1" applyFill="1" applyBorder="1" applyAlignment="1">
      <alignment horizontal="right" vertical="center" readingOrder="2"/>
    </xf>
    <xf numFmtId="0" fontId="66" fillId="9" borderId="0" xfId="19" applyFont="1" applyFill="1" applyAlignment="1">
      <alignment vertical="center" readingOrder="2"/>
    </xf>
    <xf numFmtId="0" fontId="66" fillId="9" borderId="0" xfId="19" applyFont="1" applyFill="1" applyAlignment="1">
      <alignment horizontal="right" vertical="center"/>
    </xf>
    <xf numFmtId="0" fontId="66" fillId="9" borderId="0" xfId="19" applyFont="1" applyFill="1" applyBorder="1" applyAlignment="1">
      <alignment horizontal="right" vertical="center"/>
    </xf>
    <xf numFmtId="174" fontId="66" fillId="9" borderId="0" xfId="42" applyNumberFormat="1" applyFont="1" applyFill="1" applyBorder="1" applyAlignment="1">
      <alignment horizontal="right" vertical="center"/>
    </xf>
    <xf numFmtId="174" fontId="40" fillId="9" borderId="0" xfId="42" applyNumberFormat="1" applyFont="1" applyFill="1" applyBorder="1" applyAlignment="1">
      <alignment vertical="center" readingOrder="2"/>
    </xf>
    <xf numFmtId="174" fontId="40" fillId="9" borderId="35" xfId="42" applyNumberFormat="1" applyFont="1" applyFill="1" applyBorder="1" applyAlignment="1">
      <alignment vertical="center" readingOrder="2"/>
    </xf>
    <xf numFmtId="164" fontId="40" fillId="0" borderId="35" xfId="20" applyNumberFormat="1" applyFont="1" applyFill="1" applyBorder="1" applyAlignment="1">
      <alignment horizontal="center" vertical="center" readingOrder="2"/>
    </xf>
    <xf numFmtId="164" fontId="40" fillId="0" borderId="0" xfId="17" applyNumberFormat="1" applyFont="1" applyFill="1" applyBorder="1" applyAlignment="1">
      <alignment vertical="center"/>
    </xf>
    <xf numFmtId="1" fontId="307" fillId="9" borderId="0" xfId="19" applyNumberFormat="1" applyFont="1" applyFill="1" applyAlignment="1">
      <alignment horizontal="center" vertical="center"/>
    </xf>
    <xf numFmtId="0" fontId="66" fillId="9" borderId="0" xfId="19" applyFont="1" applyFill="1" applyAlignment="1">
      <alignment horizontal="right" vertical="top" wrapText="1" readingOrder="2"/>
    </xf>
    <xf numFmtId="0" fontId="66" fillId="9" borderId="0" xfId="19" applyFont="1" applyFill="1" applyBorder="1" applyAlignment="1">
      <alignment horizontal="right" vertical="top" wrapText="1" readingOrder="2"/>
    </xf>
    <xf numFmtId="174" fontId="311" fillId="9" borderId="0" xfId="42" applyNumberFormat="1" applyFont="1" applyFill="1" applyBorder="1" applyAlignment="1">
      <alignment horizontal="right" vertical="top" wrapText="1" readingOrder="2"/>
    </xf>
    <xf numFmtId="164" fontId="40" fillId="9" borderId="0" xfId="17" applyNumberFormat="1" applyFont="1" applyFill="1" applyBorder="1" applyAlignment="1">
      <alignment vertical="center"/>
    </xf>
    <xf numFmtId="174" fontId="40" fillId="0" borderId="0" xfId="42" applyNumberFormat="1" applyFont="1" applyFill="1" applyBorder="1" applyAlignment="1">
      <alignment vertical="center"/>
    </xf>
    <xf numFmtId="174" fontId="66" fillId="9" borderId="0" xfId="42" applyNumberFormat="1" applyFont="1" applyFill="1" applyBorder="1" applyAlignment="1">
      <alignment horizontal="right" vertical="top" wrapText="1" readingOrder="2"/>
    </xf>
    <xf numFmtId="0" fontId="40" fillId="9" borderId="0" xfId="19" applyFont="1" applyFill="1" applyBorder="1" applyAlignment="1">
      <alignment horizontal="right" vertical="top" readingOrder="2"/>
    </xf>
    <xf numFmtId="174" fontId="40" fillId="9" borderId="0" xfId="42" applyNumberFormat="1" applyFont="1" applyFill="1" applyBorder="1" applyAlignment="1">
      <alignment horizontal="right" vertical="top" readingOrder="2"/>
    </xf>
    <xf numFmtId="174" fontId="40" fillId="9" borderId="35" xfId="42" applyNumberFormat="1" applyFont="1" applyFill="1" applyBorder="1" applyAlignment="1">
      <alignment horizontal="right" vertical="top" readingOrder="2"/>
    </xf>
    <xf numFmtId="164" fontId="40" fillId="0" borderId="35" xfId="25" applyNumberFormat="1" applyFont="1" applyFill="1" applyBorder="1" applyAlignment="1">
      <alignment horizontal="right" vertical="center"/>
    </xf>
    <xf numFmtId="164" fontId="40" fillId="0" borderId="0" xfId="25" applyNumberFormat="1" applyFont="1" applyFill="1" applyBorder="1" applyAlignment="1">
      <alignment horizontal="right" vertical="center"/>
    </xf>
    <xf numFmtId="164" fontId="40" fillId="9" borderId="35" xfId="25" applyNumberFormat="1" applyFont="1" applyFill="1" applyBorder="1" applyAlignment="1">
      <alignment horizontal="right" vertical="center"/>
    </xf>
    <xf numFmtId="164" fontId="40" fillId="9" borderId="0" xfId="19" applyNumberFormat="1" applyFont="1" applyFill="1" applyBorder="1" applyAlignment="1">
      <alignment horizontal="right" vertical="center"/>
    </xf>
    <xf numFmtId="164" fontId="40" fillId="0" borderId="32" xfId="25" applyNumberFormat="1" applyFont="1" applyFill="1" applyBorder="1" applyAlignment="1">
      <alignment horizontal="right" vertical="center"/>
    </xf>
    <xf numFmtId="164" fontId="40" fillId="9" borderId="32" xfId="25" applyNumberFormat="1" applyFont="1" applyFill="1" applyBorder="1" applyAlignment="1">
      <alignment horizontal="right" vertical="center"/>
    </xf>
    <xf numFmtId="0" fontId="307" fillId="9" borderId="0" xfId="0" applyFont="1" applyFill="1" applyAlignment="1">
      <alignment vertical="top"/>
    </xf>
    <xf numFmtId="0" fontId="40" fillId="9" borderId="0" xfId="21" applyFont="1" applyFill="1" applyAlignment="1">
      <alignment horizontal="left" vertical="top" readingOrder="2"/>
    </xf>
    <xf numFmtId="164" fontId="40" fillId="9" borderId="0" xfId="19" applyNumberFormat="1" applyFont="1" applyFill="1" applyBorder="1" applyAlignment="1">
      <alignment horizontal="right" vertical="center" wrapText="1" readingOrder="1"/>
    </xf>
    <xf numFmtId="174" fontId="40" fillId="9" borderId="0" xfId="42" applyNumberFormat="1" applyFont="1" applyFill="1" applyBorder="1" applyAlignment="1">
      <alignment horizontal="right" vertical="center" wrapText="1" readingOrder="1"/>
    </xf>
    <xf numFmtId="174" fontId="40" fillId="9" borderId="34" xfId="42" applyNumberFormat="1" applyFont="1" applyFill="1" applyBorder="1" applyAlignment="1">
      <alignment horizontal="right" vertical="center" wrapText="1" readingOrder="1"/>
    </xf>
    <xf numFmtId="164" fontId="40" fillId="0" borderId="34" xfId="25" applyNumberFormat="1" applyFont="1" applyFill="1" applyBorder="1" applyAlignment="1">
      <alignment horizontal="right" vertical="center"/>
    </xf>
    <xf numFmtId="0" fontId="40" fillId="9" borderId="0" xfId="21" applyFont="1" applyFill="1" applyAlignment="1">
      <alignment horizontal="left" vertical="center" readingOrder="2"/>
    </xf>
    <xf numFmtId="0" fontId="40" fillId="9" borderId="0" xfId="19" applyFont="1" applyFill="1" applyAlignment="1">
      <alignment horizontal="right" vertical="top" readingOrder="2"/>
    </xf>
    <xf numFmtId="164" fontId="40" fillId="0" borderId="0" xfId="17" applyNumberFormat="1" applyFont="1" applyFill="1" applyBorder="1" applyAlignment="1">
      <alignment horizontal="center" vertical="center"/>
    </xf>
    <xf numFmtId="164" fontId="40" fillId="9" borderId="34" xfId="25" applyNumberFormat="1" applyFont="1" applyFill="1" applyBorder="1" applyAlignment="1">
      <alignment horizontal="right" vertical="center"/>
    </xf>
    <xf numFmtId="164" fontId="40" fillId="9" borderId="0" xfId="25" applyNumberFormat="1" applyFont="1" applyFill="1" applyBorder="1" applyAlignment="1">
      <alignment horizontal="right" vertical="center"/>
    </xf>
    <xf numFmtId="49" fontId="310" fillId="9" borderId="0" xfId="19" applyNumberFormat="1" applyFont="1" applyFill="1" applyBorder="1" applyAlignment="1">
      <alignment horizontal="right" vertical="center" readingOrder="2"/>
    </xf>
    <xf numFmtId="3" fontId="66" fillId="9" borderId="0" xfId="19" applyNumberFormat="1" applyFont="1" applyFill="1" applyBorder="1" applyAlignment="1">
      <alignment horizontal="right" vertical="center"/>
    </xf>
    <xf numFmtId="49" fontId="311" fillId="9" borderId="0" xfId="19" applyNumberFormat="1" applyFont="1" applyFill="1" applyBorder="1" applyAlignment="1">
      <alignment horizontal="right" vertical="center"/>
    </xf>
    <xf numFmtId="164" fontId="40" fillId="0" borderId="34" xfId="17" applyNumberFormat="1" applyFont="1" applyFill="1" applyBorder="1" applyAlignment="1">
      <alignment vertical="center"/>
    </xf>
    <xf numFmtId="49" fontId="66" fillId="9" borderId="0" xfId="19" applyNumberFormat="1" applyFont="1" applyFill="1" applyBorder="1" applyAlignment="1">
      <alignment horizontal="right" vertical="center"/>
    </xf>
    <xf numFmtId="0" fontId="66" fillId="9" borderId="0" xfId="19" applyFont="1" applyFill="1" applyBorder="1" applyAlignment="1">
      <alignment vertical="center" readingOrder="2"/>
    </xf>
    <xf numFmtId="164" fontId="40" fillId="0" borderId="35" xfId="17" applyNumberFormat="1" applyFont="1" applyFill="1" applyBorder="1" applyAlignment="1">
      <alignment vertical="center"/>
    </xf>
    <xf numFmtId="3" fontId="66" fillId="9" borderId="34" xfId="19" applyNumberFormat="1" applyFont="1" applyFill="1" applyBorder="1" applyAlignment="1">
      <alignment horizontal="right" vertical="center"/>
    </xf>
    <xf numFmtId="0" fontId="40" fillId="0" borderId="0" xfId="8" applyFont="1" applyAlignment="1">
      <alignment horizontal="left" vertical="top" readingOrder="2"/>
    </xf>
    <xf numFmtId="0" fontId="40" fillId="0" borderId="0" xfId="8" applyFont="1" applyBorder="1" applyAlignment="1">
      <alignment vertical="center" readingOrder="2"/>
    </xf>
    <xf numFmtId="164" fontId="40" fillId="9" borderId="0" xfId="8" applyNumberFormat="1" applyFont="1" applyFill="1" applyBorder="1" applyAlignment="1">
      <alignment vertical="center"/>
    </xf>
    <xf numFmtId="3" fontId="40" fillId="0" borderId="0" xfId="8" applyNumberFormat="1" applyFont="1" applyBorder="1" applyAlignment="1">
      <alignment horizontal="right" vertical="center" readingOrder="2"/>
    </xf>
    <xf numFmtId="0" fontId="304" fillId="0" borderId="0" xfId="8" applyFont="1" applyAlignment="1">
      <alignment vertical="center" readingOrder="2"/>
    </xf>
    <xf numFmtId="0" fontId="40" fillId="0" borderId="0" xfId="12" applyNumberFormat="1" applyFont="1" applyBorder="1" applyAlignment="1">
      <alignment horizontal="center" vertical="center" wrapText="1" readingOrder="2"/>
    </xf>
    <xf numFmtId="0" fontId="40" fillId="0" borderId="35" xfId="12" applyNumberFormat="1" applyFont="1" applyBorder="1" applyAlignment="1">
      <alignment horizontal="center" vertical="center" wrapText="1" readingOrder="2"/>
    </xf>
    <xf numFmtId="164" fontId="305" fillId="9" borderId="0" xfId="17" applyNumberFormat="1" applyFont="1" applyFill="1" applyBorder="1" applyAlignment="1">
      <alignment vertical="center"/>
    </xf>
    <xf numFmtId="49" fontId="40" fillId="0" borderId="0" xfId="20" applyNumberFormat="1" applyFont="1" applyFill="1" applyAlignment="1">
      <alignment horizontal="right" vertical="center" readingOrder="2"/>
    </xf>
    <xf numFmtId="0" fontId="312" fillId="0" borderId="0" xfId="0" applyFont="1"/>
    <xf numFmtId="0" fontId="40" fillId="0" borderId="0" xfId="8" applyFont="1" applyAlignment="1">
      <alignment vertical="top" wrapText="1" readingOrder="2"/>
    </xf>
    <xf numFmtId="164" fontId="40" fillId="0" borderId="34" xfId="17" applyNumberFormat="1" applyFont="1" applyFill="1" applyBorder="1" applyAlignment="1">
      <alignment horizontal="center" vertical="center"/>
    </xf>
    <xf numFmtId="3" fontId="66" fillId="9" borderId="34" xfId="19" applyNumberFormat="1" applyFont="1" applyFill="1" applyBorder="1" applyAlignment="1">
      <alignment horizontal="center" vertical="center"/>
    </xf>
    <xf numFmtId="0" fontId="84" fillId="0" borderId="0" xfId="0" applyFont="1" applyAlignment="1"/>
    <xf numFmtId="164" fontId="47" fillId="0" borderId="32" xfId="17" applyNumberFormat="1" applyFont="1" applyFill="1" applyBorder="1" applyAlignment="1">
      <alignment horizontal="center" vertical="center"/>
    </xf>
    <xf numFmtId="0" fontId="47" fillId="9" borderId="0" xfId="21" applyFont="1" applyFill="1" applyAlignment="1">
      <alignment horizontal="left" vertical="center" readingOrder="2"/>
    </xf>
    <xf numFmtId="0" fontId="46" fillId="9" borderId="0" xfId="19" applyFont="1" applyFill="1" applyBorder="1" applyAlignment="1">
      <alignment vertical="center" readingOrder="2"/>
    </xf>
    <xf numFmtId="0" fontId="46" fillId="9" borderId="32" xfId="19" applyFont="1" applyFill="1" applyBorder="1" applyAlignment="1">
      <alignment horizontal="center" vertical="center" readingOrder="2"/>
    </xf>
    <xf numFmtId="0" fontId="46" fillId="9" borderId="0" xfId="19" applyFont="1" applyFill="1" applyBorder="1" applyAlignment="1">
      <alignment horizontal="center" vertical="center" readingOrder="2"/>
    </xf>
    <xf numFmtId="49" fontId="46" fillId="9" borderId="0" xfId="19" applyNumberFormat="1" applyFont="1" applyFill="1" applyBorder="1" applyAlignment="1">
      <alignment horizontal="center" vertical="center"/>
    </xf>
    <xf numFmtId="3" fontId="46" fillId="9" borderId="32" xfId="19" applyNumberFormat="1" applyFont="1" applyFill="1" applyBorder="1" applyAlignment="1">
      <alignment horizontal="center" vertical="center"/>
    </xf>
    <xf numFmtId="0" fontId="46" fillId="9" borderId="0" xfId="19" applyFont="1" applyFill="1" applyBorder="1" applyAlignment="1">
      <alignment horizontal="center" vertical="center"/>
    </xf>
    <xf numFmtId="164" fontId="47" fillId="0" borderId="0" xfId="17" applyNumberFormat="1" applyFont="1" applyFill="1" applyBorder="1" applyAlignment="1">
      <alignment horizontal="center" vertical="center"/>
    </xf>
    <xf numFmtId="0" fontId="46" fillId="9" borderId="36" xfId="19" applyFont="1" applyFill="1" applyBorder="1" applyAlignment="1">
      <alignment horizontal="center" vertical="center" readingOrder="2"/>
    </xf>
    <xf numFmtId="0" fontId="59" fillId="0" borderId="0" xfId="0" applyFont="1"/>
    <xf numFmtId="0" fontId="0" fillId="0" borderId="0" xfId="0" applyAlignment="1">
      <alignment horizontal="center"/>
    </xf>
    <xf numFmtId="0" fontId="313" fillId="0" borderId="0" xfId="6" applyFont="1" applyAlignment="1">
      <alignment horizontal="center" vertical="top"/>
    </xf>
    <xf numFmtId="0" fontId="309" fillId="0" borderId="0" xfId="0" applyFont="1"/>
    <xf numFmtId="0" fontId="305" fillId="0" borderId="35" xfId="0" applyFont="1" applyBorder="1" applyAlignment="1">
      <alignment horizontal="center" vertical="center"/>
    </xf>
    <xf numFmtId="0" fontId="305" fillId="0" borderId="0" xfId="0" applyFont="1" applyAlignment="1">
      <alignment horizontal="center" vertical="center" wrapText="1"/>
    </xf>
    <xf numFmtId="0" fontId="305" fillId="0" borderId="35" xfId="0" applyFont="1" applyBorder="1" applyAlignment="1">
      <alignment horizontal="center" vertical="center" wrapText="1"/>
    </xf>
    <xf numFmtId="0" fontId="309" fillId="0" borderId="0" xfId="0" applyFont="1" applyAlignment="1">
      <alignment horizontal="center" vertical="center"/>
    </xf>
    <xf numFmtId="0" fontId="309" fillId="0" borderId="36" xfId="0" applyFont="1" applyBorder="1" applyAlignment="1">
      <alignment horizontal="center" vertical="center"/>
    </xf>
    <xf numFmtId="0" fontId="305" fillId="0" borderId="0" xfId="0" applyFont="1"/>
    <xf numFmtId="164" fontId="66" fillId="0" borderId="0" xfId="6" applyNumberFormat="1" applyFont="1" applyBorder="1" applyAlignment="1">
      <alignment horizontal="center" vertical="center"/>
    </xf>
    <xf numFmtId="164" fontId="66" fillId="0" borderId="0" xfId="6" applyNumberFormat="1" applyFont="1" applyBorder="1" applyAlignment="1">
      <alignment horizontal="right" vertical="center"/>
    </xf>
    <xf numFmtId="164" fontId="66" fillId="0" borderId="0" xfId="6" applyNumberFormat="1" applyFont="1" applyBorder="1" applyAlignment="1">
      <alignment vertical="center"/>
    </xf>
    <xf numFmtId="164" fontId="40" fillId="0" borderId="36" xfId="6" applyNumberFormat="1" applyFont="1" applyBorder="1" applyAlignment="1">
      <alignment vertical="center"/>
    </xf>
    <xf numFmtId="0" fontId="309" fillId="0" borderId="0" xfId="0" applyFont="1" applyBorder="1" applyAlignment="1">
      <alignment vertical="center"/>
    </xf>
    <xf numFmtId="0" fontId="309" fillId="0" borderId="0" xfId="0" applyFont="1" applyAlignment="1">
      <alignment vertical="center"/>
    </xf>
    <xf numFmtId="164" fontId="66" fillId="0" borderId="35" xfId="6" applyNumberFormat="1" applyFont="1" applyBorder="1" applyAlignment="1">
      <alignment vertical="center"/>
    </xf>
    <xf numFmtId="164" fontId="40" fillId="0" borderId="32" xfId="6" applyNumberFormat="1" applyFont="1" applyBorder="1" applyAlignment="1">
      <alignment vertical="center"/>
    </xf>
    <xf numFmtId="164" fontId="40" fillId="0" borderId="34" xfId="6" applyNumberFormat="1" applyFont="1" applyBorder="1" applyAlignment="1">
      <alignment vertical="center"/>
    </xf>
    <xf numFmtId="0" fontId="115" fillId="0" borderId="0" xfId="0" applyFont="1"/>
    <xf numFmtId="171" fontId="115" fillId="9" borderId="0" xfId="5" applyNumberFormat="1" applyFont="1" applyFill="1" applyBorder="1" applyAlignment="1">
      <alignment horizontal="center" vertical="center"/>
    </xf>
    <xf numFmtId="0" fontId="308" fillId="0" borderId="0" xfId="0" applyFont="1" applyAlignment="1">
      <alignment vertical="center"/>
    </xf>
    <xf numFmtId="171" fontId="40" fillId="9" borderId="0" xfId="5" applyNumberFormat="1" applyFont="1" applyFill="1" applyBorder="1" applyAlignment="1">
      <alignment horizontal="center" vertical="center"/>
    </xf>
    <xf numFmtId="0" fontId="315" fillId="0" borderId="0" xfId="6" applyFont="1" applyAlignment="1">
      <alignment horizontal="center" vertical="top"/>
    </xf>
    <xf numFmtId="0" fontId="146" fillId="9" borderId="0" xfId="0" applyFont="1" applyFill="1" applyAlignment="1">
      <alignment horizontal="center"/>
    </xf>
    <xf numFmtId="0" fontId="317" fillId="9" borderId="0" xfId="5" applyFont="1" applyFill="1" applyAlignment="1">
      <alignment horizontal="center" vertical="top" readingOrder="2"/>
    </xf>
    <xf numFmtId="0" fontId="42" fillId="9" borderId="35" xfId="18" applyFont="1" applyFill="1" applyBorder="1" applyAlignment="1">
      <alignment horizontal="center" vertical="center"/>
    </xf>
    <xf numFmtId="0" fontId="42" fillId="9" borderId="0" xfId="18" applyFont="1" applyFill="1" applyAlignment="1">
      <alignment horizontal="center" vertical="center"/>
    </xf>
    <xf numFmtId="164" fontId="29" fillId="9" borderId="35" xfId="17" applyNumberFormat="1" applyFont="1" applyFill="1" applyBorder="1" applyAlignment="1">
      <alignment horizontal="center" vertical="center"/>
    </xf>
    <xf numFmtId="3" fontId="90" fillId="9" borderId="0" xfId="18" applyNumberFormat="1" applyFont="1" applyFill="1" applyAlignment="1">
      <alignment horizontal="center" vertical="center" readingOrder="2"/>
    </xf>
    <xf numFmtId="174" fontId="42" fillId="9" borderId="0" xfId="42" applyNumberFormat="1" applyFont="1" applyFill="1" applyAlignment="1">
      <alignment vertical="center"/>
    </xf>
    <xf numFmtId="174" fontId="42" fillId="9" borderId="0" xfId="42" applyNumberFormat="1" applyFont="1" applyFill="1" applyBorder="1" applyAlignment="1">
      <alignment vertical="center"/>
    </xf>
    <xf numFmtId="174" fontId="42" fillId="9" borderId="32" xfId="18" applyNumberFormat="1" applyFont="1" applyFill="1" applyBorder="1" applyAlignment="1">
      <alignment vertical="center"/>
    </xf>
    <xf numFmtId="164" fontId="42" fillId="9" borderId="0" xfId="18" applyNumberFormat="1" applyFont="1" applyFill="1" applyBorder="1" applyAlignment="1">
      <alignment vertical="center"/>
    </xf>
    <xf numFmtId="49" fontId="32" fillId="9" borderId="0" xfId="27" applyNumberFormat="1" applyFont="1" applyFill="1" applyBorder="1" applyAlignment="1">
      <alignment horizontal="center" vertical="center"/>
    </xf>
    <xf numFmtId="0" fontId="305" fillId="9" borderId="0" xfId="0" applyFont="1" applyFill="1" applyAlignment="1">
      <alignment horizontal="right" vertical="center"/>
    </xf>
    <xf numFmtId="0" fontId="40" fillId="9" borderId="0" xfId="19" applyFont="1" applyFill="1" applyAlignment="1">
      <alignment horizontal="right" vertical="top" wrapText="1" readingOrder="2"/>
    </xf>
    <xf numFmtId="49" fontId="40" fillId="0" borderId="0" xfId="20" applyNumberFormat="1" applyFont="1" applyFill="1" applyAlignment="1">
      <alignment horizontal="right" vertical="center" readingOrder="2"/>
    </xf>
    <xf numFmtId="0" fontId="46" fillId="9" borderId="0" xfId="19" applyFont="1" applyFill="1" applyBorder="1" applyAlignment="1">
      <alignment horizontal="center" vertical="center" wrapText="1" readingOrder="2"/>
    </xf>
    <xf numFmtId="164" fontId="47" fillId="0" borderId="0" xfId="17" applyNumberFormat="1" applyFont="1" applyFill="1" applyBorder="1" applyAlignment="1">
      <alignment horizontal="center" vertical="center" wrapText="1"/>
    </xf>
    <xf numFmtId="3" fontId="46" fillId="9" borderId="0" xfId="19" applyNumberFormat="1" applyFont="1" applyFill="1" applyBorder="1" applyAlignment="1">
      <alignment horizontal="center" vertical="center"/>
    </xf>
    <xf numFmtId="174" fontId="66" fillId="9" borderId="34" xfId="42" applyNumberFormat="1" applyFont="1" applyFill="1" applyBorder="1" applyAlignment="1">
      <alignment horizontal="right" vertical="center"/>
    </xf>
    <xf numFmtId="43" fontId="40" fillId="0" borderId="0" xfId="42" applyFont="1" applyFill="1" applyBorder="1" applyAlignment="1">
      <alignment horizontal="center" vertical="center"/>
    </xf>
    <xf numFmtId="43" fontId="40" fillId="0" borderId="0" xfId="42" applyFont="1" applyFill="1" applyBorder="1" applyAlignment="1">
      <alignment vertical="center"/>
    </xf>
    <xf numFmtId="43" fontId="40" fillId="9" borderId="0" xfId="42" applyFont="1" applyFill="1" applyBorder="1" applyAlignment="1">
      <alignment vertical="center" readingOrder="2"/>
    </xf>
    <xf numFmtId="164" fontId="124" fillId="9" borderId="0" xfId="0" applyNumberFormat="1" applyFont="1" applyFill="1"/>
    <xf numFmtId="0" fontId="46" fillId="9" borderId="0" xfId="19" applyFont="1" applyFill="1" applyAlignment="1">
      <alignment vertical="center" readingOrder="2"/>
    </xf>
    <xf numFmtId="0" fontId="112" fillId="0" borderId="0" xfId="0" applyFont="1" applyFill="1" applyAlignment="1">
      <alignment horizontal="center" vertical="center"/>
    </xf>
    <xf numFmtId="0" fontId="59" fillId="9" borderId="0" xfId="0" applyFont="1" applyFill="1" applyAlignment="1">
      <alignment horizontal="center" vertical="center"/>
    </xf>
    <xf numFmtId="0" fontId="78" fillId="0" borderId="35" xfId="0" applyFont="1" applyBorder="1" applyAlignment="1">
      <alignment horizontal="center" vertical="center" wrapText="1" readingOrder="2"/>
    </xf>
    <xf numFmtId="49" fontId="32" fillId="9" borderId="0" xfId="27" applyNumberFormat="1" applyFont="1" applyFill="1" applyBorder="1" applyAlignment="1">
      <alignment horizontal="center" vertical="center"/>
    </xf>
    <xf numFmtId="0" fontId="78" fillId="0" borderId="0" xfId="0" applyFont="1" applyBorder="1" applyAlignment="1">
      <alignment horizontal="center" vertical="center" wrapText="1" readingOrder="2"/>
    </xf>
    <xf numFmtId="0" fontId="74" fillId="0" borderId="0" xfId="0" applyFont="1" applyBorder="1" applyAlignment="1">
      <alignment horizontal="center" vertical="center" wrapText="1" readingOrder="2"/>
    </xf>
    <xf numFmtId="174" fontId="32" fillId="9" borderId="0" xfId="42" applyNumberFormat="1" applyFont="1" applyFill="1" applyBorder="1" applyAlignment="1">
      <alignment horizontal="center" vertical="center"/>
    </xf>
    <xf numFmtId="174" fontId="32" fillId="9" borderId="34" xfId="42" applyNumberFormat="1" applyFont="1" applyFill="1" applyBorder="1" applyAlignment="1">
      <alignment horizontal="center" vertical="center"/>
    </xf>
    <xf numFmtId="49" fontId="31" fillId="9" borderId="36" xfId="27" applyNumberFormat="1" applyFont="1" applyFill="1" applyBorder="1" applyAlignment="1">
      <alignment horizontal="center" vertical="center"/>
    </xf>
    <xf numFmtId="0" fontId="260" fillId="0" borderId="0" xfId="0" applyFont="1" applyBorder="1" applyAlignment="1">
      <alignment horizontal="center" vertical="center"/>
    </xf>
    <xf numFmtId="165" fontId="260" fillId="0" borderId="0" xfId="42" applyNumberFormat="1" applyFont="1" applyBorder="1" applyAlignment="1">
      <alignment horizontal="center" vertical="center"/>
    </xf>
    <xf numFmtId="0" fontId="260" fillId="0" borderId="70" xfId="0" applyFont="1" applyBorder="1"/>
    <xf numFmtId="49" fontId="40" fillId="0" borderId="0" xfId="20" applyNumberFormat="1" applyFont="1" applyFill="1" applyAlignment="1">
      <alignment horizontal="right" vertical="center" readingOrder="2"/>
    </xf>
    <xf numFmtId="49" fontId="83" fillId="9" borderId="0" xfId="17" applyNumberFormat="1" applyFont="1" applyFill="1" applyAlignment="1">
      <alignment horizontal="left" vertical="top"/>
    </xf>
    <xf numFmtId="49" fontId="318" fillId="9" borderId="0" xfId="17" applyNumberFormat="1" applyFont="1" applyFill="1" applyAlignment="1">
      <alignment horizontal="left" vertical="top"/>
    </xf>
    <xf numFmtId="0" fontId="60" fillId="9" borderId="0" xfId="17" applyFont="1" applyFill="1" applyBorder="1" applyAlignment="1">
      <alignment horizontal="right" vertical="top" wrapText="1"/>
    </xf>
    <xf numFmtId="0" fontId="84" fillId="9" borderId="0" xfId="0" applyFont="1" applyFill="1"/>
    <xf numFmtId="0" fontId="60" fillId="9" borderId="16" xfId="17" applyFont="1" applyFill="1" applyBorder="1" applyAlignment="1">
      <alignment horizontal="center" vertical="center" wrapText="1"/>
    </xf>
    <xf numFmtId="0" fontId="60" fillId="9" borderId="0" xfId="17" applyFont="1" applyFill="1" applyAlignment="1">
      <alignment horizontal="center"/>
    </xf>
    <xf numFmtId="0" fontId="60" fillId="9" borderId="16" xfId="17" applyFont="1" applyFill="1" applyBorder="1" applyAlignment="1">
      <alignment horizontal="center" vertical="center"/>
    </xf>
    <xf numFmtId="0" fontId="60" fillId="9" borderId="0" xfId="17" applyFont="1" applyFill="1" applyBorder="1" applyAlignment="1">
      <alignment horizontal="center"/>
    </xf>
    <xf numFmtId="0" fontId="60" fillId="9" borderId="16" xfId="17" applyFont="1" applyFill="1" applyBorder="1" applyAlignment="1">
      <alignment vertical="center"/>
    </xf>
    <xf numFmtId="0" fontId="60" fillId="9" borderId="0" xfId="17" applyFont="1" applyFill="1" applyAlignment="1">
      <alignment horizontal="right" readingOrder="2"/>
    </xf>
    <xf numFmtId="0" fontId="60" fillId="9" borderId="0" xfId="17" applyFont="1" applyFill="1" applyAlignment="1">
      <alignment horizontal="right"/>
    </xf>
    <xf numFmtId="0" fontId="60" fillId="9" borderId="0" xfId="17" applyFont="1" applyFill="1" applyBorder="1"/>
    <xf numFmtId="0" fontId="60" fillId="9" borderId="0" xfId="17" applyFont="1" applyFill="1" applyBorder="1" applyAlignment="1">
      <alignment horizontal="right"/>
    </xf>
    <xf numFmtId="3" fontId="97" fillId="9" borderId="0" xfId="0" applyNumberFormat="1" applyFont="1" applyFill="1" applyAlignment="1">
      <alignment horizontal="center" vertical="center"/>
    </xf>
    <xf numFmtId="0" fontId="34" fillId="9" borderId="0" xfId="17" applyFont="1" applyFill="1" applyAlignment="1">
      <alignment horizontal="center" vertical="center" readingOrder="2"/>
    </xf>
    <xf numFmtId="0" fontId="60" fillId="9" borderId="0" xfId="17" applyFont="1" applyFill="1" applyAlignment="1">
      <alignment horizontal="right" vertical="center" readingOrder="2"/>
    </xf>
    <xf numFmtId="164" fontId="60" fillId="9" borderId="0" xfId="17" applyNumberFormat="1" applyFont="1" applyFill="1" applyBorder="1" applyAlignment="1">
      <alignment horizontal="right" vertical="center"/>
    </xf>
    <xf numFmtId="164" fontId="34" fillId="9" borderId="0" xfId="17" applyNumberFormat="1" applyFont="1" applyFill="1" applyBorder="1" applyAlignment="1">
      <alignment horizontal="right" vertical="center"/>
    </xf>
    <xf numFmtId="3" fontId="97" fillId="9" borderId="36" xfId="0" applyNumberFormat="1" applyFont="1" applyFill="1" applyBorder="1" applyAlignment="1">
      <alignment horizontal="center" vertical="center"/>
    </xf>
    <xf numFmtId="0" fontId="84" fillId="9" borderId="0" xfId="0" applyFont="1" applyFill="1" applyBorder="1"/>
    <xf numFmtId="164" fontId="34" fillId="9" borderId="35" xfId="17" applyNumberFormat="1" applyFont="1" applyFill="1" applyBorder="1" applyAlignment="1">
      <alignment vertical="center"/>
    </xf>
    <xf numFmtId="3" fontId="97" fillId="9" borderId="35" xfId="0" applyNumberFormat="1" applyFont="1" applyFill="1" applyBorder="1" applyAlignment="1">
      <alignment horizontal="center" vertical="center"/>
    </xf>
    <xf numFmtId="3" fontId="97" fillId="9" borderId="0" xfId="0" applyNumberFormat="1" applyFont="1" applyFill="1" applyBorder="1" applyAlignment="1">
      <alignment horizontal="center" vertical="center"/>
    </xf>
    <xf numFmtId="0" fontId="60" fillId="9" borderId="0" xfId="17" applyFont="1" applyFill="1" applyAlignment="1">
      <alignment horizontal="center" vertical="center" readingOrder="2"/>
    </xf>
    <xf numFmtId="0" fontId="60" fillId="9" borderId="0" xfId="17" applyFont="1" applyFill="1" applyAlignment="1">
      <alignment vertical="center"/>
    </xf>
    <xf numFmtId="0" fontId="34" fillId="9" borderId="0" xfId="17" applyFont="1" applyFill="1" applyAlignment="1">
      <alignment horizontal="center" vertical="center"/>
    </xf>
    <xf numFmtId="164" fontId="60" fillId="9" borderId="0" xfId="17" applyNumberFormat="1" applyFont="1" applyFill="1" applyAlignment="1">
      <alignment vertical="center"/>
    </xf>
    <xf numFmtId="0" fontId="60" fillId="9" borderId="0" xfId="17" applyFont="1" applyFill="1" applyAlignment="1">
      <alignment horizontal="right" vertical="center"/>
    </xf>
    <xf numFmtId="1" fontId="34" fillId="9" borderId="0" xfId="17" applyNumberFormat="1" applyFont="1" applyFill="1" applyAlignment="1">
      <alignment horizontal="center" vertical="center"/>
    </xf>
    <xf numFmtId="0" fontId="60" fillId="9" borderId="0" xfId="17" applyFont="1" applyFill="1" applyBorder="1" applyAlignment="1">
      <alignment horizontal="right" vertical="center" readingOrder="2"/>
    </xf>
    <xf numFmtId="164" fontId="34" fillId="9" borderId="32" xfId="17" applyNumberFormat="1" applyFont="1" applyFill="1" applyBorder="1" applyAlignment="1">
      <alignment vertical="center"/>
    </xf>
    <xf numFmtId="164" fontId="34" fillId="9" borderId="36" xfId="17" applyNumberFormat="1" applyFont="1" applyFill="1" applyBorder="1" applyAlignment="1">
      <alignment vertical="center"/>
    </xf>
    <xf numFmtId="3" fontId="34" fillId="9" borderId="32" xfId="17" applyNumberFormat="1" applyFont="1" applyFill="1" applyBorder="1" applyAlignment="1">
      <alignment vertical="center"/>
    </xf>
    <xf numFmtId="164" fontId="34" fillId="9" borderId="33" xfId="17" applyNumberFormat="1" applyFont="1" applyFill="1" applyBorder="1" applyAlignment="1">
      <alignment vertical="center"/>
    </xf>
    <xf numFmtId="164" fontId="34" fillId="9" borderId="34" xfId="17" applyNumberFormat="1" applyFont="1" applyFill="1" applyBorder="1" applyAlignment="1">
      <alignment vertical="center"/>
    </xf>
    <xf numFmtId="0" fontId="60" fillId="9" borderId="33" xfId="17" applyFont="1" applyFill="1" applyBorder="1" applyAlignment="1">
      <alignment vertical="center"/>
    </xf>
    <xf numFmtId="3" fontId="34" fillId="9" borderId="33" xfId="17" applyNumberFormat="1" applyFont="1" applyFill="1" applyBorder="1" applyAlignment="1">
      <alignment horizontal="center" vertical="center"/>
    </xf>
    <xf numFmtId="3" fontId="34" fillId="9" borderId="33" xfId="17" applyNumberFormat="1" applyFont="1" applyFill="1" applyBorder="1" applyAlignment="1">
      <alignment vertical="center"/>
    </xf>
    <xf numFmtId="0" fontId="60" fillId="9" borderId="0" xfId="17" applyFont="1" applyFill="1" applyBorder="1" applyAlignment="1">
      <alignment horizontal="center" vertical="center"/>
    </xf>
    <xf numFmtId="0" fontId="60" fillId="9" borderId="0" xfId="17" applyFont="1" applyFill="1" applyAlignment="1">
      <alignment horizontal="center" vertical="center"/>
    </xf>
    <xf numFmtId="0" fontId="60" fillId="9" borderId="0" xfId="17" applyFont="1" applyFill="1" applyBorder="1" applyAlignment="1">
      <alignment horizontal="center" vertical="top" wrapText="1"/>
    </xf>
    <xf numFmtId="0" fontId="60" fillId="9" borderId="0" xfId="17" applyFont="1" applyFill="1" applyBorder="1" applyAlignment="1">
      <alignment horizontal="center" vertical="center" wrapText="1"/>
    </xf>
    <xf numFmtId="0" fontId="60" fillId="9" borderId="40" xfId="17" applyFont="1" applyFill="1" applyBorder="1" applyAlignment="1">
      <alignment horizontal="center" vertical="center" wrapText="1"/>
    </xf>
    <xf numFmtId="0" fontId="60" fillId="9" borderId="0" xfId="17" applyFont="1" applyFill="1" applyBorder="1" applyAlignment="1">
      <alignment horizontal="right" vertical="top" wrapText="1"/>
    </xf>
    <xf numFmtId="0" fontId="59" fillId="0" borderId="0" xfId="0" applyFont="1"/>
    <xf numFmtId="0" fontId="31" fillId="9" borderId="0" xfId="25" applyFont="1" applyFill="1" applyAlignment="1">
      <alignment horizontal="right" vertical="center" wrapText="1" readingOrder="2"/>
    </xf>
    <xf numFmtId="0" fontId="226" fillId="0" borderId="0" xfId="5" applyFont="1" applyAlignment="1">
      <alignment horizontal="center" vertical="top" readingOrder="2"/>
    </xf>
    <xf numFmtId="0" fontId="40" fillId="9" borderId="0" xfId="19" applyFont="1" applyFill="1" applyAlignment="1">
      <alignment horizontal="right" vertical="top" wrapText="1" readingOrder="2"/>
    </xf>
    <xf numFmtId="3" fontId="34" fillId="0" borderId="32" xfId="8" applyNumberFormat="1" applyFont="1" applyBorder="1" applyAlignment="1">
      <alignment horizontal="center" vertical="center" readingOrder="2"/>
    </xf>
    <xf numFmtId="0" fontId="40" fillId="9" borderId="0" xfId="22" applyFont="1" applyFill="1" applyAlignment="1">
      <alignment vertical="center" wrapText="1" readingOrder="2"/>
    </xf>
    <xf numFmtId="190" fontId="34" fillId="0" borderId="0" xfId="14" applyNumberFormat="1" applyFont="1" applyBorder="1" applyAlignment="1">
      <alignment horizontal="center" vertical="center" wrapText="1"/>
    </xf>
    <xf numFmtId="0" fontId="32" fillId="0" borderId="0" xfId="5" applyFont="1" applyFill="1" applyAlignment="1">
      <alignment horizontal="left" vertical="center" readingOrder="2"/>
    </xf>
    <xf numFmtId="0" fontId="32" fillId="0" borderId="0" xfId="13" applyFont="1" applyAlignment="1">
      <alignment horizontal="right" vertical="center" readingOrder="2"/>
    </xf>
    <xf numFmtId="0" fontId="321" fillId="0" borderId="0" xfId="0" applyFont="1" applyAlignment="1">
      <alignment vertical="top" wrapText="1"/>
    </xf>
    <xf numFmtId="0" fontId="59" fillId="0" borderId="0" xfId="0" applyFont="1"/>
    <xf numFmtId="0" fontId="35" fillId="0" borderId="0" xfId="8" applyFont="1" applyAlignment="1">
      <alignment horizontal="center" vertical="center" readingOrder="2"/>
    </xf>
    <xf numFmtId="0" fontId="31" fillId="0" borderId="0" xfId="8" applyFont="1" applyAlignment="1">
      <alignment horizontal="right" vertical="center" readingOrder="2"/>
    </xf>
    <xf numFmtId="174" fontId="35" fillId="9" borderId="0" xfId="42" applyNumberFormat="1" applyFont="1" applyFill="1" applyBorder="1" applyAlignment="1">
      <alignment horizontal="right" vertical="center"/>
    </xf>
    <xf numFmtId="3" fontId="78" fillId="0" borderId="0" xfId="0" applyNumberFormat="1" applyFont="1" applyBorder="1" applyAlignment="1">
      <alignment horizontal="center" vertical="center" wrapText="1" readingOrder="2"/>
    </xf>
    <xf numFmtId="49" fontId="32" fillId="9" borderId="0" xfId="27" applyNumberFormat="1" applyFont="1" applyFill="1" applyBorder="1" applyAlignment="1">
      <alignment horizontal="center" vertical="center"/>
    </xf>
    <xf numFmtId="0" fontId="78" fillId="0" borderId="0" xfId="0" applyFont="1" applyBorder="1" applyAlignment="1">
      <alignment horizontal="right" vertical="center" wrapText="1" readingOrder="2"/>
    </xf>
    <xf numFmtId="0" fontId="32" fillId="0" borderId="0" xfId="6" applyFont="1" applyAlignment="1">
      <alignment horizontal="center" readingOrder="2"/>
    </xf>
    <xf numFmtId="0" fontId="59" fillId="0" borderId="0" xfId="0" applyFont="1"/>
    <xf numFmtId="0" fontId="31" fillId="9" borderId="0" xfId="31" applyFont="1" applyFill="1" applyAlignment="1">
      <alignment horizontal="right" vertical="top" wrapText="1" readingOrder="2"/>
    </xf>
    <xf numFmtId="0" fontId="227" fillId="9" borderId="0" xfId="2123" applyFont="1" applyFill="1" applyBorder="1" applyAlignment="1">
      <alignment horizontal="center" vertical="top" readingOrder="2"/>
    </xf>
    <xf numFmtId="0" fontId="263" fillId="9" borderId="0" xfId="2123" applyFont="1" applyFill="1" applyBorder="1" applyAlignment="1">
      <alignment horizontal="right" vertical="top" readingOrder="2"/>
    </xf>
    <xf numFmtId="0" fontId="322" fillId="0" borderId="0" xfId="0" applyFont="1" applyFill="1"/>
    <xf numFmtId="0" fontId="322" fillId="9" borderId="0" xfId="22" applyFont="1" applyFill="1" applyAlignment="1">
      <alignment horizontal="right" readingOrder="2"/>
    </xf>
    <xf numFmtId="0" fontId="323" fillId="9" borderId="0" xfId="5" applyFont="1" applyFill="1" applyAlignment="1">
      <alignment horizontal="center" vertical="top" readingOrder="2"/>
    </xf>
    <xf numFmtId="0" fontId="208" fillId="0" borderId="0" xfId="0" applyFont="1"/>
    <xf numFmtId="0" fontId="322" fillId="0" borderId="0" xfId="0" applyFont="1"/>
    <xf numFmtId="0" fontId="52" fillId="9" borderId="0" xfId="0" applyFont="1" applyFill="1"/>
    <xf numFmtId="1" fontId="52" fillId="9" borderId="0" xfId="19" applyNumberFormat="1" applyFont="1" applyFill="1" applyAlignment="1">
      <alignment horizontal="center" vertical="center"/>
    </xf>
    <xf numFmtId="0" fontId="324" fillId="9" borderId="0" xfId="5" applyFont="1" applyFill="1" applyAlignment="1">
      <alignment horizontal="center" vertical="top" readingOrder="2"/>
    </xf>
    <xf numFmtId="0" fontId="31" fillId="0" borderId="0" xfId="6" applyFont="1" applyBorder="1" applyAlignment="1">
      <alignment horizontal="center" vertical="center"/>
    </xf>
    <xf numFmtId="0" fontId="48" fillId="9" borderId="0" xfId="31" applyFont="1" applyFill="1" applyAlignment="1">
      <alignment horizontal="center" vertical="center"/>
    </xf>
    <xf numFmtId="0" fontId="48" fillId="9" borderId="0" xfId="31" applyFont="1" applyFill="1" applyAlignment="1">
      <alignment horizontal="center" vertical="top"/>
    </xf>
    <xf numFmtId="0" fontId="48" fillId="9" borderId="0" xfId="31" applyFont="1" applyFill="1" applyBorder="1" applyAlignment="1">
      <alignment horizontal="center" vertical="center"/>
    </xf>
    <xf numFmtId="0" fontId="48" fillId="9" borderId="35" xfId="31" applyFont="1" applyFill="1" applyBorder="1" applyAlignment="1">
      <alignment horizontal="center" vertical="top"/>
    </xf>
    <xf numFmtId="0" fontId="60" fillId="9" borderId="0" xfId="17" applyFont="1" applyFill="1" applyBorder="1" applyAlignment="1">
      <alignment horizontal="right" vertical="top" wrapText="1"/>
    </xf>
    <xf numFmtId="3" fontId="34" fillId="9" borderId="40" xfId="17" applyNumberFormat="1" applyFont="1" applyFill="1" applyBorder="1" applyAlignment="1">
      <alignment horizontal="center" vertical="center"/>
    </xf>
    <xf numFmtId="0" fontId="317" fillId="9" borderId="0" xfId="5" applyFont="1" applyFill="1" applyAlignment="1">
      <alignment horizontal="center" vertical="top" readingOrder="2"/>
    </xf>
    <xf numFmtId="0" fontId="42" fillId="9" borderId="0" xfId="18" applyFont="1" applyFill="1" applyAlignment="1">
      <alignment horizontal="right" vertical="center" readingOrder="2"/>
    </xf>
    <xf numFmtId="164" fontId="31" fillId="9" borderId="0" xfId="27" applyNumberFormat="1" applyFont="1" applyFill="1" applyBorder="1" applyAlignment="1">
      <alignment horizontal="center" vertical="center"/>
    </xf>
    <xf numFmtId="0" fontId="42" fillId="9" borderId="0" xfId="18" applyFont="1" applyFill="1" applyBorder="1" applyAlignment="1">
      <alignment horizontal="center" vertical="center"/>
    </xf>
    <xf numFmtId="174" fontId="42" fillId="9" borderId="0" xfId="18" applyNumberFormat="1" applyFont="1" applyFill="1" applyBorder="1" applyAlignment="1">
      <alignment vertical="center"/>
    </xf>
    <xf numFmtId="0" fontId="60" fillId="9" borderId="35" xfId="17" applyFont="1" applyFill="1" applyBorder="1" applyAlignment="1">
      <alignment horizontal="center" vertical="center" wrapText="1"/>
    </xf>
    <xf numFmtId="174" fontId="42" fillId="9" borderId="35" xfId="42" applyNumberFormat="1" applyFont="1" applyFill="1" applyBorder="1" applyAlignment="1">
      <alignment vertical="center"/>
    </xf>
    <xf numFmtId="0" fontId="270" fillId="9" borderId="0" xfId="5" applyFont="1" applyFill="1" applyAlignment="1">
      <alignment vertical="top" readingOrder="2"/>
    </xf>
    <xf numFmtId="49" fontId="35" fillId="9" borderId="0" xfId="0" applyNumberFormat="1" applyFont="1" applyFill="1" applyAlignment="1">
      <alignment horizontal="left"/>
    </xf>
    <xf numFmtId="0" fontId="35" fillId="0" borderId="0" xfId="8" applyFont="1" applyBorder="1" applyAlignment="1">
      <alignment horizontal="center" vertical="center" readingOrder="2"/>
    </xf>
    <xf numFmtId="0" fontId="219" fillId="0" borderId="0" xfId="7" applyFont="1" applyAlignment="1">
      <alignment horizontal="center" vertical="top"/>
    </xf>
    <xf numFmtId="0" fontId="29" fillId="0" borderId="0" xfId="8" applyFont="1" applyAlignment="1">
      <alignment horizontal="right" vertical="center" readingOrder="2"/>
    </xf>
    <xf numFmtId="0" fontId="64" fillId="0" borderId="0" xfId="12" applyFont="1" applyAlignment="1">
      <alignment horizontal="right" vertical="center" wrapText="1" readingOrder="2"/>
    </xf>
    <xf numFmtId="0" fontId="32" fillId="0" borderId="0" xfId="8" applyFont="1" applyAlignment="1">
      <alignment horizontal="right" readingOrder="2"/>
    </xf>
    <xf numFmtId="0" fontId="59" fillId="0" borderId="0" xfId="0" applyFont="1"/>
    <xf numFmtId="0" fontId="34" fillId="9" borderId="19" xfId="16" applyFont="1" applyFill="1" applyBorder="1" applyAlignment="1">
      <alignment horizontal="center" vertical="center" wrapText="1"/>
    </xf>
    <xf numFmtId="49" fontId="194" fillId="9" borderId="0" xfId="17" applyNumberFormat="1" applyFont="1" applyFill="1" applyAlignment="1">
      <alignment horizontal="left" vertical="top"/>
    </xf>
    <xf numFmtId="0" fontId="29" fillId="9" borderId="0" xfId="13" applyFont="1" applyFill="1" applyAlignment="1">
      <alignment horizontal="right" wrapText="1" readingOrder="2"/>
    </xf>
    <xf numFmtId="0" fontId="29" fillId="9" borderId="0" xfId="0" applyFont="1" applyFill="1"/>
    <xf numFmtId="0" fontId="29" fillId="9" borderId="0" xfId="18" applyFont="1" applyFill="1"/>
    <xf numFmtId="164" fontId="37" fillId="9" borderId="0" xfId="17" applyNumberFormat="1" applyFont="1" applyFill="1" applyBorder="1" applyAlignment="1">
      <alignment vertical="center"/>
    </xf>
    <xf numFmtId="164" fontId="37" fillId="9" borderId="35" xfId="17" applyNumberFormat="1" applyFont="1" applyFill="1" applyBorder="1" applyAlignment="1">
      <alignment vertical="center"/>
    </xf>
    <xf numFmtId="164" fontId="29" fillId="9" borderId="0" xfId="0" applyNumberFormat="1" applyFont="1" applyFill="1"/>
    <xf numFmtId="164" fontId="29" fillId="9" borderId="33" xfId="17" applyNumberFormat="1" applyFont="1" applyFill="1" applyBorder="1" applyAlignment="1">
      <alignment vertical="center"/>
    </xf>
    <xf numFmtId="0" fontId="29" fillId="9" borderId="0" xfId="12" applyFont="1" applyFill="1" applyAlignment="1">
      <alignment readingOrder="2"/>
    </xf>
    <xf numFmtId="0" fontId="29" fillId="9" borderId="0" xfId="0" applyFont="1" applyFill="1" applyAlignment="1"/>
    <xf numFmtId="0" fontId="29" fillId="9" borderId="0" xfId="12" applyFont="1" applyFill="1" applyAlignment="1">
      <alignment horizontal="center" readingOrder="2"/>
    </xf>
    <xf numFmtId="0" fontId="29" fillId="9" borderId="0" xfId="18" applyFont="1" applyFill="1" applyAlignment="1">
      <alignment horizontal="right" vertical="center" readingOrder="2"/>
    </xf>
    <xf numFmtId="0" fontId="29" fillId="9" borderId="0" xfId="18" applyFont="1" applyFill="1" applyAlignment="1">
      <alignment vertical="center" readingOrder="2"/>
    </xf>
    <xf numFmtId="0" fontId="325" fillId="9" borderId="0" xfId="18" applyFont="1" applyFill="1" applyAlignment="1">
      <alignment vertical="center" readingOrder="2"/>
    </xf>
    <xf numFmtId="0" fontId="110" fillId="0" borderId="0" xfId="5" applyFont="1" applyFill="1" applyAlignment="1">
      <alignment horizontal="left" vertical="top" readingOrder="2"/>
    </xf>
    <xf numFmtId="174" fontId="34" fillId="0" borderId="34" xfId="42" applyNumberFormat="1" applyFont="1" applyBorder="1" applyAlignment="1">
      <alignment horizontal="center" vertical="center"/>
    </xf>
    <xf numFmtId="174" fontId="84" fillId="0" borderId="0" xfId="42" applyNumberFormat="1" applyFont="1" applyAlignment="1">
      <alignment horizontal="center" vertical="center"/>
    </xf>
    <xf numFmtId="174" fontId="34" fillId="0" borderId="34" xfId="42" applyNumberFormat="1" applyFont="1" applyFill="1" applyBorder="1" applyAlignment="1">
      <alignment horizontal="center" vertical="center"/>
    </xf>
    <xf numFmtId="0" fontId="35" fillId="0" borderId="35" xfId="12" applyNumberFormat="1" applyFont="1" applyBorder="1" applyAlignment="1">
      <alignment horizontal="center" vertical="center" wrapText="1" readingOrder="2"/>
    </xf>
    <xf numFmtId="0" fontId="35" fillId="0" borderId="0" xfId="12" applyNumberFormat="1" applyFont="1" applyAlignment="1">
      <alignment horizontal="center" vertical="center" readingOrder="2"/>
    </xf>
    <xf numFmtId="0" fontId="35" fillId="0" borderId="35" xfId="12" applyNumberFormat="1" applyFont="1" applyBorder="1" applyAlignment="1">
      <alignment horizontal="center" vertical="center" readingOrder="2"/>
    </xf>
    <xf numFmtId="0" fontId="32" fillId="0" borderId="0" xfId="8" applyFont="1" applyAlignment="1">
      <alignment vertical="center" readingOrder="2"/>
    </xf>
    <xf numFmtId="0" fontId="110" fillId="0" borderId="0" xfId="0" applyFont="1" applyFill="1" applyAlignment="1">
      <alignment vertical="center"/>
    </xf>
    <xf numFmtId="0" fontId="31" fillId="9" borderId="0" xfId="12" applyFont="1" applyFill="1" applyAlignment="1">
      <alignment vertical="center" readingOrder="2"/>
    </xf>
    <xf numFmtId="0" fontId="31" fillId="0" borderId="0" xfId="0" applyFont="1"/>
    <xf numFmtId="0" fontId="110" fillId="9" borderId="35" xfId="0" applyFont="1" applyFill="1" applyBorder="1" applyAlignment="1">
      <alignment horizontal="center" vertical="center"/>
    </xf>
    <xf numFmtId="0" fontId="110" fillId="9" borderId="0" xfId="0" applyFont="1" applyFill="1" applyBorder="1" applyAlignment="1">
      <alignment horizontal="center" vertical="center"/>
    </xf>
    <xf numFmtId="0" fontId="110" fillId="9" borderId="0" xfId="0" applyFont="1" applyFill="1" applyAlignment="1">
      <alignment vertical="center"/>
    </xf>
    <xf numFmtId="0" fontId="110" fillId="9" borderId="0" xfId="0" applyFont="1" applyFill="1" applyBorder="1" applyAlignment="1">
      <alignment vertical="center"/>
    </xf>
    <xf numFmtId="0" fontId="110" fillId="0" borderId="0" xfId="0" applyFont="1" applyFill="1" applyAlignment="1">
      <alignment horizontal="center" vertical="center"/>
    </xf>
    <xf numFmtId="0" fontId="31" fillId="9" borderId="35" xfId="12" applyFont="1" applyFill="1" applyBorder="1" applyAlignment="1">
      <alignment horizontal="center" vertical="center" readingOrder="2"/>
    </xf>
    <xf numFmtId="0" fontId="31" fillId="9" borderId="0" xfId="12" applyFont="1" applyFill="1" applyAlignment="1">
      <alignment horizontal="center" vertical="center" readingOrder="2"/>
    </xf>
    <xf numFmtId="0" fontId="31" fillId="9" borderId="0" xfId="12" applyFont="1" applyFill="1" applyBorder="1" applyAlignment="1">
      <alignment horizontal="center" vertical="center" readingOrder="2"/>
    </xf>
    <xf numFmtId="0" fontId="110" fillId="9" borderId="0" xfId="0" applyFont="1" applyFill="1" applyAlignment="1">
      <alignment horizontal="center" vertical="center"/>
    </xf>
    <xf numFmtId="174" fontId="31" fillId="9" borderId="0" xfId="12" applyNumberFormat="1" applyFont="1" applyFill="1" applyAlignment="1">
      <alignment vertical="center" readingOrder="2"/>
    </xf>
    <xf numFmtId="0" fontId="31" fillId="9" borderId="0" xfId="12" applyFont="1" applyFill="1" applyAlignment="1" applyProtection="1">
      <alignment vertical="center" readingOrder="2"/>
      <protection locked="0"/>
    </xf>
    <xf numFmtId="0" fontId="31" fillId="9" borderId="0" xfId="12" applyFont="1" applyFill="1" applyBorder="1" applyAlignment="1">
      <alignment vertical="center" readingOrder="2"/>
    </xf>
    <xf numFmtId="174" fontId="31" fillId="9" borderId="0" xfId="12" applyNumberFormat="1" applyFont="1" applyFill="1" applyBorder="1" applyAlignment="1">
      <alignment vertical="center" readingOrder="2"/>
    </xf>
    <xf numFmtId="0" fontId="31" fillId="9" borderId="0" xfId="12" applyFont="1" applyFill="1" applyBorder="1" applyAlignment="1" applyProtection="1">
      <alignment vertical="center" readingOrder="2"/>
      <protection locked="0"/>
    </xf>
    <xf numFmtId="0" fontId="31" fillId="9" borderId="35" xfId="12" applyFont="1" applyFill="1" applyBorder="1" applyAlignment="1">
      <alignment vertical="center" readingOrder="2"/>
    </xf>
    <xf numFmtId="174" fontId="31" fillId="9" borderId="35" xfId="12" applyNumberFormat="1" applyFont="1" applyFill="1" applyBorder="1" applyAlignment="1">
      <alignment vertical="center" readingOrder="2"/>
    </xf>
    <xf numFmtId="174" fontId="31" fillId="9" borderId="34" xfId="12" applyNumberFormat="1" applyFont="1" applyFill="1" applyBorder="1" applyAlignment="1">
      <alignment vertical="center" readingOrder="2"/>
    </xf>
    <xf numFmtId="174" fontId="31" fillId="9" borderId="34" xfId="12" applyNumberFormat="1" applyFont="1" applyFill="1" applyBorder="1" applyAlignment="1">
      <alignment horizontal="center" vertical="center" readingOrder="2"/>
    </xf>
    <xf numFmtId="0" fontId="64" fillId="0" borderId="0" xfId="12" applyFont="1"/>
    <xf numFmtId="0" fontId="31" fillId="0" borderId="0" xfId="8" applyFont="1" applyBorder="1" applyAlignment="1">
      <alignment horizontal="center" vertical="center" readingOrder="2"/>
    </xf>
    <xf numFmtId="0" fontId="31" fillId="0" borderId="0" xfId="12" applyFont="1" applyBorder="1" applyAlignment="1">
      <alignment horizontal="center" vertical="center" readingOrder="2"/>
    </xf>
    <xf numFmtId="0" fontId="74" fillId="0" borderId="0" xfId="0" applyFont="1" applyFill="1"/>
    <xf numFmtId="0" fontId="74" fillId="0" borderId="0" xfId="0" applyFont="1" applyFill="1" applyAlignment="1"/>
    <xf numFmtId="0" fontId="110" fillId="9" borderId="0" xfId="0" applyFont="1" applyFill="1" applyAlignment="1"/>
    <xf numFmtId="0" fontId="192" fillId="0" borderId="0" xfId="0" applyFont="1"/>
    <xf numFmtId="0" fontId="32" fillId="0" borderId="0" xfId="0" applyFont="1"/>
    <xf numFmtId="0" fontId="32" fillId="0" borderId="0" xfId="8" applyFont="1" applyAlignment="1">
      <alignment horizontal="left" vertical="top" readingOrder="2"/>
    </xf>
    <xf numFmtId="0" fontId="32" fillId="0" borderId="0" xfId="12" applyFont="1" applyAlignment="1">
      <alignment vertical="top" wrapText="1" readingOrder="2"/>
    </xf>
    <xf numFmtId="164" fontId="32" fillId="0" borderId="0" xfId="12" applyNumberFormat="1" applyFont="1" applyBorder="1" applyAlignment="1">
      <alignment vertical="top"/>
    </xf>
    <xf numFmtId="0" fontId="192" fillId="0" borderId="0" xfId="0" applyFont="1" applyAlignment="1">
      <alignment vertical="center"/>
    </xf>
    <xf numFmtId="0" fontId="32" fillId="0" borderId="0" xfId="0" applyFont="1" applyFill="1" applyAlignment="1">
      <alignment vertical="center"/>
    </xf>
    <xf numFmtId="0" fontId="32" fillId="0" borderId="0" xfId="8" applyFont="1" applyAlignment="1">
      <alignment horizontal="left" vertical="center" readingOrder="2"/>
    </xf>
    <xf numFmtId="0" fontId="32" fillId="0" borderId="0" xfId="12" applyFont="1" applyAlignment="1">
      <alignment vertical="center" wrapText="1" readingOrder="2"/>
    </xf>
    <xf numFmtId="0" fontId="32" fillId="0" borderId="0" xfId="8" applyFont="1" applyBorder="1" applyAlignment="1">
      <alignment horizontal="center" vertical="center" readingOrder="2"/>
    </xf>
    <xf numFmtId="0" fontId="32" fillId="0" borderId="0" xfId="0" applyFont="1" applyFill="1"/>
    <xf numFmtId="0" fontId="32" fillId="0" borderId="0" xfId="12" applyFont="1" applyBorder="1" applyAlignment="1">
      <alignment horizontal="center" vertical="center" readingOrder="2"/>
    </xf>
    <xf numFmtId="0" fontId="32" fillId="0" borderId="0" xfId="12" applyFont="1" applyAlignment="1">
      <alignment horizontal="right" vertical="center" readingOrder="2"/>
    </xf>
    <xf numFmtId="0" fontId="32" fillId="0" borderId="35" xfId="12" applyFont="1" applyBorder="1" applyAlignment="1">
      <alignment horizontal="center" vertical="center" readingOrder="2"/>
    </xf>
    <xf numFmtId="0" fontId="192" fillId="0" borderId="0" xfId="0" applyFont="1" applyFill="1" applyAlignment="1">
      <alignment vertical="center"/>
    </xf>
    <xf numFmtId="0" fontId="32" fillId="9" borderId="0" xfId="12" applyFont="1" applyFill="1" applyAlignment="1">
      <alignment vertical="center" readingOrder="2"/>
    </xf>
    <xf numFmtId="174" fontId="32" fillId="0" borderId="0" xfId="42" applyNumberFormat="1" applyFont="1" applyBorder="1" applyAlignment="1">
      <alignment horizontal="center" vertical="center"/>
    </xf>
    <xf numFmtId="174" fontId="32" fillId="0" borderId="0" xfId="42" applyNumberFormat="1" applyFont="1" applyBorder="1" applyAlignment="1">
      <alignment horizontal="right" vertical="center" readingOrder="2"/>
    </xf>
    <xf numFmtId="174" fontId="32" fillId="0" borderId="0" xfId="42" applyNumberFormat="1" applyFont="1" applyAlignment="1">
      <alignment horizontal="right" vertical="center" readingOrder="2"/>
    </xf>
    <xf numFmtId="0" fontId="32" fillId="0" borderId="0" xfId="12" applyFont="1" applyAlignment="1">
      <alignment vertical="center" readingOrder="2"/>
    </xf>
    <xf numFmtId="174" fontId="32" fillId="0" borderId="0" xfId="42" applyNumberFormat="1" applyFont="1" applyBorder="1" applyAlignment="1">
      <alignment horizontal="right" vertical="center"/>
    </xf>
    <xf numFmtId="174" fontId="32" fillId="9" borderId="0" xfId="42" applyNumberFormat="1" applyFont="1" applyFill="1" applyBorder="1" applyAlignment="1">
      <alignment horizontal="right" vertical="center"/>
    </xf>
    <xf numFmtId="3" fontId="32" fillId="0" borderId="0" xfId="12" applyNumberFormat="1" applyFont="1" applyBorder="1" applyAlignment="1">
      <alignment horizontal="right" vertical="center" readingOrder="2"/>
    </xf>
    <xf numFmtId="174" fontId="39" fillId="9" borderId="0" xfId="42" applyNumberFormat="1" applyFont="1" applyFill="1" applyBorder="1" applyAlignment="1">
      <alignment horizontal="center" vertical="center"/>
    </xf>
    <xf numFmtId="174" fontId="39" fillId="0" borderId="0" xfId="42" applyNumberFormat="1" applyFont="1" applyFill="1" applyBorder="1" applyAlignment="1">
      <alignment horizontal="center" vertical="center"/>
    </xf>
    <xf numFmtId="174" fontId="39" fillId="9" borderId="34" xfId="42" applyNumberFormat="1" applyFont="1" applyFill="1" applyBorder="1" applyAlignment="1">
      <alignment horizontal="center" vertical="center"/>
    </xf>
    <xf numFmtId="174" fontId="39" fillId="0" borderId="34" xfId="42" applyNumberFormat="1" applyFont="1" applyFill="1" applyBorder="1" applyAlignment="1">
      <alignment horizontal="center" vertical="center"/>
    </xf>
    <xf numFmtId="0" fontId="192" fillId="0" borderId="0" xfId="0" applyFont="1" applyFill="1"/>
    <xf numFmtId="0" fontId="32" fillId="0" borderId="0" xfId="21" applyFont="1" applyFill="1" applyAlignment="1">
      <alignment horizontal="right" vertical="top" wrapText="1" readingOrder="2"/>
    </xf>
    <xf numFmtId="0" fontId="32" fillId="0" borderId="0" xfId="21" applyFont="1" applyFill="1" applyAlignment="1">
      <alignment vertical="top" wrapText="1" readingOrder="2"/>
    </xf>
    <xf numFmtId="0" fontId="39" fillId="0" borderId="0" xfId="0" applyFont="1" applyFill="1"/>
    <xf numFmtId="49" fontId="39" fillId="0" borderId="0" xfId="0" applyNumberFormat="1" applyFont="1" applyAlignment="1">
      <alignment horizontal="left" vertical="top"/>
    </xf>
    <xf numFmtId="0" fontId="192" fillId="0" borderId="0" xfId="0" applyFont="1" applyFill="1" applyAlignment="1"/>
    <xf numFmtId="0" fontId="39" fillId="9" borderId="0" xfId="0" applyFont="1" applyFill="1" applyAlignment="1"/>
    <xf numFmtId="0" fontId="32" fillId="0" borderId="0" xfId="8" applyFont="1" applyAlignment="1">
      <alignment horizontal="left" readingOrder="2"/>
    </xf>
    <xf numFmtId="0" fontId="32" fillId="0" borderId="0" xfId="21" applyFont="1" applyFill="1" applyAlignment="1">
      <alignment horizontal="right" wrapText="1" readingOrder="2"/>
    </xf>
    <xf numFmtId="0" fontId="32" fillId="0" borderId="0" xfId="21" applyFont="1" applyFill="1" applyAlignment="1">
      <alignment wrapText="1" readingOrder="2"/>
    </xf>
    <xf numFmtId="0" fontId="32" fillId="0" borderId="0" xfId="21" applyFont="1" applyFill="1" applyBorder="1" applyAlignment="1">
      <alignment horizontal="right" wrapText="1" readingOrder="2"/>
    </xf>
    <xf numFmtId="0" fontId="32" fillId="0" borderId="0" xfId="8" applyFont="1" applyBorder="1" applyAlignment="1">
      <alignment horizontal="right" readingOrder="2"/>
    </xf>
    <xf numFmtId="0" fontId="32" fillId="0" borderId="0" xfId="21" applyFont="1" applyFill="1" applyBorder="1" applyAlignment="1">
      <alignment wrapText="1" readingOrder="2"/>
    </xf>
    <xf numFmtId="0" fontId="39" fillId="0" borderId="0" xfId="0" applyFont="1" applyFill="1" applyAlignment="1"/>
    <xf numFmtId="0" fontId="32" fillId="0" borderId="0" xfId="21" applyNumberFormat="1" applyFont="1" applyFill="1" applyBorder="1" applyAlignment="1">
      <alignment horizontal="center" vertical="center" readingOrder="2"/>
    </xf>
    <xf numFmtId="0" fontId="32" fillId="0" borderId="0" xfId="21" applyFont="1" applyFill="1" applyAlignment="1">
      <alignment horizontal="right" readingOrder="2"/>
    </xf>
    <xf numFmtId="0" fontId="32" fillId="0" borderId="0" xfId="12" applyFont="1" applyBorder="1" applyAlignment="1">
      <alignment horizontal="right" vertical="center" readingOrder="2"/>
    </xf>
    <xf numFmtId="0" fontId="39" fillId="0" borderId="0" xfId="0" applyFont="1" applyFill="1" applyAlignment="1">
      <alignment vertical="center"/>
    </xf>
    <xf numFmtId="0" fontId="39" fillId="9" borderId="0" xfId="0" applyFont="1" applyFill="1" applyAlignment="1">
      <alignment vertical="center"/>
    </xf>
    <xf numFmtId="0" fontId="32" fillId="0" borderId="0" xfId="21" applyFont="1" applyFill="1" applyAlignment="1">
      <alignment horizontal="right" vertical="center" readingOrder="2"/>
    </xf>
    <xf numFmtId="164" fontId="32" fillId="9" borderId="0" xfId="17" applyNumberFormat="1" applyFont="1" applyFill="1" applyBorder="1" applyAlignment="1">
      <alignment horizontal="center" vertical="center" wrapText="1"/>
    </xf>
    <xf numFmtId="164" fontId="32" fillId="0" borderId="0" xfId="17" applyNumberFormat="1" applyFont="1" applyFill="1" applyBorder="1" applyAlignment="1">
      <alignment horizontal="center" vertical="center"/>
    </xf>
    <xf numFmtId="174" fontId="39" fillId="9" borderId="0" xfId="42" applyNumberFormat="1" applyFont="1" applyFill="1" applyBorder="1" applyAlignment="1">
      <alignment horizontal="center" vertical="center" wrapText="1"/>
    </xf>
    <xf numFmtId="174" fontId="39" fillId="9" borderId="34" xfId="42" applyNumberFormat="1" applyFont="1" applyFill="1" applyBorder="1" applyAlignment="1">
      <alignment horizontal="center" vertical="center" wrapText="1"/>
    </xf>
    <xf numFmtId="164" fontId="32" fillId="0" borderId="34" xfId="17" applyNumberFormat="1" applyFont="1" applyFill="1" applyBorder="1" applyAlignment="1">
      <alignment horizontal="center" vertical="center"/>
    </xf>
    <xf numFmtId="0" fontId="110" fillId="9" borderId="0" xfId="0" applyFont="1" applyFill="1" applyAlignment="1">
      <alignment horizontal="right"/>
    </xf>
    <xf numFmtId="0" fontId="34" fillId="9" borderId="0" xfId="22" applyFont="1" applyFill="1" applyAlignment="1">
      <alignment horizontal="right" readingOrder="2"/>
    </xf>
    <xf numFmtId="0" fontId="34" fillId="9" borderId="0" xfId="21" applyNumberFormat="1" applyFont="1" applyFill="1" applyBorder="1" applyAlignment="1">
      <alignment horizontal="center" vertical="center" readingOrder="2"/>
    </xf>
    <xf numFmtId="0" fontId="34" fillId="9" borderId="0" xfId="21" applyNumberFormat="1" applyFont="1" applyFill="1" applyBorder="1" applyAlignment="1">
      <alignment vertical="center" readingOrder="2"/>
    </xf>
    <xf numFmtId="0" fontId="34" fillId="9" borderId="0" xfId="21" applyFont="1" applyFill="1" applyAlignment="1">
      <alignment horizontal="right" vertical="center"/>
    </xf>
    <xf numFmtId="0" fontId="34" fillId="9" borderId="35" xfId="20" applyNumberFormat="1" applyFont="1" applyFill="1" applyBorder="1" applyAlignment="1">
      <alignment vertical="center" readingOrder="2"/>
    </xf>
    <xf numFmtId="0" fontId="97" fillId="9" borderId="0" xfId="0" applyFont="1" applyFill="1" applyBorder="1"/>
    <xf numFmtId="0" fontId="34" fillId="9" borderId="35" xfId="21" applyNumberFormat="1" applyFont="1" applyFill="1" applyBorder="1" applyAlignment="1">
      <alignment horizontal="center" vertical="center" readingOrder="2"/>
    </xf>
    <xf numFmtId="0" fontId="97" fillId="9" borderId="0" xfId="0" applyFont="1" applyFill="1"/>
    <xf numFmtId="0" fontId="97" fillId="9" borderId="32" xfId="0" applyFont="1" applyFill="1" applyBorder="1" applyAlignment="1">
      <alignment horizontal="center" vertical="center"/>
    </xf>
    <xf numFmtId="0" fontId="34" fillId="9" borderId="32" xfId="21" applyFont="1" applyFill="1" applyBorder="1" applyAlignment="1">
      <alignment horizontal="center" vertical="center"/>
    </xf>
    <xf numFmtId="0" fontId="34" fillId="9" borderId="0" xfId="21" applyFont="1" applyFill="1" applyBorder="1" applyAlignment="1">
      <alignment horizontal="center" vertical="center"/>
    </xf>
    <xf numFmtId="0" fontId="34" fillId="9" borderId="35" xfId="21" applyFont="1" applyFill="1" applyBorder="1" applyAlignment="1">
      <alignment horizontal="center" vertical="center" wrapText="1"/>
    </xf>
    <xf numFmtId="0" fontId="149" fillId="9" borderId="0" xfId="21" applyFont="1" applyFill="1"/>
    <xf numFmtId="0" fontId="34" fillId="9" borderId="0" xfId="21" applyFont="1" applyFill="1" applyAlignment="1">
      <alignment vertical="top" readingOrder="2"/>
    </xf>
    <xf numFmtId="0" fontId="34" fillId="9" borderId="0" xfId="0" applyFont="1" applyFill="1" applyBorder="1" applyAlignment="1">
      <alignment vertical="top"/>
    </xf>
    <xf numFmtId="164" fontId="34" fillId="9" borderId="0" xfId="20" applyNumberFormat="1" applyFont="1" applyFill="1" applyBorder="1" applyAlignment="1">
      <alignment vertical="top"/>
    </xf>
    <xf numFmtId="0" fontId="34" fillId="9" borderId="0" xfId="21" applyFont="1" applyFill="1" applyAlignment="1">
      <alignment horizontal="right" vertical="top" readingOrder="2"/>
    </xf>
    <xf numFmtId="164" fontId="34" fillId="9" borderId="0" xfId="21" applyNumberFormat="1" applyFont="1" applyFill="1" applyBorder="1" applyAlignment="1">
      <alignment horizontal="right" vertical="top"/>
    </xf>
    <xf numFmtId="164" fontId="34" fillId="9" borderId="34" xfId="21" applyNumberFormat="1" applyFont="1" applyFill="1" applyBorder="1" applyAlignment="1">
      <alignment horizontal="right" vertical="top"/>
    </xf>
    <xf numFmtId="0" fontId="34" fillId="9" borderId="0" xfId="22" applyFont="1" applyFill="1" applyAlignment="1">
      <alignment vertical="top" readingOrder="2"/>
    </xf>
    <xf numFmtId="0" fontId="34" fillId="9" borderId="0" xfId="22" applyFont="1" applyFill="1" applyAlignment="1">
      <alignment readingOrder="2"/>
    </xf>
    <xf numFmtId="0" fontId="149" fillId="9" borderId="0" xfId="0" applyFont="1" applyFill="1"/>
    <xf numFmtId="0" fontId="34" fillId="9" borderId="0" xfId="22" applyFont="1" applyFill="1" applyAlignment="1">
      <alignment horizontal="right" vertical="top" wrapText="1" readingOrder="2"/>
    </xf>
    <xf numFmtId="0" fontId="34" fillId="9" borderId="0" xfId="22" applyFont="1" applyFill="1"/>
    <xf numFmtId="0" fontId="34" fillId="9" borderId="0" xfId="22" applyFont="1" applyFill="1" applyAlignment="1">
      <alignment horizontal="right" vertical="center"/>
    </xf>
    <xf numFmtId="0" fontId="34" fillId="9" borderId="0" xfId="22" applyFont="1" applyFill="1" applyAlignment="1">
      <alignment horizontal="right"/>
    </xf>
    <xf numFmtId="0" fontId="34" fillId="9" borderId="35" xfId="22" applyFont="1" applyFill="1" applyBorder="1"/>
    <xf numFmtId="0" fontId="34" fillId="9" borderId="0" xfId="22" applyFont="1" applyFill="1" applyBorder="1" applyAlignment="1">
      <alignment horizontal="center" vertical="center" readingOrder="2"/>
    </xf>
    <xf numFmtId="0" fontId="34" fillId="9" borderId="35" xfId="22" applyFont="1" applyFill="1" applyBorder="1" applyAlignment="1">
      <alignment horizontal="center" vertical="center" readingOrder="2"/>
    </xf>
    <xf numFmtId="0" fontId="34" fillId="9" borderId="35" xfId="21" applyFont="1" applyFill="1" applyBorder="1" applyAlignment="1">
      <alignment horizontal="center" vertical="top"/>
    </xf>
    <xf numFmtId="0" fontId="34" fillId="9" borderId="0" xfId="21" applyFont="1" applyFill="1" applyBorder="1" applyAlignment="1">
      <alignment horizontal="center" vertical="top"/>
    </xf>
    <xf numFmtId="0" fontId="34" fillId="9" borderId="0" xfId="22" applyFont="1" applyFill="1" applyAlignment="1">
      <alignment horizontal="right" vertical="center" readingOrder="2"/>
    </xf>
    <xf numFmtId="0" fontId="34" fillId="9" borderId="0" xfId="22" applyFont="1" applyFill="1" applyAlignment="1">
      <alignment vertical="center"/>
    </xf>
    <xf numFmtId="164" fontId="34" fillId="9" borderId="0" xfId="22" applyNumberFormat="1" applyFont="1" applyFill="1" applyBorder="1" applyAlignment="1">
      <alignment vertical="top"/>
    </xf>
    <xf numFmtId="0" fontId="34" fillId="9" borderId="35" xfId="22" applyFont="1" applyFill="1" applyBorder="1" applyAlignment="1">
      <alignment vertical="center"/>
    </xf>
    <xf numFmtId="164" fontId="34" fillId="9" borderId="35" xfId="22" applyNumberFormat="1" applyFont="1" applyFill="1" applyBorder="1" applyAlignment="1">
      <alignment vertical="top"/>
    </xf>
    <xf numFmtId="164" fontId="34" fillId="9" borderId="0" xfId="22" applyNumberFormat="1" applyFont="1" applyFill="1" applyBorder="1" applyAlignment="1">
      <alignment horizontal="right" vertical="center"/>
    </xf>
    <xf numFmtId="164" fontId="34" fillId="9" borderId="36" xfId="22" applyNumberFormat="1" applyFont="1" applyFill="1" applyBorder="1" applyAlignment="1">
      <alignment horizontal="right" vertical="center"/>
    </xf>
    <xf numFmtId="164" fontId="34" fillId="9" borderId="0" xfId="22" applyNumberFormat="1" applyFont="1" applyFill="1" applyBorder="1" applyAlignment="1">
      <alignment horizontal="right" vertical="top"/>
    </xf>
    <xf numFmtId="164" fontId="34" fillId="9" borderId="35" xfId="22" applyNumberFormat="1" applyFont="1" applyFill="1" applyBorder="1" applyAlignment="1">
      <alignment horizontal="right" vertical="top"/>
    </xf>
    <xf numFmtId="0" fontId="34" fillId="9" borderId="34" xfId="22" applyFont="1" applyFill="1" applyBorder="1" applyAlignment="1">
      <alignment vertical="center"/>
    </xf>
    <xf numFmtId="164" fontId="34" fillId="9" borderId="34" xfId="22" applyNumberFormat="1" applyFont="1" applyFill="1" applyBorder="1" applyAlignment="1">
      <alignment horizontal="right" vertical="top"/>
    </xf>
    <xf numFmtId="164" fontId="34" fillId="9" borderId="34" xfId="22" applyNumberFormat="1" applyFont="1" applyFill="1" applyBorder="1" applyAlignment="1">
      <alignment horizontal="right" vertical="center"/>
    </xf>
    <xf numFmtId="49" fontId="97" fillId="9" borderId="0" xfId="0" applyNumberFormat="1" applyFont="1" applyFill="1" applyAlignment="1">
      <alignment horizontal="left" vertical="top"/>
    </xf>
    <xf numFmtId="0" fontId="34" fillId="9" borderId="0" xfId="22" applyFont="1" applyFill="1" applyAlignment="1">
      <alignment horizontal="left" vertical="top" readingOrder="2"/>
    </xf>
    <xf numFmtId="0" fontId="34" fillId="9" borderId="0" xfId="22" applyFont="1" applyFill="1" applyBorder="1"/>
    <xf numFmtId="0" fontId="34" fillId="9" borderId="0" xfId="22" applyFont="1" applyFill="1" applyBorder="1" applyAlignment="1">
      <alignment vertical="center"/>
    </xf>
    <xf numFmtId="0" fontId="32" fillId="9" borderId="0" xfId="22" applyFont="1" applyFill="1" applyAlignment="1">
      <alignment horizontal="right" vertical="center" readingOrder="2"/>
    </xf>
    <xf numFmtId="49" fontId="39" fillId="9" borderId="0" xfId="0" applyNumberFormat="1" applyFont="1" applyFill="1" applyAlignment="1">
      <alignment horizontal="left" vertical="top"/>
    </xf>
    <xf numFmtId="0" fontId="32" fillId="9" borderId="0" xfId="22" applyFont="1" applyFill="1" applyAlignment="1">
      <alignment horizontal="left" vertical="top" readingOrder="2"/>
    </xf>
    <xf numFmtId="0" fontId="32" fillId="9" borderId="0" xfId="20" applyFont="1" applyFill="1" applyAlignment="1">
      <alignment horizontal="right" vertical="top" readingOrder="2"/>
    </xf>
    <xf numFmtId="0" fontId="133" fillId="9" borderId="0" xfId="22" applyFont="1" applyFill="1"/>
    <xf numFmtId="0" fontId="29" fillId="9" borderId="0" xfId="21" applyNumberFormat="1" applyFont="1" applyFill="1" applyBorder="1" applyAlignment="1">
      <alignment horizontal="center" vertical="center" readingOrder="2"/>
    </xf>
    <xf numFmtId="0" fontId="29" fillId="9" borderId="35" xfId="21" applyNumberFormat="1" applyFont="1" applyFill="1" applyBorder="1" applyAlignment="1">
      <alignment horizontal="center" vertical="center" readingOrder="2"/>
    </xf>
    <xf numFmtId="0" fontId="29" fillId="9" borderId="0" xfId="24" applyNumberFormat="1" applyFont="1" applyFill="1" applyBorder="1" applyAlignment="1">
      <alignment horizontal="center" readingOrder="2"/>
    </xf>
    <xf numFmtId="164" fontId="29" fillId="9" borderId="0" xfId="22" applyNumberFormat="1" applyFont="1" applyFill="1" applyBorder="1" applyAlignment="1">
      <alignment vertical="center"/>
    </xf>
    <xf numFmtId="164" fontId="29" fillId="9" borderId="35" xfId="22" applyNumberFormat="1" applyFont="1" applyFill="1" applyBorder="1" applyAlignment="1">
      <alignment vertical="center"/>
    </xf>
    <xf numFmtId="164" fontId="29" fillId="9" borderId="34" xfId="22" applyNumberFormat="1" applyFont="1" applyFill="1" applyBorder="1" applyAlignment="1">
      <alignment vertical="center"/>
    </xf>
    <xf numFmtId="0" fontId="29" fillId="9" borderId="35" xfId="21" applyNumberFormat="1" applyFont="1" applyFill="1" applyBorder="1" applyAlignment="1">
      <alignment horizontal="center" vertical="center" wrapText="1" readingOrder="2"/>
    </xf>
    <xf numFmtId="0" fontId="29" fillId="9" borderId="0" xfId="20" applyNumberFormat="1" applyFont="1" applyFill="1" applyBorder="1" applyAlignment="1">
      <alignment horizontal="center" vertical="center" readingOrder="2"/>
    </xf>
    <xf numFmtId="0" fontId="90" fillId="9" borderId="0" xfId="21" applyFont="1" applyFill="1" applyAlignment="1">
      <alignment horizontal="right" vertical="top"/>
    </xf>
    <xf numFmtId="0" fontId="29" fillId="9" borderId="0" xfId="20" applyFont="1" applyFill="1" applyAlignment="1">
      <alignment horizontal="center" vertical="center" readingOrder="2"/>
    </xf>
    <xf numFmtId="3" fontId="78" fillId="9" borderId="0" xfId="21" applyNumberFormat="1" applyFont="1" applyFill="1" applyAlignment="1">
      <alignment vertical="center"/>
    </xf>
    <xf numFmtId="3" fontId="29" fillId="9" borderId="0" xfId="17" applyNumberFormat="1" applyFont="1" applyFill="1" applyBorder="1" applyAlignment="1">
      <alignment vertical="center"/>
    </xf>
    <xf numFmtId="3" fontId="90" fillId="9" borderId="0" xfId="21" applyNumberFormat="1" applyFont="1" applyFill="1" applyAlignment="1">
      <alignment vertical="center"/>
    </xf>
    <xf numFmtId="164" fontId="78" fillId="9" borderId="0" xfId="21" applyNumberFormat="1" applyFont="1" applyFill="1" applyAlignment="1">
      <alignment vertical="center"/>
    </xf>
    <xf numFmtId="164" fontId="90" fillId="9" borderId="0" xfId="21" applyNumberFormat="1" applyFont="1" applyFill="1" applyAlignment="1">
      <alignment horizontal="center" vertical="top"/>
    </xf>
    <xf numFmtId="164" fontId="90" fillId="9" borderId="0" xfId="21" applyNumberFormat="1" applyFont="1" applyFill="1" applyAlignment="1">
      <alignment vertical="center"/>
    </xf>
    <xf numFmtId="164" fontId="29" fillId="9" borderId="0" xfId="22" applyNumberFormat="1" applyFont="1" applyFill="1" applyBorder="1" applyAlignment="1">
      <alignment vertical="top"/>
    </xf>
    <xf numFmtId="164" fontId="78" fillId="9" borderId="35" xfId="21" applyNumberFormat="1" applyFont="1" applyFill="1" applyBorder="1" applyAlignment="1">
      <alignment horizontal="right" vertical="center"/>
    </xf>
    <xf numFmtId="164" fontId="90" fillId="9" borderId="35" xfId="21" applyNumberFormat="1" applyFont="1" applyFill="1" applyBorder="1" applyAlignment="1">
      <alignment vertical="center"/>
    </xf>
    <xf numFmtId="3" fontId="90" fillId="9" borderId="0" xfId="21" applyNumberFormat="1" applyFont="1" applyFill="1" applyBorder="1" applyAlignment="1">
      <alignment horizontal="center" vertical="center"/>
    </xf>
    <xf numFmtId="3" fontId="179" fillId="9" borderId="0" xfId="20" applyNumberFormat="1" applyFont="1" applyFill="1" applyAlignment="1">
      <alignment horizontal="center" vertical="center" readingOrder="2"/>
    </xf>
    <xf numFmtId="164" fontId="78" fillId="9" borderId="35" xfId="21" applyNumberFormat="1" applyFont="1" applyFill="1" applyBorder="1" applyAlignment="1">
      <alignment vertical="center"/>
    </xf>
    <xf numFmtId="3" fontId="90" fillId="9" borderId="34" xfId="21" applyNumberFormat="1" applyFont="1" applyFill="1" applyBorder="1" applyAlignment="1">
      <alignment horizontal="center" vertical="center"/>
    </xf>
    <xf numFmtId="164" fontId="179" fillId="9" borderId="0" xfId="17" applyNumberFormat="1" applyFont="1" applyFill="1" applyBorder="1" applyAlignment="1">
      <alignment vertical="center"/>
    </xf>
    <xf numFmtId="0" fontId="29" fillId="9" borderId="0" xfId="22" applyFont="1" applyFill="1" applyAlignment="1">
      <alignment horizontal="right" vertical="center" readingOrder="2"/>
    </xf>
    <xf numFmtId="0" fontId="92" fillId="9" borderId="0" xfId="22" applyFont="1" applyFill="1" applyAlignment="1">
      <alignment horizontal="right" vertical="center" readingOrder="2"/>
    </xf>
    <xf numFmtId="0" fontId="196" fillId="9" borderId="0" xfId="0" applyFont="1" applyFill="1"/>
    <xf numFmtId="0" fontId="29" fillId="9" borderId="0" xfId="22" applyFont="1" applyFill="1" applyAlignment="1">
      <alignment horizontal="left" vertical="top" readingOrder="2"/>
    </xf>
    <xf numFmtId="49" fontId="90" fillId="9" borderId="0" xfId="20" applyNumberFormat="1" applyFont="1" applyFill="1" applyAlignment="1">
      <alignment horizontal="right" vertical="center" readingOrder="2"/>
    </xf>
    <xf numFmtId="49" fontId="90" fillId="9" borderId="0" xfId="20" applyNumberFormat="1" applyFont="1" applyFill="1" applyAlignment="1">
      <alignment horizontal="right" vertical="center" wrapText="1" readingOrder="2"/>
    </xf>
    <xf numFmtId="0" fontId="326" fillId="9" borderId="0" xfId="5" applyFont="1" applyFill="1" applyAlignment="1">
      <alignment horizontal="center" vertical="top" readingOrder="2"/>
    </xf>
    <xf numFmtId="0" fontId="31" fillId="9" borderId="0" xfId="20" applyFont="1" applyFill="1" applyAlignment="1">
      <alignment horizontal="right" vertical="top" readingOrder="2"/>
    </xf>
    <xf numFmtId="0" fontId="316" fillId="9" borderId="0" xfId="5" applyFont="1" applyFill="1" applyAlignment="1">
      <alignment horizontal="center" vertical="top" readingOrder="2"/>
    </xf>
    <xf numFmtId="0" fontId="164" fillId="9" borderId="0" xfId="19" applyFont="1" applyFill="1" applyAlignment="1">
      <alignment vertical="center" readingOrder="2"/>
    </xf>
    <xf numFmtId="0" fontId="327" fillId="9" borderId="0" xfId="5" applyFont="1" applyFill="1" applyAlignment="1">
      <alignment horizontal="center" vertical="top" readingOrder="2"/>
    </xf>
    <xf numFmtId="0" fontId="37" fillId="9" borderId="0" xfId="19" applyFont="1" applyFill="1" applyAlignment="1">
      <alignment vertical="center" readingOrder="2"/>
    </xf>
    <xf numFmtId="0" fontId="121" fillId="9" borderId="0" xfId="5" applyFont="1" applyFill="1" applyAlignment="1">
      <alignment horizontal="center" vertical="top" readingOrder="2"/>
    </xf>
    <xf numFmtId="0" fontId="37" fillId="9" borderId="0" xfId="0" applyFont="1" applyFill="1" applyAlignment="1">
      <alignment horizontal="center"/>
    </xf>
    <xf numFmtId="0" fontId="189" fillId="9" borderId="0" xfId="0" applyFont="1" applyFill="1"/>
    <xf numFmtId="0" fontId="189" fillId="9" borderId="0" xfId="23" applyFont="1" applyFill="1" applyAlignment="1">
      <alignment horizontal="right" vertical="top"/>
    </xf>
    <xf numFmtId="0" fontId="189" fillId="9" borderId="0" xfId="23" applyFont="1" applyFill="1" applyAlignment="1">
      <alignment horizontal="center" vertical="top" readingOrder="2"/>
    </xf>
    <xf numFmtId="0" fontId="37" fillId="9" borderId="0" xfId="0" applyFont="1" applyFill="1" applyAlignment="1">
      <alignment vertical="center"/>
    </xf>
    <xf numFmtId="0" fontId="189" fillId="9" borderId="0" xfId="23" applyFont="1" applyFill="1" applyAlignment="1">
      <alignment horizontal="right" vertical="center" readingOrder="2"/>
    </xf>
    <xf numFmtId="0" fontId="189" fillId="9" borderId="0" xfId="0" applyFont="1" applyFill="1" applyAlignment="1">
      <alignment vertical="center"/>
    </xf>
    <xf numFmtId="0" fontId="79" fillId="9" borderId="0" xfId="19" applyFont="1" applyFill="1" applyAlignment="1">
      <alignment horizontal="left" vertical="center" readingOrder="2"/>
    </xf>
    <xf numFmtId="0" fontId="328" fillId="9" borderId="0" xfId="5" applyFont="1" applyFill="1" applyAlignment="1">
      <alignment horizontal="center" vertical="top" readingOrder="2"/>
    </xf>
    <xf numFmtId="164" fontId="30" fillId="9" borderId="0" xfId="23" applyNumberFormat="1" applyFont="1" applyFill="1" applyBorder="1" applyAlignment="1">
      <alignment vertical="center"/>
    </xf>
    <xf numFmtId="164" fontId="30" fillId="9" borderId="0" xfId="23" applyNumberFormat="1" applyFont="1" applyFill="1" applyBorder="1" applyAlignment="1">
      <alignment horizontal="center" vertical="center"/>
    </xf>
    <xf numFmtId="0" fontId="218" fillId="9" borderId="0" xfId="5" applyFont="1" applyFill="1" applyAlignment="1">
      <alignment horizontal="center" vertical="top" readingOrder="2"/>
    </xf>
    <xf numFmtId="0" fontId="328" fillId="9" borderId="0" xfId="5" applyFont="1" applyFill="1" applyBorder="1" applyAlignment="1">
      <alignment horizontal="center" vertical="top" readingOrder="2"/>
    </xf>
    <xf numFmtId="0" fontId="138" fillId="9" borderId="0" xfId="5" applyFont="1" applyFill="1" applyBorder="1" applyAlignment="1">
      <alignment horizontal="center" vertical="top" readingOrder="2"/>
    </xf>
    <xf numFmtId="0" fontId="30" fillId="9" borderId="35" xfId="23" applyNumberFormat="1" applyFont="1" applyFill="1" applyBorder="1" applyAlignment="1">
      <alignment horizontal="center" vertical="top" readingOrder="2"/>
    </xf>
    <xf numFmtId="0" fontId="30" fillId="9" borderId="0" xfId="23" applyNumberFormat="1" applyFont="1" applyFill="1" applyBorder="1" applyAlignment="1">
      <alignment horizontal="center" vertical="top" readingOrder="2"/>
    </xf>
    <xf numFmtId="164" fontId="30" fillId="9" borderId="0" xfId="23" applyNumberFormat="1" applyFont="1" applyFill="1" applyBorder="1" applyAlignment="1">
      <alignment horizontal="right" vertical="center"/>
    </xf>
    <xf numFmtId="164" fontId="30" fillId="9" borderId="0" xfId="23" applyNumberFormat="1" applyFont="1" applyFill="1" applyBorder="1" applyAlignment="1">
      <alignment horizontal="center"/>
    </xf>
    <xf numFmtId="164" fontId="30" fillId="9" borderId="35" xfId="23" applyNumberFormat="1" applyFont="1" applyFill="1" applyBorder="1" applyAlignment="1">
      <alignment horizontal="right" vertical="center"/>
    </xf>
    <xf numFmtId="164" fontId="30" fillId="9" borderId="34" xfId="23" applyNumberFormat="1" applyFont="1" applyFill="1" applyBorder="1" applyAlignment="1">
      <alignment horizontal="right" vertical="center"/>
    </xf>
    <xf numFmtId="0" fontId="328" fillId="9" borderId="0" xfId="5" applyFont="1" applyFill="1" applyAlignment="1">
      <alignment vertical="top" readingOrder="2"/>
    </xf>
    <xf numFmtId="0" fontId="170" fillId="9" borderId="0" xfId="23" applyFont="1" applyFill="1" applyAlignment="1">
      <alignment horizontal="right" vertical="top"/>
    </xf>
    <xf numFmtId="0" fontId="30" fillId="9" borderId="0" xfId="23" applyFont="1" applyFill="1" applyAlignment="1">
      <alignment horizontal="right" vertical="top"/>
    </xf>
    <xf numFmtId="0" fontId="30" fillId="9" borderId="0" xfId="23" applyFont="1" applyFill="1" applyBorder="1" applyAlignment="1">
      <alignment horizontal="right" vertical="top" readingOrder="2"/>
    </xf>
    <xf numFmtId="0" fontId="30" fillId="9" borderId="0" xfId="23" applyFont="1" applyFill="1" applyBorder="1" applyAlignment="1">
      <alignment horizontal="right" vertical="top"/>
    </xf>
    <xf numFmtId="0" fontId="30" fillId="9" borderId="16" xfId="23" applyFont="1" applyFill="1" applyBorder="1" applyAlignment="1">
      <alignment horizontal="right" vertical="top"/>
    </xf>
    <xf numFmtId="0" fontId="30" fillId="9" borderId="16" xfId="23" applyNumberFormat="1" applyFont="1" applyFill="1" applyBorder="1" applyAlignment="1">
      <alignment horizontal="left" vertical="top" readingOrder="2"/>
    </xf>
    <xf numFmtId="0" fontId="30" fillId="9" borderId="16" xfId="23" applyFont="1" applyFill="1" applyBorder="1" applyAlignment="1">
      <alignment horizontal="right" vertical="top" readingOrder="2"/>
    </xf>
    <xf numFmtId="166" fontId="30" fillId="9" borderId="16" xfId="23" applyNumberFormat="1" applyFont="1" applyFill="1" applyBorder="1" applyAlignment="1">
      <alignment horizontal="center" vertical="top" readingOrder="2"/>
    </xf>
    <xf numFmtId="0" fontId="30" fillId="9" borderId="16" xfId="23" applyNumberFormat="1" applyFont="1" applyFill="1" applyBorder="1" applyAlignment="1">
      <alignment horizontal="center" vertical="top" readingOrder="2"/>
    </xf>
    <xf numFmtId="0" fontId="79" fillId="9" borderId="0" xfId="0" applyFont="1" applyFill="1" applyAlignment="1">
      <alignment horizontal="center"/>
    </xf>
    <xf numFmtId="0" fontId="30" fillId="9" borderId="0" xfId="23" applyFont="1" applyFill="1" applyBorder="1" applyAlignment="1">
      <alignment horizontal="center" vertical="top" readingOrder="2"/>
    </xf>
    <xf numFmtId="0" fontId="170" fillId="9" borderId="0" xfId="23" applyFont="1" applyFill="1" applyAlignment="1">
      <alignment horizontal="center" vertical="top" readingOrder="2"/>
    </xf>
    <xf numFmtId="0" fontId="30" fillId="9" borderId="0" xfId="23" applyFont="1" applyFill="1" applyAlignment="1">
      <alignment horizontal="center" vertical="top" readingOrder="2"/>
    </xf>
    <xf numFmtId="0" fontId="30" fillId="9" borderId="0" xfId="23" applyFont="1" applyFill="1" applyBorder="1" applyAlignment="1">
      <alignment horizontal="center" vertical="center"/>
    </xf>
    <xf numFmtId="0" fontId="30" fillId="9" borderId="40" xfId="23" applyFont="1" applyFill="1" applyBorder="1" applyAlignment="1">
      <alignment horizontal="center" vertical="center" readingOrder="2"/>
    </xf>
    <xf numFmtId="0" fontId="30" fillId="9" borderId="0" xfId="23" applyFont="1" applyFill="1" applyAlignment="1">
      <alignment horizontal="center" vertical="center" readingOrder="2"/>
    </xf>
    <xf numFmtId="0" fontId="30" fillId="9" borderId="0" xfId="23" applyFont="1" applyFill="1" applyAlignment="1">
      <alignment horizontal="center" vertical="center"/>
    </xf>
    <xf numFmtId="0" fontId="30" fillId="9" borderId="0" xfId="23" applyFont="1" applyFill="1" applyAlignment="1">
      <alignment horizontal="center" vertical="top"/>
    </xf>
    <xf numFmtId="0" fontId="30" fillId="9" borderId="0" xfId="23" applyFont="1" applyFill="1" applyAlignment="1">
      <alignment horizontal="center" readingOrder="2"/>
    </xf>
    <xf numFmtId="0" fontId="30" fillId="9" borderId="0" xfId="23" applyFont="1" applyFill="1" applyAlignment="1">
      <alignment horizontal="right" vertical="center" readingOrder="2"/>
    </xf>
    <xf numFmtId="0" fontId="79" fillId="9" borderId="0" xfId="0" applyFont="1" applyFill="1" applyAlignment="1">
      <alignment vertical="center"/>
    </xf>
    <xf numFmtId="166" fontId="30" fillId="9" borderId="0" xfId="23" applyNumberFormat="1" applyFont="1" applyFill="1" applyBorder="1" applyAlignment="1">
      <alignment horizontal="center" vertical="center" readingOrder="2"/>
    </xf>
    <xf numFmtId="0" fontId="170" fillId="9" borderId="0" xfId="23" applyFont="1" applyFill="1" applyAlignment="1">
      <alignment horizontal="right" vertical="center" readingOrder="2"/>
    </xf>
    <xf numFmtId="0" fontId="41" fillId="9" borderId="0" xfId="23" applyFont="1" applyFill="1" applyAlignment="1">
      <alignment horizontal="right" vertical="center" readingOrder="2"/>
    </xf>
    <xf numFmtId="164" fontId="30" fillId="9" borderId="36" xfId="23" applyNumberFormat="1" applyFont="1" applyFill="1" applyBorder="1" applyAlignment="1">
      <alignment horizontal="right" vertical="center"/>
    </xf>
    <xf numFmtId="0" fontId="79" fillId="9" borderId="0" xfId="8" applyFont="1" applyFill="1" applyAlignment="1">
      <alignment vertical="center" readingOrder="2"/>
    </xf>
    <xf numFmtId="0" fontId="194" fillId="9" borderId="0" xfId="23" applyFont="1" applyFill="1" applyAlignment="1">
      <alignment vertical="center" shrinkToFit="1"/>
    </xf>
    <xf numFmtId="43" fontId="79" fillId="9" borderId="0" xfId="0" applyNumberFormat="1" applyFont="1" applyFill="1" applyAlignment="1">
      <alignment vertical="center"/>
    </xf>
    <xf numFmtId="164" fontId="30" fillId="9" borderId="35" xfId="17" applyNumberFormat="1" applyFont="1" applyFill="1" applyBorder="1" applyAlignment="1">
      <alignment horizontal="center" vertical="center"/>
    </xf>
    <xf numFmtId="164" fontId="30" fillId="9" borderId="35" xfId="17" applyNumberFormat="1" applyFont="1" applyFill="1" applyBorder="1" applyAlignment="1">
      <alignment vertical="center"/>
    </xf>
    <xf numFmtId="0" fontId="30" fillId="9" borderId="0" xfId="23" applyFont="1" applyFill="1" applyAlignment="1">
      <alignment vertical="center"/>
    </xf>
    <xf numFmtId="0" fontId="79" fillId="9" borderId="0" xfId="0" applyFont="1" applyFill="1" applyBorder="1" applyAlignment="1">
      <alignment horizontal="center" vertical="center"/>
    </xf>
    <xf numFmtId="0" fontId="170" fillId="9" borderId="0" xfId="0" applyFont="1" applyFill="1"/>
    <xf numFmtId="164" fontId="30" fillId="9" borderId="34" xfId="17" applyNumberFormat="1" applyFont="1" applyFill="1" applyBorder="1" applyAlignment="1">
      <alignment vertical="center"/>
    </xf>
    <xf numFmtId="0" fontId="41" fillId="9" borderId="0" xfId="8" applyFont="1" applyFill="1" applyAlignment="1">
      <alignment vertical="center" wrapText="1" readingOrder="2"/>
    </xf>
    <xf numFmtId="0" fontId="41" fillId="9" borderId="0" xfId="8" applyFont="1" applyFill="1" applyAlignment="1">
      <alignment horizontal="left" vertical="center" readingOrder="2"/>
    </xf>
    <xf numFmtId="0" fontId="79" fillId="9" borderId="0" xfId="8" applyFont="1" applyFill="1" applyAlignment="1">
      <alignment vertical="center" wrapText="1" readingOrder="2"/>
    </xf>
    <xf numFmtId="0" fontId="41" fillId="9" borderId="35" xfId="8" applyFont="1" applyFill="1" applyBorder="1" applyAlignment="1">
      <alignment horizontal="center" wrapText="1" readingOrder="2"/>
    </xf>
    <xf numFmtId="0" fontId="41" fillId="9" borderId="35" xfId="8" applyFont="1" applyFill="1" applyBorder="1" applyAlignment="1">
      <alignment horizontal="center" vertical="top" wrapText="1" readingOrder="2"/>
    </xf>
    <xf numFmtId="0" fontId="41" fillId="9" borderId="0" xfId="8" applyFont="1" applyFill="1" applyBorder="1" applyAlignment="1">
      <alignment horizontal="center" wrapText="1" readingOrder="2"/>
    </xf>
    <xf numFmtId="0" fontId="41" fillId="9" borderId="0" xfId="8" applyFont="1" applyFill="1" applyBorder="1" applyAlignment="1">
      <alignment horizontal="center" vertical="top" wrapText="1" readingOrder="2"/>
    </xf>
    <xf numFmtId="0" fontId="79" fillId="9" borderId="0" xfId="8" applyFont="1" applyFill="1" applyAlignment="1">
      <alignment vertical="top" wrapText="1" readingOrder="2"/>
    </xf>
    <xf numFmtId="1" fontId="79" fillId="9" borderId="0" xfId="42" applyNumberFormat="1" applyFont="1" applyFill="1" applyAlignment="1">
      <alignment horizontal="center" vertical="top" wrapText="1" readingOrder="2"/>
    </xf>
    <xf numFmtId="164" fontId="30" fillId="9" borderId="0" xfId="23" applyNumberFormat="1" applyFont="1" applyFill="1" applyBorder="1" applyAlignment="1">
      <alignment horizontal="right" vertical="top"/>
    </xf>
    <xf numFmtId="174" fontId="79" fillId="9" borderId="0" xfId="42" applyNumberFormat="1" applyFont="1" applyFill="1" applyBorder="1" applyAlignment="1">
      <alignment vertical="top" wrapText="1" readingOrder="2"/>
    </xf>
    <xf numFmtId="0" fontId="290" fillId="9" borderId="0" xfId="8" applyFont="1" applyFill="1" applyAlignment="1">
      <alignment vertical="top" wrapText="1" readingOrder="2"/>
    </xf>
    <xf numFmtId="0" fontId="29" fillId="9" borderId="0" xfId="0" applyFont="1" applyFill="1" applyAlignment="1">
      <alignment horizontal="left" vertical="center"/>
    </xf>
    <xf numFmtId="0" fontId="29" fillId="9" borderId="0" xfId="25" applyFont="1" applyFill="1" applyAlignment="1">
      <alignment horizontal="right" vertical="center" readingOrder="2"/>
    </xf>
    <xf numFmtId="0" fontId="91" fillId="9" borderId="0" xfId="25" applyFont="1" applyFill="1" applyAlignment="1">
      <alignment horizontal="right" vertical="center" readingOrder="2"/>
    </xf>
    <xf numFmtId="0" fontId="43" fillId="9" borderId="0" xfId="25" applyFont="1" applyFill="1" applyAlignment="1">
      <alignment horizontal="right" vertical="center"/>
    </xf>
    <xf numFmtId="0" fontId="43" fillId="9" borderId="0" xfId="25" applyFont="1" applyFill="1" applyBorder="1" applyAlignment="1">
      <alignment vertical="center" readingOrder="2"/>
    </xf>
    <xf numFmtId="0" fontId="43" fillId="9" borderId="0" xfId="25" applyFont="1" applyFill="1" applyBorder="1" applyAlignment="1">
      <alignment horizontal="center" vertical="center" readingOrder="2"/>
    </xf>
    <xf numFmtId="0" fontId="43" fillId="9" borderId="35" xfId="25" applyFont="1" applyFill="1" applyBorder="1" applyAlignment="1">
      <alignment horizontal="center" vertical="center" wrapText="1" readingOrder="2"/>
    </xf>
    <xf numFmtId="0" fontId="43" fillId="9" borderId="35" xfId="25" applyFont="1" applyFill="1" applyBorder="1" applyAlignment="1">
      <alignment horizontal="center" vertical="center" readingOrder="2"/>
    </xf>
    <xf numFmtId="0" fontId="43" fillId="9" borderId="0" xfId="25" applyFont="1" applyFill="1" applyBorder="1" applyAlignment="1">
      <alignment horizontal="center" vertical="center"/>
    </xf>
    <xf numFmtId="0" fontId="43" fillId="9" borderId="0" xfId="24" applyFont="1" applyFill="1" applyBorder="1" applyAlignment="1">
      <alignment horizontal="center" vertical="top" readingOrder="2"/>
    </xf>
    <xf numFmtId="0" fontId="43" fillId="9" borderId="0" xfId="24" applyFont="1" applyFill="1" applyAlignment="1">
      <alignment horizontal="center" vertical="top" readingOrder="2"/>
    </xf>
    <xf numFmtId="0" fontId="43" fillId="9" borderId="0" xfId="25" applyFont="1" applyFill="1" applyAlignment="1">
      <alignment vertical="center" readingOrder="2"/>
    </xf>
    <xf numFmtId="164" fontId="43" fillId="9" borderId="0" xfId="25" applyNumberFormat="1" applyFont="1" applyFill="1" applyBorder="1" applyAlignment="1">
      <alignment horizontal="right" vertical="center"/>
    </xf>
    <xf numFmtId="164" fontId="89" fillId="9" borderId="0" xfId="25" applyNumberFormat="1" applyFont="1" applyFill="1" applyBorder="1" applyAlignment="1">
      <alignment horizontal="right" vertical="center"/>
    </xf>
    <xf numFmtId="164" fontId="43" fillId="9" borderId="34" xfId="25" applyNumberFormat="1" applyFont="1" applyFill="1" applyBorder="1" applyAlignment="1">
      <alignment horizontal="right" vertical="center"/>
    </xf>
    <xf numFmtId="0" fontId="43" fillId="9" borderId="0" xfId="0" applyFont="1" applyFill="1" applyAlignment="1">
      <alignment horizontal="left" vertical="center"/>
    </xf>
    <xf numFmtId="0" fontId="329" fillId="9" borderId="0" xfId="25" applyFont="1" applyFill="1" applyAlignment="1">
      <alignment horizontal="right" vertical="center" readingOrder="2"/>
    </xf>
    <xf numFmtId="164" fontId="242" fillId="9" borderId="0" xfId="25" applyNumberFormat="1" applyFont="1" applyFill="1" applyBorder="1" applyAlignment="1">
      <alignment horizontal="right" vertical="center"/>
    </xf>
    <xf numFmtId="49" fontId="43" fillId="9" borderId="0" xfId="0" applyNumberFormat="1" applyFont="1" applyFill="1" applyAlignment="1">
      <alignment vertical="top"/>
    </xf>
    <xf numFmtId="0" fontId="43" fillId="9" borderId="0" xfId="25" applyFont="1" applyFill="1" applyBorder="1" applyAlignment="1">
      <alignment horizontal="right" vertical="center" readingOrder="2"/>
    </xf>
    <xf numFmtId="164" fontId="43" fillId="9" borderId="34" xfId="24" applyNumberFormat="1" applyFont="1" applyFill="1" applyBorder="1" applyAlignment="1">
      <alignment horizontal="center" vertical="top" readingOrder="2"/>
    </xf>
    <xf numFmtId="0" fontId="124" fillId="9" borderId="0" xfId="0" applyFont="1" applyFill="1" applyBorder="1" applyAlignment="1">
      <alignment horizontal="center" wrapText="1"/>
    </xf>
    <xf numFmtId="0" fontId="89" fillId="9" borderId="35" xfId="0" applyFont="1" applyFill="1" applyBorder="1"/>
    <xf numFmtId="0" fontId="89" fillId="9" borderId="0" xfId="0" applyFont="1" applyFill="1" applyBorder="1"/>
    <xf numFmtId="0" fontId="124" fillId="9" borderId="35" xfId="0" applyFont="1" applyFill="1" applyBorder="1"/>
    <xf numFmtId="49" fontId="43" fillId="9" borderId="0" xfId="0" applyNumberFormat="1" applyFont="1" applyFill="1" applyAlignment="1">
      <alignment horizontal="left"/>
    </xf>
    <xf numFmtId="164" fontId="163" fillId="9" borderId="34" xfId="6" applyNumberFormat="1" applyFont="1" applyFill="1" applyBorder="1" applyAlignment="1">
      <alignment vertical="center"/>
    </xf>
    <xf numFmtId="0" fontId="89" fillId="9" borderId="35" xfId="0" applyFont="1" applyFill="1" applyBorder="1" applyAlignment="1">
      <alignment horizontal="center" wrapText="1"/>
    </xf>
    <xf numFmtId="0" fontId="31" fillId="0" borderId="0" xfId="8" applyFont="1" applyAlignment="1">
      <alignment horizontal="right" vertical="top" readingOrder="2"/>
    </xf>
    <xf numFmtId="49" fontId="32" fillId="9" borderId="0" xfId="27" applyNumberFormat="1" applyFont="1" applyFill="1" applyBorder="1" applyAlignment="1">
      <alignment horizontal="center" vertical="center"/>
    </xf>
    <xf numFmtId="0" fontId="110" fillId="0" borderId="0" xfId="0" applyFont="1" applyFill="1" applyAlignment="1">
      <alignment horizontal="left" vertical="top" wrapText="1"/>
    </xf>
    <xf numFmtId="0" fontId="74" fillId="9" borderId="35" xfId="0" applyFont="1" applyFill="1" applyBorder="1" applyAlignment="1">
      <alignment horizontal="center" wrapText="1"/>
    </xf>
    <xf numFmtId="0" fontId="108" fillId="0" borderId="0" xfId="0" applyFont="1" applyFill="1"/>
    <xf numFmtId="0" fontId="43" fillId="0" borderId="0" xfId="5" applyFont="1" applyFill="1" applyAlignment="1">
      <alignment horizontal="right" vertical="center" readingOrder="2"/>
    </xf>
    <xf numFmtId="0" fontId="137" fillId="0" borderId="70" xfId="0" applyFont="1" applyBorder="1" applyAlignment="1">
      <alignment horizontal="center" vertical="center"/>
    </xf>
    <xf numFmtId="0" fontId="57" fillId="9" borderId="7" xfId="32" applyFont="1" applyFill="1" applyBorder="1" applyAlignment="1">
      <alignment horizontal="center" vertical="center" wrapText="1" readingOrder="2"/>
    </xf>
    <xf numFmtId="164" fontId="57" fillId="9" borderId="48" xfId="23" applyNumberFormat="1" applyFont="1" applyFill="1" applyBorder="1" applyAlignment="1">
      <alignment horizontal="center" vertical="center"/>
    </xf>
    <xf numFmtId="164" fontId="57" fillId="9" borderId="17" xfId="23" applyNumberFormat="1" applyFont="1" applyFill="1" applyBorder="1" applyAlignment="1">
      <alignment horizontal="center" vertical="center"/>
    </xf>
    <xf numFmtId="0" fontId="57" fillId="9" borderId="19" xfId="32" applyFont="1" applyFill="1" applyBorder="1" applyAlignment="1">
      <alignment vertical="center" wrapText="1"/>
    </xf>
    <xf numFmtId="164" fontId="57" fillId="9" borderId="19" xfId="23" applyNumberFormat="1" applyFont="1" applyFill="1" applyBorder="1" applyAlignment="1">
      <alignment horizontal="right" vertical="center"/>
    </xf>
    <xf numFmtId="0" fontId="57" fillId="9" borderId="19" xfId="32" applyFont="1" applyFill="1" applyBorder="1" applyAlignment="1">
      <alignment horizontal="right" vertical="center" shrinkToFit="1" readingOrder="2"/>
    </xf>
    <xf numFmtId="164" fontId="57" fillId="9" borderId="51" xfId="23" applyNumberFormat="1" applyFont="1" applyFill="1" applyBorder="1" applyAlignment="1">
      <alignment horizontal="center" vertical="center"/>
    </xf>
    <xf numFmtId="164" fontId="57" fillId="9" borderId="51" xfId="23" applyNumberFormat="1" applyFont="1" applyFill="1" applyBorder="1" applyAlignment="1">
      <alignment horizontal="right" vertical="center"/>
    </xf>
    <xf numFmtId="0" fontId="57" fillId="9" borderId="0" xfId="26" applyFont="1" applyFill="1" applyBorder="1" applyAlignment="1">
      <alignment vertical="top" readingOrder="2"/>
    </xf>
    <xf numFmtId="0" fontId="57" fillId="9" borderId="0" xfId="32" applyFont="1" applyFill="1" applyBorder="1" applyAlignment="1">
      <alignment horizontal="center"/>
    </xf>
    <xf numFmtId="0" fontId="58" fillId="9" borderId="0" xfId="0" applyFont="1" applyFill="1" applyAlignment="1">
      <alignment vertical="top"/>
    </xf>
    <xf numFmtId="0" fontId="43" fillId="9" borderId="0" xfId="31" applyFont="1" applyFill="1" applyAlignment="1">
      <alignment horizontal="left" vertical="top" readingOrder="2"/>
    </xf>
    <xf numFmtId="0" fontId="57" fillId="9" borderId="17" xfId="32" applyFont="1" applyFill="1" applyBorder="1" applyAlignment="1">
      <alignment horizontal="center" vertical="center" wrapText="1" shrinkToFit="1"/>
    </xf>
    <xf numFmtId="0" fontId="57" fillId="9" borderId="17" xfId="32" applyFont="1" applyFill="1" applyBorder="1" applyAlignment="1">
      <alignment horizontal="center" vertical="center" wrapText="1"/>
    </xf>
    <xf numFmtId="0" fontId="57" fillId="9" borderId="18" xfId="32" applyFont="1" applyFill="1" applyBorder="1" applyAlignment="1">
      <alignment horizontal="center" vertical="center" wrapText="1"/>
    </xf>
    <xf numFmtId="0" fontId="57" fillId="9" borderId="21" xfId="32" applyFont="1" applyFill="1" applyBorder="1" applyAlignment="1">
      <alignment vertical="center" wrapText="1"/>
    </xf>
    <xf numFmtId="164" fontId="57" fillId="9" borderId="21" xfId="23" applyNumberFormat="1" applyFont="1" applyFill="1" applyBorder="1" applyAlignment="1">
      <alignment vertical="center"/>
    </xf>
    <xf numFmtId="164" fontId="57" fillId="9" borderId="21" xfId="23" applyNumberFormat="1" applyFont="1" applyFill="1" applyBorder="1" applyAlignment="1">
      <alignment horizontal="right" vertical="center"/>
    </xf>
    <xf numFmtId="164" fontId="57" fillId="9" borderId="22" xfId="23" applyNumberFormat="1" applyFont="1" applyFill="1" applyBorder="1" applyAlignment="1">
      <alignment horizontal="right" vertical="center"/>
    </xf>
    <xf numFmtId="0" fontId="57" fillId="9" borderId="24" xfId="32" applyFont="1" applyFill="1" applyBorder="1" applyAlignment="1">
      <alignment vertical="center" wrapText="1"/>
    </xf>
    <xf numFmtId="164" fontId="57" fillId="9" borderId="24" xfId="23" applyNumberFormat="1" applyFont="1" applyFill="1" applyBorder="1" applyAlignment="1">
      <alignment horizontal="center" vertical="center"/>
    </xf>
    <xf numFmtId="164" fontId="57" fillId="9" borderId="24" xfId="23" applyNumberFormat="1" applyFont="1" applyFill="1" applyBorder="1" applyAlignment="1">
      <alignment vertical="center"/>
    </xf>
    <xf numFmtId="164" fontId="57" fillId="9" borderId="30" xfId="23" applyNumberFormat="1" applyFont="1" applyFill="1" applyBorder="1" applyAlignment="1">
      <alignment horizontal="right" vertical="center"/>
    </xf>
    <xf numFmtId="0" fontId="57" fillId="9" borderId="61" xfId="32" applyFont="1" applyFill="1" applyBorder="1" applyAlignment="1">
      <alignment horizontal="center" vertical="center" wrapText="1" readingOrder="2"/>
    </xf>
    <xf numFmtId="164" fontId="57" fillId="9" borderId="51" xfId="23" applyNumberFormat="1" applyFont="1" applyFill="1" applyBorder="1" applyAlignment="1">
      <alignment vertical="center"/>
    </xf>
    <xf numFmtId="164" fontId="57" fillId="9" borderId="25" xfId="23" applyNumberFormat="1" applyFont="1" applyFill="1" applyBorder="1" applyAlignment="1">
      <alignment vertical="center"/>
    </xf>
    <xf numFmtId="164" fontId="57" fillId="9" borderId="21" xfId="23" applyNumberFormat="1" applyFont="1" applyFill="1" applyBorder="1" applyAlignment="1">
      <alignment horizontal="center" vertical="center"/>
    </xf>
    <xf numFmtId="164" fontId="57" fillId="9" borderId="22" xfId="23" applyNumberFormat="1" applyFont="1" applyFill="1" applyBorder="1" applyAlignment="1">
      <alignment vertical="center"/>
    </xf>
    <xf numFmtId="164" fontId="57" fillId="9" borderId="19" xfId="23" applyNumberFormat="1" applyFont="1" applyFill="1" applyBorder="1" applyAlignment="1">
      <alignment vertical="center"/>
    </xf>
    <xf numFmtId="164" fontId="57" fillId="9" borderId="46" xfId="23" applyNumberFormat="1" applyFont="1" applyFill="1" applyBorder="1" applyAlignment="1">
      <alignment vertical="center"/>
    </xf>
    <xf numFmtId="0" fontId="57" fillId="9" borderId="24" xfId="32" applyFont="1" applyFill="1" applyBorder="1" applyAlignment="1">
      <alignment horizontal="right" vertical="center" shrinkToFit="1" readingOrder="2"/>
    </xf>
    <xf numFmtId="164" fontId="57" fillId="9" borderId="24" xfId="23" applyNumberFormat="1" applyFont="1" applyFill="1" applyBorder="1" applyAlignment="1">
      <alignment horizontal="right" vertical="center"/>
    </xf>
    <xf numFmtId="164" fontId="57" fillId="9" borderId="30" xfId="23" applyNumberFormat="1" applyFont="1" applyFill="1" applyBorder="1" applyAlignment="1">
      <alignment vertical="center"/>
    </xf>
    <xf numFmtId="164" fontId="57" fillId="9" borderId="25" xfId="23" applyNumberFormat="1" applyFont="1" applyFill="1" applyBorder="1" applyAlignment="1">
      <alignment horizontal="right" vertical="center"/>
    </xf>
    <xf numFmtId="0" fontId="57" fillId="9" borderId="4" xfId="32" applyFont="1" applyFill="1" applyBorder="1" applyAlignment="1">
      <alignment horizontal="right" vertical="center" shrinkToFit="1" readingOrder="2"/>
    </xf>
    <xf numFmtId="164" fontId="57" fillId="9" borderId="4" xfId="23" applyNumberFormat="1" applyFont="1" applyFill="1" applyBorder="1" applyAlignment="1">
      <alignment horizontal="center" vertical="center"/>
    </xf>
    <xf numFmtId="164" fontId="57" fillId="9" borderId="4" xfId="23" applyNumberFormat="1" applyFont="1" applyFill="1" applyBorder="1" applyAlignment="1">
      <alignment vertical="center"/>
    </xf>
    <xf numFmtId="164" fontId="57" fillId="9" borderId="4" xfId="23" applyNumberFormat="1" applyFont="1" applyFill="1" applyBorder="1" applyAlignment="1">
      <alignment horizontal="right" vertical="center"/>
    </xf>
    <xf numFmtId="164" fontId="57" fillId="9" borderId="5" xfId="23" applyNumberFormat="1" applyFont="1" applyFill="1" applyBorder="1" applyAlignment="1">
      <alignment vertical="center"/>
    </xf>
    <xf numFmtId="164" fontId="57" fillId="9" borderId="51" xfId="12" applyNumberFormat="1" applyFont="1" applyFill="1" applyBorder="1" applyAlignment="1">
      <alignment vertical="center" readingOrder="2"/>
    </xf>
    <xf numFmtId="164" fontId="57" fillId="9" borderId="25" xfId="12" applyNumberFormat="1" applyFont="1" applyFill="1" applyBorder="1" applyAlignment="1">
      <alignment vertical="center" readingOrder="2"/>
    </xf>
    <xf numFmtId="49" fontId="57" fillId="9" borderId="21" xfId="12" applyNumberFormat="1" applyFont="1" applyFill="1" applyBorder="1" applyAlignment="1">
      <alignment horizontal="center" vertical="center" readingOrder="2"/>
    </xf>
    <xf numFmtId="0" fontId="162" fillId="0" borderId="0" xfId="0" applyFont="1" applyAlignment="1">
      <alignment horizontal="center" vertical="center"/>
    </xf>
    <xf numFmtId="0" fontId="137" fillId="0" borderId="0" xfId="0" applyFont="1" applyAlignment="1">
      <alignment horizontal="center" vertical="center"/>
    </xf>
    <xf numFmtId="0" fontId="34" fillId="9" borderId="3" xfId="34" applyFont="1" applyFill="1" applyBorder="1" applyAlignment="1">
      <alignment horizontal="center" vertical="center" wrapText="1"/>
    </xf>
    <xf numFmtId="0" fontId="34" fillId="9" borderId="43" xfId="34" applyFont="1" applyFill="1" applyBorder="1" applyAlignment="1">
      <alignment horizontal="center" vertical="center" wrapText="1"/>
    </xf>
    <xf numFmtId="0" fontId="34" fillId="9" borderId="13" xfId="34" applyFont="1" applyFill="1" applyBorder="1" applyAlignment="1">
      <alignment horizontal="center" vertical="center" wrapText="1"/>
    </xf>
    <xf numFmtId="0" fontId="48" fillId="0" borderId="48" xfId="34" applyFont="1" applyBorder="1" applyAlignment="1">
      <alignment horizontal="justify" vertical="center" wrapText="1"/>
    </xf>
    <xf numFmtId="0" fontId="34" fillId="0" borderId="3" xfId="34" applyFont="1" applyBorder="1" applyAlignment="1">
      <alignment horizontal="center" vertical="top" wrapText="1"/>
    </xf>
    <xf numFmtId="49" fontId="193" fillId="9" borderId="0" xfId="47" applyNumberFormat="1" applyFont="1" applyFill="1" applyBorder="1" applyAlignment="1">
      <alignment vertical="top"/>
    </xf>
    <xf numFmtId="3" fontId="50" fillId="9" borderId="48" xfId="34" applyNumberFormat="1" applyFont="1" applyFill="1" applyBorder="1" applyAlignment="1">
      <alignment horizontal="center" vertical="top" wrapText="1"/>
    </xf>
    <xf numFmtId="3" fontId="50" fillId="9" borderId="17" xfId="34" applyNumberFormat="1" applyFont="1" applyFill="1" applyBorder="1" applyAlignment="1">
      <alignment horizontal="center" vertical="center" wrapText="1"/>
    </xf>
    <xf numFmtId="0" fontId="34" fillId="9" borderId="51" xfId="34" applyFont="1" applyFill="1" applyBorder="1" applyAlignment="1">
      <alignment horizontal="center" vertical="center" wrapText="1"/>
    </xf>
    <xf numFmtId="0" fontId="34" fillId="9" borderId="28" xfId="34" applyFont="1" applyFill="1" applyBorder="1" applyAlignment="1">
      <alignment horizontal="center" vertical="center" wrapText="1"/>
    </xf>
    <xf numFmtId="0" fontId="34" fillId="9" borderId="64" xfId="34" applyFont="1" applyFill="1" applyBorder="1" applyAlignment="1">
      <alignment horizontal="center" vertical="top" wrapText="1"/>
    </xf>
    <xf numFmtId="0" fontId="34" fillId="9" borderId="43" xfId="34" applyFont="1" applyFill="1" applyBorder="1" applyAlignment="1">
      <alignment horizontal="center" vertical="top" wrapText="1"/>
    </xf>
    <xf numFmtId="0" fontId="34" fillId="9" borderId="28" xfId="34" applyFont="1" applyFill="1" applyBorder="1" applyAlignment="1">
      <alignment horizontal="center" vertical="top" wrapText="1"/>
    </xf>
    <xf numFmtId="0" fontId="38" fillId="0" borderId="0" xfId="47" applyNumberFormat="1" applyFont="1" applyAlignment="1">
      <alignment horizontal="right" vertical="top"/>
    </xf>
    <xf numFmtId="3" fontId="50" fillId="0" borderId="0" xfId="34" applyNumberFormat="1" applyFont="1" applyFill="1" applyAlignment="1">
      <alignment horizontal="center" vertical="center"/>
    </xf>
    <xf numFmtId="49" fontId="83" fillId="9" borderId="0" xfId="47" applyNumberFormat="1" applyFont="1" applyFill="1" applyBorder="1" applyAlignment="1">
      <alignment vertical="center"/>
    </xf>
    <xf numFmtId="0" fontId="84" fillId="0" borderId="25" xfId="0" applyFont="1" applyBorder="1" applyAlignment="1">
      <alignment horizontal="center" vertical="center" wrapText="1"/>
    </xf>
    <xf numFmtId="0" fontId="29" fillId="0" borderId="0" xfId="13" applyFont="1" applyAlignment="1">
      <alignment horizontal="right" vertical="center" readingOrder="2"/>
    </xf>
    <xf numFmtId="164" fontId="43" fillId="9" borderId="54" xfId="23" applyNumberFormat="1" applyFont="1" applyFill="1" applyBorder="1" applyAlignment="1">
      <alignment horizontal="center" vertical="center"/>
    </xf>
    <xf numFmtId="164" fontId="43" fillId="9" borderId="42" xfId="23" applyNumberFormat="1" applyFont="1" applyFill="1" applyBorder="1" applyAlignment="1">
      <alignment horizontal="center" vertical="center"/>
    </xf>
    <xf numFmtId="0" fontId="57" fillId="9" borderId="0" xfId="12" applyFont="1" applyFill="1" applyBorder="1" applyAlignment="1">
      <alignment horizontal="center" vertical="center" readingOrder="2"/>
    </xf>
    <xf numFmtId="49" fontId="57" fillId="9" borderId="0" xfId="12" applyNumberFormat="1" applyFont="1" applyFill="1" applyBorder="1" applyAlignment="1">
      <alignment horizontal="center" vertical="center" readingOrder="2"/>
    </xf>
    <xf numFmtId="0" fontId="59" fillId="0" borderId="0" xfId="0" applyFont="1"/>
    <xf numFmtId="0" fontId="222" fillId="0" borderId="0" xfId="2123" applyFont="1" applyAlignment="1">
      <alignment horizontal="center" vertical="top" readingOrder="2"/>
    </xf>
    <xf numFmtId="0" fontId="57" fillId="9" borderId="0" xfId="26" applyFont="1" applyFill="1" applyBorder="1" applyAlignment="1">
      <alignment horizontal="right" vertical="top" readingOrder="2"/>
    </xf>
    <xf numFmtId="0" fontId="57" fillId="9" borderId="17" xfId="32" applyFont="1" applyFill="1" applyBorder="1" applyAlignment="1">
      <alignment horizontal="center" vertical="center" wrapText="1"/>
    </xf>
    <xf numFmtId="0" fontId="57" fillId="9" borderId="17" xfId="32" applyFont="1" applyFill="1" applyBorder="1" applyAlignment="1">
      <alignment horizontal="center" vertical="center" wrapText="1" shrinkToFit="1"/>
    </xf>
    <xf numFmtId="0" fontId="132" fillId="0" borderId="0" xfId="0" applyFont="1" applyAlignment="1">
      <alignment horizontal="center" vertical="center" shrinkToFit="1"/>
    </xf>
    <xf numFmtId="0" fontId="222" fillId="0" borderId="0" xfId="2123" applyFont="1" applyAlignment="1">
      <alignment horizontal="center" vertical="top" readingOrder="2"/>
    </xf>
    <xf numFmtId="164" fontId="57" fillId="9" borderId="70" xfId="23" applyNumberFormat="1" applyFont="1" applyFill="1" applyBorder="1" applyAlignment="1">
      <alignment horizontal="center" vertical="center"/>
    </xf>
    <xf numFmtId="164" fontId="57" fillId="9" borderId="70" xfId="23" applyNumberFormat="1" applyFont="1" applyFill="1" applyBorder="1" applyAlignment="1">
      <alignment vertical="center"/>
    </xf>
    <xf numFmtId="164" fontId="57" fillId="9" borderId="70" xfId="23" applyNumberFormat="1" applyFont="1" applyFill="1" applyBorder="1" applyAlignment="1">
      <alignment horizontal="right" vertical="center"/>
    </xf>
    <xf numFmtId="164" fontId="57" fillId="9" borderId="14" xfId="23" applyNumberFormat="1" applyFont="1" applyFill="1" applyBorder="1" applyAlignment="1">
      <alignment horizontal="center" vertical="center"/>
    </xf>
    <xf numFmtId="0" fontId="57" fillId="9" borderId="20" xfId="32" applyFont="1" applyFill="1" applyBorder="1" applyAlignment="1">
      <alignment vertical="center" wrapText="1"/>
    </xf>
    <xf numFmtId="0" fontId="57" fillId="9" borderId="29" xfId="32" applyFont="1" applyFill="1" applyBorder="1" applyAlignment="1">
      <alignment vertical="center" wrapText="1"/>
    </xf>
    <xf numFmtId="0" fontId="57" fillId="9" borderId="50" xfId="32" applyFont="1" applyFill="1" applyBorder="1" applyAlignment="1">
      <alignment horizontal="center" vertical="center" wrapText="1" readingOrder="2"/>
    </xf>
    <xf numFmtId="0" fontId="57" fillId="9" borderId="23" xfId="32" applyFont="1" applyFill="1" applyBorder="1" applyAlignment="1">
      <alignment vertical="center" wrapText="1"/>
    </xf>
    <xf numFmtId="0" fontId="57" fillId="9" borderId="29" xfId="32" applyFont="1" applyFill="1" applyBorder="1" applyAlignment="1">
      <alignment horizontal="right" vertical="center" shrinkToFit="1" readingOrder="2"/>
    </xf>
    <xf numFmtId="0" fontId="57" fillId="9" borderId="23" xfId="32" applyFont="1" applyFill="1" applyBorder="1" applyAlignment="1">
      <alignment horizontal="right" vertical="center" shrinkToFit="1" readingOrder="2"/>
    </xf>
    <xf numFmtId="164" fontId="78" fillId="9" borderId="0" xfId="0" applyNumberFormat="1" applyFont="1" applyFill="1" applyAlignment="1">
      <alignment vertical="top"/>
    </xf>
    <xf numFmtId="164" fontId="43" fillId="9" borderId="29" xfId="23" applyNumberFormat="1" applyFont="1" applyFill="1" applyBorder="1" applyAlignment="1">
      <alignment horizontal="right" vertical="center"/>
    </xf>
    <xf numFmtId="164" fontId="43" fillId="9" borderId="24" xfId="23" applyNumberFormat="1" applyFont="1" applyFill="1" applyBorder="1" applyAlignment="1">
      <alignment horizontal="right" vertical="center"/>
    </xf>
    <xf numFmtId="9" fontId="57" fillId="9" borderId="70" xfId="43" applyFont="1" applyFill="1" applyBorder="1" applyAlignment="1">
      <alignment horizontal="center" vertical="center" wrapText="1"/>
    </xf>
    <xf numFmtId="9" fontId="57" fillId="9" borderId="21" xfId="43" applyFont="1" applyFill="1" applyBorder="1" applyAlignment="1">
      <alignment horizontal="center" vertical="center" wrapText="1"/>
    </xf>
    <xf numFmtId="0" fontId="57" fillId="9" borderId="61" xfId="32" applyFont="1" applyFill="1" applyBorder="1" applyAlignment="1">
      <alignment horizontal="center" vertical="center" wrapText="1"/>
    </xf>
    <xf numFmtId="0" fontId="57" fillId="9" borderId="51" xfId="32" applyFont="1" applyFill="1" applyBorder="1" applyAlignment="1">
      <alignment horizontal="center" vertical="center" shrinkToFit="1"/>
    </xf>
    <xf numFmtId="0" fontId="57" fillId="9" borderId="51" xfId="32" applyFont="1" applyFill="1" applyBorder="1" applyAlignment="1">
      <alignment horizontal="center" vertical="center" wrapText="1"/>
    </xf>
    <xf numFmtId="0" fontId="57" fillId="9" borderId="25" xfId="32" applyFont="1" applyFill="1" applyBorder="1" applyAlignment="1">
      <alignment horizontal="center" vertical="center" wrapText="1"/>
    </xf>
    <xf numFmtId="9" fontId="57" fillId="9" borderId="24" xfId="43" applyFont="1" applyFill="1" applyBorder="1" applyAlignment="1">
      <alignment horizontal="center" vertical="center" wrapText="1"/>
    </xf>
    <xf numFmtId="9" fontId="57" fillId="9" borderId="51" xfId="43" applyFont="1" applyFill="1" applyBorder="1" applyAlignment="1">
      <alignment horizontal="center" vertical="center" wrapText="1"/>
    </xf>
    <xf numFmtId="0" fontId="129" fillId="9" borderId="14" xfId="0" applyFont="1" applyFill="1" applyBorder="1" applyAlignment="1">
      <alignment horizontal="center" vertical="center"/>
    </xf>
    <xf numFmtId="164" fontId="57" fillId="9" borderId="15" xfId="23" applyNumberFormat="1" applyFont="1" applyFill="1" applyBorder="1" applyAlignment="1">
      <alignment horizontal="center" vertical="center"/>
    </xf>
    <xf numFmtId="49" fontId="57" fillId="9" borderId="21" xfId="23" applyNumberFormat="1" applyFont="1" applyFill="1" applyBorder="1" applyAlignment="1">
      <alignment horizontal="center" vertical="center"/>
    </xf>
    <xf numFmtId="0" fontId="34" fillId="9" borderId="24" xfId="16" applyFont="1" applyFill="1" applyBorder="1" applyAlignment="1">
      <alignment horizontal="center" vertical="center" wrapText="1"/>
    </xf>
    <xf numFmtId="186" fontId="35" fillId="9" borderId="28" xfId="8" applyNumberFormat="1" applyFont="1" applyFill="1" applyBorder="1" applyAlignment="1">
      <alignment horizontal="center" vertical="top" readingOrder="2"/>
    </xf>
    <xf numFmtId="49" fontId="35" fillId="9" borderId="28" xfId="8" applyNumberFormat="1" applyFont="1" applyFill="1" applyBorder="1" applyAlignment="1">
      <alignment horizontal="center" vertical="top" readingOrder="2"/>
    </xf>
    <xf numFmtId="167" fontId="35" fillId="9" borderId="55" xfId="8" applyNumberFormat="1" applyFont="1" applyFill="1" applyBorder="1" applyAlignment="1">
      <alignment horizontal="right" vertical="top" readingOrder="2"/>
    </xf>
    <xf numFmtId="167" fontId="35" fillId="9" borderId="16" xfId="8" applyNumberFormat="1" applyFont="1" applyFill="1" applyBorder="1" applyAlignment="1">
      <alignment horizontal="right" vertical="top" readingOrder="2"/>
    </xf>
    <xf numFmtId="49" fontId="35" fillId="9" borderId="55" xfId="8" applyNumberFormat="1" applyFont="1" applyFill="1" applyBorder="1" applyAlignment="1">
      <alignment horizontal="right" vertical="top" readingOrder="2"/>
    </xf>
    <xf numFmtId="49" fontId="35" fillId="9" borderId="16" xfId="8" applyNumberFormat="1" applyFont="1" applyFill="1" applyBorder="1" applyAlignment="1">
      <alignment horizontal="right" vertical="top" readingOrder="2"/>
    </xf>
    <xf numFmtId="167" fontId="35" fillId="9" borderId="75" xfId="8" applyNumberFormat="1" applyFont="1" applyFill="1" applyBorder="1" applyAlignment="1">
      <alignment horizontal="right" vertical="top" readingOrder="2"/>
    </xf>
    <xf numFmtId="0" fontId="59" fillId="9" borderId="61" xfId="0" applyFont="1" applyFill="1" applyBorder="1"/>
    <xf numFmtId="0" fontId="59" fillId="9" borderId="45" xfId="0" applyFont="1" applyFill="1" applyBorder="1"/>
    <xf numFmtId="0" fontId="42" fillId="9" borderId="49" xfId="34" applyFont="1" applyFill="1" applyBorder="1" applyAlignment="1">
      <alignment horizontal="right" vertical="center" wrapText="1"/>
    </xf>
    <xf numFmtId="0" fontId="32" fillId="9" borderId="49" xfId="34" applyFont="1" applyFill="1" applyBorder="1" applyAlignment="1">
      <alignment horizontal="right" vertical="center" wrapText="1"/>
    </xf>
    <xf numFmtId="0" fontId="42" fillId="9" borderId="76" xfId="34" applyFont="1" applyFill="1" applyBorder="1" applyAlignment="1">
      <alignment horizontal="right" vertical="center" wrapText="1"/>
    </xf>
    <xf numFmtId="0" fontId="188" fillId="9" borderId="7" xfId="16" applyFont="1" applyFill="1" applyBorder="1" applyAlignment="1">
      <alignment vertical="center"/>
    </xf>
    <xf numFmtId="0" fontId="59" fillId="9" borderId="4" xfId="0" applyFont="1" applyFill="1" applyBorder="1" applyAlignment="1"/>
    <xf numFmtId="167" fontId="35" fillId="0" borderId="4" xfId="8" applyNumberFormat="1" applyFont="1" applyFill="1" applyBorder="1" applyAlignment="1">
      <alignment horizontal="right" vertical="top" readingOrder="2"/>
    </xf>
    <xf numFmtId="167" fontId="35" fillId="9" borderId="4" xfId="8" applyNumberFormat="1" applyFont="1" applyFill="1" applyBorder="1" applyAlignment="1">
      <alignment horizontal="right" vertical="top" readingOrder="2"/>
    </xf>
    <xf numFmtId="0" fontId="59" fillId="9" borderId="5" xfId="0" applyFont="1" applyFill="1" applyBorder="1" applyAlignment="1"/>
    <xf numFmtId="167" fontId="35" fillId="9" borderId="51" xfId="8" applyNumberFormat="1" applyFont="1" applyFill="1" applyBorder="1" applyAlignment="1">
      <alignment horizontal="center" vertical="top" readingOrder="2"/>
    </xf>
    <xf numFmtId="0" fontId="32" fillId="9" borderId="51" xfId="34" applyFont="1" applyFill="1" applyBorder="1" applyAlignment="1">
      <alignment horizontal="right" vertical="center" wrapText="1"/>
    </xf>
    <xf numFmtId="0" fontId="47" fillId="9" borderId="21" xfId="16" applyFont="1" applyFill="1" applyBorder="1" applyAlignment="1">
      <alignment horizontal="center" vertical="center" wrapText="1"/>
    </xf>
    <xf numFmtId="0" fontId="34" fillId="9" borderId="14" xfId="34" applyFont="1" applyFill="1" applyBorder="1" applyAlignment="1">
      <alignment horizontal="right" vertical="center" wrapText="1"/>
    </xf>
    <xf numFmtId="167" fontId="35" fillId="9" borderId="21" xfId="8" applyNumberFormat="1" applyFont="1" applyFill="1" applyBorder="1" applyAlignment="1">
      <alignment horizontal="right" vertical="top" readingOrder="2"/>
    </xf>
    <xf numFmtId="49" fontId="35" fillId="9" borderId="21" xfId="8" applyNumberFormat="1" applyFont="1" applyFill="1" applyBorder="1" applyAlignment="1">
      <alignment horizontal="right" vertical="top" readingOrder="2"/>
    </xf>
    <xf numFmtId="1" fontId="35" fillId="9" borderId="21" xfId="8" applyNumberFormat="1" applyFont="1" applyFill="1" applyBorder="1" applyAlignment="1">
      <alignment horizontal="right" vertical="top" readingOrder="2"/>
    </xf>
    <xf numFmtId="0" fontId="46" fillId="9" borderId="61" xfId="16" applyFont="1" applyFill="1" applyBorder="1" applyAlignment="1">
      <alignment horizontal="center" vertical="center" wrapText="1"/>
    </xf>
    <xf numFmtId="0" fontId="32" fillId="9" borderId="51" xfId="16" applyFont="1" applyFill="1" applyBorder="1" applyAlignment="1">
      <alignment horizontal="justify" vertical="center" wrapText="1"/>
    </xf>
    <xf numFmtId="49" fontId="35" fillId="9" borderId="51" xfId="8" applyNumberFormat="1" applyFont="1" applyFill="1" applyBorder="1" applyAlignment="1">
      <alignment horizontal="right" vertical="top" readingOrder="2"/>
    </xf>
    <xf numFmtId="1" fontId="87" fillId="9" borderId="51" xfId="8" applyNumberFormat="1" applyFont="1" applyFill="1" applyBorder="1" applyAlignment="1">
      <alignment horizontal="right" vertical="top" readingOrder="2"/>
    </xf>
    <xf numFmtId="167" fontId="87" fillId="9" borderId="51" xfId="8" applyNumberFormat="1" applyFont="1" applyFill="1" applyBorder="1" applyAlignment="1">
      <alignment horizontal="right" vertical="top" readingOrder="2"/>
    </xf>
    <xf numFmtId="0" fontId="34" fillId="9" borderId="21" xfId="16" applyFont="1" applyFill="1" applyBorder="1" applyAlignment="1">
      <alignment horizontal="justify" vertical="center" wrapText="1"/>
    </xf>
    <xf numFmtId="0" fontId="47" fillId="9" borderId="24" xfId="16" applyFont="1" applyFill="1" applyBorder="1" applyAlignment="1">
      <alignment horizontal="center" vertical="center" wrapText="1"/>
    </xf>
    <xf numFmtId="0" fontId="34" fillId="9" borderId="11" xfId="16" applyFont="1" applyFill="1" applyBorder="1" applyAlignment="1">
      <alignment horizontal="justify" vertical="center" wrapText="1"/>
    </xf>
    <xf numFmtId="1" fontId="35" fillId="9" borderId="24" xfId="8" applyNumberFormat="1" applyFont="1" applyFill="1" applyBorder="1" applyAlignment="1">
      <alignment horizontal="right" vertical="top" readingOrder="2"/>
    </xf>
    <xf numFmtId="49" fontId="35" fillId="9" borderId="24" xfId="8" applyNumberFormat="1" applyFont="1" applyFill="1" applyBorder="1" applyAlignment="1">
      <alignment horizontal="right" vertical="top" readingOrder="2"/>
    </xf>
    <xf numFmtId="0" fontId="47" fillId="9" borderId="43" xfId="16" applyFont="1" applyFill="1" applyBorder="1" applyAlignment="1">
      <alignment horizontal="center" vertical="center" wrapText="1"/>
    </xf>
    <xf numFmtId="0" fontId="34" fillId="9" borderId="43" xfId="16" applyFont="1" applyFill="1" applyBorder="1" applyAlignment="1">
      <alignment horizontal="center" vertical="center" wrapText="1"/>
    </xf>
    <xf numFmtId="1" fontId="35" fillId="9" borderId="70" xfId="8" applyNumberFormat="1" applyFont="1" applyFill="1" applyBorder="1" applyAlignment="1">
      <alignment horizontal="right" vertical="top" readingOrder="2"/>
    </xf>
    <xf numFmtId="0" fontId="46" fillId="9" borderId="13" xfId="16" applyFont="1" applyFill="1" applyBorder="1" applyAlignment="1">
      <alignment horizontal="center" vertical="center" wrapText="1"/>
    </xf>
    <xf numFmtId="167" fontId="87" fillId="9" borderId="17" xfId="8" applyNumberFormat="1" applyFont="1" applyFill="1" applyBorder="1" applyAlignment="1">
      <alignment horizontal="right" vertical="top" readingOrder="2"/>
    </xf>
    <xf numFmtId="49" fontId="35" fillId="9" borderId="17" xfId="8" applyNumberFormat="1" applyFont="1" applyFill="1" applyBorder="1" applyAlignment="1">
      <alignment horizontal="right" vertical="top" readingOrder="2"/>
    </xf>
    <xf numFmtId="1" fontId="87" fillId="9" borderId="17" xfId="8" applyNumberFormat="1" applyFont="1" applyFill="1" applyBorder="1" applyAlignment="1">
      <alignment horizontal="right" vertical="top" readingOrder="2"/>
    </xf>
    <xf numFmtId="167" fontId="87" fillId="9" borderId="18" xfId="8" applyNumberFormat="1" applyFont="1" applyFill="1" applyBorder="1" applyAlignment="1">
      <alignment horizontal="right" vertical="top" readingOrder="2"/>
    </xf>
    <xf numFmtId="0" fontId="47" fillId="9" borderId="64" xfId="16" applyFont="1" applyFill="1" applyBorder="1" applyAlignment="1">
      <alignment horizontal="center" vertical="center" wrapText="1"/>
    </xf>
    <xf numFmtId="167" fontId="35" fillId="9" borderId="22" xfId="8" applyNumberFormat="1" applyFont="1" applyFill="1" applyBorder="1" applyAlignment="1">
      <alignment horizontal="right" vertical="top" readingOrder="2"/>
    </xf>
    <xf numFmtId="0" fontId="34" fillId="9" borderId="61" xfId="16" applyFont="1" applyFill="1" applyBorder="1" applyAlignment="1">
      <alignment horizontal="center" vertical="center" wrapText="1"/>
    </xf>
    <xf numFmtId="0" fontId="32" fillId="9" borderId="17" xfId="16" applyFont="1" applyFill="1" applyBorder="1" applyAlignment="1">
      <alignment horizontal="justify" vertical="center" wrapText="1"/>
    </xf>
    <xf numFmtId="0" fontId="48" fillId="9" borderId="0" xfId="31" applyFont="1" applyFill="1" applyAlignment="1">
      <alignment horizontal="center" vertical="top"/>
    </xf>
    <xf numFmtId="0" fontId="0" fillId="0" borderId="0" xfId="0" applyFont="1"/>
    <xf numFmtId="0" fontId="0" fillId="0" borderId="0" xfId="0" applyFont="1" applyAlignment="1">
      <alignment horizontal="center" vertical="center"/>
    </xf>
    <xf numFmtId="0" fontId="205" fillId="0" borderId="0" xfId="0" applyFont="1"/>
    <xf numFmtId="165" fontId="205" fillId="0" borderId="35" xfId="42" applyNumberFormat="1" applyFont="1" applyBorder="1" applyAlignment="1">
      <alignment horizontal="center" vertical="center"/>
    </xf>
    <xf numFmtId="0" fontId="59" fillId="0" borderId="70" xfId="0" applyFont="1" applyBorder="1" applyAlignment="1">
      <alignment horizontal="center" vertical="center"/>
    </xf>
    <xf numFmtId="165" fontId="59" fillId="0" borderId="70" xfId="42" applyNumberFormat="1" applyFont="1" applyBorder="1" applyAlignment="1">
      <alignment horizontal="center" vertical="center"/>
    </xf>
    <xf numFmtId="0" fontId="59" fillId="0" borderId="70" xfId="0" applyFont="1" applyBorder="1" applyAlignment="1">
      <alignment horizontal="right" vertical="center"/>
    </xf>
    <xf numFmtId="187" fontId="59" fillId="0" borderId="70" xfId="42" applyNumberFormat="1" applyFont="1" applyBorder="1" applyAlignment="1">
      <alignment horizontal="center" vertical="center"/>
    </xf>
    <xf numFmtId="49" fontId="59" fillId="0" borderId="70" xfId="42" applyNumberFormat="1" applyFont="1" applyBorder="1" applyAlignment="1">
      <alignment horizontal="center" vertical="center"/>
    </xf>
    <xf numFmtId="0" fontId="59" fillId="0" borderId="70" xfId="0" applyFont="1" applyBorder="1" applyAlignment="1">
      <alignment horizontal="right" vertical="center" shrinkToFit="1"/>
    </xf>
    <xf numFmtId="0" fontId="59" fillId="0" borderId="0" xfId="0" applyFont="1" applyBorder="1" applyAlignment="1">
      <alignment horizontal="right" vertical="center"/>
    </xf>
    <xf numFmtId="187" fontId="59" fillId="0" borderId="0" xfId="42" applyNumberFormat="1" applyFont="1" applyBorder="1" applyAlignment="1">
      <alignment horizontal="center" vertical="center"/>
    </xf>
    <xf numFmtId="165" fontId="59" fillId="0" borderId="0" xfId="42" applyNumberFormat="1" applyFont="1" applyBorder="1" applyAlignment="1">
      <alignment horizontal="center" vertical="center"/>
    </xf>
    <xf numFmtId="187" fontId="59" fillId="0" borderId="0" xfId="42" applyNumberFormat="1" applyFont="1" applyBorder="1" applyAlignment="1">
      <alignment horizontal="center" vertical="center" shrinkToFit="1"/>
    </xf>
    <xf numFmtId="49" fontId="59" fillId="0" borderId="0" xfId="42" applyNumberFormat="1" applyFont="1" applyBorder="1" applyAlignment="1">
      <alignment horizontal="center" vertical="center"/>
    </xf>
    <xf numFmtId="0" fontId="57" fillId="9" borderId="21" xfId="43" applyNumberFormat="1" applyFont="1" applyFill="1" applyBorder="1" applyAlignment="1">
      <alignment horizontal="center" vertical="center" wrapText="1"/>
    </xf>
    <xf numFmtId="0" fontId="32" fillId="0" borderId="0" xfId="6" applyFont="1" applyAlignment="1">
      <alignment horizontal="center" readingOrder="2"/>
    </xf>
    <xf numFmtId="0" fontId="320" fillId="0" borderId="0" xfId="6" applyFont="1" applyAlignment="1">
      <alignment horizontal="center" vertical="top"/>
    </xf>
    <xf numFmtId="0" fontId="40" fillId="0" borderId="0" xfId="6" applyFont="1" applyAlignment="1">
      <alignment horizontal="center" readingOrder="2"/>
    </xf>
    <xf numFmtId="0" fontId="314" fillId="0" borderId="0" xfId="6" applyFont="1" applyAlignment="1">
      <alignment horizontal="center" vertical="top"/>
    </xf>
    <xf numFmtId="0" fontId="154" fillId="0" borderId="0" xfId="11" applyFont="1" applyAlignment="1">
      <alignment horizontal="center" readingOrder="2"/>
    </xf>
    <xf numFmtId="0" fontId="305" fillId="0" borderId="0" xfId="0" applyFont="1" applyBorder="1" applyAlignment="1">
      <alignment horizontal="center" vertical="center"/>
    </xf>
    <xf numFmtId="174" fontId="31" fillId="9" borderId="0" xfId="12" applyNumberFormat="1" applyFont="1" applyFill="1" applyBorder="1" applyAlignment="1">
      <alignment horizontal="center" vertical="center" readingOrder="2"/>
    </xf>
    <xf numFmtId="0" fontId="59" fillId="16" borderId="70" xfId="0" applyFont="1" applyFill="1" applyBorder="1" applyAlignment="1">
      <alignment horizontal="right" vertical="center"/>
    </xf>
    <xf numFmtId="187" fontId="59" fillId="16" borderId="70" xfId="42" applyNumberFormat="1" applyFont="1" applyFill="1" applyBorder="1" applyAlignment="1">
      <alignment horizontal="center" vertical="center" shrinkToFit="1"/>
    </xf>
    <xf numFmtId="49" fontId="59" fillId="16" borderId="70" xfId="42" applyNumberFormat="1" applyFont="1" applyFill="1" applyBorder="1" applyAlignment="1">
      <alignment horizontal="center" vertical="center"/>
    </xf>
    <xf numFmtId="187" fontId="122" fillId="0" borderId="70" xfId="42" applyNumberFormat="1" applyFont="1" applyBorder="1" applyAlignment="1">
      <alignment horizontal="center" vertical="center"/>
    </xf>
    <xf numFmtId="165" fontId="122" fillId="0" borderId="70" xfId="42" applyNumberFormat="1" applyFont="1" applyBorder="1" applyAlignment="1">
      <alignment horizontal="center" vertical="center"/>
    </xf>
    <xf numFmtId="187" fontId="122" fillId="16" borderId="70" xfId="42" applyNumberFormat="1" applyFont="1" applyFill="1" applyBorder="1" applyAlignment="1">
      <alignment horizontal="center" vertical="center"/>
    </xf>
    <xf numFmtId="165" fontId="122" fillId="16" borderId="70" xfId="42" applyNumberFormat="1" applyFont="1" applyFill="1" applyBorder="1" applyAlignment="1">
      <alignment horizontal="center" vertical="center"/>
    </xf>
    <xf numFmtId="0" fontId="137" fillId="16" borderId="70" xfId="0" applyFont="1" applyFill="1" applyBorder="1" applyAlignment="1">
      <alignment horizontal="right" vertical="center"/>
    </xf>
    <xf numFmtId="187" fontId="137" fillId="16" borderId="70" xfId="42" applyNumberFormat="1" applyFont="1" applyFill="1" applyBorder="1" applyAlignment="1">
      <alignment horizontal="center" vertical="center"/>
    </xf>
    <xf numFmtId="187" fontId="137" fillId="16" borderId="70" xfId="42" applyNumberFormat="1" applyFont="1" applyFill="1" applyBorder="1" applyAlignment="1">
      <alignment horizontal="center" vertical="center" shrinkToFit="1"/>
    </xf>
    <xf numFmtId="49" fontId="137" fillId="16" borderId="70" xfId="42" applyNumberFormat="1" applyFont="1" applyFill="1" applyBorder="1" applyAlignment="1">
      <alignment horizontal="center" vertical="center"/>
    </xf>
    <xf numFmtId="165" fontId="137" fillId="16" borderId="70" xfId="42" applyNumberFormat="1" applyFont="1" applyFill="1" applyBorder="1" applyAlignment="1">
      <alignment horizontal="center" vertical="center"/>
    </xf>
    <xf numFmtId="187" fontId="63" fillId="0" borderId="70" xfId="42" applyNumberFormat="1" applyFont="1" applyBorder="1" applyAlignment="1">
      <alignment horizontal="center" vertical="center" shrinkToFit="1"/>
    </xf>
    <xf numFmtId="0" fontId="137" fillId="16" borderId="70" xfId="0" applyFont="1" applyFill="1" applyBorder="1" applyAlignment="1">
      <alignment horizontal="right" vertical="center" shrinkToFit="1"/>
    </xf>
    <xf numFmtId="187" fontId="137" fillId="16" borderId="70" xfId="0" applyNumberFormat="1" applyFont="1" applyFill="1" applyBorder="1" applyAlignment="1">
      <alignment horizontal="center" vertical="center"/>
    </xf>
    <xf numFmtId="0" fontId="137" fillId="16" borderId="70" xfId="0" applyFont="1" applyFill="1" applyBorder="1" applyAlignment="1">
      <alignment vertical="center"/>
    </xf>
    <xf numFmtId="0" fontId="137" fillId="16" borderId="70" xfId="0" applyFont="1" applyFill="1" applyBorder="1" applyAlignment="1">
      <alignment horizontal="center" vertical="center"/>
    </xf>
    <xf numFmtId="0" fontId="137" fillId="16" borderId="70" xfId="0" applyFont="1" applyFill="1" applyBorder="1" applyAlignment="1">
      <alignment horizontal="center" vertical="center" shrinkToFit="1"/>
    </xf>
    <xf numFmtId="0" fontId="59" fillId="0" borderId="0" xfId="0" applyFont="1"/>
    <xf numFmtId="0" fontId="89" fillId="9" borderId="0" xfId="0" applyFont="1" applyFill="1" applyBorder="1" applyAlignment="1">
      <alignment horizontal="center"/>
    </xf>
    <xf numFmtId="0" fontId="29" fillId="9" borderId="0" xfId="31" applyFont="1" applyFill="1" applyAlignment="1">
      <alignment horizontal="center" vertical="center" readingOrder="2"/>
    </xf>
    <xf numFmtId="0" fontId="46" fillId="0" borderId="17" xfId="34" applyFont="1" applyBorder="1" applyAlignment="1">
      <alignment horizontal="justify" vertical="top" wrapText="1"/>
    </xf>
    <xf numFmtId="0" fontId="32" fillId="0" borderId="0" xfId="6" applyFont="1" applyAlignment="1">
      <alignment horizontal="center" readingOrder="2"/>
    </xf>
    <xf numFmtId="0" fontId="274" fillId="0" borderId="0" xfId="6" applyFont="1" applyAlignment="1">
      <alignment horizontal="center" vertical="top"/>
    </xf>
    <xf numFmtId="0" fontId="38" fillId="0" borderId="0" xfId="6" applyFont="1" applyAlignment="1">
      <alignment horizontal="center" vertical="top"/>
    </xf>
    <xf numFmtId="164" fontId="31" fillId="0" borderId="0" xfId="6" applyNumberFormat="1" applyFont="1" applyBorder="1" applyAlignment="1">
      <alignment horizontal="center" vertical="center"/>
    </xf>
    <xf numFmtId="0" fontId="59" fillId="0" borderId="0" xfId="0" applyFont="1"/>
    <xf numFmtId="192" fontId="34" fillId="9" borderId="0" xfId="5" applyNumberFormat="1" applyFont="1" applyFill="1" applyAlignment="1">
      <alignment vertical="center"/>
    </xf>
    <xf numFmtId="192" fontId="31" fillId="0" borderId="0" xfId="6" applyNumberFormat="1" applyFont="1" applyBorder="1" applyAlignment="1">
      <alignment vertical="center"/>
    </xf>
    <xf numFmtId="192" fontId="40" fillId="9" borderId="0" xfId="5" applyNumberFormat="1" applyFont="1" applyFill="1" applyAlignment="1">
      <alignment horizontal="right" vertical="center"/>
    </xf>
    <xf numFmtId="192" fontId="66" fillId="0" borderId="0" xfId="6" applyNumberFormat="1" applyFont="1" applyBorder="1" applyAlignment="1">
      <alignment horizontal="right" vertical="center"/>
    </xf>
    <xf numFmtId="192" fontId="40" fillId="9" borderId="32" xfId="5" applyNumberFormat="1" applyFont="1" applyFill="1" applyBorder="1" applyAlignment="1">
      <alignment horizontal="right" vertical="center"/>
    </xf>
    <xf numFmtId="192" fontId="40" fillId="0" borderId="32" xfId="6" applyNumberFormat="1" applyFont="1" applyBorder="1" applyAlignment="1">
      <alignment vertical="center"/>
    </xf>
    <xf numFmtId="192" fontId="40" fillId="9" borderId="36" xfId="5" applyNumberFormat="1" applyFont="1" applyFill="1" applyBorder="1" applyAlignment="1">
      <alignment horizontal="right" vertical="center"/>
    </xf>
    <xf numFmtId="192" fontId="309" fillId="0" borderId="0" xfId="0" applyNumberFormat="1" applyFont="1" applyBorder="1" applyAlignment="1">
      <alignment horizontal="right" vertical="center"/>
    </xf>
    <xf numFmtId="192" fontId="40" fillId="9" borderId="34" xfId="5" applyNumberFormat="1" applyFont="1" applyFill="1" applyBorder="1" applyAlignment="1">
      <alignment horizontal="right" vertical="center"/>
    </xf>
    <xf numFmtId="49" fontId="46" fillId="9" borderId="70" xfId="0" applyNumberFormat="1" applyFont="1" applyFill="1" applyBorder="1" applyAlignment="1">
      <alignment horizontal="right" vertical="center"/>
    </xf>
    <xf numFmtId="0" fontId="143" fillId="9" borderId="70" xfId="0" applyFont="1" applyFill="1" applyBorder="1" applyAlignment="1">
      <alignment horizontal="right" vertical="center"/>
    </xf>
    <xf numFmtId="3" fontId="46" fillId="9" borderId="70" xfId="0" applyNumberFormat="1" applyFont="1" applyFill="1" applyBorder="1" applyAlignment="1">
      <alignment horizontal="right" vertical="center"/>
    </xf>
    <xf numFmtId="164" fontId="31" fillId="0" borderId="0" xfId="6" applyNumberFormat="1" applyFont="1" applyFill="1" applyBorder="1" applyAlignment="1">
      <alignment horizontal="center" vertical="center"/>
    </xf>
    <xf numFmtId="164" fontId="110" fillId="0" borderId="0" xfId="6" applyNumberFormat="1" applyFont="1" applyFill="1" applyBorder="1" applyAlignment="1">
      <alignment horizontal="center" vertical="center"/>
    </xf>
    <xf numFmtId="164" fontId="31" fillId="0" borderId="32" xfId="6" applyNumberFormat="1" applyFont="1" applyFill="1" applyBorder="1" applyAlignment="1">
      <alignment horizontal="center" vertical="center"/>
    </xf>
    <xf numFmtId="0" fontId="64" fillId="0" borderId="0" xfId="6" applyFont="1" applyAlignment="1">
      <alignment horizontal="center"/>
    </xf>
    <xf numFmtId="164" fontId="43" fillId="9" borderId="34" xfId="6" applyNumberFormat="1" applyFont="1" applyFill="1" applyBorder="1" applyAlignment="1">
      <alignment horizontal="center" vertical="center"/>
    </xf>
    <xf numFmtId="164" fontId="43" fillId="9" borderId="0" xfId="6" applyNumberFormat="1" applyFont="1" applyFill="1" applyBorder="1" applyAlignment="1">
      <alignment horizontal="center" vertical="center"/>
    </xf>
    <xf numFmtId="0" fontId="335" fillId="0" borderId="0" xfId="1" applyFont="1" applyAlignment="1" applyProtection="1">
      <alignment horizontal="right" vertical="center"/>
    </xf>
    <xf numFmtId="0" fontId="335" fillId="0" borderId="0" xfId="1" applyFont="1" applyAlignment="1" applyProtection="1">
      <alignment vertical="center"/>
    </xf>
    <xf numFmtId="0" fontId="336" fillId="0" borderId="0" xfId="1" applyFont="1" applyAlignment="1" applyProtection="1">
      <alignment vertical="center"/>
    </xf>
    <xf numFmtId="0" fontId="337" fillId="0" borderId="0" xfId="1" applyFont="1" applyBorder="1" applyAlignment="1" applyProtection="1">
      <alignment horizontal="right" vertical="center"/>
    </xf>
    <xf numFmtId="0" fontId="337" fillId="0" borderId="0" xfId="1" applyFont="1" applyBorder="1" applyAlignment="1" applyProtection="1">
      <alignment vertical="center"/>
    </xf>
    <xf numFmtId="0" fontId="337" fillId="0" borderId="0" xfId="1" applyFont="1" applyAlignment="1" applyProtection="1">
      <alignment vertical="center"/>
    </xf>
    <xf numFmtId="0" fontId="338" fillId="0" borderId="0" xfId="1" applyFont="1" applyAlignment="1" applyProtection="1">
      <alignment vertical="center"/>
    </xf>
    <xf numFmtId="1" fontId="338" fillId="0" borderId="0" xfId="1" applyNumberFormat="1" applyFont="1" applyAlignment="1" applyProtection="1">
      <alignment vertical="center"/>
    </xf>
    <xf numFmtId="167" fontId="338" fillId="0" borderId="0" xfId="1" applyNumberFormat="1" applyFont="1" applyAlignment="1" applyProtection="1">
      <alignment vertical="center"/>
    </xf>
    <xf numFmtId="0" fontId="337" fillId="0" borderId="0" xfId="1" applyFont="1" applyAlignment="1" applyProtection="1">
      <alignment horizontal="right" vertical="center"/>
    </xf>
    <xf numFmtId="49" fontId="337" fillId="0" borderId="0" xfId="1" applyNumberFormat="1" applyFont="1" applyBorder="1" applyAlignment="1" applyProtection="1">
      <alignment horizontal="right" vertical="center" readingOrder="2"/>
    </xf>
    <xf numFmtId="49" fontId="339" fillId="0" borderId="0" xfId="1" applyNumberFormat="1" applyFont="1" applyBorder="1" applyAlignment="1" applyProtection="1">
      <alignment horizontal="center" vertical="center" readingOrder="2"/>
    </xf>
    <xf numFmtId="49" fontId="337" fillId="0" borderId="0" xfId="1" applyNumberFormat="1" applyFont="1" applyBorder="1" applyAlignment="1" applyProtection="1">
      <alignment horizontal="center" vertical="center" readingOrder="2"/>
    </xf>
    <xf numFmtId="166" fontId="337" fillId="0" borderId="0" xfId="1" applyNumberFormat="1" applyFont="1" applyBorder="1" applyAlignment="1" applyProtection="1">
      <alignment horizontal="center" vertical="center" readingOrder="2"/>
    </xf>
    <xf numFmtId="0" fontId="337" fillId="0" borderId="0" xfId="1" applyFont="1" applyBorder="1" applyAlignment="1" applyProtection="1">
      <alignment horizontal="center" vertical="center" readingOrder="2"/>
    </xf>
    <xf numFmtId="0" fontId="337" fillId="0" borderId="0" xfId="1" applyFont="1" applyBorder="1" applyAlignment="1" applyProtection="1">
      <alignment horizontal="center" vertical="center"/>
    </xf>
    <xf numFmtId="49" fontId="338" fillId="0" borderId="0" xfId="1" applyNumberFormat="1" applyFont="1" applyAlignment="1" applyProtection="1">
      <alignment vertical="center"/>
    </xf>
    <xf numFmtId="164" fontId="57" fillId="9" borderId="46" xfId="23" applyNumberFormat="1" applyFont="1" applyFill="1" applyBorder="1" applyAlignment="1">
      <alignment horizontal="center" vertical="center"/>
    </xf>
    <xf numFmtId="164" fontId="57" fillId="9" borderId="30" xfId="23" applyNumberFormat="1" applyFont="1" applyFill="1" applyBorder="1" applyAlignment="1">
      <alignment horizontal="center" vertical="center"/>
    </xf>
    <xf numFmtId="164" fontId="57" fillId="9" borderId="51" xfId="23" applyNumberFormat="1" applyFont="1" applyFill="1" applyBorder="1" applyAlignment="1">
      <alignment horizontal="left" vertical="center"/>
    </xf>
    <xf numFmtId="187" fontId="63" fillId="9" borderId="21" xfId="42" applyNumberFormat="1" applyFont="1" applyFill="1" applyBorder="1" applyAlignment="1">
      <alignment horizontal="center" vertical="center" wrapText="1" shrinkToFit="1"/>
    </xf>
    <xf numFmtId="0" fontId="340" fillId="0" borderId="0" xfId="7" applyFont="1" applyAlignment="1">
      <alignment horizontal="center" vertical="top"/>
    </xf>
    <xf numFmtId="0" fontId="147" fillId="9" borderId="0" xfId="14" applyFont="1" applyFill="1"/>
    <xf numFmtId="0" fontId="59" fillId="0" borderId="0" xfId="0" applyFont="1"/>
    <xf numFmtId="0" fontId="154" fillId="0" borderId="0" xfId="11" applyFont="1" applyAlignment="1">
      <alignment horizontal="center" readingOrder="2"/>
    </xf>
    <xf numFmtId="0" fontId="59" fillId="0" borderId="0" xfId="0" applyFont="1"/>
    <xf numFmtId="164" fontId="309" fillId="0" borderId="0" xfId="0" applyNumberFormat="1" applyFont="1" applyBorder="1" applyAlignment="1">
      <alignment vertical="center"/>
    </xf>
    <xf numFmtId="0" fontId="59" fillId="0" borderId="0" xfId="0" applyFont="1"/>
    <xf numFmtId="49" fontId="32" fillId="9" borderId="0" xfId="27" applyNumberFormat="1" applyFont="1" applyFill="1" applyBorder="1" applyAlignment="1">
      <alignment horizontal="center" vertical="center"/>
    </xf>
    <xf numFmtId="0" fontId="78" fillId="0" borderId="0" xfId="0" applyFont="1" applyBorder="1" applyAlignment="1">
      <alignment horizontal="right" vertical="center" wrapText="1" readingOrder="2"/>
    </xf>
    <xf numFmtId="0" fontId="60" fillId="0" borderId="0" xfId="8" applyFont="1" applyAlignment="1">
      <alignment horizontal="center" vertical="center" readingOrder="2"/>
    </xf>
    <xf numFmtId="174" fontId="40" fillId="0" borderId="0" xfId="42" applyNumberFormat="1" applyFont="1" applyFill="1" applyBorder="1" applyAlignment="1">
      <alignment horizontal="center" vertical="center"/>
    </xf>
    <xf numFmtId="174" fontId="40" fillId="0" borderId="0" xfId="17" applyNumberFormat="1" applyFont="1" applyFill="1" applyBorder="1" applyAlignment="1">
      <alignment horizontal="center" vertical="center"/>
    </xf>
    <xf numFmtId="174" fontId="40" fillId="0" borderId="0" xfId="17" applyNumberFormat="1" applyFont="1" applyFill="1" applyBorder="1" applyAlignment="1">
      <alignment vertical="center"/>
    </xf>
    <xf numFmtId="0" fontId="59" fillId="0" borderId="0" xfId="0" applyFont="1"/>
    <xf numFmtId="0" fontId="47" fillId="9" borderId="11" xfId="16" applyFont="1" applyFill="1" applyBorder="1" applyAlignment="1">
      <alignment horizontal="center" vertical="center" wrapText="1"/>
    </xf>
    <xf numFmtId="0" fontId="34" fillId="9" borderId="11" xfId="34" applyFont="1" applyFill="1" applyBorder="1" applyAlignment="1">
      <alignment horizontal="right" vertical="center" wrapText="1"/>
    </xf>
    <xf numFmtId="167" fontId="35" fillId="9" borderId="11" xfId="8" applyNumberFormat="1" applyFont="1" applyFill="1" applyBorder="1" applyAlignment="1">
      <alignment horizontal="right" vertical="top" readingOrder="2"/>
    </xf>
    <xf numFmtId="49" fontId="35" fillId="9" borderId="11" xfId="8" applyNumberFormat="1" applyFont="1" applyFill="1" applyBorder="1" applyAlignment="1">
      <alignment horizontal="right" vertical="top" readingOrder="2"/>
    </xf>
    <xf numFmtId="1" fontId="35" fillId="9" borderId="11" xfId="8" applyNumberFormat="1" applyFont="1" applyFill="1" applyBorder="1" applyAlignment="1">
      <alignment horizontal="right" vertical="top" readingOrder="2"/>
    </xf>
    <xf numFmtId="167" fontId="87" fillId="9" borderId="11" xfId="8" applyNumberFormat="1" applyFont="1" applyFill="1" applyBorder="1" applyAlignment="1">
      <alignment horizontal="right" vertical="top" readingOrder="2"/>
    </xf>
    <xf numFmtId="0" fontId="34" fillId="9" borderId="70" xfId="34" applyFont="1" applyFill="1" applyBorder="1" applyAlignment="1">
      <alignment horizontal="right" vertical="center" wrapText="1"/>
    </xf>
    <xf numFmtId="0" fontId="34" fillId="0" borderId="10" xfId="34" applyFont="1" applyBorder="1" applyAlignment="1">
      <alignment horizontal="center" vertical="top" wrapText="1"/>
    </xf>
    <xf numFmtId="0" fontId="48" fillId="0" borderId="11" xfId="34" applyFont="1" applyBorder="1" applyAlignment="1">
      <alignment horizontal="justify" vertical="center" wrapText="1"/>
    </xf>
    <xf numFmtId="3" fontId="35" fillId="9" borderId="11" xfId="34" applyNumberFormat="1" applyFont="1" applyFill="1" applyBorder="1" applyAlignment="1">
      <alignment vertical="top"/>
    </xf>
    <xf numFmtId="164" fontId="35" fillId="0" borderId="11" xfId="34" applyNumberFormat="1" applyFont="1" applyBorder="1" applyAlignment="1">
      <alignment vertical="top"/>
    </xf>
    <xf numFmtId="0" fontId="59" fillId="0" borderId="11" xfId="37" applyFont="1" applyBorder="1"/>
    <xf numFmtId="165" fontId="35" fillId="9" borderId="14" xfId="34" applyNumberFormat="1" applyFont="1" applyFill="1" applyBorder="1" applyAlignment="1">
      <alignment vertical="top"/>
    </xf>
    <xf numFmtId="165" fontId="35" fillId="9" borderId="11" xfId="34" applyNumberFormat="1" applyFont="1" applyFill="1" applyBorder="1" applyAlignment="1">
      <alignment vertical="top"/>
    </xf>
    <xf numFmtId="3" fontId="63" fillId="0" borderId="12" xfId="0" applyNumberFormat="1" applyFont="1" applyBorder="1" applyAlignment="1">
      <alignment horizontal="center" vertical="center"/>
    </xf>
    <xf numFmtId="0" fontId="34" fillId="9" borderId="0" xfId="22" applyFont="1" applyFill="1" applyAlignment="1">
      <alignment horizontal="right" readingOrder="2"/>
    </xf>
    <xf numFmtId="49" fontId="32" fillId="9" borderId="0" xfId="27" applyNumberFormat="1" applyFont="1" applyFill="1" applyBorder="1" applyAlignment="1">
      <alignment horizontal="center" vertical="center"/>
    </xf>
    <xf numFmtId="0" fontId="60" fillId="0" borderId="0" xfId="8" applyFont="1" applyAlignment="1">
      <alignment horizontal="center" vertical="center" readingOrder="2"/>
    </xf>
    <xf numFmtId="0" fontId="78" fillId="0" borderId="0" xfId="0" applyFont="1" applyBorder="1" applyAlignment="1">
      <alignment horizontal="right" vertical="center" wrapText="1" readingOrder="2"/>
    </xf>
    <xf numFmtId="164" fontId="123" fillId="9" borderId="0" xfId="15" applyNumberFormat="1" applyFont="1" applyFill="1" applyBorder="1" applyAlignment="1">
      <alignment horizontal="right"/>
    </xf>
    <xf numFmtId="0" fontId="123" fillId="9" borderId="0" xfId="15" applyFont="1" applyFill="1" applyBorder="1" applyAlignment="1">
      <alignment horizontal="right"/>
    </xf>
    <xf numFmtId="169" fontId="123" fillId="9" borderId="0" xfId="15" applyNumberFormat="1" applyFont="1" applyFill="1" applyBorder="1" applyAlignment="1">
      <alignment horizontal="right"/>
    </xf>
    <xf numFmtId="0" fontId="49" fillId="12" borderId="21" xfId="3" applyFont="1" applyFill="1" applyBorder="1" applyAlignment="1" applyProtection="1">
      <alignment horizontal="right" vertical="center"/>
      <protection locked="0"/>
    </xf>
    <xf numFmtId="0" fontId="66" fillId="9" borderId="0" xfId="19" applyFont="1" applyFill="1" applyBorder="1" applyAlignment="1">
      <alignment horizontal="right" vertical="center" readingOrder="2"/>
    </xf>
    <xf numFmtId="0" fontId="59" fillId="0" borderId="0" xfId="0" applyFont="1" applyAlignment="1">
      <alignment wrapText="1"/>
    </xf>
    <xf numFmtId="166" fontId="30" fillId="9" borderId="0" xfId="23" applyNumberFormat="1" applyFont="1" applyFill="1" applyBorder="1" applyAlignment="1">
      <alignment horizontal="center" vertical="center" readingOrder="2"/>
    </xf>
    <xf numFmtId="49" fontId="32" fillId="9" borderId="0" xfId="27" applyNumberFormat="1" applyFont="1" applyFill="1" applyBorder="1" applyAlignment="1">
      <alignment horizontal="center" vertical="center"/>
    </xf>
    <xf numFmtId="0" fontId="78" fillId="0" borderId="0" xfId="0" applyFont="1" applyBorder="1" applyAlignment="1">
      <alignment horizontal="right" vertical="center" wrapText="1" readingOrder="2"/>
    </xf>
    <xf numFmtId="0" fontId="59" fillId="0" borderId="0" xfId="0" applyFont="1"/>
    <xf numFmtId="0" fontId="227" fillId="9" borderId="0" xfId="2123" applyFont="1" applyFill="1" applyBorder="1" applyAlignment="1">
      <alignment horizontal="center" vertical="top" readingOrder="2"/>
    </xf>
    <xf numFmtId="0" fontId="59" fillId="0" borderId="0" xfId="0" applyFont="1"/>
    <xf numFmtId="49" fontId="31" fillId="0" borderId="0" xfId="8" applyNumberFormat="1" applyFont="1" applyAlignment="1">
      <alignment horizontal="center" vertical="top" readingOrder="2"/>
    </xf>
    <xf numFmtId="0" fontId="10" fillId="0" borderId="0" xfId="1" applyFont="1" applyBorder="1" applyAlignment="1" applyProtection="1">
      <alignment horizontal="center" vertical="center" readingOrder="2"/>
    </xf>
    <xf numFmtId="49" fontId="29" fillId="9" borderId="0" xfId="12" applyNumberFormat="1" applyFont="1" applyFill="1" applyAlignment="1">
      <alignment readingOrder="2"/>
    </xf>
    <xf numFmtId="3" fontId="47" fillId="9" borderId="24" xfId="34" applyNumberFormat="1" applyFont="1" applyFill="1" applyBorder="1" applyAlignment="1">
      <alignment horizontal="center" vertical="center" wrapText="1"/>
    </xf>
    <xf numFmtId="0" fontId="34" fillId="9" borderId="70" xfId="34" applyFont="1" applyFill="1" applyBorder="1" applyAlignment="1">
      <alignment horizontal="center" vertical="center" wrapText="1"/>
    </xf>
    <xf numFmtId="0" fontId="47" fillId="9" borderId="70" xfId="34" applyFont="1" applyFill="1" applyBorder="1" applyAlignment="1">
      <alignment horizontal="center" vertical="center" wrapText="1"/>
    </xf>
    <xf numFmtId="0" fontId="34" fillId="9" borderId="70" xfId="34" applyFont="1" applyFill="1" applyBorder="1" applyAlignment="1">
      <alignment horizontal="center" vertical="top" wrapText="1"/>
    </xf>
    <xf numFmtId="3" fontId="34" fillId="9" borderId="14" xfId="34" applyNumberFormat="1" applyFont="1" applyFill="1" applyBorder="1" applyAlignment="1">
      <alignment horizontal="left" vertical="center" wrapText="1"/>
    </xf>
    <xf numFmtId="0" fontId="59" fillId="0" borderId="14" xfId="37" applyFont="1" applyBorder="1"/>
    <xf numFmtId="3" fontId="63" fillId="0" borderId="15" xfId="0" applyNumberFormat="1" applyFont="1" applyBorder="1" applyAlignment="1">
      <alignment horizontal="center" vertical="center"/>
    </xf>
    <xf numFmtId="165" fontId="35" fillId="9" borderId="70" xfId="34" applyNumberFormat="1" applyFont="1" applyFill="1" applyBorder="1" applyAlignment="1">
      <alignment horizontal="center" vertical="center" wrapText="1"/>
    </xf>
    <xf numFmtId="3" fontId="63" fillId="0" borderId="70" xfId="0" applyNumberFormat="1" applyFont="1" applyBorder="1" applyAlignment="1">
      <alignment horizontal="center" vertical="center"/>
    </xf>
    <xf numFmtId="0" fontId="35" fillId="9" borderId="70" xfId="34" applyFont="1" applyFill="1" applyBorder="1" applyAlignment="1">
      <alignment horizontal="center" vertical="center" wrapText="1"/>
    </xf>
    <xf numFmtId="3" fontId="50" fillId="9" borderId="70" xfId="34" applyNumberFormat="1" applyFont="1" applyFill="1" applyBorder="1" applyAlignment="1">
      <alignment horizontal="center" vertical="center" wrapText="1"/>
    </xf>
    <xf numFmtId="3" fontId="35" fillId="9" borderId="70" xfId="34" applyNumberFormat="1" applyFont="1" applyFill="1" applyBorder="1" applyAlignment="1">
      <alignment horizontal="center" vertical="center" wrapText="1"/>
    </xf>
    <xf numFmtId="0" fontId="35" fillId="9" borderId="48" xfId="34" applyNumberFormat="1" applyFont="1" applyFill="1" applyBorder="1" applyAlignment="1">
      <alignment vertical="top"/>
    </xf>
    <xf numFmtId="0" fontId="59" fillId="0" borderId="0" xfId="0" applyFont="1"/>
    <xf numFmtId="0" fontId="34" fillId="9" borderId="0" xfId="19" applyFont="1" applyFill="1" applyAlignment="1">
      <alignment horizontal="right" vertical="top" wrapText="1" readingOrder="2"/>
    </xf>
    <xf numFmtId="167" fontId="35" fillId="9" borderId="4" xfId="8" applyNumberFormat="1" applyFont="1" applyFill="1" applyBorder="1" applyAlignment="1">
      <alignment horizontal="center" vertical="top" readingOrder="2"/>
    </xf>
    <xf numFmtId="167" fontId="35" fillId="9" borderId="21" xfId="8" applyNumberFormat="1" applyFont="1" applyFill="1" applyBorder="1" applyAlignment="1">
      <alignment horizontal="center" vertical="top" readingOrder="2"/>
    </xf>
    <xf numFmtId="0" fontId="59" fillId="9" borderId="4" xfId="0" applyFont="1" applyFill="1" applyBorder="1" applyAlignment="1">
      <alignment horizontal="center" vertical="center"/>
    </xf>
    <xf numFmtId="0" fontId="67" fillId="0" borderId="0" xfId="8" applyFont="1" applyAlignment="1">
      <alignment vertical="center" wrapText="1" readingOrder="2"/>
    </xf>
    <xf numFmtId="49" fontId="48" fillId="0" borderId="0" xfId="13" applyNumberFormat="1" applyFont="1" applyAlignment="1">
      <alignment horizontal="center"/>
    </xf>
    <xf numFmtId="49" fontId="60" fillId="9" borderId="0" xfId="12" applyNumberFormat="1" applyFont="1" applyFill="1" applyAlignment="1">
      <alignment horizontal="center" vertical="top" readingOrder="2"/>
    </xf>
    <xf numFmtId="0" fontId="111" fillId="9" borderId="4" xfId="0" applyFont="1" applyFill="1" applyBorder="1" applyAlignment="1">
      <alignment horizontal="center" vertical="center"/>
    </xf>
    <xf numFmtId="0" fontId="66" fillId="9" borderId="0" xfId="19" applyFont="1" applyFill="1" applyBorder="1" applyAlignment="1">
      <alignment horizontal="right" vertical="center" readingOrder="2"/>
    </xf>
    <xf numFmtId="49" fontId="137" fillId="16" borderId="70" xfId="42" applyNumberFormat="1" applyFont="1" applyFill="1" applyBorder="1" applyAlignment="1">
      <alignment horizontal="center" vertical="center" wrapText="1"/>
    </xf>
    <xf numFmtId="49" fontId="137" fillId="0" borderId="70" xfId="42" applyNumberFormat="1" applyFont="1" applyBorder="1" applyAlignment="1">
      <alignment horizontal="center" vertical="center" wrapText="1"/>
    </xf>
    <xf numFmtId="49" fontId="137" fillId="9" borderId="70" xfId="42" applyNumberFormat="1" applyFont="1" applyFill="1" applyBorder="1" applyAlignment="1">
      <alignment horizontal="center" vertical="center" wrapText="1"/>
    </xf>
    <xf numFmtId="0" fontId="0" fillId="0" borderId="0" xfId="0" applyAlignment="1">
      <alignment horizontal="center" vertical="center" wrapText="1"/>
    </xf>
    <xf numFmtId="0" fontId="341" fillId="9" borderId="0" xfId="5" applyFont="1" applyFill="1" applyAlignment="1">
      <alignment horizontal="center" vertical="top" readingOrder="2"/>
    </xf>
    <xf numFmtId="0" fontId="122" fillId="0" borderId="0" xfId="0" applyFont="1" applyAlignment="1">
      <alignment horizontal="center" vertical="center"/>
    </xf>
    <xf numFmtId="0" fontId="27" fillId="0" borderId="0" xfId="0" applyFont="1" applyAlignment="1">
      <alignment horizontal="center" vertical="center"/>
    </xf>
    <xf numFmtId="0" fontId="122" fillId="0" borderId="0" xfId="0" applyFont="1" applyAlignment="1">
      <alignment horizontal="right" vertical="center"/>
    </xf>
    <xf numFmtId="164" fontId="35" fillId="9" borderId="51" xfId="34" applyNumberFormat="1" applyFont="1" applyFill="1" applyBorder="1" applyAlignment="1">
      <alignment horizontal="center" vertical="center"/>
    </xf>
    <xf numFmtId="0" fontId="59" fillId="0" borderId="0" xfId="0" applyFont="1"/>
    <xf numFmtId="164" fontId="34" fillId="9" borderId="32" xfId="22" applyNumberFormat="1" applyFont="1" applyFill="1" applyBorder="1" applyAlignment="1">
      <alignment horizontal="center" vertical="center"/>
    </xf>
    <xf numFmtId="0" fontId="59" fillId="0" borderId="0" xfId="0" applyFont="1"/>
    <xf numFmtId="164" fontId="35" fillId="9" borderId="35" xfId="8" applyNumberFormat="1" applyFont="1" applyFill="1" applyBorder="1" applyAlignment="1">
      <alignment vertical="center"/>
    </xf>
    <xf numFmtId="3" fontId="35" fillId="0" borderId="34" xfId="8" applyNumberFormat="1" applyFont="1" applyBorder="1" applyAlignment="1">
      <alignment horizontal="right" vertical="center" readingOrder="2"/>
    </xf>
    <xf numFmtId="0" fontId="59" fillId="0" borderId="0" xfId="0" applyFont="1"/>
    <xf numFmtId="164" fontId="31" fillId="0" borderId="0" xfId="6" applyNumberFormat="1" applyFont="1" applyBorder="1" applyAlignment="1">
      <alignment horizontal="center" vertical="center"/>
    </xf>
    <xf numFmtId="0" fontId="48" fillId="9" borderId="35" xfId="26" applyFont="1" applyFill="1" applyBorder="1" applyAlignment="1">
      <alignment horizontal="center" vertical="top" wrapText="1" readingOrder="2"/>
    </xf>
    <xf numFmtId="0" fontId="59" fillId="0" borderId="0" xfId="0" applyFont="1"/>
    <xf numFmtId="0" fontId="47" fillId="0" borderId="0" xfId="15" applyFont="1" applyFill="1" applyBorder="1" applyAlignment="1">
      <alignment horizontal="right" vertical="top" wrapText="1"/>
    </xf>
    <xf numFmtId="0" fontId="51" fillId="9" borderId="0" xfId="0" applyFont="1" applyFill="1" applyAlignment="1">
      <alignment horizontal="left" vertical="top"/>
    </xf>
    <xf numFmtId="168" fontId="88" fillId="9" borderId="19" xfId="10" applyNumberFormat="1" applyFont="1" applyFill="1" applyBorder="1" applyAlignment="1">
      <alignment horizontal="right" vertical="center"/>
    </xf>
    <xf numFmtId="0" fontId="59" fillId="0" borderId="0" xfId="0" applyFont="1"/>
    <xf numFmtId="0" fontId="57" fillId="9" borderId="73" xfId="32" applyFont="1" applyFill="1" applyBorder="1" applyAlignment="1">
      <alignment horizontal="center" vertical="center" wrapText="1" shrinkToFit="1" readingOrder="2"/>
    </xf>
    <xf numFmtId="0" fontId="59" fillId="9" borderId="0" xfId="0" applyFont="1" applyFill="1" applyAlignment="1">
      <alignment horizontal="left" vertical="top"/>
    </xf>
    <xf numFmtId="0" fontId="57" fillId="9" borderId="20" xfId="32" applyFont="1" applyFill="1" applyBorder="1" applyAlignment="1">
      <alignment horizontal="right" vertical="center" shrinkToFit="1" readingOrder="2"/>
    </xf>
    <xf numFmtId="0" fontId="57" fillId="9" borderId="53" xfId="32" applyFont="1" applyFill="1" applyBorder="1" applyAlignment="1">
      <alignment horizontal="center" vertical="center" wrapText="1" readingOrder="2"/>
    </xf>
    <xf numFmtId="0" fontId="57" fillId="9" borderId="13" xfId="32" applyFont="1" applyFill="1" applyBorder="1" applyAlignment="1">
      <alignment horizontal="right" vertical="center" shrinkToFit="1" readingOrder="2"/>
    </xf>
    <xf numFmtId="9" fontId="57" fillId="9" borderId="11" xfId="43" applyFont="1" applyFill="1" applyBorder="1" applyAlignment="1">
      <alignment horizontal="center" vertical="center" wrapText="1"/>
    </xf>
    <xf numFmtId="49" fontId="57" fillId="9" borderId="61" xfId="12" applyNumberFormat="1" applyFont="1" applyFill="1" applyBorder="1" applyAlignment="1">
      <alignment horizontal="center" vertical="center" readingOrder="2"/>
    </xf>
    <xf numFmtId="49" fontId="57" fillId="9" borderId="51" xfId="12" applyNumberFormat="1" applyFont="1" applyFill="1" applyBorder="1" applyAlignment="1">
      <alignment horizontal="center" vertical="center" readingOrder="2"/>
    </xf>
    <xf numFmtId="49" fontId="57" fillId="9" borderId="25" xfId="12" applyNumberFormat="1" applyFont="1" applyFill="1" applyBorder="1" applyAlignment="1">
      <alignment horizontal="center" vertical="center" readingOrder="2"/>
    </xf>
    <xf numFmtId="1" fontId="57" fillId="9" borderId="60" xfId="43" applyNumberFormat="1" applyFont="1" applyFill="1" applyBorder="1" applyAlignment="1">
      <alignment horizontal="center" vertical="center" wrapText="1"/>
    </xf>
    <xf numFmtId="9" fontId="57" fillId="9" borderId="76" xfId="43" applyFont="1" applyFill="1" applyBorder="1" applyAlignment="1">
      <alignment horizontal="center" vertical="center" wrapText="1"/>
    </xf>
    <xf numFmtId="164" fontId="57" fillId="9" borderId="11" xfId="23" applyNumberFormat="1" applyFont="1" applyFill="1" applyBorder="1" applyAlignment="1">
      <alignment horizontal="center" vertical="center"/>
    </xf>
    <xf numFmtId="164" fontId="31" fillId="0" borderId="0" xfId="6" applyNumberFormat="1" applyFont="1" applyBorder="1" applyAlignment="1">
      <alignment horizontal="center" vertical="center"/>
    </xf>
    <xf numFmtId="164" fontId="31" fillId="0" borderId="35" xfId="6" applyNumberFormat="1" applyFont="1" applyFill="1" applyBorder="1" applyAlignment="1">
      <alignment horizontal="center" vertical="center"/>
    </xf>
    <xf numFmtId="0" fontId="59" fillId="0" borderId="0" xfId="0" applyFont="1"/>
    <xf numFmtId="0" fontId="137" fillId="0" borderId="0" xfId="0" applyFont="1" applyBorder="1" applyAlignment="1">
      <alignment horizontal="right"/>
    </xf>
    <xf numFmtId="0" fontId="59" fillId="0" borderId="0" xfId="0" applyFont="1"/>
    <xf numFmtId="0" fontId="35" fillId="9" borderId="24" xfId="3" applyFont="1" applyFill="1" applyBorder="1" applyAlignment="1" applyProtection="1">
      <alignment horizontal="right" vertical="center" wrapText="1"/>
      <protection locked="0"/>
    </xf>
    <xf numFmtId="0" fontId="35" fillId="9" borderId="21" xfId="3" applyFont="1" applyFill="1" applyBorder="1" applyAlignment="1" applyProtection="1">
      <alignment horizontal="right" vertical="center" wrapText="1"/>
      <protection locked="0"/>
    </xf>
    <xf numFmtId="0" fontId="35" fillId="9" borderId="24" xfId="3" applyFont="1" applyFill="1" applyBorder="1" applyAlignment="1" applyProtection="1">
      <alignment horizontal="center" vertical="center" wrapText="1"/>
      <protection locked="0"/>
    </xf>
    <xf numFmtId="0" fontId="35" fillId="9" borderId="21" xfId="3" applyFont="1" applyFill="1" applyBorder="1" applyAlignment="1" applyProtection="1">
      <alignment horizontal="center" vertical="center" wrapText="1"/>
      <protection locked="0"/>
    </xf>
    <xf numFmtId="0" fontId="143" fillId="9" borderId="24" xfId="3" applyFont="1" applyFill="1" applyBorder="1" applyAlignment="1" applyProtection="1">
      <alignment horizontal="right" vertical="center"/>
      <protection locked="0"/>
    </xf>
    <xf numFmtId="0" fontId="143" fillId="9" borderId="21" xfId="3" applyFont="1" applyFill="1" applyBorder="1" applyAlignment="1" applyProtection="1">
      <alignment horizontal="right" vertical="center"/>
      <protection locked="0"/>
    </xf>
    <xf numFmtId="0" fontId="49" fillId="12" borderId="24" xfId="3" applyFont="1" applyFill="1" applyBorder="1" applyAlignment="1" applyProtection="1">
      <alignment horizontal="center" vertical="center"/>
      <protection locked="0"/>
    </xf>
    <xf numFmtId="0" fontId="49" fillId="12" borderId="21" xfId="3" applyFont="1" applyFill="1" applyBorder="1" applyAlignment="1" applyProtection="1">
      <alignment horizontal="center" vertical="center"/>
      <protection locked="0"/>
    </xf>
    <xf numFmtId="0" fontId="49" fillId="12" borderId="24" xfId="3" applyFont="1" applyFill="1" applyBorder="1" applyAlignment="1" applyProtection="1">
      <alignment horizontal="right" vertical="center"/>
      <protection locked="0"/>
    </xf>
    <xf numFmtId="0" fontId="49" fillId="12" borderId="21" xfId="3" applyFont="1" applyFill="1" applyBorder="1" applyAlignment="1" applyProtection="1">
      <alignment horizontal="right" vertical="center"/>
      <protection locked="0"/>
    </xf>
    <xf numFmtId="1" fontId="49" fillId="25" borderId="24" xfId="3" applyNumberFormat="1" applyFont="1" applyFill="1" applyBorder="1" applyAlignment="1" applyProtection="1">
      <alignment horizontal="right" vertical="center"/>
      <protection locked="0"/>
    </xf>
    <xf numFmtId="1" fontId="49" fillId="16" borderId="21" xfId="3" applyNumberFormat="1" applyFont="1" applyFill="1" applyBorder="1" applyAlignment="1" applyProtection="1">
      <alignment horizontal="right" vertical="center"/>
      <protection locked="0"/>
    </xf>
    <xf numFmtId="1" fontId="49" fillId="9" borderId="24" xfId="3" applyNumberFormat="1" applyFont="1" applyFill="1" applyBorder="1" applyAlignment="1" applyProtection="1">
      <alignment horizontal="right" vertical="center"/>
      <protection locked="0"/>
    </xf>
    <xf numFmtId="1" fontId="49" fillId="9" borderId="21" xfId="3" applyNumberFormat="1" applyFont="1" applyFill="1" applyBorder="1" applyAlignment="1" applyProtection="1">
      <alignment horizontal="right" vertical="center"/>
      <protection locked="0"/>
    </xf>
    <xf numFmtId="0" fontId="46" fillId="9" borderId="35" xfId="0" applyFont="1" applyFill="1" applyBorder="1" applyAlignment="1">
      <alignment horizontal="center" vertical="center"/>
    </xf>
    <xf numFmtId="0" fontId="46" fillId="9" borderId="0" xfId="0" applyFont="1" applyFill="1" applyAlignment="1">
      <alignment horizontal="right" vertical="center" wrapText="1"/>
    </xf>
    <xf numFmtId="0" fontId="46" fillId="9" borderId="0" xfId="0" applyFont="1" applyFill="1" applyAlignment="1">
      <alignment horizontal="center" vertical="center"/>
    </xf>
    <xf numFmtId="0" fontId="46" fillId="9" borderId="0" xfId="0" applyFont="1" applyFill="1" applyAlignment="1">
      <alignment vertical="center" wrapText="1"/>
    </xf>
    <xf numFmtId="0" fontId="59" fillId="9" borderId="24" xfId="3" applyFont="1" applyFill="1" applyBorder="1" applyAlignment="1" applyProtection="1">
      <alignment vertical="center" wrapText="1"/>
      <protection locked="0"/>
    </xf>
    <xf numFmtId="0" fontId="59" fillId="9" borderId="21" xfId="3" applyFont="1" applyFill="1" applyBorder="1" applyAlignment="1" applyProtection="1">
      <alignment vertical="center" wrapText="1"/>
      <protection locked="0"/>
    </xf>
    <xf numFmtId="0" fontId="59" fillId="9" borderId="24" xfId="3" applyFont="1" applyFill="1" applyBorder="1" applyAlignment="1" applyProtection="1">
      <alignment horizontal="center" vertical="center" wrapText="1"/>
      <protection locked="0"/>
    </xf>
    <xf numFmtId="0" fontId="59" fillId="9" borderId="21" xfId="3" applyFont="1" applyFill="1" applyBorder="1" applyAlignment="1" applyProtection="1">
      <alignment horizontal="center" vertical="center" wrapText="1"/>
      <protection locked="0"/>
    </xf>
    <xf numFmtId="1" fontId="49" fillId="12" borderId="24" xfId="3" applyNumberFormat="1" applyFont="1" applyFill="1" applyBorder="1" applyAlignment="1" applyProtection="1">
      <alignment horizontal="right" vertical="center"/>
      <protection locked="0"/>
    </xf>
    <xf numFmtId="1" fontId="49" fillId="12" borderId="21" xfId="3" applyNumberFormat="1" applyFont="1" applyFill="1" applyBorder="1" applyAlignment="1" applyProtection="1">
      <alignment horizontal="right" vertical="center"/>
      <protection locked="0"/>
    </xf>
    <xf numFmtId="1" fontId="49" fillId="13" borderId="24" xfId="3" applyNumberFormat="1" applyFont="1" applyFill="1" applyBorder="1" applyAlignment="1" applyProtection="1">
      <alignment horizontal="right" vertical="center"/>
      <protection locked="0"/>
    </xf>
    <xf numFmtId="1" fontId="49" fillId="13" borderId="21" xfId="3" applyNumberFormat="1" applyFont="1" applyFill="1" applyBorder="1" applyAlignment="1" applyProtection="1">
      <alignment horizontal="right" vertical="center"/>
      <protection locked="0"/>
    </xf>
    <xf numFmtId="0" fontId="49" fillId="12" borderId="19" xfId="3" applyFont="1" applyFill="1" applyBorder="1" applyAlignment="1" applyProtection="1">
      <alignment horizontal="right" vertical="center"/>
      <protection locked="0"/>
    </xf>
    <xf numFmtId="0" fontId="88" fillId="10" borderId="19" xfId="3" applyFont="1" applyFill="1" applyBorder="1" applyAlignment="1" applyProtection="1">
      <alignment horizontal="right" vertical="center" wrapText="1"/>
      <protection locked="0"/>
    </xf>
    <xf numFmtId="0" fontId="88" fillId="10" borderId="19" xfId="3" applyFont="1" applyFill="1" applyBorder="1" applyAlignment="1" applyProtection="1">
      <alignment horizontal="center" vertical="center" wrapText="1"/>
      <protection locked="0"/>
    </xf>
    <xf numFmtId="0" fontId="49" fillId="10" borderId="19" xfId="3" applyFont="1" applyFill="1" applyBorder="1" applyAlignment="1" applyProtection="1">
      <alignment horizontal="right" vertical="center"/>
      <protection locked="0"/>
    </xf>
    <xf numFmtId="0" fontId="59" fillId="10" borderId="24" xfId="3" applyFont="1" applyFill="1" applyBorder="1" applyAlignment="1" applyProtection="1">
      <alignment horizontal="center" vertical="center" wrapText="1"/>
      <protection locked="0"/>
    </xf>
    <xf numFmtId="0" fontId="59" fillId="10" borderId="21" xfId="3" applyFont="1" applyFill="1" applyBorder="1" applyAlignment="1" applyProtection="1">
      <alignment horizontal="center" vertical="center" wrapText="1"/>
      <protection locked="0"/>
    </xf>
    <xf numFmtId="0" fontId="59" fillId="10" borderId="24" xfId="3" applyFont="1" applyFill="1" applyBorder="1" applyAlignment="1" applyProtection="1">
      <alignment vertical="center" wrapText="1"/>
      <protection locked="0"/>
    </xf>
    <xf numFmtId="0" fontId="59" fillId="10" borderId="21" xfId="3" applyFont="1" applyFill="1" applyBorder="1" applyAlignment="1" applyProtection="1">
      <alignment vertical="center" wrapText="1"/>
      <protection locked="0"/>
    </xf>
    <xf numFmtId="1" fontId="49" fillId="11" borderId="19" xfId="3" applyNumberFormat="1" applyFont="1" applyFill="1" applyBorder="1" applyAlignment="1" applyProtection="1">
      <alignment horizontal="right" vertical="center"/>
      <protection locked="0"/>
    </xf>
    <xf numFmtId="0" fontId="63" fillId="12" borderId="24" xfId="3" applyFont="1" applyFill="1" applyBorder="1" applyAlignment="1" applyProtection="1">
      <alignment horizontal="right" vertical="center"/>
      <protection locked="0"/>
    </xf>
    <xf numFmtId="0" fontId="63" fillId="12" borderId="21" xfId="3" applyFont="1" applyFill="1" applyBorder="1" applyAlignment="1" applyProtection="1">
      <alignment horizontal="right" vertical="center"/>
      <protection locked="0"/>
    </xf>
    <xf numFmtId="49" fontId="49" fillId="9" borderId="24" xfId="3" applyNumberFormat="1" applyFont="1" applyFill="1" applyBorder="1" applyAlignment="1" applyProtection="1">
      <alignment horizontal="center" vertical="center"/>
      <protection locked="0"/>
    </xf>
    <xf numFmtId="49" fontId="49" fillId="9" borderId="21" xfId="3" applyNumberFormat="1" applyFont="1" applyFill="1" applyBorder="1" applyAlignment="1" applyProtection="1">
      <alignment horizontal="center" vertical="center"/>
      <protection locked="0"/>
    </xf>
    <xf numFmtId="0" fontId="49" fillId="9" borderId="24" xfId="3" applyFont="1" applyFill="1" applyBorder="1" applyAlignment="1" applyProtection="1">
      <alignment horizontal="right" vertical="center"/>
      <protection locked="0"/>
    </xf>
    <xf numFmtId="0" fontId="49" fillId="9" borderId="21" xfId="3" applyFont="1" applyFill="1" applyBorder="1" applyAlignment="1" applyProtection="1">
      <alignment horizontal="right" vertical="center"/>
      <protection locked="0"/>
    </xf>
    <xf numFmtId="1" fontId="49" fillId="16" borderId="24" xfId="3" applyNumberFormat="1" applyFont="1" applyFill="1" applyBorder="1" applyAlignment="1" applyProtection="1">
      <alignment horizontal="right" vertical="center"/>
      <protection locked="0"/>
    </xf>
    <xf numFmtId="0" fontId="32" fillId="0" borderId="0" xfId="6" applyFont="1" applyAlignment="1">
      <alignment horizontal="center" readingOrder="2"/>
    </xf>
    <xf numFmtId="0" fontId="29" fillId="0" borderId="0" xfId="6" applyFont="1" applyAlignment="1">
      <alignment horizontal="center" readingOrder="2"/>
    </xf>
    <xf numFmtId="0" fontId="273" fillId="0" borderId="0" xfId="6" applyFont="1" applyAlignment="1">
      <alignment horizontal="center" vertical="top"/>
    </xf>
    <xf numFmtId="0" fontId="38" fillId="0" borderId="0" xfId="6" applyFont="1" applyBorder="1" applyAlignment="1">
      <alignment horizontal="center" vertical="top"/>
    </xf>
    <xf numFmtId="0" fontId="38" fillId="0" borderId="0" xfId="6" applyFont="1" applyBorder="1" applyAlignment="1">
      <alignment horizontal="center" vertical="center"/>
    </xf>
    <xf numFmtId="0" fontId="274" fillId="0" borderId="0" xfId="6" applyFont="1" applyBorder="1" applyAlignment="1">
      <alignment horizontal="center" vertical="top"/>
    </xf>
    <xf numFmtId="0" fontId="274" fillId="0" borderId="0" xfId="6" applyFont="1" applyAlignment="1">
      <alignment horizontal="center" vertical="top"/>
    </xf>
    <xf numFmtId="0" fontId="38" fillId="0" borderId="0" xfId="6" applyFont="1" applyAlignment="1">
      <alignment horizontal="center" vertical="top"/>
    </xf>
    <xf numFmtId="0" fontId="320" fillId="0" borderId="0" xfId="6" applyFont="1" applyAlignment="1">
      <alignment horizontal="center" vertical="top"/>
    </xf>
    <xf numFmtId="0" fontId="35" fillId="0" borderId="0" xfId="6" applyFont="1" applyAlignment="1">
      <alignment horizontal="center" readingOrder="2"/>
    </xf>
    <xf numFmtId="0" fontId="40" fillId="0" borderId="0" xfId="6" applyFont="1" applyAlignment="1">
      <alignment horizontal="center" readingOrder="2"/>
    </xf>
    <xf numFmtId="0" fontId="314" fillId="0" borderId="0" xfId="6" applyFont="1" applyAlignment="1">
      <alignment horizontal="center" vertical="top"/>
    </xf>
    <xf numFmtId="0" fontId="31" fillId="0" borderId="0" xfId="11" applyFont="1" applyAlignment="1">
      <alignment horizontal="center" readingOrder="2"/>
    </xf>
    <xf numFmtId="0" fontId="223" fillId="0" borderId="0" xfId="11" applyFont="1" applyAlignment="1">
      <alignment horizontal="center" vertical="top" readingOrder="2"/>
    </xf>
    <xf numFmtId="0" fontId="31" fillId="0" borderId="35" xfId="11" applyFont="1" applyBorder="1" applyAlignment="1">
      <alignment horizontal="center" vertical="center" readingOrder="2"/>
    </xf>
    <xf numFmtId="0" fontId="32" fillId="0" borderId="0" xfId="11" applyFont="1" applyAlignment="1">
      <alignment horizontal="center" readingOrder="2"/>
    </xf>
    <xf numFmtId="0" fontId="34" fillId="0" borderId="0" xfId="12" applyFont="1" applyAlignment="1">
      <alignment horizontal="center" readingOrder="2"/>
    </xf>
    <xf numFmtId="0" fontId="84" fillId="0" borderId="0" xfId="0" applyFont="1" applyAlignment="1">
      <alignment horizontal="right" vertical="center"/>
    </xf>
    <xf numFmtId="0" fontId="97" fillId="0" borderId="0" xfId="0" applyFont="1" applyAlignment="1">
      <alignment horizontal="center" vertical="center" readingOrder="2"/>
    </xf>
    <xf numFmtId="0" fontId="84" fillId="0" borderId="0" xfId="0" applyFont="1" applyAlignment="1">
      <alignment horizontal="right" vertical="center" wrapText="1" readingOrder="2"/>
    </xf>
    <xf numFmtId="0" fontId="84" fillId="0" borderId="0" xfId="0" applyFont="1" applyAlignment="1">
      <alignment horizontal="right" vertical="center" readingOrder="2"/>
    </xf>
    <xf numFmtId="0" fontId="84" fillId="0" borderId="35" xfId="0" applyFont="1" applyBorder="1" applyAlignment="1">
      <alignment horizontal="center" vertical="center"/>
    </xf>
    <xf numFmtId="0" fontId="0" fillId="0" borderId="0" xfId="0" applyAlignment="1">
      <alignment horizontal="center"/>
    </xf>
    <xf numFmtId="0" fontId="39" fillId="0" borderId="0" xfId="0" applyFont="1" applyAlignment="1">
      <alignment horizontal="center" vertical="center" readingOrder="2"/>
    </xf>
    <xf numFmtId="0" fontId="121" fillId="0" borderId="0" xfId="5" applyFont="1" applyAlignment="1">
      <alignment horizontal="center" vertical="top" readingOrder="2"/>
    </xf>
    <xf numFmtId="0" fontId="109" fillId="0" borderId="0" xfId="6" applyFont="1" applyAlignment="1">
      <alignment horizontal="center" readingOrder="2"/>
    </xf>
    <xf numFmtId="0" fontId="57" fillId="0" borderId="0" xfId="5" applyFont="1" applyFill="1" applyAlignment="1">
      <alignment horizontal="center" vertical="center" readingOrder="2"/>
    </xf>
    <xf numFmtId="0" fontId="75" fillId="0" borderId="0" xfId="6" applyFont="1" applyAlignment="1">
      <alignment horizontal="center" vertical="top"/>
    </xf>
    <xf numFmtId="0" fontId="31" fillId="0" borderId="35" xfId="6" applyFont="1" applyBorder="1" applyAlignment="1">
      <alignment horizontal="center"/>
    </xf>
    <xf numFmtId="164" fontId="31" fillId="0" borderId="0" xfId="6" applyNumberFormat="1" applyFont="1" applyBorder="1" applyAlignment="1">
      <alignment horizontal="center" vertical="center"/>
    </xf>
    <xf numFmtId="0" fontId="115" fillId="0" borderId="0" xfId="6" applyFont="1" applyAlignment="1">
      <alignment horizontal="center" readingOrder="2"/>
    </xf>
    <xf numFmtId="0" fontId="138" fillId="0" borderId="0" xfId="11" applyFont="1" applyAlignment="1">
      <alignment horizontal="center" vertical="top" readingOrder="2"/>
    </xf>
    <xf numFmtId="0" fontId="154" fillId="0" borderId="0" xfId="11" applyFont="1" applyAlignment="1">
      <alignment horizontal="center" readingOrder="2"/>
    </xf>
    <xf numFmtId="0" fontId="29" fillId="9" borderId="0" xfId="14" applyFont="1" applyFill="1" applyAlignment="1">
      <alignment horizontal="center" readingOrder="2"/>
    </xf>
    <xf numFmtId="0" fontId="50" fillId="9" borderId="0" xfId="26" applyFont="1" applyFill="1" applyAlignment="1">
      <alignment horizontal="right" wrapText="1" readingOrder="2"/>
    </xf>
    <xf numFmtId="0" fontId="49" fillId="9" borderId="0" xfId="26" applyFont="1" applyFill="1" applyAlignment="1">
      <alignment horizontal="right" wrapText="1" readingOrder="2"/>
    </xf>
    <xf numFmtId="0" fontId="48" fillId="9" borderId="0" xfId="26" applyFont="1" applyFill="1" applyAlignment="1">
      <alignment horizontal="right" vertical="top" wrapText="1" readingOrder="2"/>
    </xf>
    <xf numFmtId="0" fontId="60" fillId="9" borderId="0" xfId="26" applyFont="1" applyFill="1" applyBorder="1" applyAlignment="1">
      <alignment horizontal="right" vertical="center" readingOrder="2"/>
    </xf>
    <xf numFmtId="0" fontId="48" fillId="9" borderId="32" xfId="26" applyFont="1" applyFill="1" applyBorder="1" applyAlignment="1">
      <alignment horizontal="center" vertical="top" wrapText="1" readingOrder="2"/>
    </xf>
    <xf numFmtId="0" fontId="48" fillId="9" borderId="35" xfId="26" applyFont="1" applyFill="1" applyBorder="1" applyAlignment="1">
      <alignment horizontal="center" vertical="top" wrapText="1" readingOrder="2"/>
    </xf>
    <xf numFmtId="0" fontId="34" fillId="9" borderId="16" xfId="26" applyFont="1" applyFill="1" applyBorder="1" applyAlignment="1">
      <alignment horizontal="center" vertical="center"/>
    </xf>
    <xf numFmtId="0" fontId="48" fillId="9" borderId="16" xfId="26" applyFont="1" applyFill="1" applyBorder="1" applyAlignment="1">
      <alignment horizontal="center" vertical="top" wrapText="1" readingOrder="2"/>
    </xf>
    <xf numFmtId="0" fontId="275" fillId="9" borderId="0" xfId="5" applyFont="1" applyFill="1" applyAlignment="1">
      <alignment horizontal="center" vertical="top" readingOrder="2"/>
    </xf>
    <xf numFmtId="0" fontId="195" fillId="9" borderId="0" xfId="5" applyFont="1" applyFill="1" applyAlignment="1">
      <alignment horizontal="center" vertical="top" readingOrder="2"/>
    </xf>
    <xf numFmtId="0" fontId="60" fillId="9" borderId="0" xfId="26" applyFont="1" applyFill="1" applyAlignment="1">
      <alignment horizontal="center" vertical="top" wrapText="1" readingOrder="2"/>
    </xf>
    <xf numFmtId="0" fontId="34" fillId="9" borderId="0" xfId="26" applyFont="1" applyFill="1" applyBorder="1" applyAlignment="1">
      <alignment horizontal="center" vertical="center"/>
    </xf>
    <xf numFmtId="0" fontId="32" fillId="0" borderId="0" xfId="14" applyFont="1" applyAlignment="1">
      <alignment horizontal="center" readingOrder="2"/>
    </xf>
    <xf numFmtId="0" fontId="64" fillId="0" borderId="16" xfId="33" applyFont="1" applyBorder="1" applyAlignment="1">
      <alignment horizontal="center" vertical="center" readingOrder="2"/>
    </xf>
    <xf numFmtId="0" fontId="31" fillId="0" borderId="16" xfId="27" applyFont="1" applyBorder="1" applyAlignment="1">
      <alignment horizontal="center" vertical="center" readingOrder="2"/>
    </xf>
    <xf numFmtId="0" fontId="31" fillId="0" borderId="0" xfId="28" applyFont="1" applyAlignment="1">
      <alignment horizontal="right" vertical="center" readingOrder="2"/>
    </xf>
    <xf numFmtId="0" fontId="221" fillId="0" borderId="0" xfId="5" applyFont="1" applyAlignment="1">
      <alignment horizontal="center" vertical="top" readingOrder="2"/>
    </xf>
    <xf numFmtId="0" fontId="48" fillId="0" borderId="0" xfId="33" applyFont="1" applyAlignment="1">
      <alignment vertical="center" readingOrder="2"/>
    </xf>
    <xf numFmtId="0" fontId="194" fillId="0" borderId="16" xfId="5" applyFont="1" applyBorder="1" applyAlignment="1">
      <alignment horizontal="center" vertical="top" readingOrder="2"/>
    </xf>
    <xf numFmtId="0" fontId="194" fillId="0" borderId="0" xfId="5" applyFont="1" applyAlignment="1">
      <alignment horizontal="right" vertical="top" readingOrder="2"/>
    </xf>
    <xf numFmtId="0" fontId="32" fillId="0" borderId="0" xfId="29" applyFont="1" applyAlignment="1">
      <alignment horizontal="right" vertical="top" wrapText="1" readingOrder="2"/>
    </xf>
    <xf numFmtId="0" fontId="39" fillId="0" borderId="0" xfId="0" applyFont="1" applyAlignment="1">
      <alignment horizontal="left" vertical="top"/>
    </xf>
    <xf numFmtId="0" fontId="35" fillId="0" borderId="0" xfId="6" applyFont="1" applyBorder="1" applyAlignment="1">
      <alignment horizontal="center"/>
    </xf>
    <xf numFmtId="0" fontId="48" fillId="0" borderId="0" xfId="27" applyFont="1" applyFill="1" applyAlignment="1">
      <alignment vertical="top" wrapText="1" readingOrder="2"/>
    </xf>
    <xf numFmtId="0" fontId="219" fillId="0" borderId="0" xfId="5" applyFont="1" applyAlignment="1">
      <alignment horizontal="center" vertical="top" readingOrder="2"/>
    </xf>
    <xf numFmtId="0" fontId="60" fillId="0" borderId="0" xfId="27" applyFont="1" applyFill="1" applyAlignment="1">
      <alignment horizontal="right" vertical="distributed" wrapText="1" readingOrder="2"/>
    </xf>
    <xf numFmtId="0" fontId="48" fillId="0" borderId="0" xfId="28" applyFont="1" applyAlignment="1">
      <alignment vertical="center" wrapText="1"/>
    </xf>
    <xf numFmtId="0" fontId="0" fillId="0" borderId="0" xfId="0" applyAlignment="1">
      <alignment vertical="center" wrapText="1"/>
    </xf>
    <xf numFmtId="0" fontId="50" fillId="0" borderId="0" xfId="15" applyFont="1" applyFill="1" applyBorder="1" applyAlignment="1">
      <alignment horizontal="center" vertical="center" wrapText="1"/>
    </xf>
    <xf numFmtId="0" fontId="47" fillId="0" borderId="0" xfId="15" applyFont="1" applyFill="1" applyBorder="1" applyAlignment="1">
      <alignment horizontal="center" vertical="center" wrapText="1"/>
    </xf>
    <xf numFmtId="0" fontId="47" fillId="0" borderId="35" xfId="15" applyFont="1" applyFill="1" applyBorder="1" applyAlignment="1">
      <alignment horizontal="center" vertical="center" wrapText="1"/>
    </xf>
    <xf numFmtId="0" fontId="48" fillId="9" borderId="0" xfId="15" applyFont="1" applyFill="1" applyBorder="1" applyAlignment="1">
      <alignment horizontal="center" readingOrder="2"/>
    </xf>
    <xf numFmtId="0" fontId="50" fillId="9" borderId="0" xfId="15" applyFont="1" applyFill="1" applyAlignment="1">
      <alignment horizontal="right" vertical="top" wrapText="1" readingOrder="2"/>
    </xf>
    <xf numFmtId="0" fontId="83" fillId="0" borderId="0" xfId="15" applyFont="1" applyAlignment="1">
      <alignment horizontal="center" vertical="justify"/>
    </xf>
    <xf numFmtId="0" fontId="33" fillId="0" borderId="0" xfId="15" applyFont="1" applyFill="1" applyBorder="1" applyAlignment="1">
      <alignment horizontal="center" vertical="center" wrapText="1"/>
    </xf>
    <xf numFmtId="0" fontId="154" fillId="0" borderId="0" xfId="15" applyFont="1" applyAlignment="1">
      <alignment horizontal="center" readingOrder="2"/>
    </xf>
    <xf numFmtId="0" fontId="50" fillId="0" borderId="0" xfId="15" applyNumberFormat="1" applyFont="1" applyFill="1" applyBorder="1" applyAlignment="1">
      <alignment horizontal="center" vertical="center" readingOrder="2"/>
    </xf>
    <xf numFmtId="0" fontId="50" fillId="0" borderId="35" xfId="15" applyNumberFormat="1" applyFont="1" applyFill="1" applyBorder="1" applyAlignment="1">
      <alignment horizontal="center" vertical="center" readingOrder="2"/>
    </xf>
    <xf numFmtId="0" fontId="47" fillId="0" borderId="32" xfId="15" applyFont="1" applyFill="1" applyBorder="1" applyAlignment="1">
      <alignment horizontal="center" vertical="center" wrapText="1"/>
    </xf>
    <xf numFmtId="0" fontId="33" fillId="0" borderId="35" xfId="15" applyFont="1" applyFill="1" applyBorder="1" applyAlignment="1">
      <alignment horizontal="center" vertical="center" wrapText="1"/>
    </xf>
    <xf numFmtId="0" fontId="87" fillId="9" borderId="0" xfId="15" applyFont="1" applyFill="1" applyAlignment="1">
      <alignment vertical="top" wrapText="1" readingOrder="2"/>
    </xf>
    <xf numFmtId="0" fontId="50" fillId="0" borderId="36" xfId="15" applyNumberFormat="1" applyFont="1" applyFill="1" applyBorder="1" applyAlignment="1">
      <alignment horizontal="center" readingOrder="2"/>
    </xf>
    <xf numFmtId="0" fontId="50" fillId="0" borderId="35" xfId="15" applyNumberFormat="1" applyFont="1" applyFill="1" applyBorder="1" applyAlignment="1">
      <alignment horizontal="center" readingOrder="2"/>
    </xf>
    <xf numFmtId="0" fontId="46" fillId="8" borderId="38" xfId="15" applyFont="1" applyFill="1" applyBorder="1" applyAlignment="1">
      <alignment horizontal="center" vertical="top" wrapText="1"/>
    </xf>
    <xf numFmtId="0" fontId="46" fillId="8" borderId="0" xfId="15" applyFont="1" applyFill="1" applyBorder="1" applyAlignment="1">
      <alignment horizontal="center" vertical="top" wrapText="1"/>
    </xf>
    <xf numFmtId="0" fontId="46" fillId="8" borderId="27" xfId="15" applyFont="1" applyFill="1" applyBorder="1" applyAlignment="1">
      <alignment horizontal="center" vertical="top" wrapText="1"/>
    </xf>
    <xf numFmtId="0" fontId="46" fillId="8" borderId="39" xfId="15" applyFont="1" applyFill="1" applyBorder="1" applyAlignment="1">
      <alignment horizontal="center" vertical="top" wrapText="1"/>
    </xf>
    <xf numFmtId="0" fontId="46" fillId="8" borderId="35" xfId="15" applyFont="1" applyFill="1" applyBorder="1" applyAlignment="1">
      <alignment horizontal="center" vertical="top" wrapText="1"/>
    </xf>
    <xf numFmtId="0" fontId="46" fillId="8" borderId="20" xfId="15" applyFont="1" applyFill="1" applyBorder="1" applyAlignment="1">
      <alignment horizontal="center" vertical="top" wrapText="1"/>
    </xf>
    <xf numFmtId="0" fontId="215" fillId="9" borderId="0" xfId="15" applyFont="1" applyFill="1" applyAlignment="1">
      <alignment horizontal="center" vertical="top" wrapText="1" readingOrder="2"/>
    </xf>
    <xf numFmtId="0" fontId="36" fillId="0" borderId="0" xfId="15" applyFont="1" applyFill="1" applyBorder="1" applyAlignment="1">
      <alignment horizontal="center" vertical="center" wrapText="1"/>
    </xf>
    <xf numFmtId="0" fontId="36" fillId="0" borderId="35" xfId="15" applyFont="1" applyFill="1" applyBorder="1" applyAlignment="1">
      <alignment horizontal="center" vertical="center" wrapText="1"/>
    </xf>
    <xf numFmtId="0" fontId="50" fillId="0" borderId="35" xfId="15" applyFont="1" applyFill="1" applyBorder="1" applyAlignment="1">
      <alignment horizontal="center" vertical="center" wrapText="1"/>
    </xf>
    <xf numFmtId="0" fontId="47" fillId="0" borderId="36" xfId="15" applyFont="1" applyFill="1" applyBorder="1" applyAlignment="1">
      <alignment horizontal="center" vertical="center" wrapText="1"/>
    </xf>
    <xf numFmtId="0" fontId="85" fillId="0" borderId="0" xfId="15" applyFont="1" applyAlignment="1">
      <alignment horizontal="center" vertical="justify"/>
    </xf>
    <xf numFmtId="0" fontId="32" fillId="0" borderId="0" xfId="15" applyFont="1" applyAlignment="1">
      <alignment horizontal="center" readingOrder="2"/>
    </xf>
    <xf numFmtId="0" fontId="33" fillId="0" borderId="0" xfId="15" applyFont="1" applyFill="1" applyBorder="1" applyAlignment="1">
      <alignment horizontal="right" vertical="center" wrapText="1"/>
    </xf>
    <xf numFmtId="0" fontId="188" fillId="9" borderId="49" xfId="16" applyFont="1" applyFill="1" applyBorder="1" applyAlignment="1">
      <alignment horizontal="right" vertical="center"/>
    </xf>
    <xf numFmtId="0" fontId="188" fillId="9" borderId="60" xfId="16" applyFont="1" applyFill="1" applyBorder="1" applyAlignment="1">
      <alignment horizontal="right" vertical="center"/>
    </xf>
    <xf numFmtId="0" fontId="223" fillId="0" borderId="0" xfId="5" applyFont="1" applyAlignment="1">
      <alignment horizontal="center" vertical="top" readingOrder="2"/>
    </xf>
    <xf numFmtId="0" fontId="223" fillId="0" borderId="0" xfId="5" applyFont="1" applyBorder="1" applyAlignment="1">
      <alignment horizontal="center" vertical="top" readingOrder="2"/>
    </xf>
    <xf numFmtId="0" fontId="50" fillId="9" borderId="48" xfId="16" applyFont="1" applyFill="1" applyBorder="1" applyAlignment="1">
      <alignment horizontal="center" vertical="center" wrapText="1"/>
    </xf>
    <xf numFmtId="0" fontId="50" fillId="9" borderId="19" xfId="16" applyFont="1" applyFill="1" applyBorder="1" applyAlignment="1">
      <alignment horizontal="center" vertical="center" wrapText="1"/>
    </xf>
    <xf numFmtId="0" fontId="50" fillId="9" borderId="47" xfId="16" applyFont="1" applyFill="1" applyBorder="1" applyAlignment="1">
      <alignment horizontal="center" vertical="center" wrapText="1"/>
    </xf>
    <xf numFmtId="0" fontId="50" fillId="9" borderId="46" xfId="16" applyFont="1" applyFill="1" applyBorder="1" applyAlignment="1">
      <alignment horizontal="center" vertical="center" wrapText="1"/>
    </xf>
    <xf numFmtId="0" fontId="50" fillId="9" borderId="11" xfId="16" applyFont="1" applyFill="1" applyBorder="1" applyAlignment="1">
      <alignment horizontal="center" vertical="center" wrapText="1"/>
    </xf>
    <xf numFmtId="0" fontId="50" fillId="9" borderId="21" xfId="16" applyFont="1" applyFill="1" applyBorder="1" applyAlignment="1">
      <alignment horizontal="center" vertical="center" wrapText="1"/>
    </xf>
    <xf numFmtId="0" fontId="50" fillId="9" borderId="24" xfId="16" applyFont="1" applyFill="1" applyBorder="1" applyAlignment="1">
      <alignment horizontal="center" vertical="center" wrapText="1"/>
    </xf>
    <xf numFmtId="0" fontId="64" fillId="9" borderId="52" xfId="16" applyFont="1" applyFill="1" applyBorder="1" applyAlignment="1">
      <alignment horizontal="center"/>
    </xf>
    <xf numFmtId="0" fontId="64" fillId="9" borderId="41" xfId="16" applyFont="1" applyFill="1" applyBorder="1" applyAlignment="1">
      <alignment horizontal="center"/>
    </xf>
    <xf numFmtId="0" fontId="64" fillId="9" borderId="57" xfId="16" applyFont="1" applyFill="1" applyBorder="1" applyAlignment="1">
      <alignment horizontal="center"/>
    </xf>
    <xf numFmtId="2" fontId="50" fillId="9" borderId="24" xfId="16" applyNumberFormat="1" applyFont="1" applyFill="1" applyBorder="1" applyAlignment="1">
      <alignment horizontal="center" vertical="center" wrapText="1"/>
    </xf>
    <xf numFmtId="2" fontId="50" fillId="9" borderId="21" xfId="16" applyNumberFormat="1" applyFont="1" applyFill="1" applyBorder="1" applyAlignment="1">
      <alignment horizontal="center" vertical="center" wrapText="1"/>
    </xf>
    <xf numFmtId="0" fontId="122" fillId="9" borderId="1" xfId="0" applyFont="1" applyFill="1" applyBorder="1" applyAlignment="1">
      <alignment horizontal="center" vertical="center" wrapText="1"/>
    </xf>
    <xf numFmtId="0" fontId="122" fillId="9" borderId="26" xfId="0" applyFont="1" applyFill="1" applyBorder="1" applyAlignment="1">
      <alignment horizontal="center" vertical="center"/>
    </xf>
    <xf numFmtId="0" fontId="122" fillId="9" borderId="8" xfId="0" applyFont="1" applyFill="1" applyBorder="1" applyAlignment="1">
      <alignment horizontal="center" vertical="center"/>
    </xf>
    <xf numFmtId="0" fontId="122" fillId="9" borderId="27" xfId="0" applyFont="1" applyFill="1" applyBorder="1" applyAlignment="1">
      <alignment horizontal="center" vertical="center"/>
    </xf>
    <xf numFmtId="0" fontId="32" fillId="0" borderId="0" xfId="47" applyNumberFormat="1" applyFont="1" applyAlignment="1">
      <alignment horizontal="center" vertical="center" wrapText="1"/>
    </xf>
    <xf numFmtId="0" fontId="32" fillId="0" borderId="0" xfId="47" applyNumberFormat="1" applyFont="1" applyAlignment="1">
      <alignment horizontal="center" vertical="center"/>
    </xf>
    <xf numFmtId="0" fontId="64" fillId="0" borderId="0" xfId="16" applyFont="1" applyAlignment="1">
      <alignment horizontal="left"/>
    </xf>
    <xf numFmtId="0" fontId="50" fillId="9" borderId="39" xfId="16" applyFont="1" applyFill="1" applyBorder="1" applyAlignment="1">
      <alignment horizontal="center" vertical="center" wrapText="1"/>
    </xf>
    <xf numFmtId="0" fontId="50" fillId="9" borderId="20" xfId="16" applyFont="1" applyFill="1" applyBorder="1" applyAlignment="1">
      <alignment horizontal="center" vertical="center" wrapText="1"/>
    </xf>
    <xf numFmtId="0" fontId="50" fillId="9" borderId="27" xfId="16" applyFont="1" applyFill="1" applyBorder="1" applyAlignment="1">
      <alignment horizontal="center" vertical="center" wrapText="1"/>
    </xf>
    <xf numFmtId="0" fontId="31" fillId="9" borderId="0" xfId="16" applyFont="1" applyFill="1" applyBorder="1" applyAlignment="1">
      <alignment horizontal="center" vertical="center" wrapText="1"/>
    </xf>
    <xf numFmtId="0" fontId="31" fillId="9" borderId="35" xfId="16" applyFont="1" applyFill="1" applyBorder="1" applyAlignment="1">
      <alignment horizontal="center" vertical="center" wrapText="1"/>
    </xf>
    <xf numFmtId="41" fontId="31" fillId="9" borderId="11" xfId="47" applyNumberFormat="1" applyFont="1" applyFill="1" applyBorder="1" applyAlignment="1">
      <alignment horizontal="center" vertical="center" wrapText="1"/>
    </xf>
    <xf numFmtId="41" fontId="31" fillId="9" borderId="21" xfId="47" applyNumberFormat="1" applyFont="1" applyFill="1" applyBorder="1" applyAlignment="1">
      <alignment horizontal="center" vertical="center" wrapText="1"/>
    </xf>
    <xf numFmtId="1" fontId="27" fillId="9" borderId="4" xfId="0" applyNumberFormat="1" applyFont="1" applyFill="1" applyBorder="1" applyAlignment="1">
      <alignment horizontal="center" vertical="center" wrapText="1"/>
    </xf>
    <xf numFmtId="1" fontId="27" fillId="9" borderId="11" xfId="0" applyNumberFormat="1" applyFont="1" applyFill="1" applyBorder="1" applyAlignment="1">
      <alignment horizontal="center" vertical="center" wrapText="1"/>
    </xf>
    <xf numFmtId="1" fontId="27" fillId="9" borderId="21" xfId="0" applyNumberFormat="1" applyFont="1" applyFill="1" applyBorder="1" applyAlignment="1">
      <alignment horizontal="center" vertical="center" wrapText="1"/>
    </xf>
    <xf numFmtId="167" fontId="35" fillId="9" borderId="49" xfId="8" applyNumberFormat="1" applyFont="1" applyFill="1" applyBorder="1" applyAlignment="1">
      <alignment horizontal="center" vertical="top" readingOrder="2"/>
    </xf>
    <xf numFmtId="167" fontId="35" fillId="9" borderId="40" xfId="8" applyNumberFormat="1" applyFont="1" applyFill="1" applyBorder="1" applyAlignment="1">
      <alignment horizontal="center" vertical="top" readingOrder="2"/>
    </xf>
    <xf numFmtId="167" fontId="35" fillId="9" borderId="50" xfId="8" applyNumberFormat="1" applyFont="1" applyFill="1" applyBorder="1" applyAlignment="1">
      <alignment horizontal="center" vertical="top" readingOrder="2"/>
    </xf>
    <xf numFmtId="1" fontId="35" fillId="9" borderId="24" xfId="8" applyNumberFormat="1" applyFont="1" applyFill="1" applyBorder="1" applyAlignment="1">
      <alignment horizontal="center" vertical="center" textRotation="90" readingOrder="2"/>
    </xf>
    <xf numFmtId="1" fontId="35" fillId="9" borderId="11" xfId="8" applyNumberFormat="1" applyFont="1" applyFill="1" applyBorder="1" applyAlignment="1">
      <alignment horizontal="center" vertical="center" textRotation="90" readingOrder="2"/>
    </xf>
    <xf numFmtId="1" fontId="35" fillId="9" borderId="4" xfId="8" applyNumberFormat="1" applyFont="1" applyFill="1" applyBorder="1" applyAlignment="1">
      <alignment horizontal="center" vertical="center" textRotation="90" readingOrder="2"/>
    </xf>
    <xf numFmtId="1" fontId="35" fillId="9" borderId="21" xfId="8" applyNumberFormat="1" applyFont="1" applyFill="1" applyBorder="1" applyAlignment="1">
      <alignment horizontal="center" vertical="center" textRotation="90" readingOrder="2"/>
    </xf>
    <xf numFmtId="49" fontId="31" fillId="0" borderId="0" xfId="16" applyNumberFormat="1" applyFont="1" applyAlignment="1">
      <alignment horizontal="right" readingOrder="1"/>
    </xf>
    <xf numFmtId="0" fontId="32" fillId="9" borderId="49" xfId="16" applyFont="1" applyFill="1" applyBorder="1" applyAlignment="1">
      <alignment horizontal="right" vertical="center"/>
    </xf>
    <xf numFmtId="0" fontId="32" fillId="9" borderId="60" xfId="16" applyFont="1" applyFill="1" applyBorder="1" applyAlignment="1">
      <alignment horizontal="right" vertical="center"/>
    </xf>
    <xf numFmtId="0" fontId="0" fillId="0" borderId="0" xfId="0" applyAlignment="1">
      <alignment horizontal="right" wrapText="1"/>
    </xf>
    <xf numFmtId="0" fontId="221" fillId="0" borderId="0" xfId="2123" applyFont="1" applyFill="1" applyAlignment="1">
      <alignment horizontal="center" vertical="top" readingOrder="2"/>
    </xf>
    <xf numFmtId="0" fontId="60" fillId="9" borderId="0" xfId="17" applyFont="1" applyFill="1" applyBorder="1" applyAlignment="1">
      <alignment horizontal="right" vertical="top" wrapText="1"/>
    </xf>
    <xf numFmtId="3" fontId="34" fillId="9" borderId="16" xfId="17" applyNumberFormat="1" applyFont="1" applyFill="1" applyBorder="1" applyAlignment="1">
      <alignment horizontal="center" vertical="center"/>
    </xf>
    <xf numFmtId="0" fontId="32" fillId="0" borderId="0" xfId="47" applyNumberFormat="1" applyFont="1" applyAlignment="1">
      <alignment horizontal="center"/>
    </xf>
    <xf numFmtId="0" fontId="60" fillId="9" borderId="16" xfId="17" applyFont="1" applyFill="1" applyBorder="1" applyAlignment="1">
      <alignment horizontal="center" vertical="top" wrapText="1"/>
    </xf>
    <xf numFmtId="0" fontId="60" fillId="9" borderId="0" xfId="17" applyFont="1" applyFill="1" applyBorder="1" applyAlignment="1">
      <alignment horizontal="center" vertical="top" wrapText="1"/>
    </xf>
    <xf numFmtId="14" fontId="42" fillId="9" borderId="0" xfId="0" applyNumberFormat="1" applyFont="1" applyFill="1" applyAlignment="1">
      <alignment horizontal="right" vertical="top" wrapText="1"/>
    </xf>
    <xf numFmtId="0" fontId="317" fillId="9" borderId="0" xfId="5" applyFont="1" applyFill="1" applyAlignment="1">
      <alignment horizontal="center" vertical="top" readingOrder="2"/>
    </xf>
    <xf numFmtId="0" fontId="42" fillId="10" borderId="0" xfId="18" applyFont="1" applyFill="1" applyAlignment="1">
      <alignment horizontal="right" vertical="center" readingOrder="2"/>
    </xf>
    <xf numFmtId="0" fontId="29" fillId="9" borderId="0" xfId="18" applyFont="1" applyFill="1" applyAlignment="1">
      <alignment horizontal="right" vertical="center" readingOrder="2"/>
    </xf>
    <xf numFmtId="0" fontId="31" fillId="9" borderId="0" xfId="14" applyFont="1" applyFill="1" applyAlignment="1">
      <alignment horizontal="center" readingOrder="2"/>
    </xf>
    <xf numFmtId="0" fontId="29" fillId="9" borderId="0" xfId="18" applyFont="1" applyFill="1" applyAlignment="1">
      <alignment horizontal="right" vertical="center" wrapText="1" indent="1" readingOrder="2"/>
    </xf>
    <xf numFmtId="0" fontId="220" fillId="9" borderId="0" xfId="5" applyFont="1" applyFill="1" applyAlignment="1">
      <alignment horizontal="center" vertical="top" readingOrder="2"/>
    </xf>
    <xf numFmtId="0" fontId="29" fillId="9" borderId="0" xfId="18" applyFont="1" applyFill="1" applyBorder="1" applyAlignment="1">
      <alignment horizontal="center" vertical="center" readingOrder="2"/>
    </xf>
    <xf numFmtId="0" fontId="29" fillId="9" borderId="35" xfId="0" applyFont="1" applyFill="1" applyBorder="1" applyAlignment="1">
      <alignment horizontal="center"/>
    </xf>
    <xf numFmtId="0" fontId="43" fillId="9" borderId="35" xfId="18" applyNumberFormat="1" applyFont="1" applyFill="1" applyBorder="1" applyAlignment="1">
      <alignment horizontal="center" vertical="center" readingOrder="2"/>
    </xf>
    <xf numFmtId="0" fontId="29" fillId="9" borderId="0" xfId="13" applyFont="1" applyFill="1" applyAlignment="1">
      <alignment horizontal="right" wrapText="1" readingOrder="2"/>
    </xf>
    <xf numFmtId="0" fontId="109" fillId="9" borderId="0" xfId="19" applyFont="1" applyFill="1" applyAlignment="1">
      <alignment horizontal="right" vertical="center" readingOrder="2"/>
    </xf>
    <xf numFmtId="0" fontId="225" fillId="9" borderId="0" xfId="5" applyFont="1" applyFill="1" applyAlignment="1">
      <alignment horizontal="center" vertical="top" readingOrder="2"/>
    </xf>
    <xf numFmtId="3" fontId="57" fillId="9" borderId="0" xfId="19" applyNumberFormat="1" applyFont="1" applyFill="1" applyBorder="1" applyAlignment="1">
      <alignment horizontal="center" vertical="center" readingOrder="2"/>
    </xf>
    <xf numFmtId="0" fontId="129" fillId="9" borderId="0" xfId="0" applyFont="1" applyFill="1" applyAlignment="1">
      <alignment horizontal="center"/>
    </xf>
    <xf numFmtId="0" fontId="219" fillId="0" borderId="0" xfId="7" applyFont="1" applyAlignment="1">
      <alignment horizontal="center" vertical="top"/>
    </xf>
    <xf numFmtId="0" fontId="223" fillId="0" borderId="0" xfId="7" applyFont="1" applyAlignment="1">
      <alignment horizontal="center" vertical="top"/>
    </xf>
    <xf numFmtId="0" fontId="35" fillId="9" borderId="0" xfId="24" applyFont="1" applyFill="1" applyAlignment="1">
      <alignment horizontal="right" vertical="center" wrapText="1"/>
    </xf>
    <xf numFmtId="0" fontId="29" fillId="0" borderId="0" xfId="14" applyFont="1" applyAlignment="1">
      <alignment horizontal="center" readingOrder="2"/>
    </xf>
    <xf numFmtId="0" fontId="35" fillId="0" borderId="0" xfId="12" applyFont="1" applyAlignment="1">
      <alignment horizontal="center" vertical="center" readingOrder="2"/>
    </xf>
    <xf numFmtId="0" fontId="48" fillId="0" borderId="0" xfId="13" applyFont="1" applyAlignment="1">
      <alignment horizontal="right" vertical="center" wrapText="1" readingOrder="2"/>
    </xf>
    <xf numFmtId="0" fontId="35" fillId="0" borderId="0" xfId="5" applyFont="1" applyFill="1" applyAlignment="1">
      <alignment horizontal="center" vertical="center" readingOrder="2"/>
    </xf>
    <xf numFmtId="0" fontId="35" fillId="0" borderId="0" xfId="8" applyFont="1" applyBorder="1" applyAlignment="1">
      <alignment horizontal="center" vertical="center" readingOrder="2"/>
    </xf>
    <xf numFmtId="0" fontId="35" fillId="0" borderId="0" xfId="8" applyFont="1" applyAlignment="1">
      <alignment horizontal="right" vertical="top" wrapText="1" readingOrder="2"/>
    </xf>
    <xf numFmtId="0" fontId="35" fillId="0" borderId="0" xfId="8" applyFont="1" applyAlignment="1">
      <alignment horizontal="center" vertical="top" readingOrder="2"/>
    </xf>
    <xf numFmtId="0" fontId="35" fillId="0" borderId="0" xfId="8" applyFont="1" applyAlignment="1">
      <alignment horizontal="right" vertical="top" readingOrder="2"/>
    </xf>
    <xf numFmtId="0" fontId="221" fillId="0" borderId="0" xfId="7" applyFont="1" applyAlignment="1">
      <alignment horizontal="center" vertical="top"/>
    </xf>
    <xf numFmtId="0" fontId="163" fillId="0" borderId="0" xfId="8" applyFont="1" applyAlignment="1">
      <alignment vertical="top" wrapText="1" readingOrder="2"/>
    </xf>
    <xf numFmtId="0" fontId="163" fillId="0" borderId="0" xfId="8" applyFont="1" applyAlignment="1">
      <alignment vertical="center" wrapText="1" readingOrder="2"/>
    </xf>
    <xf numFmtId="0" fontId="163" fillId="0" borderId="0" xfId="8" applyFont="1" applyAlignment="1">
      <alignment horizontal="right" vertical="top" wrapText="1" readingOrder="2"/>
    </xf>
    <xf numFmtId="0" fontId="163" fillId="0" borderId="0" xfId="8" applyFont="1" applyAlignment="1">
      <alignment horizontal="right" vertical="center" wrapText="1" readingOrder="2"/>
    </xf>
    <xf numFmtId="0" fontId="60" fillId="0" borderId="0" xfId="8" applyFont="1" applyAlignment="1">
      <alignment horizontal="right" vertical="center" wrapText="1" readingOrder="2"/>
    </xf>
    <xf numFmtId="0" fontId="60" fillId="0" borderId="0" xfId="13" applyFont="1" applyAlignment="1">
      <alignment horizontal="right" vertical="center" wrapText="1" readingOrder="2"/>
    </xf>
    <xf numFmtId="49" fontId="39" fillId="0" borderId="0" xfId="0" applyNumberFormat="1" applyFont="1" applyAlignment="1">
      <alignment horizontal="left" vertical="top"/>
    </xf>
    <xf numFmtId="0" fontId="110" fillId="0" borderId="0" xfId="0" applyFont="1" applyFill="1" applyAlignment="1">
      <alignment horizontal="left" vertical="top"/>
    </xf>
    <xf numFmtId="0" fontId="197" fillId="0" borderId="0" xfId="8" applyFont="1" applyAlignment="1">
      <alignment horizontal="right" vertical="center" wrapText="1" readingOrder="2"/>
    </xf>
    <xf numFmtId="0" fontId="32" fillId="0" borderId="0" xfId="8" applyFont="1" applyBorder="1" applyAlignment="1">
      <alignment horizontal="center" vertical="center" readingOrder="2"/>
    </xf>
    <xf numFmtId="0" fontId="32" fillId="0" borderId="0" xfId="12" applyFont="1" applyAlignment="1">
      <alignment horizontal="right" vertical="center" wrapText="1" readingOrder="2"/>
    </xf>
    <xf numFmtId="0" fontId="32" fillId="0" borderId="0" xfId="8" applyFont="1" applyAlignment="1">
      <alignment horizontal="right" readingOrder="2"/>
    </xf>
    <xf numFmtId="0" fontId="35" fillId="9" borderId="0" xfId="14" applyFont="1" applyFill="1" applyAlignment="1">
      <alignment horizontal="right" readingOrder="2"/>
    </xf>
    <xf numFmtId="0" fontId="50" fillId="0" borderId="0" xfId="13" applyNumberFormat="1" applyFont="1" applyBorder="1" applyAlignment="1">
      <alignment horizontal="center" readingOrder="2"/>
    </xf>
    <xf numFmtId="0" fontId="34" fillId="0" borderId="0" xfId="8" applyFont="1" applyAlignment="1">
      <alignment horizontal="center" vertical="center" readingOrder="2"/>
    </xf>
    <xf numFmtId="0" fontId="43" fillId="0" borderId="0" xfId="8" applyFont="1" applyAlignment="1">
      <alignment horizontal="right" vertical="center" readingOrder="2"/>
    </xf>
    <xf numFmtId="0" fontId="60" fillId="0" borderId="0" xfId="0" applyFont="1" applyAlignment="1">
      <alignment horizontal="center"/>
    </xf>
    <xf numFmtId="0" fontId="32" fillId="0" borderId="0" xfId="14" applyFont="1" applyAlignment="1">
      <alignment horizontal="right" readingOrder="2"/>
    </xf>
    <xf numFmtId="0" fontId="127" fillId="0" borderId="0" xfId="0" applyFont="1" applyAlignment="1">
      <alignment horizontal="center"/>
    </xf>
    <xf numFmtId="0" fontId="125" fillId="0" borderId="0" xfId="0" applyFont="1" applyAlignment="1">
      <alignment horizontal="center"/>
    </xf>
    <xf numFmtId="0" fontId="59" fillId="0" borderId="0" xfId="0" applyFont="1"/>
    <xf numFmtId="0" fontId="31" fillId="9" borderId="0" xfId="24" applyFont="1" applyFill="1" applyAlignment="1">
      <alignment horizontal="center" readingOrder="2"/>
    </xf>
    <xf numFmtId="0" fontId="28" fillId="0" borderId="0" xfId="5" applyFont="1" applyAlignment="1">
      <alignment horizontal="center" vertical="top" readingOrder="2"/>
    </xf>
    <xf numFmtId="0" fontId="28" fillId="0" borderId="0" xfId="5" applyFont="1" applyAlignment="1">
      <alignment horizontal="center" vertical="center" readingOrder="2"/>
    </xf>
    <xf numFmtId="0" fontId="32" fillId="9" borderId="0" xfId="25" applyFont="1" applyFill="1" applyAlignment="1">
      <alignment horizontal="right" vertical="center"/>
    </xf>
    <xf numFmtId="0" fontId="34" fillId="0" borderId="0" xfId="14" applyFont="1" applyBorder="1" applyAlignment="1">
      <alignment horizontal="center"/>
    </xf>
    <xf numFmtId="0" fontId="34" fillId="9" borderId="0" xfId="25" applyFont="1" applyFill="1" applyAlignment="1">
      <alignment horizontal="right" vertical="center" wrapText="1" readingOrder="2"/>
    </xf>
    <xf numFmtId="0" fontId="34" fillId="9" borderId="0" xfId="25" applyFont="1" applyFill="1" applyAlignment="1">
      <alignment horizontal="right" vertical="center" wrapText="1"/>
    </xf>
    <xf numFmtId="0" fontId="226" fillId="0" borderId="0" xfId="5" applyFont="1" applyAlignment="1">
      <alignment horizontal="center" vertical="top" readingOrder="2"/>
    </xf>
    <xf numFmtId="0" fontId="31" fillId="0" borderId="0" xfId="8" applyFont="1" applyAlignment="1">
      <alignment horizontal="right" vertical="top" readingOrder="2"/>
    </xf>
    <xf numFmtId="0" fontId="31" fillId="0" borderId="0" xfId="8" applyFont="1" applyAlignment="1">
      <alignment horizontal="right" vertical="center" readingOrder="2"/>
    </xf>
    <xf numFmtId="0" fontId="48" fillId="0" borderId="0" xfId="13" applyFont="1" applyAlignment="1">
      <alignment horizontal="center" readingOrder="2"/>
    </xf>
    <xf numFmtId="0" fontId="48" fillId="0" borderId="0" xfId="13" applyFont="1" applyAlignment="1">
      <alignment horizontal="center" vertical="center" readingOrder="2"/>
    </xf>
    <xf numFmtId="0" fontId="35" fillId="0" borderId="0" xfId="5" applyFont="1" applyFill="1" applyBorder="1" applyAlignment="1">
      <alignment horizontal="center" vertical="center" readingOrder="2"/>
    </xf>
    <xf numFmtId="0" fontId="32" fillId="9" borderId="0" xfId="0" applyFont="1" applyFill="1" applyAlignment="1">
      <alignment horizontal="center"/>
    </xf>
    <xf numFmtId="0" fontId="97" fillId="9" borderId="0" xfId="0" applyFont="1" applyFill="1" applyAlignment="1">
      <alignment horizontal="right"/>
    </xf>
    <xf numFmtId="0" fontId="89" fillId="9" borderId="35" xfId="12" applyFont="1" applyFill="1" applyBorder="1" applyAlignment="1">
      <alignment horizontal="center" vertical="top" readingOrder="2"/>
    </xf>
    <xf numFmtId="0" fontId="43" fillId="9" borderId="0" xfId="19" applyFont="1" applyFill="1" applyBorder="1" applyAlignment="1">
      <alignment horizontal="right" vertical="top" wrapText="1" readingOrder="2"/>
    </xf>
    <xf numFmtId="0" fontId="43" fillId="9" borderId="0" xfId="22" applyFont="1" applyFill="1" applyAlignment="1">
      <alignment horizontal="right" vertical="center" wrapText="1" readingOrder="2"/>
    </xf>
    <xf numFmtId="0" fontId="297" fillId="9" borderId="35" xfId="21" applyNumberFormat="1" applyFont="1" applyFill="1" applyBorder="1" applyAlignment="1">
      <alignment horizontal="center" vertical="center" readingOrder="2"/>
    </xf>
    <xf numFmtId="166" fontId="40" fillId="9" borderId="0" xfId="5" applyNumberFormat="1" applyFont="1" applyFill="1" applyBorder="1" applyAlignment="1">
      <alignment horizontal="center" vertical="center" readingOrder="2"/>
    </xf>
    <xf numFmtId="0" fontId="40" fillId="9" borderId="0" xfId="21" applyFont="1" applyFill="1" applyAlignment="1">
      <alignment horizontal="left" vertical="center" readingOrder="2"/>
    </xf>
    <xf numFmtId="0" fontId="95" fillId="0" borderId="0" xfId="0" applyFont="1" applyFill="1" applyAlignment="1">
      <alignment horizontal="center" vertical="center"/>
    </xf>
    <xf numFmtId="0" fontId="30" fillId="9" borderId="0" xfId="19" applyFont="1" applyFill="1" applyAlignment="1">
      <alignment horizontal="right" vertical="top" wrapText="1" readingOrder="2"/>
    </xf>
    <xf numFmtId="0" fontId="280" fillId="9" borderId="0" xfId="5" applyFont="1" applyFill="1" applyAlignment="1">
      <alignment horizontal="center" vertical="top" readingOrder="2"/>
    </xf>
    <xf numFmtId="0" fontId="296" fillId="9" borderId="35" xfId="12" applyFont="1" applyFill="1" applyBorder="1" applyAlignment="1">
      <alignment horizontal="center" vertical="top" readingOrder="2"/>
    </xf>
    <xf numFmtId="0" fontId="30" fillId="9" borderId="0" xfId="19" applyFont="1" applyFill="1" applyAlignment="1">
      <alignment horizontal="center" vertical="top" readingOrder="2"/>
    </xf>
    <xf numFmtId="166" fontId="297" fillId="9" borderId="0" xfId="5" applyNumberFormat="1" applyFont="1" applyFill="1" applyBorder="1" applyAlignment="1">
      <alignment horizontal="center" vertical="center" readingOrder="2"/>
    </xf>
    <xf numFmtId="0" fontId="89" fillId="9" borderId="0" xfId="22" applyFont="1" applyFill="1" applyAlignment="1">
      <alignment horizontal="right" vertical="center" wrapText="1" readingOrder="2"/>
    </xf>
    <xf numFmtId="0" fontId="40" fillId="0" borderId="35" xfId="20" applyNumberFormat="1" applyFont="1" applyFill="1" applyBorder="1" applyAlignment="1">
      <alignment horizontal="center" vertical="center" readingOrder="2"/>
    </xf>
    <xf numFmtId="0" fontId="297" fillId="9" borderId="35" xfId="20" applyNumberFormat="1" applyFont="1" applyFill="1" applyBorder="1" applyAlignment="1">
      <alignment horizontal="center" vertical="center" readingOrder="2"/>
    </xf>
    <xf numFmtId="0" fontId="30" fillId="9" borderId="0" xfId="0" applyFont="1" applyFill="1" applyAlignment="1">
      <alignment horizontal="center" vertical="center"/>
    </xf>
    <xf numFmtId="0" fontId="30" fillId="0" borderId="0" xfId="8" applyFont="1" applyAlignment="1">
      <alignment horizontal="right" vertical="top" wrapText="1" readingOrder="2"/>
    </xf>
    <xf numFmtId="0" fontId="278" fillId="9" borderId="0" xfId="5" applyFont="1" applyFill="1" applyAlignment="1">
      <alignment horizontal="center" vertical="top" readingOrder="2"/>
    </xf>
    <xf numFmtId="0" fontId="309" fillId="0" borderId="0" xfId="0" applyFont="1" applyFill="1" applyAlignment="1">
      <alignment horizontal="center" vertical="center"/>
    </xf>
    <xf numFmtId="0" fontId="31" fillId="9" borderId="0" xfId="21" applyFont="1" applyFill="1" applyAlignment="1">
      <alignment horizontal="left" readingOrder="2"/>
    </xf>
    <xf numFmtId="0" fontId="40" fillId="9" borderId="0" xfId="22" applyFont="1" applyFill="1" applyAlignment="1">
      <alignment horizontal="right" vertical="center" wrapText="1" readingOrder="2"/>
    </xf>
    <xf numFmtId="0" fontId="40" fillId="0" borderId="0" xfId="8" applyFont="1" applyAlignment="1">
      <alignment horizontal="right" vertical="top" readingOrder="2"/>
    </xf>
    <xf numFmtId="0" fontId="66" fillId="9" borderId="0" xfId="19" applyFont="1" applyFill="1" applyBorder="1" applyAlignment="1">
      <alignment horizontal="right" vertical="center" readingOrder="2"/>
    </xf>
    <xf numFmtId="0" fontId="319" fillId="9" borderId="0" xfId="2123" applyFont="1" applyFill="1" applyBorder="1" applyAlignment="1">
      <alignment horizontal="center" vertical="top" readingOrder="2"/>
    </xf>
    <xf numFmtId="0" fontId="66" fillId="9" borderId="35" xfId="12" applyFont="1" applyFill="1" applyBorder="1" applyAlignment="1">
      <alignment horizontal="center" vertical="top" readingOrder="2"/>
    </xf>
    <xf numFmtId="49" fontId="40" fillId="0" borderId="0" xfId="20" applyNumberFormat="1" applyFont="1" applyFill="1" applyAlignment="1">
      <alignment horizontal="right" vertical="center" readingOrder="2"/>
    </xf>
    <xf numFmtId="0" fontId="40" fillId="0" borderId="0" xfId="8" applyFont="1" applyAlignment="1">
      <alignment horizontal="right" vertical="top" wrapText="1" readingOrder="2"/>
    </xf>
    <xf numFmtId="0" fontId="46" fillId="9" borderId="32" xfId="19" applyFont="1" applyFill="1" applyBorder="1" applyAlignment="1">
      <alignment horizontal="center" vertical="center" wrapText="1" readingOrder="2"/>
    </xf>
    <xf numFmtId="0" fontId="46" fillId="9" borderId="32" xfId="19" applyFont="1" applyFill="1" applyBorder="1" applyAlignment="1">
      <alignment horizontal="center" vertical="center" readingOrder="2"/>
    </xf>
    <xf numFmtId="0" fontId="84" fillId="0" borderId="0" xfId="0" applyFont="1" applyAlignment="1">
      <alignment horizontal="center"/>
    </xf>
    <xf numFmtId="0" fontId="35" fillId="9" borderId="0" xfId="19" applyFont="1" applyFill="1" applyBorder="1" applyAlignment="1">
      <alignment horizontal="right" vertical="top" wrapText="1" readingOrder="2"/>
    </xf>
    <xf numFmtId="0" fontId="35" fillId="9" borderId="0" xfId="0" applyFont="1" applyFill="1" applyAlignment="1">
      <alignment horizontal="center" vertical="center"/>
    </xf>
    <xf numFmtId="0" fontId="34" fillId="9" borderId="35" xfId="20" applyNumberFormat="1" applyFont="1" applyFill="1" applyBorder="1" applyAlignment="1">
      <alignment horizontal="center" vertical="center" readingOrder="2"/>
    </xf>
    <xf numFmtId="0" fontId="34" fillId="9" borderId="35" xfId="21" applyNumberFormat="1" applyFont="1" applyFill="1" applyBorder="1" applyAlignment="1">
      <alignment horizontal="center" vertical="center" readingOrder="2"/>
    </xf>
    <xf numFmtId="0" fontId="194" fillId="9" borderId="0" xfId="5" applyFont="1" applyFill="1" applyAlignment="1">
      <alignment horizontal="center" vertical="top" readingOrder="2"/>
    </xf>
    <xf numFmtId="0" fontId="34" fillId="9" borderId="0" xfId="22" applyFont="1" applyFill="1" applyAlignment="1">
      <alignment horizontal="center" vertical="top" wrapText="1" readingOrder="2"/>
    </xf>
    <xf numFmtId="0" fontId="34" fillId="9" borderId="0" xfId="22" applyFont="1" applyFill="1" applyAlignment="1">
      <alignment horizontal="center" readingOrder="2"/>
    </xf>
    <xf numFmtId="0" fontId="34" fillId="9" borderId="0" xfId="22" applyFont="1" applyFill="1" applyAlignment="1">
      <alignment horizontal="right" readingOrder="2"/>
    </xf>
    <xf numFmtId="0" fontId="34" fillId="9" borderId="0" xfId="21" applyFont="1" applyFill="1" applyAlignment="1">
      <alignment horizontal="right" vertical="top" readingOrder="2"/>
    </xf>
    <xf numFmtId="0" fontId="34" fillId="9" borderId="0" xfId="22" applyFont="1" applyFill="1" applyAlignment="1">
      <alignment horizontal="right"/>
    </xf>
    <xf numFmtId="0" fontId="34" fillId="9" borderId="0" xfId="19" applyFont="1" applyFill="1" applyAlignment="1">
      <alignment horizontal="right" vertical="top" wrapText="1" readingOrder="2"/>
    </xf>
    <xf numFmtId="0" fontId="97" fillId="9" borderId="0" xfId="0" applyFont="1" applyFill="1" applyAlignment="1">
      <alignment horizontal="right" vertical="top" wrapText="1"/>
    </xf>
    <xf numFmtId="49" fontId="97" fillId="9" borderId="0" xfId="0" applyNumberFormat="1" applyFont="1" applyFill="1" applyAlignment="1">
      <alignment horizontal="left" vertical="top"/>
    </xf>
    <xf numFmtId="0" fontId="35" fillId="9" borderId="0" xfId="19" applyFont="1" applyFill="1" applyAlignment="1">
      <alignment horizontal="center" vertical="top" wrapText="1" readingOrder="2"/>
    </xf>
    <xf numFmtId="0" fontId="90" fillId="9" borderId="0" xfId="0" applyFont="1" applyFill="1" applyAlignment="1">
      <alignment horizontal="left"/>
    </xf>
    <xf numFmtId="0" fontId="326" fillId="9" borderId="0" xfId="5" applyFont="1" applyFill="1" applyAlignment="1">
      <alignment horizontal="center" vertical="top" readingOrder="2"/>
    </xf>
    <xf numFmtId="49" fontId="164" fillId="9" borderId="0" xfId="0" applyNumberFormat="1" applyFont="1" applyFill="1" applyAlignment="1">
      <alignment horizontal="left" vertical="top"/>
    </xf>
    <xf numFmtId="166" fontId="30" fillId="9" borderId="0" xfId="23" applyNumberFormat="1" applyFont="1" applyFill="1" applyBorder="1" applyAlignment="1">
      <alignment horizontal="center" vertical="center" readingOrder="2"/>
    </xf>
    <xf numFmtId="0" fontId="30" fillId="9" borderId="0" xfId="14" applyFont="1" applyFill="1" applyAlignment="1">
      <alignment horizontal="center" readingOrder="2"/>
    </xf>
    <xf numFmtId="0" fontId="29" fillId="9" borderId="0" xfId="8" applyFont="1" applyFill="1" applyAlignment="1">
      <alignment horizontal="right" vertical="top" wrapText="1" readingOrder="2"/>
    </xf>
    <xf numFmtId="0" fontId="79" fillId="9" borderId="0" xfId="8" applyFont="1" applyFill="1" applyAlignment="1">
      <alignment horizontal="right" vertical="top" wrapText="1" readingOrder="2"/>
    </xf>
    <xf numFmtId="164" fontId="30" fillId="9" borderId="0" xfId="23" applyNumberFormat="1" applyFont="1" applyFill="1" applyBorder="1" applyAlignment="1">
      <alignment horizontal="center" vertical="center"/>
    </xf>
    <xf numFmtId="0" fontId="316" fillId="9" borderId="0" xfId="5" applyFont="1" applyFill="1" applyAlignment="1">
      <alignment horizontal="center" vertical="top" readingOrder="2"/>
    </xf>
    <xf numFmtId="0" fontId="30" fillId="9" borderId="0" xfId="23" applyFont="1" applyFill="1" applyBorder="1" applyAlignment="1">
      <alignment horizontal="center" vertical="center" readingOrder="2"/>
    </xf>
    <xf numFmtId="0" fontId="30" fillId="9" borderId="16" xfId="23" applyFont="1" applyFill="1" applyBorder="1" applyAlignment="1">
      <alignment horizontal="center" vertical="center" readingOrder="2"/>
    </xf>
    <xf numFmtId="0" fontId="30" fillId="9" borderId="6" xfId="23" applyFont="1" applyFill="1" applyBorder="1" applyAlignment="1">
      <alignment horizontal="center" vertical="center" wrapText="1" readingOrder="2"/>
    </xf>
    <xf numFmtId="0" fontId="30" fillId="9" borderId="16" xfId="23" applyFont="1" applyFill="1" applyBorder="1" applyAlignment="1">
      <alignment horizontal="center" vertical="center" wrapText="1" readingOrder="2"/>
    </xf>
    <xf numFmtId="0" fontId="30" fillId="9" borderId="6" xfId="23" applyFont="1" applyFill="1" applyBorder="1" applyAlignment="1">
      <alignment horizontal="center" vertical="center" wrapText="1"/>
    </xf>
    <xf numFmtId="0" fontId="30" fillId="9" borderId="16" xfId="23" applyFont="1" applyFill="1" applyBorder="1" applyAlignment="1">
      <alignment horizontal="center" vertical="center" wrapText="1"/>
    </xf>
    <xf numFmtId="0" fontId="30" fillId="9" borderId="40" xfId="23" applyFont="1" applyFill="1" applyBorder="1" applyAlignment="1">
      <alignment horizontal="center" vertical="center" readingOrder="2"/>
    </xf>
    <xf numFmtId="166" fontId="30" fillId="9" borderId="16" xfId="23" applyNumberFormat="1" applyFont="1" applyFill="1" applyBorder="1" applyAlignment="1">
      <alignment horizontal="center" vertical="center" readingOrder="2"/>
    </xf>
    <xf numFmtId="0" fontId="79" fillId="9" borderId="0" xfId="19" applyFont="1" applyFill="1" applyAlignment="1">
      <alignment horizontal="right" vertical="center" wrapText="1" readingOrder="2"/>
    </xf>
    <xf numFmtId="0" fontId="223" fillId="9" borderId="0" xfId="5" applyFont="1" applyFill="1" applyAlignment="1">
      <alignment horizontal="center" vertical="top" readingOrder="2"/>
    </xf>
    <xf numFmtId="0" fontId="89" fillId="9" borderId="0" xfId="0" applyFont="1" applyFill="1" applyAlignment="1">
      <alignment horizontal="center"/>
    </xf>
    <xf numFmtId="49" fontId="43" fillId="9" borderId="0" xfId="0" applyNumberFormat="1" applyFont="1" applyFill="1" applyAlignment="1">
      <alignment horizontal="left"/>
    </xf>
    <xf numFmtId="49" fontId="43" fillId="9" borderId="0" xfId="0" applyNumberFormat="1" applyFont="1" applyFill="1" applyAlignment="1">
      <alignment horizontal="left" vertical="center"/>
    </xf>
    <xf numFmtId="0" fontId="89" fillId="9" borderId="0" xfId="0" applyFont="1" applyFill="1" applyAlignment="1">
      <alignment horizontal="right" vertical="center" wrapText="1"/>
    </xf>
    <xf numFmtId="49" fontId="43" fillId="9" borderId="0" xfId="0" applyNumberFormat="1" applyFont="1" applyFill="1" applyAlignment="1">
      <alignment horizontal="left" vertical="top"/>
    </xf>
    <xf numFmtId="0" fontId="37" fillId="9" borderId="0" xfId="0" applyFont="1" applyFill="1" applyAlignment="1">
      <alignment horizontal="right" vertical="center" wrapText="1" readingOrder="2"/>
    </xf>
    <xf numFmtId="0" fontId="124" fillId="9" borderId="0" xfId="0" applyFont="1" applyFill="1" applyAlignment="1">
      <alignment horizontal="center"/>
    </xf>
    <xf numFmtId="0" fontId="30" fillId="9" borderId="0" xfId="29" applyFont="1" applyFill="1" applyAlignment="1">
      <alignment horizontal="right" vertical="top" wrapText="1" readingOrder="2"/>
    </xf>
    <xf numFmtId="0" fontId="42" fillId="0" borderId="0" xfId="0" applyFont="1" applyAlignment="1">
      <alignment horizontal="right" vertical="center" wrapText="1" readingOrder="2"/>
    </xf>
    <xf numFmtId="0" fontId="42" fillId="9" borderId="0" xfId="30" applyFont="1" applyFill="1" applyAlignment="1">
      <alignment horizontal="center" vertical="center"/>
    </xf>
    <xf numFmtId="0" fontId="228" fillId="0" borderId="0" xfId="5" applyFont="1" applyAlignment="1">
      <alignment horizontal="center" vertical="top" readingOrder="2"/>
    </xf>
    <xf numFmtId="0" fontId="238" fillId="9" borderId="0" xfId="0" applyFont="1" applyFill="1" applyAlignment="1">
      <alignment horizontal="right" vertical="center" wrapText="1" readingOrder="2"/>
    </xf>
    <xf numFmtId="0" fontId="237" fillId="9" borderId="0" xfId="22" applyFont="1" applyFill="1" applyAlignment="1">
      <alignment horizontal="right" vertical="center" readingOrder="2"/>
    </xf>
    <xf numFmtId="3" fontId="78" fillId="0" borderId="0" xfId="0" applyNumberFormat="1" applyFont="1" applyBorder="1" applyAlignment="1">
      <alignment horizontal="center" vertical="center" wrapText="1" readingOrder="2"/>
    </xf>
    <xf numFmtId="49" fontId="32" fillId="9" borderId="0" xfId="27" applyNumberFormat="1" applyFont="1" applyFill="1" applyBorder="1" applyAlignment="1">
      <alignment horizontal="center" vertical="center"/>
    </xf>
    <xf numFmtId="0" fontId="60" fillId="9" borderId="0" xfId="12" applyFont="1" applyFill="1" applyAlignment="1">
      <alignment horizontal="center" vertical="top" readingOrder="2"/>
    </xf>
    <xf numFmtId="0" fontId="60" fillId="0" borderId="0" xfId="8" applyFont="1" applyAlignment="1">
      <alignment horizontal="center" vertical="center" readingOrder="2"/>
    </xf>
    <xf numFmtId="3" fontId="78" fillId="0" borderId="35" xfId="0" applyNumberFormat="1" applyFont="1" applyBorder="1" applyAlignment="1">
      <alignment horizontal="center" vertical="center" wrapText="1" readingOrder="2"/>
    </xf>
    <xf numFmtId="0" fontId="37" fillId="0" borderId="0" xfId="0" applyFont="1" applyBorder="1" applyAlignment="1">
      <alignment horizontal="right" vertical="center" wrapText="1" readingOrder="2"/>
    </xf>
    <xf numFmtId="0" fontId="232" fillId="0" borderId="0" xfId="0" applyFont="1" applyBorder="1" applyAlignment="1">
      <alignment horizontal="right" vertical="center" wrapText="1" readingOrder="2"/>
    </xf>
    <xf numFmtId="0" fontId="78" fillId="0" borderId="35" xfId="0" applyFont="1" applyBorder="1" applyAlignment="1">
      <alignment horizontal="center" vertical="center" wrapText="1" readingOrder="2"/>
    </xf>
    <xf numFmtId="0" fontId="78" fillId="0" borderId="36" xfId="0" applyFont="1" applyBorder="1" applyAlignment="1">
      <alignment horizontal="center" vertical="center" wrapText="1" readingOrder="2"/>
    </xf>
    <xf numFmtId="0" fontId="74" fillId="0" borderId="36" xfId="0" applyFont="1" applyBorder="1" applyAlignment="1">
      <alignment horizontal="center" vertical="center" wrapText="1" readingOrder="2"/>
    </xf>
    <xf numFmtId="0" fontId="37" fillId="0" borderId="0" xfId="0" applyFont="1" applyAlignment="1">
      <alignment horizontal="right" vertical="center" wrapText="1" readingOrder="2"/>
    </xf>
    <xf numFmtId="0" fontId="78" fillId="0" borderId="0" xfId="0" applyFont="1" applyAlignment="1">
      <alignment horizontal="right" vertical="center" wrapText="1" readingOrder="2"/>
    </xf>
    <xf numFmtId="0" fontId="221" fillId="9" borderId="0" xfId="2123" applyFont="1" applyFill="1" applyAlignment="1">
      <alignment horizontal="center" vertical="top" readingOrder="2"/>
    </xf>
    <xf numFmtId="3" fontId="78" fillId="0" borderId="33" xfId="0" applyNumberFormat="1" applyFont="1" applyBorder="1" applyAlignment="1">
      <alignment horizontal="center" vertical="center" wrapText="1" readingOrder="2"/>
    </xf>
    <xf numFmtId="0" fontId="78" fillId="0" borderId="0" xfId="0" applyFont="1" applyBorder="1" applyAlignment="1">
      <alignment horizontal="center" vertical="center" wrapText="1" readingOrder="2"/>
    </xf>
    <xf numFmtId="0" fontId="78" fillId="0" borderId="0" xfId="0" applyFont="1" applyBorder="1" applyAlignment="1">
      <alignment horizontal="right" vertical="center" wrapText="1" readingOrder="2"/>
    </xf>
    <xf numFmtId="0" fontId="95" fillId="0" borderId="35" xfId="0" applyFont="1" applyBorder="1" applyAlignment="1">
      <alignment horizontal="center" vertical="center" wrapText="1" readingOrder="2"/>
    </xf>
    <xf numFmtId="3" fontId="78" fillId="0" borderId="34" xfId="0" applyNumberFormat="1" applyFont="1" applyBorder="1" applyAlignment="1">
      <alignment horizontal="center" vertical="center" wrapText="1" readingOrder="2"/>
    </xf>
    <xf numFmtId="0" fontId="74" fillId="0" borderId="0" xfId="0" applyFont="1" applyBorder="1" applyAlignment="1">
      <alignment horizontal="center" vertical="center" wrapText="1" readingOrder="2"/>
    </xf>
    <xf numFmtId="49" fontId="32" fillId="9" borderId="34" xfId="27" applyNumberFormat="1" applyFont="1" applyFill="1" applyBorder="1" applyAlignment="1">
      <alignment horizontal="center" vertical="center"/>
    </xf>
    <xf numFmtId="0" fontId="74" fillId="0" borderId="35" xfId="0" applyFont="1" applyBorder="1" applyAlignment="1">
      <alignment horizontal="center" vertical="center" wrapText="1" readingOrder="2"/>
    </xf>
    <xf numFmtId="0" fontId="31" fillId="9" borderId="0" xfId="31" applyFont="1" applyFill="1" applyAlignment="1">
      <alignment horizontal="right" vertical="top" wrapText="1" readingOrder="2"/>
    </xf>
    <xf numFmtId="0" fontId="227" fillId="9" borderId="0" xfId="2123" applyFont="1" applyFill="1" applyBorder="1" applyAlignment="1">
      <alignment horizontal="center" vertical="top" readingOrder="2"/>
    </xf>
    <xf numFmtId="0" fontId="32" fillId="9" borderId="0" xfId="15" applyFont="1" applyFill="1" applyAlignment="1">
      <alignment horizontal="right" vertical="top" wrapText="1" readingOrder="2"/>
    </xf>
    <xf numFmtId="0" fontId="264" fillId="9" borderId="0" xfId="31" applyFont="1" applyFill="1" applyBorder="1" applyAlignment="1">
      <alignment horizontal="right" vertical="top" wrapText="1"/>
    </xf>
    <xf numFmtId="0" fontId="264" fillId="9" borderId="0" xfId="31" applyFont="1" applyFill="1" applyBorder="1" applyAlignment="1">
      <alignment horizontal="right" vertical="top"/>
    </xf>
    <xf numFmtId="0" fontId="263" fillId="9" borderId="0" xfId="2123" applyFont="1" applyFill="1" applyBorder="1" applyAlignment="1">
      <alignment horizontal="right" vertical="top" readingOrder="2"/>
    </xf>
    <xf numFmtId="0" fontId="48" fillId="9" borderId="0" xfId="31" applyFont="1" applyFill="1" applyAlignment="1">
      <alignment horizontal="center" vertical="top"/>
    </xf>
    <xf numFmtId="0" fontId="43" fillId="9" borderId="0" xfId="32" applyFont="1" applyFill="1" applyBorder="1" applyAlignment="1">
      <alignment vertical="top" shrinkToFit="1" readingOrder="2"/>
    </xf>
    <xf numFmtId="0" fontId="132" fillId="0" borderId="0" xfId="0" applyFont="1" applyAlignment="1">
      <alignment horizontal="center" vertical="center" shrinkToFit="1"/>
    </xf>
    <xf numFmtId="0" fontId="57" fillId="9" borderId="19" xfId="32" applyFont="1" applyFill="1" applyBorder="1" applyAlignment="1">
      <alignment horizontal="center" vertical="center" wrapText="1"/>
    </xf>
    <xf numFmtId="0" fontId="57" fillId="9" borderId="46" xfId="32" applyFont="1" applyFill="1" applyBorder="1" applyAlignment="1">
      <alignment horizontal="center" vertical="center" wrapText="1"/>
    </xf>
    <xf numFmtId="0" fontId="57" fillId="9" borderId="64" xfId="32" applyFont="1" applyFill="1" applyBorder="1" applyAlignment="1">
      <alignment horizontal="center" vertical="center" wrapText="1" readingOrder="2"/>
    </xf>
    <xf numFmtId="0" fontId="57" fillId="9" borderId="43" xfId="32" applyFont="1" applyFill="1" applyBorder="1" applyAlignment="1">
      <alignment horizontal="center" vertical="center" wrapText="1" readingOrder="2"/>
    </xf>
    <xf numFmtId="0" fontId="57" fillId="9" borderId="67" xfId="32" applyFont="1" applyFill="1" applyBorder="1" applyAlignment="1">
      <alignment horizontal="center" vertical="center" wrapText="1" readingOrder="2"/>
    </xf>
    <xf numFmtId="0" fontId="57" fillId="9" borderId="3" xfId="32" applyFont="1" applyFill="1" applyBorder="1" applyAlignment="1">
      <alignment horizontal="center" vertical="center" wrapText="1" readingOrder="2"/>
    </xf>
    <xf numFmtId="0" fontId="57" fillId="9" borderId="61" xfId="12" applyFont="1" applyFill="1" applyBorder="1" applyAlignment="1">
      <alignment horizontal="center" vertical="center" readingOrder="2"/>
    </xf>
    <xf numFmtId="0" fontId="57" fillId="9" borderId="51" xfId="12" applyFont="1" applyFill="1" applyBorder="1" applyAlignment="1">
      <alignment horizontal="center" vertical="center" readingOrder="2"/>
    </xf>
    <xf numFmtId="0" fontId="330" fillId="9" borderId="0" xfId="12" applyFont="1" applyFill="1" applyBorder="1" applyAlignment="1">
      <alignment horizontal="right" vertical="top" readingOrder="2"/>
    </xf>
    <xf numFmtId="0" fontId="57" fillId="9" borderId="0" xfId="12" applyFont="1" applyFill="1" applyBorder="1" applyAlignment="1">
      <alignment horizontal="right" vertical="top" readingOrder="2"/>
    </xf>
    <xf numFmtId="0" fontId="57" fillId="9" borderId="0" xfId="31" applyFont="1" applyFill="1" applyBorder="1" applyAlignment="1">
      <alignment horizontal="left" vertical="top" readingOrder="2"/>
    </xf>
    <xf numFmtId="0" fontId="57" fillId="9" borderId="55" xfId="12" applyFont="1" applyFill="1" applyBorder="1" applyAlignment="1">
      <alignment horizontal="center" vertical="center" readingOrder="2"/>
    </xf>
    <xf numFmtId="0" fontId="57" fillId="9" borderId="16" xfId="12" applyFont="1" applyFill="1" applyBorder="1" applyAlignment="1">
      <alignment horizontal="center" vertical="center" readingOrder="2"/>
    </xf>
    <xf numFmtId="0" fontId="57" fillId="9" borderId="61" xfId="32" applyFont="1" applyFill="1" applyBorder="1" applyAlignment="1">
      <alignment horizontal="center" vertical="center" wrapText="1" readingOrder="2"/>
    </xf>
    <xf numFmtId="0" fontId="57" fillId="9" borderId="51" xfId="32" applyFont="1" applyFill="1" applyBorder="1" applyAlignment="1">
      <alignment horizontal="center" vertical="center" wrapText="1" readingOrder="2"/>
    </xf>
    <xf numFmtId="0" fontId="57" fillId="9" borderId="24" xfId="32" applyFont="1" applyFill="1" applyBorder="1" applyAlignment="1">
      <alignment horizontal="center" vertical="center" wrapText="1" readingOrder="2"/>
    </xf>
    <xf numFmtId="0" fontId="164" fillId="9" borderId="53" xfId="0" applyFont="1" applyFill="1" applyBorder="1" applyAlignment="1">
      <alignment horizontal="center" vertical="center"/>
    </xf>
    <xf numFmtId="0" fontId="164" fillId="9" borderId="14" xfId="0" applyFont="1" applyFill="1" applyBorder="1" applyAlignment="1">
      <alignment horizontal="center" vertical="center"/>
    </xf>
    <xf numFmtId="0" fontId="92" fillId="9" borderId="0" xfId="26" applyFont="1" applyFill="1" applyBorder="1" applyAlignment="1">
      <alignment horizontal="right" vertical="top" readingOrder="2"/>
    </xf>
    <xf numFmtId="0" fontId="57" fillId="9" borderId="3" xfId="32" applyFont="1" applyFill="1" applyBorder="1" applyAlignment="1">
      <alignment horizontal="center" vertical="center" wrapText="1"/>
    </xf>
    <xf numFmtId="0" fontId="57" fillId="9" borderId="43" xfId="32" applyFont="1" applyFill="1" applyBorder="1" applyAlignment="1">
      <alignment horizontal="center" vertical="center" wrapText="1"/>
    </xf>
    <xf numFmtId="0" fontId="57" fillId="9" borderId="13" xfId="32" applyFont="1" applyFill="1" applyBorder="1" applyAlignment="1">
      <alignment horizontal="center" vertical="center" wrapText="1"/>
    </xf>
    <xf numFmtId="0" fontId="57" fillId="9" borderId="48" xfId="32" applyFont="1" applyFill="1" applyBorder="1" applyAlignment="1">
      <alignment horizontal="center" vertical="center" shrinkToFit="1"/>
    </xf>
    <xf numFmtId="0" fontId="57" fillId="9" borderId="19" xfId="32" applyFont="1" applyFill="1" applyBorder="1" applyAlignment="1">
      <alignment horizontal="center" vertical="center" shrinkToFit="1"/>
    </xf>
    <xf numFmtId="0" fontId="57" fillId="9" borderId="17" xfId="32" applyFont="1" applyFill="1" applyBorder="1" applyAlignment="1">
      <alignment horizontal="center" vertical="center" shrinkToFit="1"/>
    </xf>
    <xf numFmtId="0" fontId="57" fillId="9" borderId="48" xfId="32" applyFont="1" applyFill="1" applyBorder="1" applyAlignment="1">
      <alignment horizontal="center" vertical="center" wrapText="1"/>
    </xf>
    <xf numFmtId="0" fontId="57" fillId="9" borderId="17" xfId="32" applyFont="1" applyFill="1" applyBorder="1" applyAlignment="1">
      <alignment horizontal="center" vertical="center" wrapText="1"/>
    </xf>
    <xf numFmtId="0" fontId="57" fillId="9" borderId="48" xfId="32" applyFont="1" applyFill="1" applyBorder="1" applyAlignment="1">
      <alignment horizontal="center" vertical="center" wrapText="1" shrinkToFit="1"/>
    </xf>
    <xf numFmtId="0" fontId="57" fillId="9" borderId="19" xfId="32" applyFont="1" applyFill="1" applyBorder="1" applyAlignment="1">
      <alignment horizontal="center" vertical="center" wrapText="1" shrinkToFit="1"/>
    </xf>
    <xf numFmtId="0" fontId="57" fillId="9" borderId="17" xfId="32" applyFont="1" applyFill="1" applyBorder="1" applyAlignment="1">
      <alignment horizontal="center" vertical="center" wrapText="1" shrinkToFit="1"/>
    </xf>
    <xf numFmtId="0" fontId="57" fillId="9" borderId="47" xfId="32" applyFont="1" applyFill="1" applyBorder="1" applyAlignment="1">
      <alignment horizontal="center" vertical="center" wrapText="1"/>
    </xf>
    <xf numFmtId="0" fontId="57" fillId="9" borderId="4" xfId="32" applyFont="1" applyFill="1" applyBorder="1" applyAlignment="1">
      <alignment horizontal="center" vertical="center" wrapText="1"/>
    </xf>
    <xf numFmtId="0" fontId="57" fillId="9" borderId="11" xfId="32" applyFont="1" applyFill="1" applyBorder="1" applyAlignment="1">
      <alignment horizontal="center" vertical="center" wrapText="1"/>
    </xf>
    <xf numFmtId="0" fontId="57" fillId="9" borderId="14" xfId="32" applyFont="1" applyFill="1" applyBorder="1" applyAlignment="1">
      <alignment horizontal="center" vertical="center" wrapText="1"/>
    </xf>
    <xf numFmtId="0" fontId="90" fillId="0" borderId="0" xfId="32" applyFont="1" applyBorder="1" applyAlignment="1">
      <alignment horizontal="right" vertical="top" shrinkToFit="1" readingOrder="2"/>
    </xf>
    <xf numFmtId="0" fontId="92" fillId="9" borderId="61" xfId="32" applyFont="1" applyFill="1" applyBorder="1" applyAlignment="1">
      <alignment horizontal="center" vertical="center" wrapText="1" readingOrder="2"/>
    </xf>
    <xf numFmtId="0" fontId="92" fillId="9" borderId="51" xfId="32" applyFont="1" applyFill="1" applyBorder="1" applyAlignment="1">
      <alignment horizontal="center" vertical="center" wrapText="1" readingOrder="2"/>
    </xf>
    <xf numFmtId="0" fontId="57" fillId="9" borderId="71" xfId="32" applyFont="1" applyFill="1" applyBorder="1" applyAlignment="1">
      <alignment horizontal="center" vertical="center" wrapText="1" readingOrder="2"/>
    </xf>
    <xf numFmtId="0" fontId="57" fillId="9" borderId="72" xfId="32" applyFont="1" applyFill="1" applyBorder="1" applyAlignment="1">
      <alignment horizontal="center" vertical="center" wrapText="1" readingOrder="2"/>
    </xf>
    <xf numFmtId="0" fontId="57" fillId="9" borderId="73" xfId="32" applyFont="1" applyFill="1" applyBorder="1" applyAlignment="1">
      <alignment horizontal="center" vertical="center" wrapText="1" readingOrder="2"/>
    </xf>
    <xf numFmtId="0" fontId="57" fillId="9" borderId="21" xfId="32" applyFont="1" applyFill="1" applyBorder="1" applyAlignment="1">
      <alignment horizontal="center" vertical="center" wrapText="1" readingOrder="2"/>
    </xf>
    <xf numFmtId="0" fontId="57" fillId="9" borderId="70" xfId="32" applyFont="1" applyFill="1" applyBorder="1" applyAlignment="1">
      <alignment horizontal="center" vertical="center" wrapText="1" readingOrder="2"/>
    </xf>
    <xf numFmtId="0" fontId="222" fillId="0" borderId="0" xfId="2123" applyFont="1" applyAlignment="1">
      <alignment horizontal="center" vertical="top" readingOrder="2"/>
    </xf>
    <xf numFmtId="0" fontId="92" fillId="9" borderId="0" xfId="32" applyFont="1" applyFill="1" applyBorder="1" applyAlignment="1">
      <alignment horizontal="right" vertical="top" wrapText="1" readingOrder="2"/>
    </xf>
    <xf numFmtId="0" fontId="57" fillId="9" borderId="71" xfId="32" applyFont="1" applyFill="1" applyBorder="1" applyAlignment="1">
      <alignment horizontal="center" vertical="center" wrapText="1"/>
    </xf>
    <xf numFmtId="0" fontId="57" fillId="9" borderId="72" xfId="32" applyFont="1" applyFill="1" applyBorder="1" applyAlignment="1">
      <alignment horizontal="center" vertical="center" wrapText="1"/>
    </xf>
    <xf numFmtId="0" fontId="57" fillId="9" borderId="73" xfId="32" applyFont="1" applyFill="1" applyBorder="1" applyAlignment="1">
      <alignment horizontal="center" vertical="center" wrapText="1"/>
    </xf>
    <xf numFmtId="0" fontId="92" fillId="9" borderId="57" xfId="32" applyFont="1" applyFill="1" applyBorder="1" applyAlignment="1">
      <alignment horizontal="center" vertical="center" shrinkToFit="1"/>
    </xf>
    <xf numFmtId="0" fontId="92" fillId="9" borderId="23" xfId="32" applyFont="1" applyFill="1" applyBorder="1" applyAlignment="1">
      <alignment horizontal="center" vertical="center" shrinkToFit="1"/>
    </xf>
    <xf numFmtId="0" fontId="92" fillId="9" borderId="66" xfId="32" applyFont="1" applyFill="1" applyBorder="1" applyAlignment="1">
      <alignment horizontal="center" vertical="center" shrinkToFit="1"/>
    </xf>
    <xf numFmtId="0" fontId="57" fillId="9" borderId="74" xfId="32" applyFont="1" applyFill="1" applyBorder="1" applyAlignment="1">
      <alignment horizontal="center" vertical="center" wrapText="1" readingOrder="2"/>
    </xf>
    <xf numFmtId="0" fontId="57" fillId="9" borderId="9" xfId="32" applyFont="1" applyFill="1" applyBorder="1" applyAlignment="1">
      <alignment horizontal="center" vertical="center" wrapText="1" readingOrder="2"/>
    </xf>
    <xf numFmtId="0" fontId="57" fillId="9" borderId="58" xfId="32" applyFont="1" applyFill="1" applyBorder="1" applyAlignment="1">
      <alignment horizontal="center" vertical="center" wrapText="1" readingOrder="2"/>
    </xf>
    <xf numFmtId="0" fontId="218" fillId="9" borderId="0" xfId="2123" applyFont="1" applyFill="1" applyBorder="1" applyAlignment="1">
      <alignment horizontal="center" vertical="top" readingOrder="2"/>
    </xf>
    <xf numFmtId="0" fontId="59" fillId="0" borderId="0" xfId="0" applyFont="1" applyAlignment="1">
      <alignment horizontal="center" vertical="center"/>
    </xf>
    <xf numFmtId="191" fontId="206" fillId="0" borderId="24" xfId="42" applyNumberFormat="1" applyFont="1" applyBorder="1" applyAlignment="1">
      <alignment horizontal="center" vertical="center" wrapText="1" shrinkToFit="1"/>
    </xf>
    <xf numFmtId="191" fontId="206" fillId="0" borderId="11" xfId="42" applyNumberFormat="1" applyFont="1" applyBorder="1" applyAlignment="1">
      <alignment horizontal="center" vertical="center" wrapText="1" shrinkToFit="1"/>
    </xf>
    <xf numFmtId="191" fontId="206" fillId="0" borderId="21" xfId="42" applyNumberFormat="1" applyFont="1" applyBorder="1" applyAlignment="1">
      <alignment horizontal="center" vertical="center" wrapText="1" shrinkToFit="1"/>
    </xf>
    <xf numFmtId="0" fontId="218" fillId="9" borderId="0" xfId="2123" applyFont="1" applyFill="1" applyBorder="1" applyAlignment="1">
      <alignment horizontal="right" vertical="top" readingOrder="2"/>
    </xf>
    <xf numFmtId="0" fontId="59" fillId="0" borderId="24" xfId="0" applyFont="1" applyBorder="1" applyAlignment="1">
      <alignment horizontal="center" vertical="center"/>
    </xf>
    <xf numFmtId="0" fontId="59" fillId="0" borderId="21" xfId="0" applyFont="1" applyBorder="1" applyAlignment="1">
      <alignment horizontal="center" vertical="center"/>
    </xf>
    <xf numFmtId="0" fontId="59" fillId="0" borderId="31" xfId="0" applyFont="1" applyBorder="1" applyAlignment="1">
      <alignment horizontal="center" vertical="center"/>
    </xf>
    <xf numFmtId="0" fontId="59" fillId="0" borderId="23" xfId="0" applyFont="1" applyBorder="1" applyAlignment="1">
      <alignment horizontal="center" vertical="center"/>
    </xf>
    <xf numFmtId="0" fontId="59" fillId="0" borderId="24" xfId="0" applyFont="1" applyBorder="1" applyAlignment="1">
      <alignment horizontal="center" vertical="center" wrapText="1"/>
    </xf>
    <xf numFmtId="0" fontId="59" fillId="0" borderId="21" xfId="0" applyFont="1" applyBorder="1" applyAlignment="1">
      <alignment horizontal="center" vertical="center" wrapText="1"/>
    </xf>
    <xf numFmtId="0" fontId="332" fillId="9" borderId="0" xfId="2123" applyFont="1" applyFill="1" applyBorder="1" applyAlignment="1">
      <alignment horizontal="center" vertical="center" readingOrder="2"/>
    </xf>
    <xf numFmtId="0" fontId="137" fillId="0" borderId="24" xfId="0" applyFont="1" applyBorder="1" applyAlignment="1">
      <alignment horizontal="center" vertical="center"/>
    </xf>
    <xf numFmtId="0" fontId="137" fillId="0" borderId="21" xfId="0" applyFont="1" applyBorder="1" applyAlignment="1">
      <alignment horizontal="center" vertical="center"/>
    </xf>
    <xf numFmtId="0" fontId="137" fillId="0" borderId="24" xfId="0" applyFont="1" applyBorder="1" applyAlignment="1">
      <alignment horizontal="center" vertical="center" wrapText="1"/>
    </xf>
    <xf numFmtId="0" fontId="137" fillId="0" borderId="21" xfId="0" applyFont="1" applyBorder="1" applyAlignment="1">
      <alignment horizontal="center" vertical="center" wrapText="1"/>
    </xf>
    <xf numFmtId="0" fontId="37" fillId="0" borderId="0" xfId="0" applyFont="1" applyAlignment="1">
      <alignment horizontal="center" vertical="center"/>
    </xf>
    <xf numFmtId="0" fontId="227" fillId="9" borderId="0" xfId="2123" applyFont="1" applyFill="1" applyBorder="1" applyAlignment="1">
      <alignment horizontal="center" vertical="center" readingOrder="2"/>
    </xf>
    <xf numFmtId="0" fontId="137" fillId="0" borderId="70" xfId="0" applyFont="1" applyBorder="1" applyAlignment="1">
      <alignment horizontal="center" vertical="center"/>
    </xf>
    <xf numFmtId="187" fontId="63" fillId="9" borderId="24" xfId="42" applyNumberFormat="1" applyFont="1" applyFill="1" applyBorder="1" applyAlignment="1">
      <alignment horizontal="center" vertical="center" wrapText="1" shrinkToFit="1"/>
    </xf>
    <xf numFmtId="187" fontId="63" fillId="9" borderId="21" xfId="42" applyNumberFormat="1" applyFont="1" applyFill="1" applyBorder="1" applyAlignment="1">
      <alignment horizontal="center" vertical="center" wrapText="1" shrinkToFit="1"/>
    </xf>
    <xf numFmtId="187" fontId="137" fillId="0" borderId="24" xfId="42" applyNumberFormat="1" applyFont="1" applyBorder="1" applyAlignment="1">
      <alignment horizontal="center" vertical="center" shrinkToFit="1"/>
    </xf>
    <xf numFmtId="187" fontId="137" fillId="0" borderId="11" xfId="42" applyNumberFormat="1" applyFont="1" applyBorder="1" applyAlignment="1">
      <alignment horizontal="center" vertical="center" shrinkToFit="1"/>
    </xf>
    <xf numFmtId="187" fontId="137" fillId="0" borderId="21" xfId="42" applyNumberFormat="1" applyFont="1" applyBorder="1" applyAlignment="1">
      <alignment horizontal="center" vertical="center" shrinkToFit="1"/>
    </xf>
    <xf numFmtId="0" fontId="137" fillId="0" borderId="24" xfId="0" applyFont="1" applyBorder="1" applyAlignment="1">
      <alignment horizontal="center" vertical="center" shrinkToFit="1"/>
    </xf>
    <xf numFmtId="0" fontId="137" fillId="0" borderId="21" xfId="0" applyFont="1" applyBorder="1" applyAlignment="1">
      <alignment horizontal="center" vertical="center" shrinkToFit="1"/>
    </xf>
    <xf numFmtId="0" fontId="39" fillId="0" borderId="0" xfId="0" applyFont="1" applyAlignment="1">
      <alignment horizontal="center" vertical="center"/>
    </xf>
    <xf numFmtId="0" fontId="137" fillId="0" borderId="31" xfId="0" applyFont="1" applyBorder="1" applyAlignment="1">
      <alignment horizontal="center" vertical="center"/>
    </xf>
    <xf numFmtId="0" fontId="137" fillId="0" borderId="23" xfId="0" applyFont="1" applyBorder="1" applyAlignment="1">
      <alignment horizontal="center" vertical="center"/>
    </xf>
    <xf numFmtId="0" fontId="63" fillId="0" borderId="24" xfId="0" applyFont="1" applyBorder="1" applyAlignment="1">
      <alignment horizontal="center" vertical="center" wrapText="1" shrinkToFit="1"/>
    </xf>
    <xf numFmtId="0" fontId="63" fillId="0" borderId="21" xfId="0" applyFont="1" applyBorder="1" applyAlignment="1">
      <alignment horizontal="center" vertical="center" wrapText="1" shrinkToFit="1"/>
    </xf>
    <xf numFmtId="191" fontId="334" fillId="0" borderId="24" xfId="42" applyNumberFormat="1" applyFont="1" applyBorder="1" applyAlignment="1">
      <alignment horizontal="center" vertical="center" wrapText="1" shrinkToFit="1"/>
    </xf>
    <xf numFmtId="191" fontId="334" fillId="0" borderId="11" xfId="42" applyNumberFormat="1" applyFont="1" applyBorder="1" applyAlignment="1">
      <alignment horizontal="center" vertical="center" wrapText="1" shrinkToFit="1"/>
    </xf>
    <xf numFmtId="191" fontId="333" fillId="0" borderId="11" xfId="42" applyNumberFormat="1" applyFont="1" applyBorder="1" applyAlignment="1">
      <alignment horizontal="center" vertical="center" wrapText="1" shrinkToFit="1"/>
    </xf>
    <xf numFmtId="191" fontId="333" fillId="0" borderId="21" xfId="42" applyNumberFormat="1" applyFont="1" applyBorder="1" applyAlignment="1">
      <alignment horizontal="center" vertical="center" wrapText="1" shrinkToFit="1"/>
    </xf>
    <xf numFmtId="0" fontId="117" fillId="0" borderId="36" xfId="0" applyFont="1" applyBorder="1" applyAlignment="1">
      <alignment horizontal="right" vertical="center" shrinkToFit="1"/>
    </xf>
    <xf numFmtId="187" fontId="137" fillId="0" borderId="24" xfId="42" applyNumberFormat="1" applyFont="1" applyBorder="1" applyAlignment="1">
      <alignment horizontal="center" vertical="center"/>
    </xf>
    <xf numFmtId="187" fontId="137" fillId="0" borderId="21" xfId="42" applyNumberFormat="1" applyFont="1" applyBorder="1" applyAlignment="1">
      <alignment horizontal="center" vertical="center"/>
    </xf>
    <xf numFmtId="3" fontId="50" fillId="9" borderId="48" xfId="34" applyNumberFormat="1" applyFont="1" applyFill="1" applyBorder="1" applyAlignment="1">
      <alignment horizontal="center" vertical="center" wrapText="1"/>
    </xf>
    <xf numFmtId="3" fontId="50" fillId="9" borderId="17" xfId="34" applyNumberFormat="1" applyFont="1" applyFill="1" applyBorder="1" applyAlignment="1">
      <alignment horizontal="center" vertical="center" wrapText="1"/>
    </xf>
    <xf numFmtId="3" fontId="50" fillId="9" borderId="47" xfId="34" applyNumberFormat="1" applyFont="1" applyFill="1" applyBorder="1" applyAlignment="1">
      <alignment horizontal="center" vertical="center" wrapText="1"/>
    </xf>
    <xf numFmtId="3" fontId="50" fillId="9" borderId="18" xfId="34" applyNumberFormat="1" applyFont="1" applyFill="1" applyBorder="1" applyAlignment="1">
      <alignment horizontal="center" vertical="center" wrapText="1"/>
    </xf>
    <xf numFmtId="41" fontId="34" fillId="9" borderId="7" xfId="47" applyNumberFormat="1" applyFont="1" applyFill="1" applyBorder="1" applyAlignment="1">
      <alignment horizontal="center" vertical="center" wrapText="1"/>
    </xf>
    <xf numFmtId="41" fontId="34" fillId="9" borderId="53" xfId="47" applyNumberFormat="1" applyFont="1" applyFill="1" applyBorder="1" applyAlignment="1">
      <alignment horizontal="center" vertical="center" wrapText="1"/>
    </xf>
    <xf numFmtId="0" fontId="34" fillId="9" borderId="52" xfId="34" applyFont="1" applyFill="1" applyBorder="1" applyAlignment="1">
      <alignment horizontal="center" vertical="center" wrapText="1"/>
    </xf>
    <xf numFmtId="0" fontId="34" fillId="9" borderId="59" xfId="34" applyFont="1" applyFill="1" applyBorder="1" applyAlignment="1">
      <alignment horizontal="center" vertical="center" wrapText="1"/>
    </xf>
    <xf numFmtId="0" fontId="50" fillId="9" borderId="7" xfId="34" applyFont="1" applyFill="1" applyBorder="1" applyAlignment="1">
      <alignment horizontal="center" vertical="center" wrapText="1"/>
    </xf>
    <xf numFmtId="0" fontId="50" fillId="9" borderId="53" xfId="34" applyFont="1" applyFill="1" applyBorder="1" applyAlignment="1">
      <alignment horizontal="center" vertical="center" wrapText="1"/>
    </xf>
    <xf numFmtId="3" fontId="50" fillId="9" borderId="52" xfId="34" applyNumberFormat="1" applyFont="1" applyFill="1" applyBorder="1" applyAlignment="1">
      <alignment horizontal="center" vertical="top" wrapText="1"/>
    </xf>
    <xf numFmtId="3" fontId="50" fillId="9" borderId="41" xfId="34" applyNumberFormat="1" applyFont="1" applyFill="1" applyBorder="1" applyAlignment="1">
      <alignment horizontal="center" vertical="top" wrapText="1"/>
    </xf>
    <xf numFmtId="3" fontId="95" fillId="0" borderId="0" xfId="2130" applyNumberFormat="1" applyFont="1" applyBorder="1" applyAlignment="1">
      <alignment horizontal="right" vertical="center"/>
    </xf>
    <xf numFmtId="0" fontId="218" fillId="0" borderId="0" xfId="5" applyFont="1" applyAlignment="1">
      <alignment horizontal="center" vertical="top" readingOrder="2"/>
    </xf>
    <xf numFmtId="0" fontId="78" fillId="0" borderId="0" xfId="37" applyFont="1" applyAlignment="1">
      <alignment horizontal="center"/>
    </xf>
    <xf numFmtId="0" fontId="60" fillId="0" borderId="0" xfId="34" applyFont="1" applyFill="1" applyAlignment="1">
      <alignment horizontal="right" vertical="center" wrapText="1"/>
    </xf>
    <xf numFmtId="49" fontId="43" fillId="9" borderId="0" xfId="47" applyNumberFormat="1" applyFont="1" applyFill="1" applyAlignment="1">
      <alignment horizontal="right" vertical="top" readingOrder="2"/>
    </xf>
    <xf numFmtId="0" fontId="60" fillId="9" borderId="61" xfId="34" applyFont="1" applyFill="1" applyBorder="1" applyAlignment="1">
      <alignment horizontal="center" vertical="center" wrapText="1"/>
    </xf>
    <xf numFmtId="0" fontId="60" fillId="9" borderId="51" xfId="34" applyFont="1" applyFill="1" applyBorder="1" applyAlignment="1">
      <alignment horizontal="center" vertical="center" wrapText="1"/>
    </xf>
    <xf numFmtId="0" fontId="42" fillId="9" borderId="40" xfId="34" applyFont="1" applyFill="1" applyBorder="1" applyAlignment="1">
      <alignment horizontal="right" vertical="center" wrapText="1"/>
    </xf>
    <xf numFmtId="165" fontId="35" fillId="9" borderId="4" xfId="34" applyNumberFormat="1" applyFont="1" applyFill="1" applyBorder="1" applyAlignment="1">
      <alignment horizontal="center" vertical="center" wrapText="1"/>
    </xf>
    <xf numFmtId="165" fontId="35" fillId="9" borderId="11" xfId="34" applyNumberFormat="1" applyFont="1" applyFill="1" applyBorder="1" applyAlignment="1">
      <alignment horizontal="center" vertical="center" wrapText="1"/>
    </xf>
    <xf numFmtId="165" fontId="35" fillId="9" borderId="14" xfId="34" applyNumberFormat="1" applyFont="1" applyFill="1" applyBorder="1" applyAlignment="1">
      <alignment horizontal="center" vertical="center" wrapText="1"/>
    </xf>
    <xf numFmtId="165" fontId="35" fillId="9" borderId="24" xfId="34" applyNumberFormat="1" applyFont="1" applyFill="1" applyBorder="1" applyAlignment="1">
      <alignment horizontal="center" vertical="center" wrapText="1"/>
    </xf>
    <xf numFmtId="41" fontId="34" fillId="9" borderId="10" xfId="47" applyNumberFormat="1" applyFont="1" applyFill="1" applyBorder="1" applyAlignment="1">
      <alignment horizontal="center" vertical="center" wrapText="1"/>
    </xf>
    <xf numFmtId="0" fontId="34" fillId="9" borderId="37" xfId="34" applyFont="1" applyFill="1" applyBorder="1" applyAlignment="1">
      <alignment horizontal="center" vertical="center" wrapText="1"/>
    </xf>
    <xf numFmtId="0" fontId="47" fillId="9" borderId="7" xfId="34" applyFont="1" applyFill="1" applyBorder="1" applyAlignment="1">
      <alignment horizontal="center" vertical="center" wrapText="1"/>
    </xf>
    <xf numFmtId="0" fontId="47" fillId="9" borderId="10" xfId="34" applyFont="1" applyFill="1" applyBorder="1" applyAlignment="1">
      <alignment horizontal="center" vertical="center" wrapText="1"/>
    </xf>
    <xf numFmtId="3" fontId="47" fillId="9" borderId="48" xfId="34" applyNumberFormat="1" applyFont="1" applyFill="1" applyBorder="1" applyAlignment="1">
      <alignment horizontal="center" vertical="center" wrapText="1"/>
    </xf>
    <xf numFmtId="3" fontId="47" fillId="9" borderId="24" xfId="34" applyNumberFormat="1" applyFont="1" applyFill="1" applyBorder="1" applyAlignment="1">
      <alignment horizontal="center" vertical="center" wrapText="1"/>
    </xf>
    <xf numFmtId="0" fontId="60" fillId="9" borderId="61" xfId="34" applyFont="1" applyFill="1" applyBorder="1" applyAlignment="1">
      <alignment horizontal="center" vertical="top" wrapText="1"/>
    </xf>
    <xf numFmtId="0" fontId="60" fillId="9" borderId="51" xfId="34" applyFont="1" applyFill="1" applyBorder="1" applyAlignment="1">
      <alignment horizontal="center" vertical="top" wrapText="1"/>
    </xf>
    <xf numFmtId="0" fontId="60" fillId="9" borderId="53" xfId="34" applyFont="1" applyFill="1" applyBorder="1" applyAlignment="1">
      <alignment horizontal="center" vertical="center" wrapText="1"/>
    </xf>
    <xf numFmtId="0" fontId="60" fillId="9" borderId="14" xfId="34" applyFont="1" applyFill="1" applyBorder="1" applyAlignment="1">
      <alignment horizontal="center" vertical="center" wrapText="1"/>
    </xf>
    <xf numFmtId="0" fontId="48" fillId="9" borderId="49" xfId="34" applyFont="1" applyFill="1" applyBorder="1" applyAlignment="1">
      <alignment horizontal="center" vertical="center" wrapText="1"/>
    </xf>
    <xf numFmtId="0" fontId="48" fillId="9" borderId="50" xfId="34" applyFont="1" applyFill="1" applyBorder="1" applyAlignment="1">
      <alignment horizontal="center" vertical="center" wrapText="1"/>
    </xf>
    <xf numFmtId="3" fontId="47" fillId="9" borderId="52" xfId="34" applyNumberFormat="1" applyFont="1" applyFill="1" applyBorder="1" applyAlignment="1">
      <alignment horizontal="center" vertical="top" wrapText="1"/>
    </xf>
    <xf numFmtId="3" fontId="47" fillId="9" borderId="41" xfId="34" applyNumberFormat="1" applyFont="1" applyFill="1" applyBorder="1" applyAlignment="1">
      <alignment horizontal="center" vertical="top" wrapText="1"/>
    </xf>
    <xf numFmtId="3" fontId="47" fillId="9" borderId="47" xfId="34" applyNumberFormat="1" applyFont="1" applyFill="1" applyBorder="1" applyAlignment="1">
      <alignment horizontal="center" vertical="center" wrapText="1"/>
    </xf>
    <xf numFmtId="3" fontId="47" fillId="9" borderId="30" xfId="34" applyNumberFormat="1" applyFont="1" applyFill="1" applyBorder="1" applyAlignment="1">
      <alignment horizontal="center" vertical="center" wrapText="1"/>
    </xf>
    <xf numFmtId="3" fontId="156" fillId="0" borderId="35" xfId="40" applyNumberFormat="1" applyFont="1" applyBorder="1" applyAlignment="1">
      <alignment horizontal="center" vertical="center" readingOrder="2"/>
    </xf>
    <xf numFmtId="3" fontId="156" fillId="0" borderId="0" xfId="40" applyNumberFormat="1" applyFont="1" applyBorder="1" applyAlignment="1">
      <alignment horizontal="center" vertical="center" readingOrder="2"/>
    </xf>
    <xf numFmtId="0" fontId="156" fillId="0" borderId="0" xfId="40" applyFont="1" applyBorder="1" applyAlignment="1">
      <alignment horizontal="center" vertical="center" readingOrder="2"/>
    </xf>
    <xf numFmtId="4" fontId="156" fillId="0" borderId="0" xfId="40" applyNumberFormat="1" applyFont="1" applyBorder="1" applyAlignment="1">
      <alignment horizontal="center" vertical="center" readingOrder="2"/>
    </xf>
    <xf numFmtId="172" fontId="156" fillId="0" borderId="0" xfId="40" applyNumberFormat="1" applyFont="1" applyBorder="1" applyAlignment="1">
      <alignment horizontal="center" vertical="center" readingOrder="2"/>
    </xf>
    <xf numFmtId="3" fontId="156" fillId="0" borderId="35" xfId="40" applyNumberFormat="1" applyFont="1" applyBorder="1" applyAlignment="1">
      <alignment horizontal="center" readingOrder="2"/>
    </xf>
    <xf numFmtId="181" fontId="156" fillId="0" borderId="0" xfId="40" applyNumberFormat="1" applyFont="1" applyBorder="1" applyAlignment="1">
      <alignment horizontal="center" vertical="center" readingOrder="2"/>
    </xf>
    <xf numFmtId="4" fontId="159" fillId="0" borderId="0" xfId="40" applyNumberFormat="1" applyFont="1" applyBorder="1" applyAlignment="1">
      <alignment horizontal="center" vertical="center" readingOrder="2"/>
    </xf>
    <xf numFmtId="3" fontId="156" fillId="0" borderId="0" xfId="40" applyNumberFormat="1" applyFont="1" applyBorder="1" applyAlignment="1">
      <alignment horizontal="center" vertical="top" readingOrder="2"/>
    </xf>
    <xf numFmtId="0" fontId="155" fillId="0" borderId="0" xfId="40" applyFont="1" applyBorder="1" applyAlignment="1">
      <alignment horizontal="center" vertical="center" readingOrder="2"/>
    </xf>
    <xf numFmtId="0" fontId="156" fillId="0" borderId="35" xfId="40" applyFont="1" applyBorder="1" applyAlignment="1">
      <alignment horizontal="center" readingOrder="2"/>
    </xf>
    <xf numFmtId="0" fontId="156" fillId="0" borderId="0" xfId="40" applyFont="1" applyBorder="1" applyAlignment="1">
      <alignment horizontal="center" vertical="top" readingOrder="2"/>
    </xf>
    <xf numFmtId="0" fontId="159" fillId="0" borderId="0" xfId="40" applyFont="1" applyBorder="1" applyAlignment="1">
      <alignment horizontal="center" vertical="center" readingOrder="2"/>
    </xf>
    <xf numFmtId="0" fontId="156" fillId="0" borderId="0" xfId="40" applyFont="1" applyBorder="1" applyAlignment="1">
      <alignment horizontal="right" vertical="center" readingOrder="2"/>
    </xf>
    <xf numFmtId="0" fontId="156" fillId="0" borderId="0" xfId="40" applyFont="1" applyBorder="1" applyAlignment="1">
      <alignment horizontal="right" vertical="center" wrapText="1" readingOrder="2"/>
    </xf>
    <xf numFmtId="0" fontId="156" fillId="0" borderId="0" xfId="40" applyFont="1" applyBorder="1" applyAlignment="1">
      <alignment wrapText="1"/>
    </xf>
    <xf numFmtId="0" fontId="156" fillId="0" borderId="0" xfId="40" applyFont="1" applyBorder="1" applyAlignment="1">
      <alignment horizontal="left" vertical="center" wrapText="1" readingOrder="2"/>
    </xf>
    <xf numFmtId="0" fontId="156" fillId="0" borderId="35" xfId="40" applyFont="1" applyBorder="1" applyAlignment="1">
      <alignment horizontal="center" wrapText="1" readingOrder="2"/>
    </xf>
    <xf numFmtId="16" fontId="156" fillId="0" borderId="0" xfId="40" applyNumberFormat="1" applyFont="1" applyBorder="1" applyAlignment="1">
      <alignment horizontal="right" vertical="center" readingOrder="2"/>
    </xf>
    <xf numFmtId="0" fontId="156" fillId="0" borderId="35" xfId="40" applyFont="1" applyBorder="1" applyAlignment="1">
      <alignment horizontal="center" shrinkToFit="1" readingOrder="2"/>
    </xf>
    <xf numFmtId="0" fontId="155" fillId="0" borderId="0" xfId="40" applyNumberFormat="1" applyFont="1" applyBorder="1" applyAlignment="1">
      <alignment horizontal="center" vertical="center" readingOrder="2"/>
    </xf>
    <xf numFmtId="3" fontId="156" fillId="0" borderId="36" xfId="40" applyNumberFormat="1" applyFont="1" applyBorder="1" applyAlignment="1">
      <alignment horizontal="center" vertical="top" readingOrder="2"/>
    </xf>
    <xf numFmtId="3" fontId="198" fillId="10" borderId="0" xfId="40" applyNumberFormat="1" applyFont="1" applyFill="1" applyBorder="1" applyAlignment="1">
      <alignment horizontal="center" vertical="center" readingOrder="2"/>
    </xf>
    <xf numFmtId="0" fontId="156" fillId="0" borderId="0" xfId="40" applyFont="1" applyBorder="1" applyAlignment="1">
      <alignment horizontal="center" vertical="top" wrapText="1" readingOrder="2"/>
    </xf>
    <xf numFmtId="0" fontId="84" fillId="0" borderId="5" xfId="0" applyFont="1" applyBorder="1" applyAlignment="1">
      <alignment horizontal="center" vertical="center" wrapText="1"/>
    </xf>
    <xf numFmtId="0" fontId="84" fillId="0" borderId="15" xfId="0" applyFont="1" applyBorder="1" applyAlignment="1">
      <alignment horizontal="center" vertical="center" wrapText="1"/>
    </xf>
    <xf numFmtId="0" fontId="137" fillId="0" borderId="49" xfId="0" applyFont="1" applyBorder="1" applyAlignment="1">
      <alignment horizontal="center" vertical="center" wrapText="1"/>
    </xf>
    <xf numFmtId="0" fontId="137" fillId="0" borderId="50" xfId="0" applyFont="1" applyBorder="1" applyAlignment="1">
      <alignment horizontal="center" vertical="center" wrapText="1"/>
    </xf>
    <xf numFmtId="0" fontId="97" fillId="0" borderId="0" xfId="0" applyFont="1" applyAlignment="1">
      <alignment horizontal="right" vertical="center"/>
    </xf>
    <xf numFmtId="3" fontId="37" fillId="0" borderId="0" xfId="2130" applyNumberFormat="1" applyFont="1" applyAlignment="1">
      <alignment horizontal="center"/>
    </xf>
    <xf numFmtId="0" fontId="218" fillId="9" borderId="0" xfId="2123" applyFont="1" applyFill="1" applyBorder="1" applyAlignment="1">
      <alignment horizontal="center" vertical="top" wrapText="1" readingOrder="2"/>
    </xf>
    <xf numFmtId="0" fontId="137" fillId="0" borderId="6" xfId="0" applyFont="1" applyBorder="1" applyAlignment="1">
      <alignment horizontal="right" vertical="center" wrapText="1"/>
    </xf>
    <xf numFmtId="0" fontId="331" fillId="0" borderId="0" xfId="0" applyFont="1" applyAlignment="1">
      <alignment horizontal="right" vertical="center"/>
    </xf>
    <xf numFmtId="0" fontId="137" fillId="0" borderId="7" xfId="0" applyFont="1" applyBorder="1" applyAlignment="1">
      <alignment horizontal="center" vertical="center" wrapText="1"/>
    </xf>
    <xf numFmtId="0" fontId="137" fillId="0" borderId="53" xfId="0" applyFont="1" applyBorder="1" applyAlignment="1">
      <alignment horizontal="center" vertical="center" wrapText="1"/>
    </xf>
    <xf numFmtId="0" fontId="137" fillId="0" borderId="4" xfId="0" applyFont="1" applyBorder="1" applyAlignment="1">
      <alignment horizontal="center" vertical="center" wrapText="1"/>
    </xf>
    <xf numFmtId="0" fontId="137" fillId="0" borderId="14" xfId="0" applyFont="1" applyBorder="1" applyAlignment="1">
      <alignment horizontal="center" vertical="center" wrapText="1"/>
    </xf>
    <xf numFmtId="0" fontId="162" fillId="0" borderId="52" xfId="0" applyFont="1" applyBorder="1" applyAlignment="1">
      <alignment horizontal="center" vertical="center" wrapText="1"/>
    </xf>
    <xf numFmtId="0" fontId="162" fillId="0" borderId="57" xfId="0" applyFont="1" applyBorder="1" applyAlignment="1">
      <alignment horizontal="center" vertical="center" wrapText="1"/>
    </xf>
    <xf numFmtId="0" fontId="10" fillId="0" borderId="0" xfId="1" applyFont="1" applyBorder="1" applyAlignment="1" applyProtection="1">
      <alignment horizontal="center" vertical="center"/>
    </xf>
    <xf numFmtId="0" fontId="10" fillId="0" borderId="0" xfId="1" applyFont="1" applyBorder="1" applyAlignment="1" applyProtection="1">
      <alignment horizontal="center" vertical="center" readingOrder="2"/>
    </xf>
    <xf numFmtId="3" fontId="14" fillId="4" borderId="4" xfId="3" applyNumberFormat="1" applyFont="1" applyFill="1" applyBorder="1" applyAlignment="1" applyProtection="1">
      <alignment horizontal="center" vertical="center"/>
      <protection locked="0"/>
    </xf>
    <xf numFmtId="3" fontId="14" fillId="4" borderId="11" xfId="3" applyNumberFormat="1" applyFont="1" applyFill="1" applyBorder="1" applyAlignment="1" applyProtection="1">
      <alignment horizontal="center" vertical="center"/>
      <protection locked="0"/>
    </xf>
    <xf numFmtId="49" fontId="14" fillId="4" borderId="4" xfId="3" applyNumberFormat="1" applyFont="1" applyFill="1" applyBorder="1" applyAlignment="1" applyProtection="1">
      <alignment horizontal="center" vertical="center"/>
      <protection locked="0"/>
    </xf>
    <xf numFmtId="49" fontId="14" fillId="4" borderId="11" xfId="3" applyNumberFormat="1" applyFont="1" applyFill="1" applyBorder="1" applyAlignment="1" applyProtection="1">
      <alignment horizontal="center" vertical="center"/>
      <protection locked="0"/>
    </xf>
    <xf numFmtId="0" fontId="22" fillId="4" borderId="1" xfId="3" applyFont="1" applyFill="1" applyBorder="1" applyAlignment="1" applyProtection="1">
      <alignment horizontal="center" vertical="center" wrapText="1"/>
      <protection locked="0"/>
    </xf>
    <xf numFmtId="0" fontId="22" fillId="4" borderId="8" xfId="3" applyFont="1" applyFill="1" applyBorder="1" applyAlignment="1" applyProtection="1">
      <alignment horizontal="center" vertical="center" wrapText="1"/>
      <protection locked="0"/>
    </xf>
    <xf numFmtId="0" fontId="14" fillId="4" borderId="2" xfId="3" applyFont="1" applyFill="1" applyBorder="1" applyAlignment="1" applyProtection="1">
      <alignment horizontal="center" vertical="center" wrapText="1"/>
      <protection locked="0"/>
    </xf>
    <xf numFmtId="0" fontId="14" fillId="4" borderId="9" xfId="3" applyFont="1" applyFill="1" applyBorder="1" applyAlignment="1" applyProtection="1">
      <alignment horizontal="center" vertical="center" wrapText="1"/>
      <protection locked="0"/>
    </xf>
    <xf numFmtId="0" fontId="14" fillId="4" borderId="3" xfId="3" applyFont="1" applyFill="1" applyBorder="1" applyAlignment="1" applyProtection="1">
      <alignment horizontal="center" vertical="center" textRotation="180" readingOrder="2"/>
      <protection locked="0"/>
    </xf>
    <xf numFmtId="0" fontId="14" fillId="4" borderId="10" xfId="3" applyFont="1" applyFill="1" applyBorder="1" applyAlignment="1" applyProtection="1">
      <alignment horizontal="center" vertical="center" textRotation="180" readingOrder="2"/>
      <protection locked="0"/>
    </xf>
    <xf numFmtId="0" fontId="14" fillId="4" borderId="28" xfId="3" applyFont="1" applyFill="1" applyBorder="1" applyAlignment="1" applyProtection="1">
      <alignment horizontal="center" vertical="center" textRotation="180" readingOrder="2"/>
      <protection locked="0"/>
    </xf>
    <xf numFmtId="0" fontId="14" fillId="4" borderId="4" xfId="3" applyFont="1" applyFill="1" applyBorder="1" applyAlignment="1" applyProtection="1">
      <alignment horizontal="center" vertical="center"/>
      <protection locked="0"/>
    </xf>
    <xf numFmtId="0" fontId="14" fillId="4" borderId="11" xfId="3" applyFont="1" applyFill="1" applyBorder="1" applyAlignment="1" applyProtection="1">
      <alignment horizontal="center" vertical="center"/>
      <protection locked="0"/>
    </xf>
    <xf numFmtId="0" fontId="15" fillId="2" borderId="4" xfId="3" applyFont="1" applyFill="1" applyBorder="1" applyAlignment="1" applyProtection="1">
      <alignment horizontal="center" vertical="center"/>
      <protection locked="0"/>
    </xf>
    <xf numFmtId="0" fontId="15" fillId="2" borderId="11" xfId="3" applyFont="1" applyFill="1" applyBorder="1" applyAlignment="1" applyProtection="1">
      <alignment horizontal="center" vertical="center"/>
      <protection locked="0"/>
    </xf>
    <xf numFmtId="0" fontId="15" fillId="2" borderId="14" xfId="3" applyFont="1" applyFill="1" applyBorder="1" applyAlignment="1" applyProtection="1">
      <alignment horizontal="center" vertical="center"/>
      <protection locked="0"/>
    </xf>
    <xf numFmtId="3" fontId="15" fillId="2" borderId="5" xfId="3" applyNumberFormat="1" applyFont="1" applyFill="1" applyBorder="1" applyAlignment="1" applyProtection="1">
      <alignment horizontal="center" vertical="center"/>
      <protection locked="0"/>
    </xf>
    <xf numFmtId="3" fontId="15" fillId="2" borderId="12" xfId="3" applyNumberFormat="1" applyFont="1" applyFill="1" applyBorder="1" applyAlignment="1" applyProtection="1">
      <alignment horizontal="center" vertical="center"/>
      <protection locked="0"/>
    </xf>
    <xf numFmtId="3" fontId="15" fillId="2" borderId="15" xfId="3" applyNumberFormat="1" applyFont="1" applyFill="1" applyBorder="1" applyAlignment="1" applyProtection="1">
      <alignment horizontal="center" vertical="center"/>
      <protection locked="0"/>
    </xf>
    <xf numFmtId="0" fontId="14" fillId="2" borderId="1" xfId="3" applyFont="1" applyFill="1" applyBorder="1" applyAlignment="1" applyProtection="1">
      <alignment horizontal="center" vertical="center" wrapText="1"/>
      <protection locked="0"/>
    </xf>
    <xf numFmtId="0" fontId="14" fillId="2" borderId="8" xfId="3" applyFont="1" applyFill="1" applyBorder="1" applyAlignment="1" applyProtection="1">
      <alignment horizontal="center" vertical="center" wrapText="1"/>
      <protection locked="0"/>
    </xf>
    <xf numFmtId="0" fontId="14" fillId="2" borderId="2" xfId="3" applyFont="1" applyFill="1" applyBorder="1" applyAlignment="1" applyProtection="1">
      <alignment horizontal="center" vertical="center" wrapText="1"/>
      <protection locked="0"/>
    </xf>
    <xf numFmtId="0" fontId="14" fillId="2" borderId="9" xfId="3" applyFont="1" applyFill="1" applyBorder="1" applyAlignment="1" applyProtection="1">
      <alignment horizontal="center" vertical="center" wrapText="1"/>
      <protection locked="0"/>
    </xf>
    <xf numFmtId="0" fontId="15" fillId="2" borderId="3" xfId="3" applyFont="1" applyFill="1" applyBorder="1" applyAlignment="1" applyProtection="1">
      <alignment horizontal="center" vertical="center" textRotation="180" readingOrder="2"/>
      <protection locked="0"/>
    </xf>
    <xf numFmtId="0" fontId="15" fillId="2" borderId="10" xfId="3" applyFont="1" applyFill="1" applyBorder="1" applyAlignment="1" applyProtection="1">
      <alignment horizontal="center" vertical="center" textRotation="180" readingOrder="2"/>
      <protection locked="0"/>
    </xf>
    <xf numFmtId="0" fontId="15" fillId="2" borderId="13" xfId="3" applyFont="1" applyFill="1" applyBorder="1" applyAlignment="1" applyProtection="1">
      <alignment horizontal="center" vertical="center" textRotation="180" readingOrder="2"/>
      <protection locked="0"/>
    </xf>
    <xf numFmtId="49" fontId="15" fillId="2" borderId="4" xfId="3" applyNumberFormat="1" applyFont="1" applyFill="1" applyBorder="1" applyAlignment="1" applyProtection="1">
      <alignment horizontal="center" vertical="center"/>
      <protection locked="0"/>
    </xf>
    <xf numFmtId="49" fontId="15" fillId="2" borderId="11" xfId="3" applyNumberFormat="1" applyFont="1" applyFill="1" applyBorder="1" applyAlignment="1" applyProtection="1">
      <alignment horizontal="center" vertical="center"/>
      <protection locked="0"/>
    </xf>
    <xf numFmtId="49" fontId="15" fillId="2" borderId="14" xfId="3" applyNumberFormat="1" applyFont="1" applyFill="1" applyBorder="1" applyAlignment="1" applyProtection="1">
      <alignment horizontal="center" vertical="center"/>
      <protection locked="0"/>
    </xf>
    <xf numFmtId="0" fontId="207" fillId="0" borderId="0" xfId="0" applyFont="1" applyAlignment="1">
      <alignment horizontal="center"/>
    </xf>
    <xf numFmtId="0" fontId="209" fillId="0" borderId="0" xfId="0" applyFont="1" applyAlignment="1">
      <alignment horizontal="right" vertical="center"/>
    </xf>
    <xf numFmtId="164" fontId="254" fillId="0" borderId="19" xfId="2131" applyNumberFormat="1" applyFont="1" applyFill="1" applyBorder="1" applyAlignment="1">
      <alignment horizontal="center" vertical="center"/>
    </xf>
    <xf numFmtId="164" fontId="255" fillId="0" borderId="19" xfId="2131" applyNumberFormat="1" applyFont="1" applyFill="1" applyBorder="1" applyAlignment="1">
      <alignment horizontal="center" vertical="center"/>
    </xf>
    <xf numFmtId="164" fontId="255" fillId="0" borderId="24" xfId="2131" applyNumberFormat="1" applyFont="1" applyFill="1" applyBorder="1" applyAlignment="1">
      <alignment horizontal="center" vertical="center"/>
    </xf>
    <xf numFmtId="164" fontId="255" fillId="0" borderId="21" xfId="2131" applyNumberFormat="1" applyFont="1" applyFill="1" applyBorder="1" applyAlignment="1">
      <alignment horizontal="center" vertical="center"/>
    </xf>
    <xf numFmtId="184" fontId="256" fillId="0" borderId="69" xfId="2132" applyNumberFormat="1" applyFont="1" applyBorder="1" applyAlignment="1">
      <alignment horizontal="center" vertical="center"/>
    </xf>
    <xf numFmtId="1" fontId="251" fillId="0" borderId="19" xfId="2132" applyNumberFormat="1" applyFont="1" applyBorder="1" applyAlignment="1">
      <alignment horizontal="center" vertical="center" wrapText="1"/>
    </xf>
    <xf numFmtId="3" fontId="251" fillId="0" borderId="19" xfId="2132" applyNumberFormat="1" applyFont="1" applyBorder="1" applyAlignment="1">
      <alignment horizontal="center" vertical="center" wrapText="1"/>
    </xf>
    <xf numFmtId="49" fontId="253" fillId="0" borderId="19" xfId="2131" applyNumberFormat="1" applyFont="1" applyBorder="1" applyAlignment="1">
      <alignment horizontal="right" vertical="center" readingOrder="2"/>
    </xf>
    <xf numFmtId="3" fontId="248" fillId="0" borderId="0" xfId="2132" applyNumberFormat="1" applyFont="1" applyAlignment="1">
      <alignment horizontal="center" vertical="center"/>
    </xf>
    <xf numFmtId="49" fontId="253" fillId="0" borderId="24" xfId="2131" applyNumberFormat="1" applyFont="1" applyBorder="1" applyAlignment="1">
      <alignment horizontal="right" vertical="center" readingOrder="2"/>
    </xf>
    <xf numFmtId="49" fontId="253" fillId="0" borderId="21" xfId="2131" applyNumberFormat="1" applyFont="1" applyBorder="1" applyAlignment="1">
      <alignment horizontal="right" vertical="center" readingOrder="2"/>
    </xf>
    <xf numFmtId="164" fontId="254" fillId="0" borderId="24" xfId="2131" applyNumberFormat="1" applyFont="1" applyFill="1" applyBorder="1" applyAlignment="1">
      <alignment horizontal="center" vertical="center"/>
    </xf>
    <xf numFmtId="164" fontId="254" fillId="0" borderId="21" xfId="2131" applyNumberFormat="1" applyFont="1" applyFill="1" applyBorder="1" applyAlignment="1">
      <alignment horizontal="center" vertical="center"/>
    </xf>
    <xf numFmtId="164" fontId="255" fillId="0" borderId="24" xfId="2131" applyNumberFormat="1" applyFont="1" applyBorder="1" applyAlignment="1">
      <alignment horizontal="center" vertical="center"/>
    </xf>
    <xf numFmtId="164" fontId="255" fillId="0" borderId="21" xfId="2131" applyNumberFormat="1" applyFont="1" applyBorder="1" applyAlignment="1">
      <alignment horizontal="center" vertical="center"/>
    </xf>
    <xf numFmtId="1" fontId="250" fillId="0" borderId="19" xfId="2132" applyNumberFormat="1" applyFont="1" applyBorder="1" applyAlignment="1">
      <alignment horizontal="center" vertical="center" wrapText="1"/>
    </xf>
    <xf numFmtId="49" fontId="253" fillId="0" borderId="70" xfId="2131" applyNumberFormat="1" applyFont="1" applyBorder="1" applyAlignment="1">
      <alignment horizontal="right" vertical="center" readingOrder="2"/>
    </xf>
    <xf numFmtId="3" fontId="248" fillId="0" borderId="0" xfId="2130" applyNumberFormat="1" applyFont="1" applyAlignment="1">
      <alignment horizontal="center" vertical="center"/>
    </xf>
    <xf numFmtId="3" fontId="251" fillId="0" borderId="70" xfId="2130" applyNumberFormat="1" applyFont="1" applyBorder="1" applyAlignment="1">
      <alignment horizontal="center" vertical="center" wrapText="1"/>
    </xf>
    <xf numFmtId="164" fontId="255" fillId="10" borderId="24" xfId="2131" applyNumberFormat="1" applyFont="1" applyFill="1" applyBorder="1" applyAlignment="1">
      <alignment horizontal="center" vertical="center"/>
    </xf>
    <xf numFmtId="164" fontId="255" fillId="10" borderId="21" xfId="2131" applyNumberFormat="1" applyFont="1" applyFill="1" applyBorder="1" applyAlignment="1">
      <alignment horizontal="center" vertical="center"/>
    </xf>
    <xf numFmtId="1" fontId="250" fillId="0" borderId="70" xfId="2130" applyNumberFormat="1" applyFont="1" applyBorder="1" applyAlignment="1">
      <alignment horizontal="center" vertical="center" wrapText="1"/>
    </xf>
    <xf numFmtId="1" fontId="251" fillId="0" borderId="70" xfId="2130" applyNumberFormat="1" applyFont="1" applyBorder="1" applyAlignment="1">
      <alignment horizontal="center" vertical="center" wrapText="1"/>
    </xf>
    <xf numFmtId="164" fontId="254" fillId="0" borderId="70" xfId="2131" applyNumberFormat="1" applyFont="1" applyFill="1" applyBorder="1" applyAlignment="1">
      <alignment horizontal="center" vertical="center"/>
    </xf>
    <xf numFmtId="164" fontId="255" fillId="0" borderId="70" xfId="2131" applyNumberFormat="1" applyFont="1" applyFill="1" applyBorder="1" applyAlignment="1">
      <alignment horizontal="center" vertical="center"/>
    </xf>
    <xf numFmtId="184" fontId="256" fillId="0" borderId="69" xfId="2130" applyNumberFormat="1" applyFont="1" applyBorder="1" applyAlignment="1">
      <alignment horizontal="center" vertical="center"/>
    </xf>
    <xf numFmtId="0" fontId="337" fillId="0" borderId="0" xfId="1" applyFont="1" applyBorder="1" applyAlignment="1" applyProtection="1">
      <alignment horizontal="center" vertical="center"/>
    </xf>
    <xf numFmtId="0" fontId="337" fillId="0" borderId="0" xfId="1" applyFont="1" applyBorder="1" applyAlignment="1" applyProtection="1">
      <alignment horizontal="center" vertical="center" readingOrder="2"/>
    </xf>
  </cellXfs>
  <cellStyles count="2133">
    <cellStyle name="Comma" xfId="42" builtinId="3"/>
    <cellStyle name="Comma 10" xfId="50"/>
    <cellStyle name="Comma 11" xfId="51"/>
    <cellStyle name="Comma 12" xfId="52"/>
    <cellStyle name="Comma 13" xfId="53"/>
    <cellStyle name="Comma 13 10" xfId="54"/>
    <cellStyle name="Comma 13 11" xfId="55"/>
    <cellStyle name="Comma 13 12" xfId="56"/>
    <cellStyle name="Comma 13 13" xfId="57"/>
    <cellStyle name="Comma 13 14" xfId="58"/>
    <cellStyle name="Comma 13 15" xfId="59"/>
    <cellStyle name="Comma 13 16" xfId="60"/>
    <cellStyle name="Comma 13 17" xfId="61"/>
    <cellStyle name="Comma 13 18" xfId="62"/>
    <cellStyle name="Comma 13 19" xfId="63"/>
    <cellStyle name="Comma 13 2" xfId="64"/>
    <cellStyle name="Comma 13 20" xfId="65"/>
    <cellStyle name="Comma 13 21" xfId="66"/>
    <cellStyle name="Comma 13 22" xfId="67"/>
    <cellStyle name="Comma 13 23" xfId="68"/>
    <cellStyle name="Comma 13 24" xfId="69"/>
    <cellStyle name="Comma 13 25" xfId="70"/>
    <cellStyle name="Comma 13 26" xfId="71"/>
    <cellStyle name="Comma 13 27" xfId="72"/>
    <cellStyle name="Comma 13 28" xfId="73"/>
    <cellStyle name="Comma 13 29" xfId="74"/>
    <cellStyle name="Comma 13 3" xfId="75"/>
    <cellStyle name="Comma 13 30" xfId="76"/>
    <cellStyle name="Comma 13 31" xfId="77"/>
    <cellStyle name="Comma 13 32" xfId="78"/>
    <cellStyle name="Comma 13 33" xfId="79"/>
    <cellStyle name="Comma 13 34" xfId="80"/>
    <cellStyle name="Comma 13 35" xfId="81"/>
    <cellStyle name="Comma 13 36" xfId="82"/>
    <cellStyle name="Comma 13 37" xfId="83"/>
    <cellStyle name="Comma 13 38" xfId="84"/>
    <cellStyle name="Comma 13 39" xfId="85"/>
    <cellStyle name="Comma 13 4" xfId="86"/>
    <cellStyle name="Comma 13 40" xfId="87"/>
    <cellStyle name="Comma 13 41" xfId="88"/>
    <cellStyle name="Comma 13 42" xfId="89"/>
    <cellStyle name="Comma 13 43" xfId="90"/>
    <cellStyle name="Comma 13 44" xfId="91"/>
    <cellStyle name="Comma 13 45" xfId="92"/>
    <cellStyle name="Comma 13 46" xfId="93"/>
    <cellStyle name="Comma 13 47" xfId="94"/>
    <cellStyle name="Comma 13 48" xfId="95"/>
    <cellStyle name="Comma 13 49" xfId="96"/>
    <cellStyle name="Comma 13 5" xfId="97"/>
    <cellStyle name="Comma 13 6" xfId="98"/>
    <cellStyle name="Comma 13 7" xfId="99"/>
    <cellStyle name="Comma 13 8" xfId="100"/>
    <cellStyle name="Comma 13 9" xfId="101"/>
    <cellStyle name="Comma 16" xfId="102"/>
    <cellStyle name="Comma 17" xfId="103"/>
    <cellStyle name="Comma 17 10" xfId="104"/>
    <cellStyle name="Comma 17 11" xfId="105"/>
    <cellStyle name="Comma 17 12" xfId="106"/>
    <cellStyle name="Comma 17 13" xfId="107"/>
    <cellStyle name="Comma 17 14" xfId="108"/>
    <cellStyle name="Comma 17 15" xfId="109"/>
    <cellStyle name="Comma 17 16" xfId="110"/>
    <cellStyle name="Comma 17 17" xfId="111"/>
    <cellStyle name="Comma 17 18" xfId="112"/>
    <cellStyle name="Comma 17 19" xfId="113"/>
    <cellStyle name="Comma 17 2" xfId="114"/>
    <cellStyle name="Comma 17 20" xfId="115"/>
    <cellStyle name="Comma 17 21" xfId="116"/>
    <cellStyle name="Comma 17 22" xfId="117"/>
    <cellStyle name="Comma 17 23" xfId="118"/>
    <cellStyle name="Comma 17 24" xfId="119"/>
    <cellStyle name="Comma 17 25" xfId="120"/>
    <cellStyle name="Comma 17 26" xfId="121"/>
    <cellStyle name="Comma 17 27" xfId="122"/>
    <cellStyle name="Comma 17 28" xfId="123"/>
    <cellStyle name="Comma 17 29" xfId="124"/>
    <cellStyle name="Comma 17 3" xfId="125"/>
    <cellStyle name="Comma 17 30" xfId="126"/>
    <cellStyle name="Comma 17 31" xfId="127"/>
    <cellStyle name="Comma 17 32" xfId="128"/>
    <cellStyle name="Comma 17 33" xfId="129"/>
    <cellStyle name="Comma 17 34" xfId="130"/>
    <cellStyle name="Comma 17 35" xfId="131"/>
    <cellStyle name="Comma 17 36" xfId="132"/>
    <cellStyle name="Comma 17 37" xfId="133"/>
    <cellStyle name="Comma 17 38" xfId="134"/>
    <cellStyle name="Comma 17 39" xfId="135"/>
    <cellStyle name="Comma 17 4" xfId="136"/>
    <cellStyle name="Comma 17 40" xfId="137"/>
    <cellStyle name="Comma 17 41" xfId="138"/>
    <cellStyle name="Comma 17 42" xfId="139"/>
    <cellStyle name="Comma 17 43" xfId="140"/>
    <cellStyle name="Comma 17 44" xfId="141"/>
    <cellStyle name="Comma 17 45" xfId="142"/>
    <cellStyle name="Comma 17 46" xfId="143"/>
    <cellStyle name="Comma 17 47" xfId="144"/>
    <cellStyle name="Comma 17 48" xfId="145"/>
    <cellStyle name="Comma 17 49" xfId="146"/>
    <cellStyle name="Comma 17 5" xfId="147"/>
    <cellStyle name="Comma 17 6" xfId="148"/>
    <cellStyle name="Comma 17 7" xfId="149"/>
    <cellStyle name="Comma 17 8" xfId="150"/>
    <cellStyle name="Comma 17 9" xfId="151"/>
    <cellStyle name="Comma 2" xfId="152"/>
    <cellStyle name="Comma 2 10" xfId="153"/>
    <cellStyle name="Comma 2 11" xfId="154"/>
    <cellStyle name="Comma 2 12" xfId="155"/>
    <cellStyle name="Comma 2 13" xfId="156"/>
    <cellStyle name="Comma 2 14" xfId="157"/>
    <cellStyle name="Comma 2 15" xfId="158"/>
    <cellStyle name="Comma 2 16" xfId="159"/>
    <cellStyle name="Comma 2 17" xfId="160"/>
    <cellStyle name="Comma 2 18" xfId="161"/>
    <cellStyle name="Comma 2 19" xfId="162"/>
    <cellStyle name="Comma 2 2" xfId="163"/>
    <cellStyle name="Comma 2 2 2" xfId="2128"/>
    <cellStyle name="Comma 2 20" xfId="164"/>
    <cellStyle name="Comma 2 21" xfId="165"/>
    <cellStyle name="Comma 2 22" xfId="166"/>
    <cellStyle name="Comma 2 23" xfId="167"/>
    <cellStyle name="Comma 2 24" xfId="168"/>
    <cellStyle name="Comma 2 25" xfId="169"/>
    <cellStyle name="Comma 2 26" xfId="170"/>
    <cellStyle name="Comma 2 27" xfId="171"/>
    <cellStyle name="Comma 2 28" xfId="172"/>
    <cellStyle name="Comma 2 29" xfId="173"/>
    <cellStyle name="Comma 2 3" xfId="174"/>
    <cellStyle name="Comma 2 3 10" xfId="175"/>
    <cellStyle name="Comma 2 3 11" xfId="176"/>
    <cellStyle name="Comma 2 3 12" xfId="177"/>
    <cellStyle name="Comma 2 3 13" xfId="178"/>
    <cellStyle name="Comma 2 3 14" xfId="179"/>
    <cellStyle name="Comma 2 3 15" xfId="180"/>
    <cellStyle name="Comma 2 3 16" xfId="181"/>
    <cellStyle name="Comma 2 3 17" xfId="182"/>
    <cellStyle name="Comma 2 3 18" xfId="183"/>
    <cellStyle name="Comma 2 3 19" xfId="184"/>
    <cellStyle name="Comma 2 3 2" xfId="185"/>
    <cellStyle name="Comma 2 3 20" xfId="186"/>
    <cellStyle name="Comma 2 3 21" xfId="187"/>
    <cellStyle name="Comma 2 3 22" xfId="188"/>
    <cellStyle name="Comma 2 3 23" xfId="189"/>
    <cellStyle name="Comma 2 3 24" xfId="190"/>
    <cellStyle name="Comma 2 3 25" xfId="191"/>
    <cellStyle name="Comma 2 3 26" xfId="192"/>
    <cellStyle name="Comma 2 3 27" xfId="193"/>
    <cellStyle name="Comma 2 3 28" xfId="194"/>
    <cellStyle name="Comma 2 3 29" xfId="195"/>
    <cellStyle name="Comma 2 3 3" xfId="196"/>
    <cellStyle name="Comma 2 3 30" xfId="197"/>
    <cellStyle name="Comma 2 3 31" xfId="198"/>
    <cellStyle name="Comma 2 3 32" xfId="199"/>
    <cellStyle name="Comma 2 3 33" xfId="200"/>
    <cellStyle name="Comma 2 3 34" xfId="201"/>
    <cellStyle name="Comma 2 3 35" xfId="202"/>
    <cellStyle name="Comma 2 3 36" xfId="203"/>
    <cellStyle name="Comma 2 3 37" xfId="204"/>
    <cellStyle name="Comma 2 3 38" xfId="205"/>
    <cellStyle name="Comma 2 3 39" xfId="206"/>
    <cellStyle name="Comma 2 3 4" xfId="207"/>
    <cellStyle name="Comma 2 3 40" xfId="208"/>
    <cellStyle name="Comma 2 3 5" xfId="209"/>
    <cellStyle name="Comma 2 3 6" xfId="210"/>
    <cellStyle name="Comma 2 3 7" xfId="211"/>
    <cellStyle name="Comma 2 3 8" xfId="212"/>
    <cellStyle name="Comma 2 3 9" xfId="213"/>
    <cellStyle name="Comma 2 30" xfId="214"/>
    <cellStyle name="Comma 2 31" xfId="215"/>
    <cellStyle name="Comma 2 32" xfId="216"/>
    <cellStyle name="Comma 2 33" xfId="217"/>
    <cellStyle name="Comma 2 34" xfId="218"/>
    <cellStyle name="Comma 2 35" xfId="219"/>
    <cellStyle name="Comma 2 36" xfId="220"/>
    <cellStyle name="Comma 2 37" xfId="221"/>
    <cellStyle name="Comma 2 38" xfId="222"/>
    <cellStyle name="Comma 2 39" xfId="223"/>
    <cellStyle name="Comma 2 4" xfId="224"/>
    <cellStyle name="Comma 2 40" xfId="225"/>
    <cellStyle name="Comma 2 41" xfId="226"/>
    <cellStyle name="Comma 2 42" xfId="227"/>
    <cellStyle name="Comma 2 43" xfId="228"/>
    <cellStyle name="Comma 2 44" xfId="229"/>
    <cellStyle name="Comma 2 45" xfId="230"/>
    <cellStyle name="Comma 2 46" xfId="231"/>
    <cellStyle name="Comma 2 47" xfId="232"/>
    <cellStyle name="Comma 2 48" xfId="233"/>
    <cellStyle name="Comma 2 49" xfId="234"/>
    <cellStyle name="Comma 2 5" xfId="235"/>
    <cellStyle name="Comma 2 50" xfId="236"/>
    <cellStyle name="Comma 2 51" xfId="237"/>
    <cellStyle name="Comma 2 52" xfId="238"/>
    <cellStyle name="Comma 2 53" xfId="239"/>
    <cellStyle name="Comma 2 54" xfId="240"/>
    <cellStyle name="Comma 2 55" xfId="241"/>
    <cellStyle name="Comma 2 56" xfId="242"/>
    <cellStyle name="Comma 2 57" xfId="243"/>
    <cellStyle name="Comma 2 58" xfId="244"/>
    <cellStyle name="Comma 2 59" xfId="245"/>
    <cellStyle name="Comma 2 6" xfId="246"/>
    <cellStyle name="Comma 2 60" xfId="247"/>
    <cellStyle name="Comma 2 61" xfId="248"/>
    <cellStyle name="Comma 2 62" xfId="249"/>
    <cellStyle name="Comma 2 63" xfId="250"/>
    <cellStyle name="Comma 2 64" xfId="251"/>
    <cellStyle name="Comma 2 65" xfId="252"/>
    <cellStyle name="Comma 2 66" xfId="253"/>
    <cellStyle name="Comma 2 67" xfId="254"/>
    <cellStyle name="Comma 2 68" xfId="255"/>
    <cellStyle name="Comma 2 69" xfId="256"/>
    <cellStyle name="Comma 2 7" xfId="257"/>
    <cellStyle name="Comma 2 70" xfId="258"/>
    <cellStyle name="Comma 2 71" xfId="259"/>
    <cellStyle name="Comma 2 72" xfId="260"/>
    <cellStyle name="Comma 2 73" xfId="261"/>
    <cellStyle name="Comma 2 74" xfId="262"/>
    <cellStyle name="Comma 2 75" xfId="263"/>
    <cellStyle name="Comma 2 76" xfId="264"/>
    <cellStyle name="Comma 2 77" xfId="265"/>
    <cellStyle name="Comma 2 78" xfId="266"/>
    <cellStyle name="Comma 2 79" xfId="267"/>
    <cellStyle name="Comma 2 8" xfId="268"/>
    <cellStyle name="Comma 2 80" xfId="269"/>
    <cellStyle name="Comma 2 81" xfId="270"/>
    <cellStyle name="Comma 2 82" xfId="271"/>
    <cellStyle name="Comma 2 83" xfId="272"/>
    <cellStyle name="Comma 2 84" xfId="273"/>
    <cellStyle name="Comma 2 85" xfId="274"/>
    <cellStyle name="Comma 2 86" xfId="275"/>
    <cellStyle name="Comma 2 87" xfId="276"/>
    <cellStyle name="Comma 2 88" xfId="277"/>
    <cellStyle name="Comma 2 89" xfId="278"/>
    <cellStyle name="Comma 2 9" xfId="279"/>
    <cellStyle name="Comma 20" xfId="280"/>
    <cellStyle name="Comma 22" xfId="281"/>
    <cellStyle name="Comma 22 10" xfId="282"/>
    <cellStyle name="Comma 22 11" xfId="283"/>
    <cellStyle name="Comma 22 12" xfId="284"/>
    <cellStyle name="Comma 22 13" xfId="285"/>
    <cellStyle name="Comma 22 14" xfId="286"/>
    <cellStyle name="Comma 22 15" xfId="287"/>
    <cellStyle name="Comma 22 16" xfId="288"/>
    <cellStyle name="Comma 22 17" xfId="289"/>
    <cellStyle name="Comma 22 18" xfId="290"/>
    <cellStyle name="Comma 22 19" xfId="291"/>
    <cellStyle name="Comma 22 2" xfId="292"/>
    <cellStyle name="Comma 22 20" xfId="293"/>
    <cellStyle name="Comma 22 21" xfId="294"/>
    <cellStyle name="Comma 22 22" xfId="295"/>
    <cellStyle name="Comma 22 23" xfId="296"/>
    <cellStyle name="Comma 22 24" xfId="297"/>
    <cellStyle name="Comma 22 25" xfId="298"/>
    <cellStyle name="Comma 22 26" xfId="299"/>
    <cellStyle name="Comma 22 27" xfId="300"/>
    <cellStyle name="Comma 22 28" xfId="301"/>
    <cellStyle name="Comma 22 29" xfId="302"/>
    <cellStyle name="Comma 22 3" xfId="303"/>
    <cellStyle name="Comma 22 30" xfId="304"/>
    <cellStyle name="Comma 22 31" xfId="305"/>
    <cellStyle name="Comma 22 32" xfId="306"/>
    <cellStyle name="Comma 22 33" xfId="307"/>
    <cellStyle name="Comma 22 34" xfId="308"/>
    <cellStyle name="Comma 22 35" xfId="309"/>
    <cellStyle name="Comma 22 36" xfId="310"/>
    <cellStyle name="Comma 22 37" xfId="311"/>
    <cellStyle name="Comma 22 38" xfId="312"/>
    <cellStyle name="Comma 22 39" xfId="313"/>
    <cellStyle name="Comma 22 4" xfId="314"/>
    <cellStyle name="Comma 22 40" xfId="315"/>
    <cellStyle name="Comma 22 41" xfId="316"/>
    <cellStyle name="Comma 22 42" xfId="317"/>
    <cellStyle name="Comma 22 43" xfId="318"/>
    <cellStyle name="Comma 22 44" xfId="319"/>
    <cellStyle name="Comma 22 45" xfId="320"/>
    <cellStyle name="Comma 22 46" xfId="321"/>
    <cellStyle name="Comma 22 47" xfId="322"/>
    <cellStyle name="Comma 22 48" xfId="323"/>
    <cellStyle name="Comma 22 49" xfId="324"/>
    <cellStyle name="Comma 22 5" xfId="325"/>
    <cellStyle name="Comma 22 6" xfId="326"/>
    <cellStyle name="Comma 22 7" xfId="327"/>
    <cellStyle name="Comma 22 8" xfId="328"/>
    <cellStyle name="Comma 22 9" xfId="329"/>
    <cellStyle name="Comma 23" xfId="330"/>
    <cellStyle name="Comma 23 10" xfId="331"/>
    <cellStyle name="Comma 23 11" xfId="332"/>
    <cellStyle name="Comma 23 12" xfId="333"/>
    <cellStyle name="Comma 23 13" xfId="334"/>
    <cellStyle name="Comma 23 14" xfId="335"/>
    <cellStyle name="Comma 23 15" xfId="336"/>
    <cellStyle name="Comma 23 16" xfId="337"/>
    <cellStyle name="Comma 23 17" xfId="338"/>
    <cellStyle name="Comma 23 18" xfId="339"/>
    <cellStyle name="Comma 23 19" xfId="340"/>
    <cellStyle name="Comma 23 2" xfId="341"/>
    <cellStyle name="Comma 23 20" xfId="342"/>
    <cellStyle name="Comma 23 21" xfId="343"/>
    <cellStyle name="Comma 23 22" xfId="344"/>
    <cellStyle name="Comma 23 23" xfId="345"/>
    <cellStyle name="Comma 23 24" xfId="346"/>
    <cellStyle name="Comma 23 25" xfId="347"/>
    <cellStyle name="Comma 23 26" xfId="348"/>
    <cellStyle name="Comma 23 27" xfId="349"/>
    <cellStyle name="Comma 23 28" xfId="350"/>
    <cellStyle name="Comma 23 29" xfId="351"/>
    <cellStyle name="Comma 23 3" xfId="352"/>
    <cellStyle name="Comma 23 30" xfId="353"/>
    <cellStyle name="Comma 23 31" xfId="354"/>
    <cellStyle name="Comma 23 32" xfId="355"/>
    <cellStyle name="Comma 23 33" xfId="356"/>
    <cellStyle name="Comma 23 34" xfId="357"/>
    <cellStyle name="Comma 23 35" xfId="358"/>
    <cellStyle name="Comma 23 36" xfId="359"/>
    <cellStyle name="Comma 23 37" xfId="360"/>
    <cellStyle name="Comma 23 38" xfId="361"/>
    <cellStyle name="Comma 23 39" xfId="362"/>
    <cellStyle name="Comma 23 4" xfId="363"/>
    <cellStyle name="Comma 23 40" xfId="364"/>
    <cellStyle name="Comma 23 41" xfId="365"/>
    <cellStyle name="Comma 23 42" xfId="366"/>
    <cellStyle name="Comma 23 43" xfId="367"/>
    <cellStyle name="Comma 23 44" xfId="368"/>
    <cellStyle name="Comma 23 45" xfId="369"/>
    <cellStyle name="Comma 23 46" xfId="370"/>
    <cellStyle name="Comma 23 47" xfId="371"/>
    <cellStyle name="Comma 23 48" xfId="372"/>
    <cellStyle name="Comma 23 49" xfId="373"/>
    <cellStyle name="Comma 23 5" xfId="374"/>
    <cellStyle name="Comma 23 6" xfId="375"/>
    <cellStyle name="Comma 23 7" xfId="376"/>
    <cellStyle name="Comma 23 8" xfId="377"/>
    <cellStyle name="Comma 23 9" xfId="378"/>
    <cellStyle name="Comma 26" xfId="379"/>
    <cellStyle name="Comma 26 10" xfId="380"/>
    <cellStyle name="Comma 26 11" xfId="381"/>
    <cellStyle name="Comma 26 12" xfId="382"/>
    <cellStyle name="Comma 26 13" xfId="383"/>
    <cellStyle name="Comma 26 14" xfId="384"/>
    <cellStyle name="Comma 26 15" xfId="385"/>
    <cellStyle name="Comma 26 16" xfId="386"/>
    <cellStyle name="Comma 26 17" xfId="387"/>
    <cellStyle name="Comma 26 18" xfId="388"/>
    <cellStyle name="Comma 26 19" xfId="389"/>
    <cellStyle name="Comma 26 2" xfId="390"/>
    <cellStyle name="Comma 26 20" xfId="391"/>
    <cellStyle name="Comma 26 21" xfId="392"/>
    <cellStyle name="Comma 26 22" xfId="393"/>
    <cellStyle name="Comma 26 23" xfId="394"/>
    <cellStyle name="Comma 26 24" xfId="395"/>
    <cellStyle name="Comma 26 25" xfId="396"/>
    <cellStyle name="Comma 26 26" xfId="397"/>
    <cellStyle name="Comma 26 27" xfId="398"/>
    <cellStyle name="Comma 26 28" xfId="399"/>
    <cellStyle name="Comma 26 29" xfId="400"/>
    <cellStyle name="Comma 26 3" xfId="401"/>
    <cellStyle name="Comma 26 30" xfId="402"/>
    <cellStyle name="Comma 26 31" xfId="403"/>
    <cellStyle name="Comma 26 32" xfId="404"/>
    <cellStyle name="Comma 26 33" xfId="405"/>
    <cellStyle name="Comma 26 34" xfId="406"/>
    <cellStyle name="Comma 26 35" xfId="407"/>
    <cellStyle name="Comma 26 36" xfId="408"/>
    <cellStyle name="Comma 26 37" xfId="409"/>
    <cellStyle name="Comma 26 38" xfId="410"/>
    <cellStyle name="Comma 26 39" xfId="411"/>
    <cellStyle name="Comma 26 4" xfId="412"/>
    <cellStyle name="Comma 26 40" xfId="413"/>
    <cellStyle name="Comma 26 41" xfId="414"/>
    <cellStyle name="Comma 26 42" xfId="415"/>
    <cellStyle name="Comma 26 43" xfId="416"/>
    <cellStyle name="Comma 26 44" xfId="417"/>
    <cellStyle name="Comma 26 45" xfId="418"/>
    <cellStyle name="Comma 26 46" xfId="419"/>
    <cellStyle name="Comma 26 47" xfId="420"/>
    <cellStyle name="Comma 26 48" xfId="421"/>
    <cellStyle name="Comma 26 49" xfId="422"/>
    <cellStyle name="Comma 26 5" xfId="423"/>
    <cellStyle name="Comma 26 6" xfId="424"/>
    <cellStyle name="Comma 26 7" xfId="425"/>
    <cellStyle name="Comma 26 8" xfId="426"/>
    <cellStyle name="Comma 26 9" xfId="427"/>
    <cellStyle name="Comma 28" xfId="428"/>
    <cellStyle name="Comma 3" xfId="429"/>
    <cellStyle name="Comma 3 10" xfId="430"/>
    <cellStyle name="Comma 3 11" xfId="431"/>
    <cellStyle name="Comma 3 12" xfId="432"/>
    <cellStyle name="Comma 3 13" xfId="433"/>
    <cellStyle name="Comma 3 14" xfId="434"/>
    <cellStyle name="Comma 3 15" xfId="435"/>
    <cellStyle name="Comma 3 16" xfId="436"/>
    <cellStyle name="Comma 3 17" xfId="437"/>
    <cellStyle name="Comma 3 18" xfId="438"/>
    <cellStyle name="Comma 3 19" xfId="439"/>
    <cellStyle name="Comma 3 2" xfId="440"/>
    <cellStyle name="Comma 3 20" xfId="441"/>
    <cellStyle name="Comma 3 21" xfId="442"/>
    <cellStyle name="Comma 3 22" xfId="443"/>
    <cellStyle name="Comma 3 23" xfId="444"/>
    <cellStyle name="Comma 3 24" xfId="445"/>
    <cellStyle name="Comma 3 25" xfId="446"/>
    <cellStyle name="Comma 3 26" xfId="447"/>
    <cellStyle name="Comma 3 27" xfId="448"/>
    <cellStyle name="Comma 3 28" xfId="449"/>
    <cellStyle name="Comma 3 29" xfId="450"/>
    <cellStyle name="Comma 3 3" xfId="451"/>
    <cellStyle name="Comma 3 30" xfId="452"/>
    <cellStyle name="Comma 3 31" xfId="453"/>
    <cellStyle name="Comma 3 32" xfId="454"/>
    <cellStyle name="Comma 3 33" xfId="455"/>
    <cellStyle name="Comma 3 34" xfId="456"/>
    <cellStyle name="Comma 3 35" xfId="457"/>
    <cellStyle name="Comma 3 36" xfId="458"/>
    <cellStyle name="Comma 3 37" xfId="459"/>
    <cellStyle name="Comma 3 38" xfId="460"/>
    <cellStyle name="Comma 3 39" xfId="461"/>
    <cellStyle name="Comma 3 4" xfId="462"/>
    <cellStyle name="Comma 3 40" xfId="463"/>
    <cellStyle name="Comma 3 5" xfId="464"/>
    <cellStyle name="Comma 3 6" xfId="465"/>
    <cellStyle name="Comma 3 7" xfId="466"/>
    <cellStyle name="Comma 3 8" xfId="467"/>
    <cellStyle name="Comma 3 9" xfId="468"/>
    <cellStyle name="Comma 30" xfId="469"/>
    <cellStyle name="Comma 30 10" xfId="470"/>
    <cellStyle name="Comma 30 11" xfId="471"/>
    <cellStyle name="Comma 30 12" xfId="472"/>
    <cellStyle name="Comma 30 13" xfId="473"/>
    <cellStyle name="Comma 30 14" xfId="474"/>
    <cellStyle name="Comma 30 15" xfId="475"/>
    <cellStyle name="Comma 30 16" xfId="476"/>
    <cellStyle name="Comma 30 17" xfId="477"/>
    <cellStyle name="Comma 30 18" xfId="478"/>
    <cellStyle name="Comma 30 19" xfId="479"/>
    <cellStyle name="Comma 30 2" xfId="480"/>
    <cellStyle name="Comma 30 20" xfId="481"/>
    <cellStyle name="Comma 30 21" xfId="482"/>
    <cellStyle name="Comma 30 22" xfId="483"/>
    <cellStyle name="Comma 30 23" xfId="484"/>
    <cellStyle name="Comma 30 24" xfId="485"/>
    <cellStyle name="Comma 30 25" xfId="486"/>
    <cellStyle name="Comma 30 26" xfId="487"/>
    <cellStyle name="Comma 30 27" xfId="488"/>
    <cellStyle name="Comma 30 28" xfId="489"/>
    <cellStyle name="Comma 30 29" xfId="490"/>
    <cellStyle name="Comma 30 3" xfId="491"/>
    <cellStyle name="Comma 30 30" xfId="492"/>
    <cellStyle name="Comma 30 31" xfId="493"/>
    <cellStyle name="Comma 30 32" xfId="494"/>
    <cellStyle name="Comma 30 33" xfId="495"/>
    <cellStyle name="Comma 30 34" xfId="496"/>
    <cellStyle name="Comma 30 35" xfId="497"/>
    <cellStyle name="Comma 30 36" xfId="498"/>
    <cellStyle name="Comma 30 37" xfId="499"/>
    <cellStyle name="Comma 30 38" xfId="500"/>
    <cellStyle name="Comma 30 39" xfId="501"/>
    <cellStyle name="Comma 30 4" xfId="502"/>
    <cellStyle name="Comma 30 40" xfId="503"/>
    <cellStyle name="Comma 30 41" xfId="504"/>
    <cellStyle name="Comma 30 42" xfId="505"/>
    <cellStyle name="Comma 30 43" xfId="506"/>
    <cellStyle name="Comma 30 44" xfId="507"/>
    <cellStyle name="Comma 30 45" xfId="508"/>
    <cellStyle name="Comma 30 46" xfId="509"/>
    <cellStyle name="Comma 30 47" xfId="510"/>
    <cellStyle name="Comma 30 48" xfId="511"/>
    <cellStyle name="Comma 30 49" xfId="512"/>
    <cellStyle name="Comma 30 5" xfId="513"/>
    <cellStyle name="Comma 30 6" xfId="514"/>
    <cellStyle name="Comma 30 7" xfId="515"/>
    <cellStyle name="Comma 30 8" xfId="516"/>
    <cellStyle name="Comma 30 9" xfId="517"/>
    <cellStyle name="Comma 38" xfId="518"/>
    <cellStyle name="Comma 4" xfId="519"/>
    <cellStyle name="Comma 4 10" xfId="520"/>
    <cellStyle name="Comma 4 11" xfId="521"/>
    <cellStyle name="Comma 4 12" xfId="522"/>
    <cellStyle name="Comma 4 13" xfId="523"/>
    <cellStyle name="Comma 4 14" xfId="524"/>
    <cellStyle name="Comma 4 15" xfId="525"/>
    <cellStyle name="Comma 4 16" xfId="526"/>
    <cellStyle name="Comma 4 17" xfId="527"/>
    <cellStyle name="Comma 4 18" xfId="528"/>
    <cellStyle name="Comma 4 19" xfId="529"/>
    <cellStyle name="Comma 4 2" xfId="530"/>
    <cellStyle name="Comma 4 20" xfId="531"/>
    <cellStyle name="Comma 4 21" xfId="532"/>
    <cellStyle name="Comma 4 22" xfId="533"/>
    <cellStyle name="Comma 4 23" xfId="534"/>
    <cellStyle name="Comma 4 24" xfId="535"/>
    <cellStyle name="Comma 4 25" xfId="536"/>
    <cellStyle name="Comma 4 26" xfId="537"/>
    <cellStyle name="Comma 4 27" xfId="538"/>
    <cellStyle name="Comma 4 28" xfId="539"/>
    <cellStyle name="Comma 4 29" xfId="540"/>
    <cellStyle name="Comma 4 3" xfId="541"/>
    <cellStyle name="Comma 4 30" xfId="542"/>
    <cellStyle name="Comma 4 31" xfId="543"/>
    <cellStyle name="Comma 4 32" xfId="544"/>
    <cellStyle name="Comma 4 33" xfId="545"/>
    <cellStyle name="Comma 4 34" xfId="546"/>
    <cellStyle name="Comma 4 35" xfId="547"/>
    <cellStyle name="Comma 4 36" xfId="548"/>
    <cellStyle name="Comma 4 37" xfId="549"/>
    <cellStyle name="Comma 4 38" xfId="550"/>
    <cellStyle name="Comma 4 39" xfId="551"/>
    <cellStyle name="Comma 4 4" xfId="552"/>
    <cellStyle name="Comma 4 40" xfId="553"/>
    <cellStyle name="Comma 4 41" xfId="554"/>
    <cellStyle name="Comma 4 42" xfId="555"/>
    <cellStyle name="Comma 4 43" xfId="556"/>
    <cellStyle name="Comma 4 44" xfId="557"/>
    <cellStyle name="Comma 4 45" xfId="558"/>
    <cellStyle name="Comma 4 46" xfId="559"/>
    <cellStyle name="Comma 4 47" xfId="560"/>
    <cellStyle name="Comma 4 48" xfId="561"/>
    <cellStyle name="Comma 4 49" xfId="562"/>
    <cellStyle name="Comma 4 5" xfId="563"/>
    <cellStyle name="Comma 4 50" xfId="564"/>
    <cellStyle name="Comma 4 51" xfId="565"/>
    <cellStyle name="Comma 4 52" xfId="566"/>
    <cellStyle name="Comma 4 53" xfId="567"/>
    <cellStyle name="Comma 4 54" xfId="568"/>
    <cellStyle name="Comma 4 55" xfId="569"/>
    <cellStyle name="Comma 4 56" xfId="570"/>
    <cellStyle name="Comma 4 57" xfId="571"/>
    <cellStyle name="Comma 4 58" xfId="572"/>
    <cellStyle name="Comma 4 59" xfId="573"/>
    <cellStyle name="Comma 4 6" xfId="574"/>
    <cellStyle name="Comma 4 60" xfId="575"/>
    <cellStyle name="Comma 4 61" xfId="576"/>
    <cellStyle name="Comma 4 62" xfId="577"/>
    <cellStyle name="Comma 4 63" xfId="578"/>
    <cellStyle name="Comma 4 64" xfId="579"/>
    <cellStyle name="Comma 4 65" xfId="580"/>
    <cellStyle name="Comma 4 66" xfId="581"/>
    <cellStyle name="Comma 4 67" xfId="582"/>
    <cellStyle name="Comma 4 68" xfId="583"/>
    <cellStyle name="Comma 4 69" xfId="584"/>
    <cellStyle name="Comma 4 7" xfId="585"/>
    <cellStyle name="Comma 4 70" xfId="586"/>
    <cellStyle name="Comma 4 71" xfId="587"/>
    <cellStyle name="Comma 4 72" xfId="588"/>
    <cellStyle name="Comma 4 73" xfId="589"/>
    <cellStyle name="Comma 4 74" xfId="590"/>
    <cellStyle name="Comma 4 75" xfId="591"/>
    <cellStyle name="Comma 4 76" xfId="592"/>
    <cellStyle name="Comma 4 77" xfId="593"/>
    <cellStyle name="Comma 4 78" xfId="594"/>
    <cellStyle name="Comma 4 79" xfId="595"/>
    <cellStyle name="Comma 4 8" xfId="596"/>
    <cellStyle name="Comma 4 80" xfId="597"/>
    <cellStyle name="Comma 4 81" xfId="598"/>
    <cellStyle name="Comma 4 82" xfId="599"/>
    <cellStyle name="Comma 4 83" xfId="600"/>
    <cellStyle name="Comma 4 84" xfId="601"/>
    <cellStyle name="Comma 4 85" xfId="602"/>
    <cellStyle name="Comma 4 86" xfId="603"/>
    <cellStyle name="Comma 4 87" xfId="604"/>
    <cellStyle name="Comma 4 9" xfId="605"/>
    <cellStyle name="Comma 42" xfId="606"/>
    <cellStyle name="Comma 47" xfId="607"/>
    <cellStyle name="Comma 5" xfId="608"/>
    <cellStyle name="Comma 5 10" xfId="609"/>
    <cellStyle name="Comma 5 11" xfId="610"/>
    <cellStyle name="Comma 5 12" xfId="611"/>
    <cellStyle name="Comma 5 13" xfId="612"/>
    <cellStyle name="Comma 5 14" xfId="613"/>
    <cellStyle name="Comma 5 15" xfId="614"/>
    <cellStyle name="Comma 5 16" xfId="615"/>
    <cellStyle name="Comma 5 17" xfId="616"/>
    <cellStyle name="Comma 5 18" xfId="617"/>
    <cellStyle name="Comma 5 19" xfId="618"/>
    <cellStyle name="Comma 5 2" xfId="619"/>
    <cellStyle name="Comma 5 2 10" xfId="620"/>
    <cellStyle name="Comma 5 2 11" xfId="621"/>
    <cellStyle name="Comma 5 2 12" xfId="622"/>
    <cellStyle name="Comma 5 2 13" xfId="623"/>
    <cellStyle name="Comma 5 2 14" xfId="624"/>
    <cellStyle name="Comma 5 2 15" xfId="625"/>
    <cellStyle name="Comma 5 2 16" xfId="626"/>
    <cellStyle name="Comma 5 2 17" xfId="627"/>
    <cellStyle name="Comma 5 2 18" xfId="628"/>
    <cellStyle name="Comma 5 2 19" xfId="629"/>
    <cellStyle name="Comma 5 2 2" xfId="630"/>
    <cellStyle name="Comma 5 2 20" xfId="631"/>
    <cellStyle name="Comma 5 2 21" xfId="632"/>
    <cellStyle name="Comma 5 2 22" xfId="633"/>
    <cellStyle name="Comma 5 2 23" xfId="634"/>
    <cellStyle name="Comma 5 2 24" xfId="635"/>
    <cellStyle name="Comma 5 2 25" xfId="636"/>
    <cellStyle name="Comma 5 2 26" xfId="637"/>
    <cellStyle name="Comma 5 2 27" xfId="638"/>
    <cellStyle name="Comma 5 2 28" xfId="639"/>
    <cellStyle name="Comma 5 2 29" xfId="640"/>
    <cellStyle name="Comma 5 2 3" xfId="641"/>
    <cellStyle name="Comma 5 2 30" xfId="642"/>
    <cellStyle name="Comma 5 2 31" xfId="643"/>
    <cellStyle name="Comma 5 2 32" xfId="644"/>
    <cellStyle name="Comma 5 2 33" xfId="645"/>
    <cellStyle name="Comma 5 2 34" xfId="646"/>
    <cellStyle name="Comma 5 2 35" xfId="647"/>
    <cellStyle name="Comma 5 2 36" xfId="648"/>
    <cellStyle name="Comma 5 2 37" xfId="649"/>
    <cellStyle name="Comma 5 2 38" xfId="650"/>
    <cellStyle name="Comma 5 2 39" xfId="651"/>
    <cellStyle name="Comma 5 2 4" xfId="652"/>
    <cellStyle name="Comma 5 2 40" xfId="653"/>
    <cellStyle name="Comma 5 2 5" xfId="654"/>
    <cellStyle name="Comma 5 2 6" xfId="655"/>
    <cellStyle name="Comma 5 2 7" xfId="656"/>
    <cellStyle name="Comma 5 2 8" xfId="657"/>
    <cellStyle name="Comma 5 2 9" xfId="658"/>
    <cellStyle name="Comma 5 20" xfId="659"/>
    <cellStyle name="Comma 5 21" xfId="660"/>
    <cellStyle name="Comma 5 22" xfId="661"/>
    <cellStyle name="Comma 5 23" xfId="662"/>
    <cellStyle name="Comma 5 24" xfId="663"/>
    <cellStyle name="Comma 5 25" xfId="664"/>
    <cellStyle name="Comma 5 26" xfId="665"/>
    <cellStyle name="Comma 5 27" xfId="666"/>
    <cellStyle name="Comma 5 28" xfId="667"/>
    <cellStyle name="Comma 5 29" xfId="668"/>
    <cellStyle name="Comma 5 3" xfId="669"/>
    <cellStyle name="Comma 5 30" xfId="670"/>
    <cellStyle name="Comma 5 31" xfId="671"/>
    <cellStyle name="Comma 5 32" xfId="672"/>
    <cellStyle name="Comma 5 33" xfId="673"/>
    <cellStyle name="Comma 5 34" xfId="674"/>
    <cellStyle name="Comma 5 35" xfId="675"/>
    <cellStyle name="Comma 5 36" xfId="676"/>
    <cellStyle name="Comma 5 37" xfId="677"/>
    <cellStyle name="Comma 5 38" xfId="678"/>
    <cellStyle name="Comma 5 39" xfId="679"/>
    <cellStyle name="Comma 5 4" xfId="680"/>
    <cellStyle name="Comma 5 40" xfId="681"/>
    <cellStyle name="Comma 5 41" xfId="682"/>
    <cellStyle name="Comma 5 42" xfId="683"/>
    <cellStyle name="Comma 5 43" xfId="684"/>
    <cellStyle name="Comma 5 44" xfId="685"/>
    <cellStyle name="Comma 5 45" xfId="686"/>
    <cellStyle name="Comma 5 46" xfId="687"/>
    <cellStyle name="Comma 5 47" xfId="688"/>
    <cellStyle name="Comma 5 48" xfId="689"/>
    <cellStyle name="Comma 5 49" xfId="690"/>
    <cellStyle name="Comma 5 5" xfId="691"/>
    <cellStyle name="Comma 5 50" xfId="692"/>
    <cellStyle name="Comma 5 51" xfId="693"/>
    <cellStyle name="Comma 5 52" xfId="694"/>
    <cellStyle name="Comma 5 53" xfId="695"/>
    <cellStyle name="Comma 5 54" xfId="696"/>
    <cellStyle name="Comma 5 55" xfId="697"/>
    <cellStyle name="Comma 5 56" xfId="698"/>
    <cellStyle name="Comma 5 57" xfId="699"/>
    <cellStyle name="Comma 5 58" xfId="700"/>
    <cellStyle name="Comma 5 59" xfId="701"/>
    <cellStyle name="Comma 5 6" xfId="702"/>
    <cellStyle name="Comma 5 60" xfId="703"/>
    <cellStyle name="Comma 5 61" xfId="704"/>
    <cellStyle name="Comma 5 62" xfId="705"/>
    <cellStyle name="Comma 5 63" xfId="706"/>
    <cellStyle name="Comma 5 64" xfId="707"/>
    <cellStyle name="Comma 5 65" xfId="708"/>
    <cellStyle name="Comma 5 66" xfId="709"/>
    <cellStyle name="Comma 5 67" xfId="710"/>
    <cellStyle name="Comma 5 68" xfId="711"/>
    <cellStyle name="Comma 5 69" xfId="712"/>
    <cellStyle name="Comma 5 7" xfId="713"/>
    <cellStyle name="Comma 5 70" xfId="714"/>
    <cellStyle name="Comma 5 71" xfId="715"/>
    <cellStyle name="Comma 5 72" xfId="716"/>
    <cellStyle name="Comma 5 73" xfId="717"/>
    <cellStyle name="Comma 5 74" xfId="718"/>
    <cellStyle name="Comma 5 75" xfId="719"/>
    <cellStyle name="Comma 5 76" xfId="720"/>
    <cellStyle name="Comma 5 77" xfId="721"/>
    <cellStyle name="Comma 5 78" xfId="722"/>
    <cellStyle name="Comma 5 79" xfId="723"/>
    <cellStyle name="Comma 5 8" xfId="724"/>
    <cellStyle name="Comma 5 80" xfId="725"/>
    <cellStyle name="Comma 5 81" xfId="726"/>
    <cellStyle name="Comma 5 82" xfId="727"/>
    <cellStyle name="Comma 5 83" xfId="728"/>
    <cellStyle name="Comma 5 84" xfId="729"/>
    <cellStyle name="Comma 5 85" xfId="730"/>
    <cellStyle name="Comma 5 86" xfId="731"/>
    <cellStyle name="Comma 5 87" xfId="732"/>
    <cellStyle name="Comma 5 88" xfId="733"/>
    <cellStyle name="Comma 5 9" xfId="734"/>
    <cellStyle name="Comma 51" xfId="735"/>
    <cellStyle name="Comma 54" xfId="736"/>
    <cellStyle name="Comma 57" xfId="737"/>
    <cellStyle name="Comma 58" xfId="738"/>
    <cellStyle name="Comma 6" xfId="739"/>
    <cellStyle name="Comma 60" xfId="740"/>
    <cellStyle name="Comma 61" xfId="741"/>
    <cellStyle name="Comma 7" xfId="742"/>
    <cellStyle name="Comma 8" xfId="743"/>
    <cellStyle name="Comma 9" xfId="744"/>
    <cellStyle name="Comma 9 10" xfId="745"/>
    <cellStyle name="Comma 9 11" xfId="746"/>
    <cellStyle name="Comma 9 12" xfId="747"/>
    <cellStyle name="Comma 9 13" xfId="748"/>
    <cellStyle name="Comma 9 14" xfId="749"/>
    <cellStyle name="Comma 9 15" xfId="750"/>
    <cellStyle name="Comma 9 16" xfId="751"/>
    <cellStyle name="Comma 9 17" xfId="752"/>
    <cellStyle name="Comma 9 18" xfId="753"/>
    <cellStyle name="Comma 9 19" xfId="754"/>
    <cellStyle name="Comma 9 2" xfId="755"/>
    <cellStyle name="Comma 9 20" xfId="756"/>
    <cellStyle name="Comma 9 21" xfId="757"/>
    <cellStyle name="Comma 9 22" xfId="758"/>
    <cellStyle name="Comma 9 23" xfId="759"/>
    <cellStyle name="Comma 9 24" xfId="760"/>
    <cellStyle name="Comma 9 25" xfId="761"/>
    <cellStyle name="Comma 9 26" xfId="762"/>
    <cellStyle name="Comma 9 27" xfId="763"/>
    <cellStyle name="Comma 9 28" xfId="764"/>
    <cellStyle name="Comma 9 29" xfId="765"/>
    <cellStyle name="Comma 9 3" xfId="766"/>
    <cellStyle name="Comma 9 30" xfId="767"/>
    <cellStyle name="Comma 9 31" xfId="768"/>
    <cellStyle name="Comma 9 32" xfId="769"/>
    <cellStyle name="Comma 9 33" xfId="770"/>
    <cellStyle name="Comma 9 34" xfId="771"/>
    <cellStyle name="Comma 9 35" xfId="772"/>
    <cellStyle name="Comma 9 36" xfId="773"/>
    <cellStyle name="Comma 9 37" xfId="774"/>
    <cellStyle name="Comma 9 38" xfId="775"/>
    <cellStyle name="Comma 9 39" xfId="776"/>
    <cellStyle name="Comma 9 4" xfId="777"/>
    <cellStyle name="Comma 9 40" xfId="778"/>
    <cellStyle name="Comma 9 41" xfId="779"/>
    <cellStyle name="Comma 9 42" xfId="780"/>
    <cellStyle name="Comma 9 43" xfId="781"/>
    <cellStyle name="Comma 9 44" xfId="782"/>
    <cellStyle name="Comma 9 45" xfId="783"/>
    <cellStyle name="Comma 9 46" xfId="784"/>
    <cellStyle name="Comma 9 47" xfId="785"/>
    <cellStyle name="Comma 9 48" xfId="786"/>
    <cellStyle name="Comma 9 49" xfId="787"/>
    <cellStyle name="Comma 9 5" xfId="788"/>
    <cellStyle name="Comma 9 6" xfId="789"/>
    <cellStyle name="Comma 9 7" xfId="790"/>
    <cellStyle name="Comma 9 8" xfId="791"/>
    <cellStyle name="Comma 9 9" xfId="792"/>
    <cellStyle name="Currency" xfId="9" builtinId="4"/>
    <cellStyle name="Currency 2" xfId="47"/>
    <cellStyle name="Currency 2 2" xfId="793"/>
    <cellStyle name="Currency 3" xfId="49"/>
    <cellStyle name="Currency 4" xfId="2125"/>
    <cellStyle name="Hyperlink 2" xfId="794"/>
    <cellStyle name="Normal" xfId="0" builtinId="0"/>
    <cellStyle name="Normal 10" xfId="795"/>
    <cellStyle name="Normal 11" xfId="796"/>
    <cellStyle name="Normal 11 10" xfId="797"/>
    <cellStyle name="Normal 11 11" xfId="798"/>
    <cellStyle name="Normal 11 12" xfId="799"/>
    <cellStyle name="Normal 11 13" xfId="800"/>
    <cellStyle name="Normal 11 14" xfId="801"/>
    <cellStyle name="Normal 11 15" xfId="802"/>
    <cellStyle name="Normal 11 16" xfId="803"/>
    <cellStyle name="Normal 11 17" xfId="804"/>
    <cellStyle name="Normal 11 18" xfId="805"/>
    <cellStyle name="Normal 11 19" xfId="806"/>
    <cellStyle name="Normal 11 2" xfId="807"/>
    <cellStyle name="Normal 11 2 2" xfId="808"/>
    <cellStyle name="Normal 11 20" xfId="809"/>
    <cellStyle name="Normal 11 21" xfId="810"/>
    <cellStyle name="Normal 11 22" xfId="811"/>
    <cellStyle name="Normal 11 23" xfId="812"/>
    <cellStyle name="Normal 11 24" xfId="813"/>
    <cellStyle name="Normal 11 25" xfId="814"/>
    <cellStyle name="Normal 11 26" xfId="815"/>
    <cellStyle name="Normal 11 27" xfId="816"/>
    <cellStyle name="Normal 11 28" xfId="817"/>
    <cellStyle name="Normal 11 29" xfId="818"/>
    <cellStyle name="Normal 11 3" xfId="819"/>
    <cellStyle name="Normal 11 30" xfId="820"/>
    <cellStyle name="Normal 11 31" xfId="821"/>
    <cellStyle name="Normal 11 32" xfId="822"/>
    <cellStyle name="Normal 11 33" xfId="823"/>
    <cellStyle name="Normal 11 34" xfId="824"/>
    <cellStyle name="Normal 11 35" xfId="825"/>
    <cellStyle name="Normal 11 36" xfId="826"/>
    <cellStyle name="Normal 11 37" xfId="827"/>
    <cellStyle name="Normal 11 38" xfId="828"/>
    <cellStyle name="Normal 11 39" xfId="829"/>
    <cellStyle name="Normal 11 4" xfId="830"/>
    <cellStyle name="Normal 11 40" xfId="831"/>
    <cellStyle name="Normal 11 41" xfId="832"/>
    <cellStyle name="Normal 11 42" xfId="833"/>
    <cellStyle name="Normal 11 43" xfId="834"/>
    <cellStyle name="Normal 11 44" xfId="835"/>
    <cellStyle name="Normal 11 45" xfId="836"/>
    <cellStyle name="Normal 11 46" xfId="837"/>
    <cellStyle name="Normal 11 47" xfId="838"/>
    <cellStyle name="Normal 11 48" xfId="839"/>
    <cellStyle name="Normal 11 49" xfId="840"/>
    <cellStyle name="Normal 11 5" xfId="841"/>
    <cellStyle name="Normal 11 50" xfId="842"/>
    <cellStyle name="Normal 11 6" xfId="843"/>
    <cellStyle name="Normal 11 7" xfId="844"/>
    <cellStyle name="Normal 11 8" xfId="845"/>
    <cellStyle name="Normal 11 9" xfId="846"/>
    <cellStyle name="Normal 12" xfId="847"/>
    <cellStyle name="Normal 12 10" xfId="848"/>
    <cellStyle name="Normal 12 11" xfId="849"/>
    <cellStyle name="Normal 12 12" xfId="850"/>
    <cellStyle name="Normal 12 13" xfId="851"/>
    <cellStyle name="Normal 12 14" xfId="852"/>
    <cellStyle name="Normal 12 15" xfId="853"/>
    <cellStyle name="Normal 12 16" xfId="854"/>
    <cellStyle name="Normal 12 17" xfId="855"/>
    <cellStyle name="Normal 12 18" xfId="856"/>
    <cellStyle name="Normal 12 19" xfId="857"/>
    <cellStyle name="Normal 12 2" xfId="858"/>
    <cellStyle name="Normal 12 20" xfId="859"/>
    <cellStyle name="Normal 12 21" xfId="860"/>
    <cellStyle name="Normal 12 22" xfId="861"/>
    <cellStyle name="Normal 12 23" xfId="862"/>
    <cellStyle name="Normal 12 24" xfId="863"/>
    <cellStyle name="Normal 12 25" xfId="864"/>
    <cellStyle name="Normal 12 26" xfId="865"/>
    <cellStyle name="Normal 12 27" xfId="866"/>
    <cellStyle name="Normal 12 28" xfId="867"/>
    <cellStyle name="Normal 12 29" xfId="868"/>
    <cellStyle name="Normal 12 3" xfId="869"/>
    <cellStyle name="Normal 12 30" xfId="870"/>
    <cellStyle name="Normal 12 31" xfId="871"/>
    <cellStyle name="Normal 12 32" xfId="872"/>
    <cellStyle name="Normal 12 33" xfId="873"/>
    <cellStyle name="Normal 12 34" xfId="874"/>
    <cellStyle name="Normal 12 35" xfId="875"/>
    <cellStyle name="Normal 12 36" xfId="876"/>
    <cellStyle name="Normal 12 37" xfId="877"/>
    <cellStyle name="Normal 12 38" xfId="878"/>
    <cellStyle name="Normal 12 39" xfId="879"/>
    <cellStyle name="Normal 12 4" xfId="880"/>
    <cellStyle name="Normal 12 40" xfId="881"/>
    <cellStyle name="Normal 12 41" xfId="882"/>
    <cellStyle name="Normal 12 42" xfId="883"/>
    <cellStyle name="Normal 12 43" xfId="884"/>
    <cellStyle name="Normal 12 44" xfId="885"/>
    <cellStyle name="Normal 12 45" xfId="886"/>
    <cellStyle name="Normal 12 46" xfId="887"/>
    <cellStyle name="Normal 12 47" xfId="888"/>
    <cellStyle name="Normal 12 48" xfId="889"/>
    <cellStyle name="Normal 12 49" xfId="890"/>
    <cellStyle name="Normal 12 5" xfId="891"/>
    <cellStyle name="Normal 12 50" xfId="892"/>
    <cellStyle name="Normal 12 6" xfId="893"/>
    <cellStyle name="Normal 12 7" xfId="894"/>
    <cellStyle name="Normal 12 8" xfId="895"/>
    <cellStyle name="Normal 12 9" xfId="896"/>
    <cellStyle name="Normal 13" xfId="897"/>
    <cellStyle name="Normal 13 10" xfId="898"/>
    <cellStyle name="Normal 13 11" xfId="899"/>
    <cellStyle name="Normal 13 12" xfId="900"/>
    <cellStyle name="Normal 13 13" xfId="901"/>
    <cellStyle name="Normal 13 14" xfId="902"/>
    <cellStyle name="Normal 13 15" xfId="903"/>
    <cellStyle name="Normal 13 16" xfId="904"/>
    <cellStyle name="Normal 13 17" xfId="905"/>
    <cellStyle name="Normal 13 18" xfId="906"/>
    <cellStyle name="Normal 13 19" xfId="907"/>
    <cellStyle name="Normal 13 2" xfId="908"/>
    <cellStyle name="Normal 13 20" xfId="909"/>
    <cellStyle name="Normal 13 21" xfId="910"/>
    <cellStyle name="Normal 13 22" xfId="911"/>
    <cellStyle name="Normal 13 23" xfId="912"/>
    <cellStyle name="Normal 13 24" xfId="913"/>
    <cellStyle name="Normal 13 25" xfId="914"/>
    <cellStyle name="Normal 13 26" xfId="915"/>
    <cellStyle name="Normal 13 27" xfId="916"/>
    <cellStyle name="Normal 13 28" xfId="917"/>
    <cellStyle name="Normal 13 29" xfId="918"/>
    <cellStyle name="Normal 13 3" xfId="919"/>
    <cellStyle name="Normal 13 30" xfId="920"/>
    <cellStyle name="Normal 13 31" xfId="921"/>
    <cellStyle name="Normal 13 32" xfId="922"/>
    <cellStyle name="Normal 13 33" xfId="923"/>
    <cellStyle name="Normal 13 34" xfId="924"/>
    <cellStyle name="Normal 13 35" xfId="925"/>
    <cellStyle name="Normal 13 36" xfId="926"/>
    <cellStyle name="Normal 13 37" xfId="927"/>
    <cellStyle name="Normal 13 38" xfId="928"/>
    <cellStyle name="Normal 13 39" xfId="929"/>
    <cellStyle name="Normal 13 4" xfId="930"/>
    <cellStyle name="Normal 13 40" xfId="931"/>
    <cellStyle name="Normal 13 41" xfId="932"/>
    <cellStyle name="Normal 13 42" xfId="933"/>
    <cellStyle name="Normal 13 43" xfId="934"/>
    <cellStyle name="Normal 13 44" xfId="935"/>
    <cellStyle name="Normal 13 45" xfId="936"/>
    <cellStyle name="Normal 13 46" xfId="937"/>
    <cellStyle name="Normal 13 47" xfId="938"/>
    <cellStyle name="Normal 13 48" xfId="939"/>
    <cellStyle name="Normal 13 49" xfId="940"/>
    <cellStyle name="Normal 13 5" xfId="941"/>
    <cellStyle name="Normal 13 50" xfId="942"/>
    <cellStyle name="Normal 13 6" xfId="943"/>
    <cellStyle name="Normal 13 7" xfId="944"/>
    <cellStyle name="Normal 13 8" xfId="945"/>
    <cellStyle name="Normal 13 9" xfId="946"/>
    <cellStyle name="Normal 14" xfId="947"/>
    <cellStyle name="Normal 15" xfId="948"/>
    <cellStyle name="Normal 15 10" xfId="949"/>
    <cellStyle name="Normal 15 11" xfId="950"/>
    <cellStyle name="Normal 15 12" xfId="951"/>
    <cellStyle name="Normal 15 13" xfId="952"/>
    <cellStyle name="Normal 15 14" xfId="953"/>
    <cellStyle name="Normal 15 15" xfId="954"/>
    <cellStyle name="Normal 15 16" xfId="955"/>
    <cellStyle name="Normal 15 17" xfId="956"/>
    <cellStyle name="Normal 15 18" xfId="957"/>
    <cellStyle name="Normal 15 19" xfId="958"/>
    <cellStyle name="Normal 15 2" xfId="959"/>
    <cellStyle name="Normal 15 20" xfId="960"/>
    <cellStyle name="Normal 15 21" xfId="961"/>
    <cellStyle name="Normal 15 22" xfId="962"/>
    <cellStyle name="Normal 15 23" xfId="963"/>
    <cellStyle name="Normal 15 24" xfId="964"/>
    <cellStyle name="Normal 15 25" xfId="965"/>
    <cellStyle name="Normal 15 26" xfId="966"/>
    <cellStyle name="Normal 15 27" xfId="967"/>
    <cellStyle name="Normal 15 28" xfId="968"/>
    <cellStyle name="Normal 15 29" xfId="969"/>
    <cellStyle name="Normal 15 3" xfId="970"/>
    <cellStyle name="Normal 15 30" xfId="971"/>
    <cellStyle name="Normal 15 31" xfId="972"/>
    <cellStyle name="Normal 15 32" xfId="973"/>
    <cellStyle name="Normal 15 33" xfId="974"/>
    <cellStyle name="Normal 15 34" xfId="975"/>
    <cellStyle name="Normal 15 35" xfId="976"/>
    <cellStyle name="Normal 15 36" xfId="977"/>
    <cellStyle name="Normal 15 37" xfId="978"/>
    <cellStyle name="Normal 15 38" xfId="979"/>
    <cellStyle name="Normal 15 39" xfId="980"/>
    <cellStyle name="Normal 15 4" xfId="981"/>
    <cellStyle name="Normal 15 40" xfId="982"/>
    <cellStyle name="Normal 15 41" xfId="983"/>
    <cellStyle name="Normal 15 42" xfId="984"/>
    <cellStyle name="Normal 15 43" xfId="985"/>
    <cellStyle name="Normal 15 44" xfId="986"/>
    <cellStyle name="Normal 15 45" xfId="987"/>
    <cellStyle name="Normal 15 46" xfId="988"/>
    <cellStyle name="Normal 15 47" xfId="989"/>
    <cellStyle name="Normal 15 48" xfId="990"/>
    <cellStyle name="Normal 15 49" xfId="991"/>
    <cellStyle name="Normal 15 5" xfId="992"/>
    <cellStyle name="Normal 15 50" xfId="993"/>
    <cellStyle name="Normal 15 6" xfId="994"/>
    <cellStyle name="Normal 15 7" xfId="995"/>
    <cellStyle name="Normal 15 8" xfId="996"/>
    <cellStyle name="Normal 15 9" xfId="997"/>
    <cellStyle name="Normal 16" xfId="998"/>
    <cellStyle name="Normal 16 10" xfId="999"/>
    <cellStyle name="Normal 16 11" xfId="1000"/>
    <cellStyle name="Normal 16 12" xfId="1001"/>
    <cellStyle name="Normal 16 13" xfId="1002"/>
    <cellStyle name="Normal 16 14" xfId="1003"/>
    <cellStyle name="Normal 16 15" xfId="1004"/>
    <cellStyle name="Normal 16 16" xfId="1005"/>
    <cellStyle name="Normal 16 17" xfId="1006"/>
    <cellStyle name="Normal 16 18" xfId="1007"/>
    <cellStyle name="Normal 16 19" xfId="1008"/>
    <cellStyle name="Normal 16 2" xfId="1009"/>
    <cellStyle name="Normal 16 20" xfId="1010"/>
    <cellStyle name="Normal 16 21" xfId="1011"/>
    <cellStyle name="Normal 16 22" xfId="1012"/>
    <cellStyle name="Normal 16 23" xfId="1013"/>
    <cellStyle name="Normal 16 24" xfId="1014"/>
    <cellStyle name="Normal 16 25" xfId="1015"/>
    <cellStyle name="Normal 16 26" xfId="1016"/>
    <cellStyle name="Normal 16 27" xfId="1017"/>
    <cellStyle name="Normal 16 28" xfId="1018"/>
    <cellStyle name="Normal 16 29" xfId="1019"/>
    <cellStyle name="Normal 16 3" xfId="1020"/>
    <cellStyle name="Normal 16 30" xfId="1021"/>
    <cellStyle name="Normal 16 31" xfId="1022"/>
    <cellStyle name="Normal 16 32" xfId="1023"/>
    <cellStyle name="Normal 16 33" xfId="1024"/>
    <cellStyle name="Normal 16 34" xfId="1025"/>
    <cellStyle name="Normal 16 35" xfId="1026"/>
    <cellStyle name="Normal 16 36" xfId="1027"/>
    <cellStyle name="Normal 16 37" xfId="1028"/>
    <cellStyle name="Normal 16 38" xfId="1029"/>
    <cellStyle name="Normal 16 39" xfId="1030"/>
    <cellStyle name="Normal 16 4" xfId="1031"/>
    <cellStyle name="Normal 16 40" xfId="1032"/>
    <cellStyle name="Normal 16 41" xfId="1033"/>
    <cellStyle name="Normal 16 42" xfId="1034"/>
    <cellStyle name="Normal 16 43" xfId="1035"/>
    <cellStyle name="Normal 16 44" xfId="1036"/>
    <cellStyle name="Normal 16 45" xfId="1037"/>
    <cellStyle name="Normal 16 46" xfId="1038"/>
    <cellStyle name="Normal 16 47" xfId="1039"/>
    <cellStyle name="Normal 16 48" xfId="1040"/>
    <cellStyle name="Normal 16 49" xfId="1041"/>
    <cellStyle name="Normal 16 5" xfId="1042"/>
    <cellStyle name="Normal 16 50" xfId="1043"/>
    <cellStyle name="Normal 16 6" xfId="1044"/>
    <cellStyle name="Normal 16 7" xfId="1045"/>
    <cellStyle name="Normal 16 8" xfId="1046"/>
    <cellStyle name="Normal 16 9" xfId="1047"/>
    <cellStyle name="Normal 17" xfId="1048"/>
    <cellStyle name="Normal 17 10" xfId="1049"/>
    <cellStyle name="Normal 17 11" xfId="1050"/>
    <cellStyle name="Normal 17 12" xfId="1051"/>
    <cellStyle name="Normal 17 13" xfId="1052"/>
    <cellStyle name="Normal 17 14" xfId="1053"/>
    <cellStyle name="Normal 17 15" xfId="1054"/>
    <cellStyle name="Normal 17 16" xfId="1055"/>
    <cellStyle name="Normal 17 17" xfId="1056"/>
    <cellStyle name="Normal 17 18" xfId="1057"/>
    <cellStyle name="Normal 17 19" xfId="1058"/>
    <cellStyle name="Normal 17 2" xfId="1059"/>
    <cellStyle name="Normal 17 20" xfId="1060"/>
    <cellStyle name="Normal 17 21" xfId="1061"/>
    <cellStyle name="Normal 17 22" xfId="1062"/>
    <cellStyle name="Normal 17 23" xfId="1063"/>
    <cellStyle name="Normal 17 24" xfId="1064"/>
    <cellStyle name="Normal 17 25" xfId="1065"/>
    <cellStyle name="Normal 17 26" xfId="1066"/>
    <cellStyle name="Normal 17 27" xfId="1067"/>
    <cellStyle name="Normal 17 28" xfId="1068"/>
    <cellStyle name="Normal 17 29" xfId="1069"/>
    <cellStyle name="Normal 17 3" xfId="1070"/>
    <cellStyle name="Normal 17 30" xfId="1071"/>
    <cellStyle name="Normal 17 31" xfId="1072"/>
    <cellStyle name="Normal 17 32" xfId="1073"/>
    <cellStyle name="Normal 17 33" xfId="1074"/>
    <cellStyle name="Normal 17 34" xfId="1075"/>
    <cellStyle name="Normal 17 35" xfId="1076"/>
    <cellStyle name="Normal 17 36" xfId="1077"/>
    <cellStyle name="Normal 17 37" xfId="1078"/>
    <cellStyle name="Normal 17 38" xfId="1079"/>
    <cellStyle name="Normal 17 39" xfId="1080"/>
    <cellStyle name="Normal 17 4" xfId="1081"/>
    <cellStyle name="Normal 17 40" xfId="1082"/>
    <cellStyle name="Normal 17 41" xfId="1083"/>
    <cellStyle name="Normal 17 42" xfId="1084"/>
    <cellStyle name="Normal 17 43" xfId="1085"/>
    <cellStyle name="Normal 17 44" xfId="1086"/>
    <cellStyle name="Normal 17 45" xfId="1087"/>
    <cellStyle name="Normal 17 46" xfId="1088"/>
    <cellStyle name="Normal 17 47" xfId="1089"/>
    <cellStyle name="Normal 17 48" xfId="1090"/>
    <cellStyle name="Normal 17 49" xfId="1091"/>
    <cellStyle name="Normal 17 5" xfId="1092"/>
    <cellStyle name="Normal 17 50" xfId="1093"/>
    <cellStyle name="Normal 17 6" xfId="1094"/>
    <cellStyle name="Normal 17 7" xfId="1095"/>
    <cellStyle name="Normal 17 8" xfId="1096"/>
    <cellStyle name="Normal 17 9" xfId="1097"/>
    <cellStyle name="Normal 18" xfId="1098"/>
    <cellStyle name="Normal 19" xfId="1099"/>
    <cellStyle name="Normal 19 10" xfId="1100"/>
    <cellStyle name="Normal 19 11" xfId="1101"/>
    <cellStyle name="Normal 19 12" xfId="1102"/>
    <cellStyle name="Normal 19 13" xfId="1103"/>
    <cellStyle name="Normal 19 14" xfId="1104"/>
    <cellStyle name="Normal 19 15" xfId="1105"/>
    <cellStyle name="Normal 19 16" xfId="1106"/>
    <cellStyle name="Normal 19 17" xfId="1107"/>
    <cellStyle name="Normal 19 18" xfId="1108"/>
    <cellStyle name="Normal 19 19" xfId="1109"/>
    <cellStyle name="Normal 19 2" xfId="1110"/>
    <cellStyle name="Normal 19 20" xfId="1111"/>
    <cellStyle name="Normal 19 21" xfId="1112"/>
    <cellStyle name="Normal 19 22" xfId="1113"/>
    <cellStyle name="Normal 19 23" xfId="1114"/>
    <cellStyle name="Normal 19 24" xfId="1115"/>
    <cellStyle name="Normal 19 25" xfId="1116"/>
    <cellStyle name="Normal 19 26" xfId="1117"/>
    <cellStyle name="Normal 19 27" xfId="1118"/>
    <cellStyle name="Normal 19 28" xfId="1119"/>
    <cellStyle name="Normal 19 29" xfId="1120"/>
    <cellStyle name="Normal 19 3" xfId="1121"/>
    <cellStyle name="Normal 19 30" xfId="1122"/>
    <cellStyle name="Normal 19 31" xfId="1123"/>
    <cellStyle name="Normal 19 32" xfId="1124"/>
    <cellStyle name="Normal 19 33" xfId="1125"/>
    <cellStyle name="Normal 19 34" xfId="1126"/>
    <cellStyle name="Normal 19 35" xfId="1127"/>
    <cellStyle name="Normal 19 36" xfId="1128"/>
    <cellStyle name="Normal 19 37" xfId="1129"/>
    <cellStyle name="Normal 19 38" xfId="1130"/>
    <cellStyle name="Normal 19 39" xfId="1131"/>
    <cellStyle name="Normal 19 4" xfId="1132"/>
    <cellStyle name="Normal 19 40" xfId="1133"/>
    <cellStyle name="Normal 19 41" xfId="1134"/>
    <cellStyle name="Normal 19 42" xfId="1135"/>
    <cellStyle name="Normal 19 43" xfId="1136"/>
    <cellStyle name="Normal 19 44" xfId="1137"/>
    <cellStyle name="Normal 19 45" xfId="1138"/>
    <cellStyle name="Normal 19 46" xfId="1139"/>
    <cellStyle name="Normal 19 47" xfId="1140"/>
    <cellStyle name="Normal 19 48" xfId="1141"/>
    <cellStyle name="Normal 19 49" xfId="1142"/>
    <cellStyle name="Normal 19 5" xfId="1143"/>
    <cellStyle name="Normal 19 50" xfId="1144"/>
    <cellStyle name="Normal 19 6" xfId="1145"/>
    <cellStyle name="Normal 19 7" xfId="1146"/>
    <cellStyle name="Normal 19 8" xfId="1147"/>
    <cellStyle name="Normal 19 9" xfId="1148"/>
    <cellStyle name="Normal 2" xfId="37"/>
    <cellStyle name="Normal 2 10" xfId="1149"/>
    <cellStyle name="Normal 2 11" xfId="1150"/>
    <cellStyle name="Normal 2 12" xfId="1151"/>
    <cellStyle name="Normal 2 13" xfId="1152"/>
    <cellStyle name="Normal 2 14" xfId="1153"/>
    <cellStyle name="Normal 2 15" xfId="1154"/>
    <cellStyle name="Normal 2 16" xfId="1155"/>
    <cellStyle name="Normal 2 17" xfId="1156"/>
    <cellStyle name="Normal 2 18" xfId="1157"/>
    <cellStyle name="Normal 2 19" xfId="1158"/>
    <cellStyle name="Normal 2 2" xfId="39"/>
    <cellStyle name="Normal 2 2 2" xfId="45"/>
    <cellStyle name="Normal 2 20" xfId="1159"/>
    <cellStyle name="Normal 2 21" xfId="1160"/>
    <cellStyle name="Normal 2 22" xfId="1161"/>
    <cellStyle name="Normal 2 23" xfId="1162"/>
    <cellStyle name="Normal 2 24" xfId="1163"/>
    <cellStyle name="Normal 2 25" xfId="1164"/>
    <cellStyle name="Normal 2 26" xfId="1165"/>
    <cellStyle name="Normal 2 27" xfId="1166"/>
    <cellStyle name="Normal 2 28" xfId="1167"/>
    <cellStyle name="Normal 2 29" xfId="1168"/>
    <cellStyle name="Normal 2 3" xfId="44"/>
    <cellStyle name="Normal 2 30" xfId="1169"/>
    <cellStyle name="Normal 2 31" xfId="1170"/>
    <cellStyle name="Normal 2 32" xfId="1171"/>
    <cellStyle name="Normal 2 33" xfId="1172"/>
    <cellStyle name="Normal 2 34" xfId="1173"/>
    <cellStyle name="Normal 2 35" xfId="1174"/>
    <cellStyle name="Normal 2 36" xfId="1175"/>
    <cellStyle name="Normal 2 37" xfId="1176"/>
    <cellStyle name="Normal 2 38" xfId="1177"/>
    <cellStyle name="Normal 2 39" xfId="1178"/>
    <cellStyle name="Normal 2 4" xfId="1179"/>
    <cellStyle name="Normal 2 40" xfId="1180"/>
    <cellStyle name="Normal 2 41" xfId="1181"/>
    <cellStyle name="Normal 2 42" xfId="1182"/>
    <cellStyle name="Normal 2 43" xfId="1183"/>
    <cellStyle name="Normal 2 44" xfId="1184"/>
    <cellStyle name="Normal 2 45" xfId="2127"/>
    <cellStyle name="Normal 2 5" xfId="1185"/>
    <cellStyle name="Normal 2 6" xfId="1186"/>
    <cellStyle name="Normal 2 7" xfId="1187"/>
    <cellStyle name="Normal 2 7 2" xfId="1188"/>
    <cellStyle name="Normal 2 8" xfId="1189"/>
    <cellStyle name="Normal 2 9" xfId="1190"/>
    <cellStyle name="Normal 2_Book1" xfId="40"/>
    <cellStyle name="Normal 20" xfId="1191"/>
    <cellStyle name="Normal 20 10" xfId="1192"/>
    <cellStyle name="Normal 20 11" xfId="1193"/>
    <cellStyle name="Normal 20 12" xfId="1194"/>
    <cellStyle name="Normal 20 13" xfId="1195"/>
    <cellStyle name="Normal 20 14" xfId="1196"/>
    <cellStyle name="Normal 20 15" xfId="1197"/>
    <cellStyle name="Normal 20 16" xfId="1198"/>
    <cellStyle name="Normal 20 17" xfId="1199"/>
    <cellStyle name="Normal 20 18" xfId="1200"/>
    <cellStyle name="Normal 20 19" xfId="1201"/>
    <cellStyle name="Normal 20 2" xfId="1202"/>
    <cellStyle name="Normal 20 20" xfId="1203"/>
    <cellStyle name="Normal 20 21" xfId="1204"/>
    <cellStyle name="Normal 20 22" xfId="1205"/>
    <cellStyle name="Normal 20 23" xfId="1206"/>
    <cellStyle name="Normal 20 24" xfId="1207"/>
    <cellStyle name="Normal 20 25" xfId="1208"/>
    <cellStyle name="Normal 20 26" xfId="1209"/>
    <cellStyle name="Normal 20 27" xfId="1210"/>
    <cellStyle name="Normal 20 28" xfId="1211"/>
    <cellStyle name="Normal 20 29" xfId="1212"/>
    <cellStyle name="Normal 20 3" xfId="1213"/>
    <cellStyle name="Normal 20 30" xfId="1214"/>
    <cellStyle name="Normal 20 31" xfId="1215"/>
    <cellStyle name="Normal 20 32" xfId="1216"/>
    <cellStyle name="Normal 20 33" xfId="1217"/>
    <cellStyle name="Normal 20 34" xfId="1218"/>
    <cellStyle name="Normal 20 35" xfId="1219"/>
    <cellStyle name="Normal 20 36" xfId="1220"/>
    <cellStyle name="Normal 20 37" xfId="1221"/>
    <cellStyle name="Normal 20 38" xfId="1222"/>
    <cellStyle name="Normal 20 39" xfId="1223"/>
    <cellStyle name="Normal 20 4" xfId="1224"/>
    <cellStyle name="Normal 20 40" xfId="1225"/>
    <cellStyle name="Normal 20 41" xfId="1226"/>
    <cellStyle name="Normal 20 42" xfId="1227"/>
    <cellStyle name="Normal 20 43" xfId="1228"/>
    <cellStyle name="Normal 20 44" xfId="1229"/>
    <cellStyle name="Normal 20 45" xfId="1230"/>
    <cellStyle name="Normal 20 46" xfId="1231"/>
    <cellStyle name="Normal 20 47" xfId="1232"/>
    <cellStyle name="Normal 20 48" xfId="1233"/>
    <cellStyle name="Normal 20 49" xfId="1234"/>
    <cellStyle name="Normal 20 5" xfId="1235"/>
    <cellStyle name="Normal 20 6" xfId="1236"/>
    <cellStyle name="Normal 20 7" xfId="1237"/>
    <cellStyle name="Normal 20 8" xfId="1238"/>
    <cellStyle name="Normal 20 9" xfId="1239"/>
    <cellStyle name="Normal 21" xfId="1240"/>
    <cellStyle name="Normal 21 10" xfId="1241"/>
    <cellStyle name="Normal 21 11" xfId="1242"/>
    <cellStyle name="Normal 21 12" xfId="1243"/>
    <cellStyle name="Normal 21 13" xfId="1244"/>
    <cellStyle name="Normal 21 14" xfId="1245"/>
    <cellStyle name="Normal 21 15" xfId="1246"/>
    <cellStyle name="Normal 21 16" xfId="1247"/>
    <cellStyle name="Normal 21 17" xfId="1248"/>
    <cellStyle name="Normal 21 18" xfId="1249"/>
    <cellStyle name="Normal 21 19" xfId="1250"/>
    <cellStyle name="Normal 21 2" xfId="1251"/>
    <cellStyle name="Normal 21 20" xfId="1252"/>
    <cellStyle name="Normal 21 21" xfId="1253"/>
    <cellStyle name="Normal 21 22" xfId="1254"/>
    <cellStyle name="Normal 21 23" xfId="1255"/>
    <cellStyle name="Normal 21 24" xfId="1256"/>
    <cellStyle name="Normal 21 25" xfId="1257"/>
    <cellStyle name="Normal 21 26" xfId="1258"/>
    <cellStyle name="Normal 21 27" xfId="1259"/>
    <cellStyle name="Normal 21 28" xfId="1260"/>
    <cellStyle name="Normal 21 29" xfId="1261"/>
    <cellStyle name="Normal 21 3" xfId="1262"/>
    <cellStyle name="Normal 21 30" xfId="1263"/>
    <cellStyle name="Normal 21 31" xfId="1264"/>
    <cellStyle name="Normal 21 32" xfId="1265"/>
    <cellStyle name="Normal 21 33" xfId="1266"/>
    <cellStyle name="Normal 21 34" xfId="1267"/>
    <cellStyle name="Normal 21 35" xfId="1268"/>
    <cellStyle name="Normal 21 36" xfId="1269"/>
    <cellStyle name="Normal 21 37" xfId="1270"/>
    <cellStyle name="Normal 21 38" xfId="1271"/>
    <cellStyle name="Normal 21 39" xfId="1272"/>
    <cellStyle name="Normal 21 4" xfId="1273"/>
    <cellStyle name="Normal 21 40" xfId="1274"/>
    <cellStyle name="Normal 21 41" xfId="1275"/>
    <cellStyle name="Normal 21 42" xfId="1276"/>
    <cellStyle name="Normal 21 43" xfId="1277"/>
    <cellStyle name="Normal 21 44" xfId="1278"/>
    <cellStyle name="Normal 21 45" xfId="1279"/>
    <cellStyle name="Normal 21 46" xfId="1280"/>
    <cellStyle name="Normal 21 47" xfId="1281"/>
    <cellStyle name="Normal 21 48" xfId="1282"/>
    <cellStyle name="Normal 21 49" xfId="1283"/>
    <cellStyle name="Normal 21 5" xfId="1284"/>
    <cellStyle name="Normal 21 6" xfId="1285"/>
    <cellStyle name="Normal 21 7" xfId="1286"/>
    <cellStyle name="Normal 21 8" xfId="1287"/>
    <cellStyle name="Normal 21 9" xfId="1288"/>
    <cellStyle name="Normal 22" xfId="1289"/>
    <cellStyle name="Normal 22 10" xfId="1290"/>
    <cellStyle name="Normal 22 11" xfId="1291"/>
    <cellStyle name="Normal 22 12" xfId="1292"/>
    <cellStyle name="Normal 22 13" xfId="1293"/>
    <cellStyle name="Normal 22 14" xfId="1294"/>
    <cellStyle name="Normal 22 15" xfId="1295"/>
    <cellStyle name="Normal 22 16" xfId="1296"/>
    <cellStyle name="Normal 22 17" xfId="1297"/>
    <cellStyle name="Normal 22 18" xfId="1298"/>
    <cellStyle name="Normal 22 19" xfId="1299"/>
    <cellStyle name="Normal 22 2" xfId="1300"/>
    <cellStyle name="Normal 22 20" xfId="1301"/>
    <cellStyle name="Normal 22 21" xfId="1302"/>
    <cellStyle name="Normal 22 22" xfId="1303"/>
    <cellStyle name="Normal 22 23" xfId="1304"/>
    <cellStyle name="Normal 22 24" xfId="1305"/>
    <cellStyle name="Normal 22 25" xfId="1306"/>
    <cellStyle name="Normal 22 26" xfId="1307"/>
    <cellStyle name="Normal 22 27" xfId="1308"/>
    <cellStyle name="Normal 22 28" xfId="1309"/>
    <cellStyle name="Normal 22 29" xfId="1310"/>
    <cellStyle name="Normal 22 3" xfId="1311"/>
    <cellStyle name="Normal 22 30" xfId="1312"/>
    <cellStyle name="Normal 22 31" xfId="1313"/>
    <cellStyle name="Normal 22 32" xfId="1314"/>
    <cellStyle name="Normal 22 33" xfId="1315"/>
    <cellStyle name="Normal 22 34" xfId="1316"/>
    <cellStyle name="Normal 22 35" xfId="1317"/>
    <cellStyle name="Normal 22 36" xfId="1318"/>
    <cellStyle name="Normal 22 37" xfId="1319"/>
    <cellStyle name="Normal 22 38" xfId="1320"/>
    <cellStyle name="Normal 22 39" xfId="1321"/>
    <cellStyle name="Normal 22 4" xfId="1322"/>
    <cellStyle name="Normal 22 40" xfId="1323"/>
    <cellStyle name="Normal 22 41" xfId="1324"/>
    <cellStyle name="Normal 22 42" xfId="1325"/>
    <cellStyle name="Normal 22 43" xfId="1326"/>
    <cellStyle name="Normal 22 44" xfId="1327"/>
    <cellStyle name="Normal 22 45" xfId="1328"/>
    <cellStyle name="Normal 22 46" xfId="1329"/>
    <cellStyle name="Normal 22 47" xfId="1330"/>
    <cellStyle name="Normal 22 48" xfId="1331"/>
    <cellStyle name="Normal 22 49" xfId="1332"/>
    <cellStyle name="Normal 22 5" xfId="1333"/>
    <cellStyle name="Normal 22 6" xfId="1334"/>
    <cellStyle name="Normal 22 7" xfId="1335"/>
    <cellStyle name="Normal 22 8" xfId="1336"/>
    <cellStyle name="Normal 22 9" xfId="1337"/>
    <cellStyle name="Normal 23" xfId="1338"/>
    <cellStyle name="Normal 24" xfId="1339"/>
    <cellStyle name="Normal 25" xfId="1340"/>
    <cellStyle name="Normal 25 10" xfId="1341"/>
    <cellStyle name="Normal 25 11" xfId="1342"/>
    <cellStyle name="Normal 25 12" xfId="1343"/>
    <cellStyle name="Normal 25 13" xfId="1344"/>
    <cellStyle name="Normal 25 14" xfId="1345"/>
    <cellStyle name="Normal 25 15" xfId="1346"/>
    <cellStyle name="Normal 25 16" xfId="1347"/>
    <cellStyle name="Normal 25 17" xfId="1348"/>
    <cellStyle name="Normal 25 18" xfId="1349"/>
    <cellStyle name="Normal 25 19" xfId="1350"/>
    <cellStyle name="Normal 25 2" xfId="1351"/>
    <cellStyle name="Normal 25 20" xfId="1352"/>
    <cellStyle name="Normal 25 21" xfId="1353"/>
    <cellStyle name="Normal 25 22" xfId="1354"/>
    <cellStyle name="Normal 25 23" xfId="1355"/>
    <cellStyle name="Normal 25 24" xfId="1356"/>
    <cellStyle name="Normal 25 25" xfId="1357"/>
    <cellStyle name="Normal 25 26" xfId="1358"/>
    <cellStyle name="Normal 25 27" xfId="1359"/>
    <cellStyle name="Normal 25 28" xfId="1360"/>
    <cellStyle name="Normal 25 29" xfId="1361"/>
    <cellStyle name="Normal 25 3" xfId="1362"/>
    <cellStyle name="Normal 25 30" xfId="1363"/>
    <cellStyle name="Normal 25 31" xfId="1364"/>
    <cellStyle name="Normal 25 32" xfId="1365"/>
    <cellStyle name="Normal 25 33" xfId="1366"/>
    <cellStyle name="Normal 25 34" xfId="1367"/>
    <cellStyle name="Normal 25 35" xfId="1368"/>
    <cellStyle name="Normal 25 36" xfId="1369"/>
    <cellStyle name="Normal 25 37" xfId="1370"/>
    <cellStyle name="Normal 25 38" xfId="1371"/>
    <cellStyle name="Normal 25 39" xfId="1372"/>
    <cellStyle name="Normal 25 4" xfId="1373"/>
    <cellStyle name="Normal 25 40" xfId="1374"/>
    <cellStyle name="Normal 25 41" xfId="1375"/>
    <cellStyle name="Normal 25 42" xfId="1376"/>
    <cellStyle name="Normal 25 43" xfId="1377"/>
    <cellStyle name="Normal 25 44" xfId="1378"/>
    <cellStyle name="Normal 25 45" xfId="1379"/>
    <cellStyle name="Normal 25 46" xfId="1380"/>
    <cellStyle name="Normal 25 47" xfId="1381"/>
    <cellStyle name="Normal 25 48" xfId="1382"/>
    <cellStyle name="Normal 25 49" xfId="1383"/>
    <cellStyle name="Normal 25 5" xfId="1384"/>
    <cellStyle name="Normal 25 6" xfId="1385"/>
    <cellStyle name="Normal 25 7" xfId="1386"/>
    <cellStyle name="Normal 25 8" xfId="1387"/>
    <cellStyle name="Normal 25 9" xfId="1388"/>
    <cellStyle name="Normal 26" xfId="1389"/>
    <cellStyle name="Normal 26 10" xfId="1390"/>
    <cellStyle name="Normal 26 11" xfId="1391"/>
    <cellStyle name="Normal 26 12" xfId="1392"/>
    <cellStyle name="Normal 26 13" xfId="1393"/>
    <cellStyle name="Normal 26 14" xfId="1394"/>
    <cellStyle name="Normal 26 15" xfId="1395"/>
    <cellStyle name="Normal 26 16" xfId="1396"/>
    <cellStyle name="Normal 26 17" xfId="1397"/>
    <cellStyle name="Normal 26 18" xfId="1398"/>
    <cellStyle name="Normal 26 19" xfId="1399"/>
    <cellStyle name="Normal 26 2" xfId="1400"/>
    <cellStyle name="Normal 26 20" xfId="1401"/>
    <cellStyle name="Normal 26 21" xfId="1402"/>
    <cellStyle name="Normal 26 22" xfId="1403"/>
    <cellStyle name="Normal 26 23" xfId="1404"/>
    <cellStyle name="Normal 26 24" xfId="1405"/>
    <cellStyle name="Normal 26 25" xfId="1406"/>
    <cellStyle name="Normal 26 26" xfId="1407"/>
    <cellStyle name="Normal 26 27" xfId="1408"/>
    <cellStyle name="Normal 26 28" xfId="1409"/>
    <cellStyle name="Normal 26 29" xfId="1410"/>
    <cellStyle name="Normal 26 3" xfId="1411"/>
    <cellStyle name="Normal 26 30" xfId="1412"/>
    <cellStyle name="Normal 26 31" xfId="1413"/>
    <cellStyle name="Normal 26 32" xfId="1414"/>
    <cellStyle name="Normal 26 33" xfId="1415"/>
    <cellStyle name="Normal 26 34" xfId="1416"/>
    <cellStyle name="Normal 26 35" xfId="1417"/>
    <cellStyle name="Normal 26 36" xfId="1418"/>
    <cellStyle name="Normal 26 37" xfId="1419"/>
    <cellStyle name="Normal 26 38" xfId="1420"/>
    <cellStyle name="Normal 26 39" xfId="1421"/>
    <cellStyle name="Normal 26 4" xfId="1422"/>
    <cellStyle name="Normal 26 40" xfId="1423"/>
    <cellStyle name="Normal 26 41" xfId="1424"/>
    <cellStyle name="Normal 26 42" xfId="1425"/>
    <cellStyle name="Normal 26 43" xfId="1426"/>
    <cellStyle name="Normal 26 44" xfId="1427"/>
    <cellStyle name="Normal 26 45" xfId="1428"/>
    <cellStyle name="Normal 26 46" xfId="1429"/>
    <cellStyle name="Normal 26 47" xfId="1430"/>
    <cellStyle name="Normal 26 48" xfId="1431"/>
    <cellStyle name="Normal 26 49" xfId="1432"/>
    <cellStyle name="Normal 26 5" xfId="1433"/>
    <cellStyle name="Normal 26 6" xfId="1434"/>
    <cellStyle name="Normal 26 7" xfId="1435"/>
    <cellStyle name="Normal 26 8" xfId="1436"/>
    <cellStyle name="Normal 26 9" xfId="1437"/>
    <cellStyle name="Normal 27" xfId="1438"/>
    <cellStyle name="Normal 28" xfId="1439"/>
    <cellStyle name="Normal 28 10" xfId="1440"/>
    <cellStyle name="Normal 28 11" xfId="1441"/>
    <cellStyle name="Normal 28 12" xfId="1442"/>
    <cellStyle name="Normal 28 13" xfId="1443"/>
    <cellStyle name="Normal 28 14" xfId="1444"/>
    <cellStyle name="Normal 28 15" xfId="1445"/>
    <cellStyle name="Normal 28 16" xfId="1446"/>
    <cellStyle name="Normal 28 17" xfId="1447"/>
    <cellStyle name="Normal 28 18" xfId="1448"/>
    <cellStyle name="Normal 28 19" xfId="1449"/>
    <cellStyle name="Normal 28 2" xfId="1450"/>
    <cellStyle name="Normal 28 20" xfId="1451"/>
    <cellStyle name="Normal 28 21" xfId="1452"/>
    <cellStyle name="Normal 28 22" xfId="1453"/>
    <cellStyle name="Normal 28 23" xfId="1454"/>
    <cellStyle name="Normal 28 24" xfId="1455"/>
    <cellStyle name="Normal 28 25" xfId="1456"/>
    <cellStyle name="Normal 28 26" xfId="1457"/>
    <cellStyle name="Normal 28 27" xfId="1458"/>
    <cellStyle name="Normal 28 28" xfId="1459"/>
    <cellStyle name="Normal 28 29" xfId="1460"/>
    <cellStyle name="Normal 28 3" xfId="1461"/>
    <cellStyle name="Normal 28 30" xfId="1462"/>
    <cellStyle name="Normal 28 31" xfId="1463"/>
    <cellStyle name="Normal 28 32" xfId="1464"/>
    <cellStyle name="Normal 28 33" xfId="1465"/>
    <cellStyle name="Normal 28 34" xfId="1466"/>
    <cellStyle name="Normal 28 35" xfId="1467"/>
    <cellStyle name="Normal 28 36" xfId="1468"/>
    <cellStyle name="Normal 28 37" xfId="1469"/>
    <cellStyle name="Normal 28 38" xfId="1470"/>
    <cellStyle name="Normal 28 39" xfId="1471"/>
    <cellStyle name="Normal 28 4" xfId="1472"/>
    <cellStyle name="Normal 28 40" xfId="1473"/>
    <cellStyle name="Normal 28 41" xfId="1474"/>
    <cellStyle name="Normal 28 42" xfId="1475"/>
    <cellStyle name="Normal 28 43" xfId="1476"/>
    <cellStyle name="Normal 28 44" xfId="1477"/>
    <cellStyle name="Normal 28 45" xfId="1478"/>
    <cellStyle name="Normal 28 46" xfId="1479"/>
    <cellStyle name="Normal 28 47" xfId="1480"/>
    <cellStyle name="Normal 28 48" xfId="1481"/>
    <cellStyle name="Normal 28 49" xfId="1482"/>
    <cellStyle name="Normal 28 5" xfId="1483"/>
    <cellStyle name="Normal 28 6" xfId="1484"/>
    <cellStyle name="Normal 28 7" xfId="1485"/>
    <cellStyle name="Normal 28 8" xfId="1486"/>
    <cellStyle name="Normal 28 9" xfId="1487"/>
    <cellStyle name="Normal 29" xfId="1488"/>
    <cellStyle name="Normal 29 10" xfId="1489"/>
    <cellStyle name="Normal 29 11" xfId="1490"/>
    <cellStyle name="Normal 29 12" xfId="1491"/>
    <cellStyle name="Normal 29 13" xfId="1492"/>
    <cellStyle name="Normal 29 14" xfId="1493"/>
    <cellStyle name="Normal 29 15" xfId="1494"/>
    <cellStyle name="Normal 29 16" xfId="1495"/>
    <cellStyle name="Normal 29 17" xfId="1496"/>
    <cellStyle name="Normal 29 18" xfId="1497"/>
    <cellStyle name="Normal 29 19" xfId="1498"/>
    <cellStyle name="Normal 29 2" xfId="1499"/>
    <cellStyle name="Normal 29 20" xfId="1500"/>
    <cellStyle name="Normal 29 21" xfId="1501"/>
    <cellStyle name="Normal 29 22" xfId="1502"/>
    <cellStyle name="Normal 29 23" xfId="1503"/>
    <cellStyle name="Normal 29 24" xfId="1504"/>
    <cellStyle name="Normal 29 25" xfId="1505"/>
    <cellStyle name="Normal 29 26" xfId="1506"/>
    <cellStyle name="Normal 29 27" xfId="1507"/>
    <cellStyle name="Normal 29 28" xfId="1508"/>
    <cellStyle name="Normal 29 29" xfId="1509"/>
    <cellStyle name="Normal 29 3" xfId="1510"/>
    <cellStyle name="Normal 29 30" xfId="1511"/>
    <cellStyle name="Normal 29 31" xfId="1512"/>
    <cellStyle name="Normal 29 32" xfId="1513"/>
    <cellStyle name="Normal 29 33" xfId="1514"/>
    <cellStyle name="Normal 29 34" xfId="1515"/>
    <cellStyle name="Normal 29 35" xfId="1516"/>
    <cellStyle name="Normal 29 36" xfId="1517"/>
    <cellStyle name="Normal 29 37" xfId="1518"/>
    <cellStyle name="Normal 29 38" xfId="1519"/>
    <cellStyle name="Normal 29 39" xfId="1520"/>
    <cellStyle name="Normal 29 4" xfId="1521"/>
    <cellStyle name="Normal 29 40" xfId="1522"/>
    <cellStyle name="Normal 29 41" xfId="1523"/>
    <cellStyle name="Normal 29 42" xfId="1524"/>
    <cellStyle name="Normal 29 43" xfId="1525"/>
    <cellStyle name="Normal 29 44" xfId="1526"/>
    <cellStyle name="Normal 29 45" xfId="1527"/>
    <cellStyle name="Normal 29 46" xfId="1528"/>
    <cellStyle name="Normal 29 47" xfId="1529"/>
    <cellStyle name="Normal 29 48" xfId="1530"/>
    <cellStyle name="Normal 29 49" xfId="1531"/>
    <cellStyle name="Normal 29 5" xfId="1532"/>
    <cellStyle name="Normal 29 6" xfId="1533"/>
    <cellStyle name="Normal 29 7" xfId="1534"/>
    <cellStyle name="Normal 29 8" xfId="1535"/>
    <cellStyle name="Normal 29 9" xfId="1536"/>
    <cellStyle name="Normal 3" xfId="38"/>
    <cellStyle name="Normal 3 10" xfId="1537"/>
    <cellStyle name="Normal 3 11" xfId="1538"/>
    <cellStyle name="Normal 3 12" xfId="1539"/>
    <cellStyle name="Normal 3 13" xfId="1540"/>
    <cellStyle name="Normal 3 14" xfId="1541"/>
    <cellStyle name="Normal 3 15" xfId="1542"/>
    <cellStyle name="Normal 3 16" xfId="1543"/>
    <cellStyle name="Normal 3 17" xfId="1544"/>
    <cellStyle name="Normal 3 18" xfId="1545"/>
    <cellStyle name="Normal 3 19" xfId="1546"/>
    <cellStyle name="Normal 3 2" xfId="1547"/>
    <cellStyle name="Normal 3 2 2" xfId="1548"/>
    <cellStyle name="Normal 3 20" xfId="1549"/>
    <cellStyle name="Normal 3 21" xfId="1550"/>
    <cellStyle name="Normal 3 22" xfId="1551"/>
    <cellStyle name="Normal 3 23" xfId="1552"/>
    <cellStyle name="Normal 3 24" xfId="1553"/>
    <cellStyle name="Normal 3 25" xfId="1554"/>
    <cellStyle name="Normal 3 26" xfId="1555"/>
    <cellStyle name="Normal 3 27" xfId="1556"/>
    <cellStyle name="Normal 3 28" xfId="1557"/>
    <cellStyle name="Normal 3 29" xfId="1558"/>
    <cellStyle name="Normal 3 3" xfId="1559"/>
    <cellStyle name="Normal 3 3 2" xfId="1560"/>
    <cellStyle name="Normal 3 30" xfId="1561"/>
    <cellStyle name="Normal 3 31" xfId="1562"/>
    <cellStyle name="Normal 3 32" xfId="1563"/>
    <cellStyle name="Normal 3 33" xfId="1564"/>
    <cellStyle name="Normal 3 34" xfId="1565"/>
    <cellStyle name="Normal 3 35" xfId="1566"/>
    <cellStyle name="Normal 3 36" xfId="1567"/>
    <cellStyle name="Normal 3 37" xfId="1568"/>
    <cellStyle name="Normal 3 38" xfId="1569"/>
    <cellStyle name="Normal 3 39" xfId="1570"/>
    <cellStyle name="Normal 3 4" xfId="1571"/>
    <cellStyle name="Normal 3 40" xfId="1572"/>
    <cellStyle name="Normal 3 41" xfId="1573"/>
    <cellStyle name="Normal 3 42" xfId="1574"/>
    <cellStyle name="Normal 3 43" xfId="1575"/>
    <cellStyle name="Normal 3 44" xfId="1576"/>
    <cellStyle name="Normal 3 45" xfId="1577"/>
    <cellStyle name="Normal 3 46" xfId="1578"/>
    <cellStyle name="Normal 3 47" xfId="1579"/>
    <cellStyle name="Normal 3 48" xfId="1580"/>
    <cellStyle name="Normal 3 49" xfId="1581"/>
    <cellStyle name="Normal 3 5" xfId="1582"/>
    <cellStyle name="Normal 3 50" xfId="1583"/>
    <cellStyle name="Normal 3 51" xfId="1584"/>
    <cellStyle name="Normal 3 52" xfId="1585"/>
    <cellStyle name="Normal 3 53" xfId="1586"/>
    <cellStyle name="Normal 3 54" xfId="1587"/>
    <cellStyle name="Normal 3 55" xfId="1588"/>
    <cellStyle name="Normal 3 56" xfId="1589"/>
    <cellStyle name="Normal 3 57" xfId="1590"/>
    <cellStyle name="Normal 3 58" xfId="1591"/>
    <cellStyle name="Normal 3 59" xfId="1592"/>
    <cellStyle name="Normal 3 6" xfId="1593"/>
    <cellStyle name="Normal 3 60" xfId="1594"/>
    <cellStyle name="Normal 3 61" xfId="1595"/>
    <cellStyle name="Normal 3 62" xfId="1596"/>
    <cellStyle name="Normal 3 63" xfId="1597"/>
    <cellStyle name="Normal 3 64" xfId="1598"/>
    <cellStyle name="Normal 3 65" xfId="1599"/>
    <cellStyle name="Normal 3 66" xfId="1600"/>
    <cellStyle name="Normal 3 67" xfId="1601"/>
    <cellStyle name="Normal 3 68" xfId="1602"/>
    <cellStyle name="Normal 3 69" xfId="1603"/>
    <cellStyle name="Normal 3 7" xfId="1604"/>
    <cellStyle name="Normal 3 70" xfId="1605"/>
    <cellStyle name="Normal 3 71" xfId="1606"/>
    <cellStyle name="Normal 3 72" xfId="1607"/>
    <cellStyle name="Normal 3 73" xfId="1608"/>
    <cellStyle name="Normal 3 74" xfId="1609"/>
    <cellStyle name="Normal 3 75" xfId="1610"/>
    <cellStyle name="Normal 3 76" xfId="1611"/>
    <cellStyle name="Normal 3 77" xfId="1612"/>
    <cellStyle name="Normal 3 78" xfId="1613"/>
    <cellStyle name="Normal 3 79" xfId="1614"/>
    <cellStyle name="Normal 3 8" xfId="1615"/>
    <cellStyle name="Normal 3 80" xfId="1616"/>
    <cellStyle name="Normal 3 81" xfId="1617"/>
    <cellStyle name="Normal 3 82" xfId="1618"/>
    <cellStyle name="Normal 3 83" xfId="1619"/>
    <cellStyle name="Normal 3 84" xfId="1620"/>
    <cellStyle name="Normal 3 85" xfId="1621"/>
    <cellStyle name="Normal 3 86" xfId="1622"/>
    <cellStyle name="Normal 3 87" xfId="1623"/>
    <cellStyle name="Normal 3 88" xfId="1624"/>
    <cellStyle name="Normal 3 9" xfId="1625"/>
    <cellStyle name="Normal 30" xfId="1626"/>
    <cellStyle name="Normal 30 10" xfId="1627"/>
    <cellStyle name="Normal 30 11" xfId="1628"/>
    <cellStyle name="Normal 30 12" xfId="1629"/>
    <cellStyle name="Normal 30 13" xfId="1630"/>
    <cellStyle name="Normal 30 14" xfId="1631"/>
    <cellStyle name="Normal 30 15" xfId="1632"/>
    <cellStyle name="Normal 30 16" xfId="1633"/>
    <cellStyle name="Normal 30 17" xfId="1634"/>
    <cellStyle name="Normal 30 18" xfId="1635"/>
    <cellStyle name="Normal 30 19" xfId="1636"/>
    <cellStyle name="Normal 30 2" xfId="1637"/>
    <cellStyle name="Normal 30 20" xfId="1638"/>
    <cellStyle name="Normal 30 21" xfId="1639"/>
    <cellStyle name="Normal 30 22" xfId="1640"/>
    <cellStyle name="Normal 30 23" xfId="1641"/>
    <cellStyle name="Normal 30 24" xfId="1642"/>
    <cellStyle name="Normal 30 25" xfId="1643"/>
    <cellStyle name="Normal 30 26" xfId="1644"/>
    <cellStyle name="Normal 30 27" xfId="1645"/>
    <cellStyle name="Normal 30 28" xfId="1646"/>
    <cellStyle name="Normal 30 29" xfId="1647"/>
    <cellStyle name="Normal 30 3" xfId="1648"/>
    <cellStyle name="Normal 30 30" xfId="1649"/>
    <cellStyle name="Normal 30 31" xfId="1650"/>
    <cellStyle name="Normal 30 32" xfId="1651"/>
    <cellStyle name="Normal 30 33" xfId="1652"/>
    <cellStyle name="Normal 30 34" xfId="1653"/>
    <cellStyle name="Normal 30 35" xfId="1654"/>
    <cellStyle name="Normal 30 36" xfId="1655"/>
    <cellStyle name="Normal 30 37" xfId="1656"/>
    <cellStyle name="Normal 30 38" xfId="1657"/>
    <cellStyle name="Normal 30 39" xfId="1658"/>
    <cellStyle name="Normal 30 4" xfId="1659"/>
    <cellStyle name="Normal 30 40" xfId="1660"/>
    <cellStyle name="Normal 30 41" xfId="1661"/>
    <cellStyle name="Normal 30 42" xfId="1662"/>
    <cellStyle name="Normal 30 43" xfId="1663"/>
    <cellStyle name="Normal 30 44" xfId="1664"/>
    <cellStyle name="Normal 30 45" xfId="1665"/>
    <cellStyle name="Normal 30 46" xfId="1666"/>
    <cellStyle name="Normal 30 47" xfId="1667"/>
    <cellStyle name="Normal 30 48" xfId="1668"/>
    <cellStyle name="Normal 30 49" xfId="1669"/>
    <cellStyle name="Normal 30 5" xfId="1670"/>
    <cellStyle name="Normal 30 6" xfId="1671"/>
    <cellStyle name="Normal 30 7" xfId="1672"/>
    <cellStyle name="Normal 30 8" xfId="1673"/>
    <cellStyle name="Normal 30 9" xfId="1674"/>
    <cellStyle name="Normal 31" xfId="1675"/>
    <cellStyle name="Normal 32" xfId="1676"/>
    <cellStyle name="Normal 32 10" xfId="1677"/>
    <cellStyle name="Normal 32 11" xfId="1678"/>
    <cellStyle name="Normal 32 12" xfId="1679"/>
    <cellStyle name="Normal 32 13" xfId="1680"/>
    <cellStyle name="Normal 32 14" xfId="1681"/>
    <cellStyle name="Normal 32 15" xfId="1682"/>
    <cellStyle name="Normal 32 16" xfId="1683"/>
    <cellStyle name="Normal 32 17" xfId="1684"/>
    <cellStyle name="Normal 32 18" xfId="1685"/>
    <cellStyle name="Normal 32 19" xfId="1686"/>
    <cellStyle name="Normal 32 2" xfId="1687"/>
    <cellStyle name="Normal 32 20" xfId="1688"/>
    <cellStyle name="Normal 32 21" xfId="1689"/>
    <cellStyle name="Normal 32 22" xfId="1690"/>
    <cellStyle name="Normal 32 23" xfId="1691"/>
    <cellStyle name="Normal 32 24" xfId="1692"/>
    <cellStyle name="Normal 32 25" xfId="1693"/>
    <cellStyle name="Normal 32 26" xfId="1694"/>
    <cellStyle name="Normal 32 27" xfId="1695"/>
    <cellStyle name="Normal 32 28" xfId="1696"/>
    <cellStyle name="Normal 32 29" xfId="1697"/>
    <cellStyle name="Normal 32 3" xfId="1698"/>
    <cellStyle name="Normal 32 30" xfId="1699"/>
    <cellStyle name="Normal 32 31" xfId="1700"/>
    <cellStyle name="Normal 32 32" xfId="1701"/>
    <cellStyle name="Normal 32 33" xfId="1702"/>
    <cellStyle name="Normal 32 34" xfId="1703"/>
    <cellStyle name="Normal 32 35" xfId="1704"/>
    <cellStyle name="Normal 32 36" xfId="1705"/>
    <cellStyle name="Normal 32 37" xfId="1706"/>
    <cellStyle name="Normal 32 38" xfId="1707"/>
    <cellStyle name="Normal 32 39" xfId="1708"/>
    <cellStyle name="Normal 32 4" xfId="1709"/>
    <cellStyle name="Normal 32 40" xfId="1710"/>
    <cellStyle name="Normal 32 41" xfId="1711"/>
    <cellStyle name="Normal 32 42" xfId="1712"/>
    <cellStyle name="Normal 32 43" xfId="1713"/>
    <cellStyle name="Normal 32 44" xfId="1714"/>
    <cellStyle name="Normal 32 45" xfId="1715"/>
    <cellStyle name="Normal 32 46" xfId="1716"/>
    <cellStyle name="Normal 32 47" xfId="1717"/>
    <cellStyle name="Normal 32 48" xfId="1718"/>
    <cellStyle name="Normal 32 49" xfId="1719"/>
    <cellStyle name="Normal 32 5" xfId="1720"/>
    <cellStyle name="Normal 32 6" xfId="1721"/>
    <cellStyle name="Normal 32 7" xfId="1722"/>
    <cellStyle name="Normal 32 8" xfId="1723"/>
    <cellStyle name="Normal 32 9" xfId="1724"/>
    <cellStyle name="Normal 33" xfId="1725"/>
    <cellStyle name="Normal 34" xfId="2124"/>
    <cellStyle name="Normal 35" xfId="1726"/>
    <cellStyle name="Normal 36" xfId="1727"/>
    <cellStyle name="Normal 37" xfId="1728"/>
    <cellStyle name="Normal 38" xfId="1729"/>
    <cellStyle name="Normal 39" xfId="1730"/>
    <cellStyle name="Normal 4" xfId="41"/>
    <cellStyle name="Normal 4 10" xfId="1731"/>
    <cellStyle name="Normal 4 11" xfId="1732"/>
    <cellStyle name="Normal 4 12" xfId="1733"/>
    <cellStyle name="Normal 4 13" xfId="1734"/>
    <cellStyle name="Normal 4 14" xfId="1735"/>
    <cellStyle name="Normal 4 15" xfId="1736"/>
    <cellStyle name="Normal 4 16" xfId="1737"/>
    <cellStyle name="Normal 4 17" xfId="1738"/>
    <cellStyle name="Normal 4 18" xfId="1739"/>
    <cellStyle name="Normal 4 19" xfId="1740"/>
    <cellStyle name="Normal 4 2" xfId="46"/>
    <cellStyle name="Normal 4 20" xfId="1741"/>
    <cellStyle name="Normal 4 21" xfId="1742"/>
    <cellStyle name="Normal 4 22" xfId="1743"/>
    <cellStyle name="Normal 4 23" xfId="1744"/>
    <cellStyle name="Normal 4 24" xfId="1745"/>
    <cellStyle name="Normal 4 25" xfId="1746"/>
    <cellStyle name="Normal 4 26" xfId="1747"/>
    <cellStyle name="Normal 4 27" xfId="1748"/>
    <cellStyle name="Normal 4 28" xfId="1749"/>
    <cellStyle name="Normal 4 29" xfId="1750"/>
    <cellStyle name="Normal 4 3" xfId="1751"/>
    <cellStyle name="Normal 4 30" xfId="1752"/>
    <cellStyle name="Normal 4 31" xfId="1753"/>
    <cellStyle name="Normal 4 32" xfId="1754"/>
    <cellStyle name="Normal 4 33" xfId="1755"/>
    <cellStyle name="Normal 4 34" xfId="1756"/>
    <cellStyle name="Normal 4 35" xfId="1757"/>
    <cellStyle name="Normal 4 36" xfId="1758"/>
    <cellStyle name="Normal 4 37" xfId="1759"/>
    <cellStyle name="Normal 4 38" xfId="1760"/>
    <cellStyle name="Normal 4 39" xfId="1761"/>
    <cellStyle name="Normal 4 4" xfId="1762"/>
    <cellStyle name="Normal 4 40" xfId="1763"/>
    <cellStyle name="Normal 4 41" xfId="1764"/>
    <cellStyle name="Normal 4 42" xfId="1765"/>
    <cellStyle name="Normal 4 43" xfId="1766"/>
    <cellStyle name="Normal 4 44" xfId="1767"/>
    <cellStyle name="Normal 4 45" xfId="1768"/>
    <cellStyle name="Normal 4 46" xfId="1769"/>
    <cellStyle name="Normal 4 47" xfId="1770"/>
    <cellStyle name="Normal 4 48" xfId="1771"/>
    <cellStyle name="Normal 4 49" xfId="1772"/>
    <cellStyle name="Normal 4 5" xfId="1773"/>
    <cellStyle name="Normal 4 50" xfId="1774"/>
    <cellStyle name="Normal 4 6" xfId="1775"/>
    <cellStyle name="Normal 4 7" xfId="1776"/>
    <cellStyle name="Normal 4 8" xfId="1777"/>
    <cellStyle name="Normal 4 9" xfId="1778"/>
    <cellStyle name="Normal 40" xfId="1779"/>
    <cellStyle name="Normal 41" xfId="2126"/>
    <cellStyle name="Normal 42" xfId="1780"/>
    <cellStyle name="Normal 43" xfId="1781"/>
    <cellStyle name="Normal 44" xfId="1782"/>
    <cellStyle name="Normal 45" xfId="1783"/>
    <cellStyle name="Normal 46" xfId="1784"/>
    <cellStyle name="Normal 47" xfId="1785"/>
    <cellStyle name="Normal 48" xfId="1786"/>
    <cellStyle name="Normal 49" xfId="1787"/>
    <cellStyle name="Normal 5" xfId="48"/>
    <cellStyle name="Normal 5 10" xfId="1788"/>
    <cellStyle name="Normal 5 11" xfId="1789"/>
    <cellStyle name="Normal 5 12" xfId="1790"/>
    <cellStyle name="Normal 5 13" xfId="1791"/>
    <cellStyle name="Normal 5 14" xfId="1792"/>
    <cellStyle name="Normal 5 15" xfId="1793"/>
    <cellStyle name="Normal 5 16" xfId="1794"/>
    <cellStyle name="Normal 5 17" xfId="1795"/>
    <cellStyle name="Normal 5 18" xfId="1796"/>
    <cellStyle name="Normal 5 19" xfId="1797"/>
    <cellStyle name="Normal 5 2" xfId="1798"/>
    <cellStyle name="Normal 5 20" xfId="1799"/>
    <cellStyle name="Normal 5 21" xfId="1800"/>
    <cellStyle name="Normal 5 22" xfId="1801"/>
    <cellStyle name="Normal 5 23" xfId="1802"/>
    <cellStyle name="Normal 5 24" xfId="1803"/>
    <cellStyle name="Normal 5 25" xfId="1804"/>
    <cellStyle name="Normal 5 26" xfId="1805"/>
    <cellStyle name="Normal 5 27" xfId="1806"/>
    <cellStyle name="Normal 5 28" xfId="1807"/>
    <cellStyle name="Normal 5 29" xfId="1808"/>
    <cellStyle name="Normal 5 3" xfId="1809"/>
    <cellStyle name="Normal 5 30" xfId="1810"/>
    <cellStyle name="Normal 5 31" xfId="1811"/>
    <cellStyle name="Normal 5 32" xfId="1812"/>
    <cellStyle name="Normal 5 33" xfId="1813"/>
    <cellStyle name="Normal 5 34" xfId="1814"/>
    <cellStyle name="Normal 5 35" xfId="1815"/>
    <cellStyle name="Normal 5 36" xfId="1816"/>
    <cellStyle name="Normal 5 37" xfId="1817"/>
    <cellStyle name="Normal 5 38" xfId="1818"/>
    <cellStyle name="Normal 5 39" xfId="1819"/>
    <cellStyle name="Normal 5 4" xfId="1820"/>
    <cellStyle name="Normal 5 40" xfId="1821"/>
    <cellStyle name="Normal 5 41" xfId="1822"/>
    <cellStyle name="Normal 5 42" xfId="1823"/>
    <cellStyle name="Normal 5 43" xfId="1824"/>
    <cellStyle name="Normal 5 44" xfId="1825"/>
    <cellStyle name="Normal 5 45" xfId="1826"/>
    <cellStyle name="Normal 5 46" xfId="1827"/>
    <cellStyle name="Normal 5 47" xfId="1828"/>
    <cellStyle name="Normal 5 48" xfId="1829"/>
    <cellStyle name="Normal 5 49" xfId="1830"/>
    <cellStyle name="Normal 5 5" xfId="1831"/>
    <cellStyle name="Normal 5 50" xfId="1832"/>
    <cellStyle name="Normal 5 51" xfId="1833"/>
    <cellStyle name="Normal 5 52" xfId="1834"/>
    <cellStyle name="Normal 5 53" xfId="1835"/>
    <cellStyle name="Normal 5 54" xfId="1836"/>
    <cellStyle name="Normal 5 55" xfId="1837"/>
    <cellStyle name="Normal 5 56" xfId="1838"/>
    <cellStyle name="Normal 5 57" xfId="1839"/>
    <cellStyle name="Normal 5 58" xfId="1840"/>
    <cellStyle name="Normal 5 59" xfId="1841"/>
    <cellStyle name="Normal 5 6" xfId="1842"/>
    <cellStyle name="Normal 5 60" xfId="1843"/>
    <cellStyle name="Normal 5 61" xfId="1844"/>
    <cellStyle name="Normal 5 62" xfId="1845"/>
    <cellStyle name="Normal 5 63" xfId="1846"/>
    <cellStyle name="Normal 5 64" xfId="1847"/>
    <cellStyle name="Normal 5 65" xfId="1848"/>
    <cellStyle name="Normal 5 66" xfId="1849"/>
    <cellStyle name="Normal 5 67" xfId="1850"/>
    <cellStyle name="Normal 5 68" xfId="1851"/>
    <cellStyle name="Normal 5 69" xfId="1852"/>
    <cellStyle name="Normal 5 7" xfId="1853"/>
    <cellStyle name="Normal 5 70" xfId="1854"/>
    <cellStyle name="Normal 5 71" xfId="1855"/>
    <cellStyle name="Normal 5 72" xfId="1856"/>
    <cellStyle name="Normal 5 73" xfId="1857"/>
    <cellStyle name="Normal 5 74" xfId="1858"/>
    <cellStyle name="Normal 5 75" xfId="1859"/>
    <cellStyle name="Normal 5 76" xfId="1860"/>
    <cellStyle name="Normal 5 77" xfId="1861"/>
    <cellStyle name="Normal 5 78" xfId="1862"/>
    <cellStyle name="Normal 5 79" xfId="1863"/>
    <cellStyle name="Normal 5 8" xfId="1864"/>
    <cellStyle name="Normal 5 80" xfId="1865"/>
    <cellStyle name="Normal 5 81" xfId="1866"/>
    <cellStyle name="Normal 5 82" xfId="1867"/>
    <cellStyle name="Normal 5 83" xfId="1868"/>
    <cellStyle name="Normal 5 84" xfId="1869"/>
    <cellStyle name="Normal 5 85" xfId="1870"/>
    <cellStyle name="Normal 5 86" xfId="1871"/>
    <cellStyle name="Normal 5 87" xfId="1872"/>
    <cellStyle name="Normal 5 9" xfId="1873"/>
    <cellStyle name="Normal 50" xfId="1874"/>
    <cellStyle name="Normal 51" xfId="1875"/>
    <cellStyle name="Normal 52" xfId="2130"/>
    <cellStyle name="Normal 53" xfId="1876"/>
    <cellStyle name="Normal 54" xfId="1877"/>
    <cellStyle name="Normal 55" xfId="1878"/>
    <cellStyle name="Normal 56" xfId="1879"/>
    <cellStyle name="Normal 57" xfId="2132"/>
    <cellStyle name="Normal 6" xfId="1880"/>
    <cellStyle name="Normal 6 10" xfId="1881"/>
    <cellStyle name="Normal 6 11" xfId="1882"/>
    <cellStyle name="Normal 6 12" xfId="1883"/>
    <cellStyle name="Normal 6 13" xfId="1884"/>
    <cellStyle name="Normal 6 14" xfId="1885"/>
    <cellStyle name="Normal 6 15" xfId="1886"/>
    <cellStyle name="Normal 6 16" xfId="1887"/>
    <cellStyle name="Normal 6 17" xfId="1888"/>
    <cellStyle name="Normal 6 18" xfId="1889"/>
    <cellStyle name="Normal 6 19" xfId="1890"/>
    <cellStyle name="Normal 6 2" xfId="1891"/>
    <cellStyle name="Normal 6 20" xfId="1892"/>
    <cellStyle name="Normal 6 21" xfId="1893"/>
    <cellStyle name="Normal 6 22" xfId="1894"/>
    <cellStyle name="Normal 6 23" xfId="1895"/>
    <cellStyle name="Normal 6 24" xfId="1896"/>
    <cellStyle name="Normal 6 25" xfId="1897"/>
    <cellStyle name="Normal 6 26" xfId="1898"/>
    <cellStyle name="Normal 6 27" xfId="1899"/>
    <cellStyle name="Normal 6 28" xfId="1900"/>
    <cellStyle name="Normal 6 29" xfId="1901"/>
    <cellStyle name="Normal 6 3" xfId="1902"/>
    <cellStyle name="Normal 6 30" xfId="1903"/>
    <cellStyle name="Normal 6 31" xfId="1904"/>
    <cellStyle name="Normal 6 32" xfId="1905"/>
    <cellStyle name="Normal 6 33" xfId="1906"/>
    <cellStyle name="Normal 6 34" xfId="1907"/>
    <cellStyle name="Normal 6 35" xfId="1908"/>
    <cellStyle name="Normal 6 36" xfId="1909"/>
    <cellStyle name="Normal 6 37" xfId="1910"/>
    <cellStyle name="Normal 6 38" xfId="1911"/>
    <cellStyle name="Normal 6 39" xfId="1912"/>
    <cellStyle name="Normal 6 4" xfId="1913"/>
    <cellStyle name="Normal 6 40" xfId="1914"/>
    <cellStyle name="Normal 6 5" xfId="1915"/>
    <cellStyle name="Normal 6 6" xfId="1916"/>
    <cellStyle name="Normal 6 7" xfId="1917"/>
    <cellStyle name="Normal 6 8" xfId="1918"/>
    <cellStyle name="Normal 6 9" xfId="1919"/>
    <cellStyle name="Normal 61" xfId="1920"/>
    <cellStyle name="Normal 64" xfId="1921"/>
    <cellStyle name="Normal 65" xfId="1922"/>
    <cellStyle name="Normal 7" xfId="1923"/>
    <cellStyle name="Normal 7 10" xfId="1924"/>
    <cellStyle name="Normal 7 11" xfId="1925"/>
    <cellStyle name="Normal 7 12" xfId="1926"/>
    <cellStyle name="Normal 7 13" xfId="1927"/>
    <cellStyle name="Normal 7 14" xfId="1928"/>
    <cellStyle name="Normal 7 15" xfId="1929"/>
    <cellStyle name="Normal 7 16" xfId="1930"/>
    <cellStyle name="Normal 7 17" xfId="1931"/>
    <cellStyle name="Normal 7 18" xfId="1932"/>
    <cellStyle name="Normal 7 19" xfId="1933"/>
    <cellStyle name="Normal 7 2" xfId="1934"/>
    <cellStyle name="Normal 7 20" xfId="1935"/>
    <cellStyle name="Normal 7 21" xfId="1936"/>
    <cellStyle name="Normal 7 22" xfId="1937"/>
    <cellStyle name="Normal 7 23" xfId="1938"/>
    <cellStyle name="Normal 7 24" xfId="1939"/>
    <cellStyle name="Normal 7 25" xfId="1940"/>
    <cellStyle name="Normal 7 26" xfId="1941"/>
    <cellStyle name="Normal 7 27" xfId="1942"/>
    <cellStyle name="Normal 7 28" xfId="1943"/>
    <cellStyle name="Normal 7 29" xfId="1944"/>
    <cellStyle name="Normal 7 3" xfId="1945"/>
    <cellStyle name="Normal 7 30" xfId="1946"/>
    <cellStyle name="Normal 7 31" xfId="1947"/>
    <cellStyle name="Normal 7 32" xfId="1948"/>
    <cellStyle name="Normal 7 33" xfId="1949"/>
    <cellStyle name="Normal 7 34" xfId="1950"/>
    <cellStyle name="Normal 7 35" xfId="1951"/>
    <cellStyle name="Normal 7 36" xfId="1952"/>
    <cellStyle name="Normal 7 37" xfId="1953"/>
    <cellStyle name="Normal 7 38" xfId="1954"/>
    <cellStyle name="Normal 7 39" xfId="1955"/>
    <cellStyle name="Normal 7 4" xfId="1956"/>
    <cellStyle name="Normal 7 40" xfId="1957"/>
    <cellStyle name="Normal 7 41" xfId="1958"/>
    <cellStyle name="Normal 7 42" xfId="1959"/>
    <cellStyle name="Normal 7 43" xfId="1960"/>
    <cellStyle name="Normal 7 44" xfId="1961"/>
    <cellStyle name="Normal 7 45" xfId="1962"/>
    <cellStyle name="Normal 7 46" xfId="1963"/>
    <cellStyle name="Normal 7 47" xfId="1964"/>
    <cellStyle name="Normal 7 48" xfId="1965"/>
    <cellStyle name="Normal 7 49" xfId="1966"/>
    <cellStyle name="Normal 7 5" xfId="1967"/>
    <cellStyle name="Normal 7 50" xfId="1968"/>
    <cellStyle name="Normal 7 51" xfId="1969"/>
    <cellStyle name="Normal 7 52" xfId="1970"/>
    <cellStyle name="Normal 7 53" xfId="1971"/>
    <cellStyle name="Normal 7 54" xfId="1972"/>
    <cellStyle name="Normal 7 55" xfId="1973"/>
    <cellStyle name="Normal 7 56" xfId="1974"/>
    <cellStyle name="Normal 7 57" xfId="1975"/>
    <cellStyle name="Normal 7 58" xfId="1976"/>
    <cellStyle name="Normal 7 59" xfId="1977"/>
    <cellStyle name="Normal 7 6" xfId="1978"/>
    <cellStyle name="Normal 7 60" xfId="1979"/>
    <cellStyle name="Normal 7 61" xfId="1980"/>
    <cellStyle name="Normal 7 62" xfId="1981"/>
    <cellStyle name="Normal 7 63" xfId="1982"/>
    <cellStyle name="Normal 7 64" xfId="1983"/>
    <cellStyle name="Normal 7 65" xfId="1984"/>
    <cellStyle name="Normal 7 66" xfId="1985"/>
    <cellStyle name="Normal 7 67" xfId="1986"/>
    <cellStyle name="Normal 7 68" xfId="1987"/>
    <cellStyle name="Normal 7 69" xfId="1988"/>
    <cellStyle name="Normal 7 7" xfId="1989"/>
    <cellStyle name="Normal 7 70" xfId="1990"/>
    <cellStyle name="Normal 7 71" xfId="1991"/>
    <cellStyle name="Normal 7 72" xfId="1992"/>
    <cellStyle name="Normal 7 73" xfId="1993"/>
    <cellStyle name="Normal 7 74" xfId="1994"/>
    <cellStyle name="Normal 7 75" xfId="1995"/>
    <cellStyle name="Normal 7 76" xfId="1996"/>
    <cellStyle name="Normal 7 77" xfId="1997"/>
    <cellStyle name="Normal 7 78" xfId="1998"/>
    <cellStyle name="Normal 7 79" xfId="1999"/>
    <cellStyle name="Normal 7 8" xfId="2000"/>
    <cellStyle name="Normal 7 80" xfId="2001"/>
    <cellStyle name="Normal 7 81" xfId="2002"/>
    <cellStyle name="Normal 7 82" xfId="2003"/>
    <cellStyle name="Normal 7 83" xfId="2004"/>
    <cellStyle name="Normal 7 84" xfId="2005"/>
    <cellStyle name="Normal 7 85" xfId="2006"/>
    <cellStyle name="Normal 7 86" xfId="2007"/>
    <cellStyle name="Normal 7 87" xfId="2008"/>
    <cellStyle name="Normal 7 88" xfId="2009"/>
    <cellStyle name="Normal 7 9" xfId="2010"/>
    <cellStyle name="Normal 8" xfId="2011"/>
    <cellStyle name="Normal 8 10" xfId="2012"/>
    <cellStyle name="Normal 8 11" xfId="2013"/>
    <cellStyle name="Normal 8 12" xfId="2014"/>
    <cellStyle name="Normal 8 13" xfId="2015"/>
    <cellStyle name="Normal 8 14" xfId="2016"/>
    <cellStyle name="Normal 8 15" xfId="2017"/>
    <cellStyle name="Normal 8 16" xfId="2018"/>
    <cellStyle name="Normal 8 17" xfId="2019"/>
    <cellStyle name="Normal 8 18" xfId="2020"/>
    <cellStyle name="Normal 8 19" xfId="2021"/>
    <cellStyle name="Normal 8 2" xfId="2022"/>
    <cellStyle name="Normal 8 20" xfId="2023"/>
    <cellStyle name="Normal 8 21" xfId="2024"/>
    <cellStyle name="Normal 8 22" xfId="2025"/>
    <cellStyle name="Normal 8 23" xfId="2026"/>
    <cellStyle name="Normal 8 24" xfId="2027"/>
    <cellStyle name="Normal 8 25" xfId="2028"/>
    <cellStyle name="Normal 8 26" xfId="2029"/>
    <cellStyle name="Normal 8 27" xfId="2030"/>
    <cellStyle name="Normal 8 28" xfId="2031"/>
    <cellStyle name="Normal 8 29" xfId="2032"/>
    <cellStyle name="Normal 8 3" xfId="2033"/>
    <cellStyle name="Normal 8 30" xfId="2034"/>
    <cellStyle name="Normal 8 31" xfId="2035"/>
    <cellStyle name="Normal 8 32" xfId="2036"/>
    <cellStyle name="Normal 8 33" xfId="2037"/>
    <cellStyle name="Normal 8 34" xfId="2038"/>
    <cellStyle name="Normal 8 35" xfId="2039"/>
    <cellStyle name="Normal 8 36" xfId="2040"/>
    <cellStyle name="Normal 8 37" xfId="2041"/>
    <cellStyle name="Normal 8 38" xfId="2042"/>
    <cellStyle name="Normal 8 39" xfId="2043"/>
    <cellStyle name="Normal 8 4" xfId="2044"/>
    <cellStyle name="Normal 8 40" xfId="2045"/>
    <cellStyle name="Normal 8 41" xfId="2046"/>
    <cellStyle name="Normal 8 42" xfId="2047"/>
    <cellStyle name="Normal 8 43" xfId="2048"/>
    <cellStyle name="Normal 8 44" xfId="2049"/>
    <cellStyle name="Normal 8 45" xfId="2050"/>
    <cellStyle name="Normal 8 46" xfId="2051"/>
    <cellStyle name="Normal 8 47" xfId="2052"/>
    <cellStyle name="Normal 8 48" xfId="2053"/>
    <cellStyle name="Normal 8 49" xfId="2054"/>
    <cellStyle name="Normal 8 5" xfId="2055"/>
    <cellStyle name="Normal 8 50" xfId="2056"/>
    <cellStyle name="Normal 8 6" xfId="2057"/>
    <cellStyle name="Normal 8 7" xfId="2058"/>
    <cellStyle name="Normal 8 8" xfId="2059"/>
    <cellStyle name="Normal 8 9" xfId="2060"/>
    <cellStyle name="Normal 9" xfId="2061"/>
    <cellStyle name="Normal 9 10" xfId="2062"/>
    <cellStyle name="Normal 9 11" xfId="2063"/>
    <cellStyle name="Normal 9 12" xfId="2064"/>
    <cellStyle name="Normal 9 13" xfId="2065"/>
    <cellStyle name="Normal 9 14" xfId="2066"/>
    <cellStyle name="Normal 9 15" xfId="2067"/>
    <cellStyle name="Normal 9 16" xfId="2068"/>
    <cellStyle name="Normal 9 17" xfId="2069"/>
    <cellStyle name="Normal 9 18" xfId="2070"/>
    <cellStyle name="Normal 9 19" xfId="2071"/>
    <cellStyle name="Normal 9 2" xfId="2072"/>
    <cellStyle name="Normal 9 2 2 2" xfId="2073"/>
    <cellStyle name="Normal 9 2 3" xfId="2074"/>
    <cellStyle name="Normal 9 20" xfId="2075"/>
    <cellStyle name="Normal 9 21" xfId="2076"/>
    <cellStyle name="Normal 9 22" xfId="2077"/>
    <cellStyle name="Normal 9 23" xfId="2078"/>
    <cellStyle name="Normal 9 24" xfId="2079"/>
    <cellStyle name="Normal 9 25" xfId="2080"/>
    <cellStyle name="Normal 9 26" xfId="2081"/>
    <cellStyle name="Normal 9 27" xfId="2082"/>
    <cellStyle name="Normal 9 28" xfId="2083"/>
    <cellStyle name="Normal 9 29" xfId="2084"/>
    <cellStyle name="Normal 9 3" xfId="2085"/>
    <cellStyle name="Normal 9 30" xfId="2086"/>
    <cellStyle name="Normal 9 31" xfId="2087"/>
    <cellStyle name="Normal 9 32" xfId="2088"/>
    <cellStyle name="Normal 9 33" xfId="2089"/>
    <cellStyle name="Normal 9 34" xfId="2090"/>
    <cellStyle name="Normal 9 35" xfId="2091"/>
    <cellStyle name="Normal 9 36" xfId="2092"/>
    <cellStyle name="Normal 9 37" xfId="2093"/>
    <cellStyle name="Normal 9 38" xfId="2094"/>
    <cellStyle name="Normal 9 39" xfId="2095"/>
    <cellStyle name="Normal 9 4" xfId="2096"/>
    <cellStyle name="Normal 9 40" xfId="2097"/>
    <cellStyle name="Normal 9 41" xfId="2098"/>
    <cellStyle name="Normal 9 42" xfId="2099"/>
    <cellStyle name="Normal 9 43" xfId="2100"/>
    <cellStyle name="Normal 9 44" xfId="2101"/>
    <cellStyle name="Normal 9 45" xfId="2102"/>
    <cellStyle name="Normal 9 46" xfId="2103"/>
    <cellStyle name="Normal 9 47" xfId="2104"/>
    <cellStyle name="Normal 9 48" xfId="2105"/>
    <cellStyle name="Normal 9 49" xfId="2106"/>
    <cellStyle name="Normal 9 5" xfId="2107"/>
    <cellStyle name="Normal 9 50" xfId="2108"/>
    <cellStyle name="Normal 9 51" xfId="2109"/>
    <cellStyle name="Normal 9 6" xfId="2110"/>
    <cellStyle name="Normal 9 7" xfId="2111"/>
    <cellStyle name="Normal 9 8" xfId="2112"/>
    <cellStyle name="Normal 9 9" xfId="2113"/>
    <cellStyle name="Normal_10" xfId="13"/>
    <cellStyle name="Normal_11" xfId="14"/>
    <cellStyle name="Normal_12" xfId="15"/>
    <cellStyle name="Normal_16" xfId="16"/>
    <cellStyle name="Normal_18" xfId="17"/>
    <cellStyle name="Normal_19" xfId="18"/>
    <cellStyle name="Normal_20" xfId="19"/>
    <cellStyle name="Normal_21" xfId="20"/>
    <cellStyle name="Normal_22" xfId="21"/>
    <cellStyle name="Normal_23" xfId="22"/>
    <cellStyle name="Normal_24" xfId="23"/>
    <cellStyle name="Normal_25" xfId="24"/>
    <cellStyle name="Normal_26" xfId="25"/>
    <cellStyle name="Normal_27" xfId="26"/>
    <cellStyle name="Normal_28" xfId="27"/>
    <cellStyle name="Normal_29" xfId="28"/>
    <cellStyle name="Normal_29-31" xfId="35"/>
    <cellStyle name="Normal_33" xfId="29"/>
    <cellStyle name="Normal_34" xfId="30"/>
    <cellStyle name="Normal_35" xfId="31"/>
    <cellStyle name="Normal_38" xfId="32"/>
    <cellStyle name="Normal_39" xfId="33"/>
    <cellStyle name="Normal_40" xfId="34"/>
    <cellStyle name="Normal_4-7" xfId="7"/>
    <cellStyle name="Normal_6020" xfId="3"/>
    <cellStyle name="Normal_602086" xfId="4"/>
    <cellStyle name="Normal_602087" xfId="10"/>
    <cellStyle name="Normal_8" xfId="8"/>
    <cellStyle name="Normal_9" xfId="12"/>
    <cellStyle name="Normal_Sheet1" xfId="1"/>
    <cellStyle name="Normal_Sheet2" xfId="2"/>
    <cellStyle name="Normal_Sheet6" xfId="6"/>
    <cellStyle name="Normal_Sheet6 2" xfId="2131"/>
    <cellStyle name="Normal_ترازنامه" xfId="5"/>
    <cellStyle name="Normal_ترازنامه 2" xfId="2123"/>
    <cellStyle name="Normal_جريان وجوه نقد" xfId="11"/>
    <cellStyle name="Normal_سود وزيان" xfId="36"/>
    <cellStyle name="Output 2" xfId="2114"/>
    <cellStyle name="Output 20" xfId="2115"/>
    <cellStyle name="Output 3" xfId="2116"/>
    <cellStyle name="Output 4" xfId="2117"/>
    <cellStyle name="Output 6" xfId="2118"/>
    <cellStyle name="Output 7" xfId="2119"/>
    <cellStyle name="Percent" xfId="43" builtinId="5"/>
    <cellStyle name="Percent 2" xfId="2120"/>
    <cellStyle name="Percent 2 2" xfId="2129"/>
    <cellStyle name="Percent 3" xfId="2121"/>
    <cellStyle name="Percent 4" xfId="2122"/>
  </cellStyles>
  <dxfs count="0"/>
  <tableStyles count="0" defaultTableStyle="TableStyleMedium9" defaultPivotStyle="PivotStyleLight16"/>
  <colors>
    <mruColors>
      <color rgb="FFFF3300"/>
      <color rgb="FF9900CC"/>
      <color rgb="FFFF0066"/>
      <color rgb="FFCCFFFF"/>
      <color rgb="FF00FF99"/>
      <color rgb="FF00CC66"/>
      <color rgb="FFFF99CC"/>
      <color rgb="FFCC00FF"/>
      <color rgb="FFFF9966"/>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206375</xdr:colOff>
      <xdr:row>0</xdr:row>
      <xdr:rowOff>15875</xdr:rowOff>
    </xdr:from>
    <xdr:to>
      <xdr:col>7</xdr:col>
      <xdr:colOff>1619250</xdr:colOff>
      <xdr:row>0</xdr:row>
      <xdr:rowOff>1444625</xdr:rowOff>
    </xdr:to>
    <xdr:pic>
      <xdr:nvPicPr>
        <xdr:cNvPr id="5" name="Picture 4" descr="untitled2.bmp"/>
        <xdr:cNvPicPr>
          <a:picLocks noChangeAspect="1"/>
        </xdr:cNvPicPr>
      </xdr:nvPicPr>
      <xdr:blipFill>
        <a:blip xmlns:r="http://schemas.openxmlformats.org/officeDocument/2006/relationships" r:embed="rId1" cstate="print"/>
        <a:stretch>
          <a:fillRect/>
        </a:stretch>
      </xdr:blipFill>
      <xdr:spPr>
        <a:xfrm>
          <a:off x="10921460250" y="15875"/>
          <a:ext cx="2651125" cy="1428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14</xdr:row>
      <xdr:rowOff>127000</xdr:rowOff>
    </xdr:from>
    <xdr:to>
      <xdr:col>7</xdr:col>
      <xdr:colOff>2794000</xdr:colOff>
      <xdr:row>14</xdr:row>
      <xdr:rowOff>127000</xdr:rowOff>
    </xdr:to>
    <xdr:cxnSp macro="">
      <xdr:nvCxnSpPr>
        <xdr:cNvPr id="3" name="Straight Connector 2"/>
        <xdr:cNvCxnSpPr/>
      </xdr:nvCxnSpPr>
      <xdr:spPr>
        <a:xfrm flipH="1">
          <a:off x="4688935250" y="18034000"/>
          <a:ext cx="2794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508000</xdr:colOff>
      <xdr:row>15</xdr:row>
      <xdr:rowOff>127000</xdr:rowOff>
    </xdr:from>
    <xdr:to>
      <xdr:col>7</xdr:col>
      <xdr:colOff>2762250</xdr:colOff>
      <xdr:row>15</xdr:row>
      <xdr:rowOff>127000</xdr:rowOff>
    </xdr:to>
    <xdr:cxnSp macro="">
      <xdr:nvCxnSpPr>
        <xdr:cNvPr id="4" name="Straight Connector 3"/>
        <xdr:cNvCxnSpPr/>
      </xdr:nvCxnSpPr>
      <xdr:spPr>
        <a:xfrm flipH="1">
          <a:off x="4688967000" y="19431000"/>
          <a:ext cx="27940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984250</xdr:colOff>
      <xdr:row>14</xdr:row>
      <xdr:rowOff>127000</xdr:rowOff>
    </xdr:from>
    <xdr:to>
      <xdr:col>11</xdr:col>
      <xdr:colOff>2698750</xdr:colOff>
      <xdr:row>14</xdr:row>
      <xdr:rowOff>127000</xdr:rowOff>
    </xdr:to>
    <xdr:cxnSp macro="">
      <xdr:nvCxnSpPr>
        <xdr:cNvPr id="9" name="Straight Connector 8"/>
        <xdr:cNvCxnSpPr/>
      </xdr:nvCxnSpPr>
      <xdr:spPr>
        <a:xfrm flipH="1">
          <a:off x="4681537500" y="18034000"/>
          <a:ext cx="2730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15</xdr:row>
      <xdr:rowOff>127000</xdr:rowOff>
    </xdr:from>
    <xdr:to>
      <xdr:col>12</xdr:col>
      <xdr:colOff>0</xdr:colOff>
      <xdr:row>15</xdr:row>
      <xdr:rowOff>127000</xdr:rowOff>
    </xdr:to>
    <xdr:cxnSp macro="">
      <xdr:nvCxnSpPr>
        <xdr:cNvPr id="17" name="Straight Connector 16"/>
        <xdr:cNvCxnSpPr/>
      </xdr:nvCxnSpPr>
      <xdr:spPr>
        <a:xfrm flipH="1">
          <a:off x="4681505750" y="19431000"/>
          <a:ext cx="2730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14</xdr:row>
      <xdr:rowOff>127000</xdr:rowOff>
    </xdr:from>
    <xdr:to>
      <xdr:col>14</xdr:col>
      <xdr:colOff>0</xdr:colOff>
      <xdr:row>14</xdr:row>
      <xdr:rowOff>127000</xdr:rowOff>
    </xdr:to>
    <xdr:cxnSp macro="">
      <xdr:nvCxnSpPr>
        <xdr:cNvPr id="18" name="Straight Connector 17"/>
        <xdr:cNvCxnSpPr/>
      </xdr:nvCxnSpPr>
      <xdr:spPr>
        <a:xfrm flipH="1">
          <a:off x="4677854500" y="18034000"/>
          <a:ext cx="2635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984250</xdr:colOff>
      <xdr:row>15</xdr:row>
      <xdr:rowOff>127000</xdr:rowOff>
    </xdr:from>
    <xdr:to>
      <xdr:col>13</xdr:col>
      <xdr:colOff>2603500</xdr:colOff>
      <xdr:row>15</xdr:row>
      <xdr:rowOff>127000</xdr:rowOff>
    </xdr:to>
    <xdr:cxnSp macro="">
      <xdr:nvCxnSpPr>
        <xdr:cNvPr id="22" name="Straight Connector 21"/>
        <xdr:cNvCxnSpPr/>
      </xdr:nvCxnSpPr>
      <xdr:spPr>
        <a:xfrm flipH="1">
          <a:off x="4677886250" y="19431000"/>
          <a:ext cx="2635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285750</xdr:colOff>
      <xdr:row>14</xdr:row>
      <xdr:rowOff>127000</xdr:rowOff>
    </xdr:from>
    <xdr:to>
      <xdr:col>10</xdr:col>
      <xdr:colOff>31750</xdr:colOff>
      <xdr:row>14</xdr:row>
      <xdr:rowOff>127000</xdr:rowOff>
    </xdr:to>
    <xdr:cxnSp macro="">
      <xdr:nvCxnSpPr>
        <xdr:cNvPr id="26" name="Straight Connector 25"/>
        <xdr:cNvCxnSpPr/>
      </xdr:nvCxnSpPr>
      <xdr:spPr>
        <a:xfrm flipH="1">
          <a:off x="4685220500" y="18034000"/>
          <a:ext cx="3397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15</xdr:row>
      <xdr:rowOff>127000</xdr:rowOff>
    </xdr:from>
    <xdr:to>
      <xdr:col>9</xdr:col>
      <xdr:colOff>3270250</xdr:colOff>
      <xdr:row>15</xdr:row>
      <xdr:rowOff>127000</xdr:rowOff>
    </xdr:to>
    <xdr:cxnSp macro="">
      <xdr:nvCxnSpPr>
        <xdr:cNvPr id="28" name="Straight Connector 27"/>
        <xdr:cNvCxnSpPr/>
      </xdr:nvCxnSpPr>
      <xdr:spPr>
        <a:xfrm flipH="1">
          <a:off x="4685284000" y="19431000"/>
          <a:ext cx="3270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1415142</xdr:colOff>
      <xdr:row>0</xdr:row>
      <xdr:rowOff>95250</xdr:rowOff>
    </xdr:from>
    <xdr:to>
      <xdr:col>0</xdr:col>
      <xdr:colOff>2735035</xdr:colOff>
      <xdr:row>3</xdr:row>
      <xdr:rowOff>54429</xdr:rowOff>
    </xdr:to>
    <xdr:sp macro="" textlink="">
      <xdr:nvSpPr>
        <xdr:cNvPr id="2" name="Oval 1"/>
        <xdr:cNvSpPr/>
      </xdr:nvSpPr>
      <xdr:spPr>
        <a:xfrm>
          <a:off x="11246156615" y="95250"/>
          <a:ext cx="1319893" cy="87357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rtlCol="1" anchor="ctr"/>
        <a:lstStyle/>
        <a:p>
          <a:pPr algn="ctr" rtl="1"/>
          <a:r>
            <a:rPr lang="fa-IR" sz="1600">
              <a:cs typeface="B Titr" pitchFamily="2" charset="-78"/>
            </a:rPr>
            <a:t>5800</a:t>
          </a:r>
          <a:endParaRPr lang="fa-IR" sz="1100">
            <a:cs typeface="B Titr" pitchFamily="2" charset="-7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1415142</xdr:colOff>
      <xdr:row>0</xdr:row>
      <xdr:rowOff>95250</xdr:rowOff>
    </xdr:from>
    <xdr:to>
      <xdr:col>0</xdr:col>
      <xdr:colOff>2735035</xdr:colOff>
      <xdr:row>3</xdr:row>
      <xdr:rowOff>54429</xdr:rowOff>
    </xdr:to>
    <xdr:sp macro="" textlink="">
      <xdr:nvSpPr>
        <xdr:cNvPr id="3" name="Oval 2"/>
        <xdr:cNvSpPr/>
      </xdr:nvSpPr>
      <xdr:spPr>
        <a:xfrm>
          <a:off x="11246585240" y="95250"/>
          <a:ext cx="1319893" cy="873579"/>
        </a:xfrm>
        <a:prstGeom prst="ellipse">
          <a:avLst/>
        </a:prstGeom>
      </xdr:spPr>
      <xdr:style>
        <a:lnRef idx="2">
          <a:schemeClr val="accent6"/>
        </a:lnRef>
        <a:fillRef idx="1">
          <a:schemeClr val="lt1"/>
        </a:fillRef>
        <a:effectRef idx="0">
          <a:schemeClr val="accent6"/>
        </a:effectRef>
        <a:fontRef idx="minor">
          <a:schemeClr val="dk1"/>
        </a:fontRef>
      </xdr:style>
      <xdr:txBody>
        <a:bodyPr vertOverflow="clip" rtlCol="1" anchor="ctr"/>
        <a:lstStyle/>
        <a:p>
          <a:pPr algn="ctr" rtl="1"/>
          <a:r>
            <a:rPr lang="fa-IR" sz="1600">
              <a:cs typeface="B Titr" pitchFamily="2" charset="-78"/>
            </a:rPr>
            <a:t>5800</a:t>
          </a:r>
          <a:endParaRPr lang="fa-IR" sz="1100">
            <a:cs typeface="B Titr" pitchFamily="2" charset="-7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sabrasi-a/Downloads/&#1589;&#1608;&#1585;&#1578;&#1607;&#1575;&#1740;%20&#1605;&#1575;&#1604;&#1740;%20&#1587;&#1575;&#1604;1400/&#1578;&#1585;&#1575;&#1586;%20&#1575;&#1587;&#1601;&#1606;&#1583;12-&#1587;&#1575;&#1604;1400-15&#1578;&#1740;&#1585;%20&#1605;&#1575;&#1607;14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00"/>
      <sheetName val="94"/>
      <sheetName val="95"/>
      <sheetName val="97"/>
      <sheetName val="98"/>
      <sheetName val="96"/>
      <sheetName val="سود و زیان"/>
      <sheetName val="وضعیت مالی"/>
      <sheetName val="صورت تغیرات در حقوق مالکانه"/>
      <sheetName val="صورت جریان نقدی"/>
      <sheetName val="1"/>
      <sheetName val="2"/>
      <sheetName val="3"/>
      <sheetName val="4"/>
      <sheetName val="10"/>
      <sheetName val="11"/>
      <sheetName val="12-13"/>
      <sheetName val="14"/>
      <sheetName val="14 قبلي"/>
      <sheetName val="15"/>
      <sheetName val="16"/>
      <sheetName val="17"/>
      <sheetName val="18"/>
      <sheetName val="19"/>
      <sheetName val="20"/>
      <sheetName val="21"/>
      <sheetName val="12"/>
      <sheetName val="22"/>
      <sheetName val="23"/>
      <sheetName val="24-25"/>
      <sheetName val="26"/>
      <sheetName val="27"/>
      <sheetName val="28 (2)"/>
      <sheetName val="29"/>
      <sheetName val="30"/>
      <sheetName val="31-32"/>
      <sheetName val="33"/>
      <sheetName val="نسبتها"/>
      <sheetName val="مفروضات"/>
      <sheetName val="602086"/>
      <sheetName val="602085"/>
      <sheetName val="Sheet2"/>
      <sheetName val="Sheet1 (2)"/>
      <sheetName val="Sheet2 (2)"/>
      <sheetName val="Sheet3 (2)"/>
      <sheetName val="Sheet1"/>
      <sheetName val="Sheet2 (3)"/>
    </sheetNames>
    <sheetDataSet>
      <sheetData sheetId="0">
        <row r="487">
          <cell r="U487">
            <v>0</v>
          </cell>
          <cell r="V487">
            <v>0</v>
          </cell>
        </row>
      </sheetData>
      <sheetData sheetId="1"/>
      <sheetData sheetId="2"/>
      <sheetData sheetId="3"/>
      <sheetData sheetId="4"/>
      <sheetData sheetId="5"/>
      <sheetData sheetId="6"/>
      <sheetData sheetId="7">
        <row r="36">
          <cell r="G36">
            <v>0</v>
          </cell>
          <cell r="I36">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AB607"/>
  <sheetViews>
    <sheetView rightToLeft="1" tabSelected="1" zoomScale="90" zoomScaleNormal="90" zoomScaleSheetLayoutView="98" workbookViewId="0">
      <pane ySplit="3" topLeftCell="A4" activePane="bottomLeft" state="frozen"/>
      <selection activeCell="E19" sqref="E19:G19"/>
      <selection pane="bottomLeft" activeCell="E146" sqref="E146"/>
    </sheetView>
  </sheetViews>
  <sheetFormatPr defaultColWidth="1.375" defaultRowHeight="19.5" customHeight="1"/>
  <cols>
    <col min="1" max="1" width="7.625" style="545" bestFit="1" customWidth="1"/>
    <col min="2" max="2" width="8.5" style="545" customWidth="1"/>
    <col min="3" max="3" width="8.875" style="528" customWidth="1"/>
    <col min="4" max="4" width="20.25" style="1752" bestFit="1" customWidth="1"/>
    <col min="5" max="5" width="33.75" style="1030" bestFit="1" customWidth="1"/>
    <col min="6" max="7" width="20.375" style="528" hidden="1" customWidth="1"/>
    <col min="8" max="9" width="19.25" style="545" hidden="1" customWidth="1"/>
    <col min="10" max="11" width="20.375" style="545" hidden="1" customWidth="1"/>
    <col min="12" max="14" width="19.25" style="545" hidden="1" customWidth="1"/>
    <col min="15" max="15" width="19" style="545" hidden="1" customWidth="1"/>
    <col min="16" max="16" width="19.625" style="545" customWidth="1"/>
    <col min="17" max="17" width="9.625" style="545" hidden="1" customWidth="1"/>
    <col min="18" max="19" width="17.625" style="546" hidden="1" customWidth="1"/>
    <col min="20" max="20" width="20.875" style="545" customWidth="1"/>
    <col min="21" max="21" width="21" style="1675" bestFit="1" customWidth="1"/>
    <col min="22" max="22" width="20.375" style="545" bestFit="1" customWidth="1"/>
    <col min="23" max="23" width="12.375" style="995" bestFit="1" customWidth="1"/>
    <col min="24" max="24" width="12.375" style="545" bestFit="1" customWidth="1"/>
    <col min="25" max="25" width="23" style="545" bestFit="1" customWidth="1"/>
    <col min="26" max="26" width="22.625" style="545" bestFit="1" customWidth="1"/>
    <col min="27" max="27" width="20.375" style="995" bestFit="1" customWidth="1"/>
    <col min="28" max="28" width="16.875" style="545" bestFit="1" customWidth="1"/>
    <col min="29" max="16384" width="1.375" style="545"/>
  </cols>
  <sheetData>
    <row r="1" spans="1:28" ht="19.5" customHeight="1">
      <c r="M1" s="545" t="s">
        <v>2206</v>
      </c>
      <c r="N1" s="3349" t="s">
        <v>2203</v>
      </c>
      <c r="O1" s="3349"/>
      <c r="P1" s="3349"/>
      <c r="Q1" s="3349"/>
      <c r="R1" s="3349"/>
      <c r="S1" s="3349"/>
      <c r="T1" s="3349"/>
      <c r="U1" s="1675" t="s">
        <v>2205</v>
      </c>
    </row>
    <row r="2" spans="1:28" s="556" customFormat="1" ht="22.5">
      <c r="A2" s="3335" t="s">
        <v>1641</v>
      </c>
      <c r="B2" s="3335" t="s">
        <v>1617</v>
      </c>
      <c r="C2" s="3337" t="s">
        <v>1616</v>
      </c>
      <c r="D2" s="1740"/>
      <c r="E2" s="3339" t="s">
        <v>62</v>
      </c>
      <c r="F2" s="3341" t="s">
        <v>1948</v>
      </c>
      <c r="G2" s="3341" t="s">
        <v>1526</v>
      </c>
      <c r="H2" s="3343" t="s">
        <v>1527</v>
      </c>
      <c r="I2" s="3343" t="s">
        <v>1357</v>
      </c>
      <c r="J2" s="3343" t="s">
        <v>1358</v>
      </c>
      <c r="K2" s="3343" t="s">
        <v>1452</v>
      </c>
      <c r="L2" s="3343" t="s">
        <v>1416</v>
      </c>
      <c r="M2" s="2009" t="s">
        <v>2204</v>
      </c>
      <c r="N2" s="3343" t="s">
        <v>1417</v>
      </c>
      <c r="O2" s="3343" t="s">
        <v>1418</v>
      </c>
      <c r="P2" s="3343" t="s">
        <v>1472</v>
      </c>
      <c r="Q2" s="3343" t="s">
        <v>1528</v>
      </c>
      <c r="R2" s="1513" t="s">
        <v>1784</v>
      </c>
      <c r="S2" s="1513" t="s">
        <v>2711</v>
      </c>
      <c r="T2" s="1516" t="s">
        <v>2712</v>
      </c>
      <c r="U2" s="3345" t="s">
        <v>2625</v>
      </c>
      <c r="V2" s="3347">
        <v>1401</v>
      </c>
      <c r="W2" s="3357">
        <v>1402</v>
      </c>
      <c r="X2" s="3347">
        <v>1401</v>
      </c>
      <c r="Y2" s="3353" t="s">
        <v>1450</v>
      </c>
      <c r="Z2" s="3355" t="s">
        <v>1451</v>
      </c>
      <c r="AA2" s="3357" t="s">
        <v>2626</v>
      </c>
      <c r="AB2" s="3347" t="s">
        <v>2207</v>
      </c>
    </row>
    <row r="3" spans="1:28" s="557" customFormat="1" ht="22.5" hidden="1" customHeight="1">
      <c r="A3" s="3336"/>
      <c r="B3" s="3336"/>
      <c r="C3" s="3338"/>
      <c r="D3" s="1741"/>
      <c r="E3" s="3340"/>
      <c r="F3" s="3342"/>
      <c r="G3" s="3342"/>
      <c r="H3" s="3344"/>
      <c r="I3" s="3344"/>
      <c r="J3" s="3344"/>
      <c r="K3" s="3344"/>
      <c r="L3" s="3344"/>
      <c r="M3" s="2010"/>
      <c r="N3" s="3344"/>
      <c r="O3" s="3344"/>
      <c r="P3" s="3344"/>
      <c r="Q3" s="3344"/>
      <c r="R3" s="1517"/>
      <c r="S3" s="3261"/>
      <c r="T3" s="1517"/>
      <c r="U3" s="3346"/>
      <c r="V3" s="3348"/>
      <c r="W3" s="3358"/>
      <c r="X3" s="3348"/>
      <c r="Y3" s="3354"/>
      <c r="Z3" s="3356"/>
      <c r="AA3" s="3358"/>
      <c r="AB3" s="3348"/>
    </row>
    <row r="4" spans="1:28" ht="22.5" hidden="1" customHeight="1">
      <c r="A4" s="531"/>
      <c r="B4" s="531">
        <v>100201</v>
      </c>
      <c r="C4" s="529">
        <v>17</v>
      </c>
      <c r="D4" s="530" t="s">
        <v>604</v>
      </c>
      <c r="E4" s="1028" t="s">
        <v>532</v>
      </c>
      <c r="F4" s="1576"/>
      <c r="G4" s="1576"/>
      <c r="H4" s="1775"/>
      <c r="I4" s="547"/>
      <c r="J4" s="1746"/>
      <c r="K4" s="547"/>
      <c r="L4" s="547"/>
      <c r="M4" s="1745"/>
      <c r="N4" s="547"/>
      <c r="O4" s="990"/>
      <c r="P4" s="990"/>
      <c r="Q4" s="547"/>
      <c r="R4" s="547"/>
      <c r="S4" s="1745"/>
      <c r="T4" s="547"/>
      <c r="U4" s="989">
        <f t="shared" ref="U4:U68" si="0">SUM(F4:T4)</f>
        <v>0</v>
      </c>
      <c r="V4" s="547">
        <v>0</v>
      </c>
      <c r="W4" s="1264">
        <f t="shared" ref="W4:W39" si="1">ROUND((U4/1000000),0)</f>
        <v>0</v>
      </c>
      <c r="X4" s="547">
        <f t="shared" ref="X4:X39" si="2">ROUND((V4/1000000),0)</f>
        <v>0</v>
      </c>
      <c r="Y4" s="566"/>
      <c r="Z4" s="567"/>
      <c r="AA4" s="989">
        <f t="shared" ref="AA4:AA39" si="3">U4+Z4-Y4</f>
        <v>0</v>
      </c>
      <c r="AB4" s="812">
        <f t="shared" ref="AB4:AB39" si="4">ROUND((AA4/1000000),0)</f>
        <v>0</v>
      </c>
    </row>
    <row r="5" spans="1:28" ht="22.5" hidden="1" customHeight="1">
      <c r="A5" s="531">
        <v>6587</v>
      </c>
      <c r="B5" s="531">
        <v>100201</v>
      </c>
      <c r="C5" s="529">
        <v>17</v>
      </c>
      <c r="D5" s="1575" t="s">
        <v>18</v>
      </c>
      <c r="E5" s="1028" t="s">
        <v>1909</v>
      </c>
      <c r="F5" s="547">
        <v>-11581950947657</v>
      </c>
      <c r="G5" s="1576"/>
      <c r="H5" s="547"/>
      <c r="I5" s="547"/>
      <c r="J5" s="1746">
        <v>-288477327013</v>
      </c>
      <c r="K5" s="547"/>
      <c r="L5" s="547"/>
      <c r="M5" s="1745"/>
      <c r="N5" s="547"/>
      <c r="O5" s="1625"/>
      <c r="P5" s="990"/>
      <c r="Q5" s="547"/>
      <c r="R5" s="547"/>
      <c r="S5" s="1745"/>
      <c r="T5" s="547"/>
      <c r="U5" s="989">
        <f t="shared" si="0"/>
        <v>-11870428274670</v>
      </c>
      <c r="V5" s="547">
        <v>-2043601945040</v>
      </c>
      <c r="W5" s="1264">
        <f t="shared" si="1"/>
        <v>-11870428</v>
      </c>
      <c r="X5" s="547">
        <f t="shared" si="2"/>
        <v>-2043602</v>
      </c>
      <c r="Y5" s="566"/>
      <c r="Z5" s="567"/>
      <c r="AA5" s="989">
        <f t="shared" si="3"/>
        <v>-11870428274670</v>
      </c>
      <c r="AB5" s="812">
        <f t="shared" si="4"/>
        <v>-11870428</v>
      </c>
    </row>
    <row r="6" spans="1:28" ht="22.5" hidden="1" customHeight="1">
      <c r="A6" s="531"/>
      <c r="B6" s="531">
        <v>10040</v>
      </c>
      <c r="C6" s="529">
        <v>11</v>
      </c>
      <c r="D6" s="530" t="s">
        <v>1340</v>
      </c>
      <c r="E6" s="1028" t="s">
        <v>1341</v>
      </c>
      <c r="F6" s="1576"/>
      <c r="G6" s="1576"/>
      <c r="H6" s="1583"/>
      <c r="I6" s="547"/>
      <c r="J6" s="1745"/>
      <c r="K6" s="547"/>
      <c r="L6" s="547"/>
      <c r="M6" s="1745"/>
      <c r="N6" s="547"/>
      <c r="O6" s="990"/>
      <c r="P6" s="990"/>
      <c r="Q6" s="547"/>
      <c r="R6" s="547"/>
      <c r="S6" s="1745"/>
      <c r="T6" s="547"/>
      <c r="U6" s="989">
        <f t="shared" si="0"/>
        <v>0</v>
      </c>
      <c r="V6" s="547">
        <v>0</v>
      </c>
      <c r="W6" s="1264">
        <f t="shared" si="1"/>
        <v>0</v>
      </c>
      <c r="X6" s="547">
        <f t="shared" si="2"/>
        <v>0</v>
      </c>
      <c r="Y6" s="566"/>
      <c r="Z6" s="567"/>
      <c r="AA6" s="989">
        <f t="shared" si="3"/>
        <v>0</v>
      </c>
      <c r="AB6" s="812">
        <f t="shared" si="4"/>
        <v>0</v>
      </c>
    </row>
    <row r="7" spans="1:28" ht="22.5" hidden="1" customHeight="1">
      <c r="A7" s="531">
        <v>6587</v>
      </c>
      <c r="B7" s="531">
        <v>100201</v>
      </c>
      <c r="C7" s="529">
        <v>17</v>
      </c>
      <c r="D7" s="1575" t="s">
        <v>1647</v>
      </c>
      <c r="E7" s="1028" t="s">
        <v>228</v>
      </c>
      <c r="F7" s="547">
        <v>-1446040554027</v>
      </c>
      <c r="G7" s="1576"/>
      <c r="H7" s="547"/>
      <c r="I7" s="547"/>
      <c r="J7" s="1746">
        <v>-356464735062</v>
      </c>
      <c r="K7" s="547"/>
      <c r="L7" s="547"/>
      <c r="M7" s="1745"/>
      <c r="N7" s="547"/>
      <c r="O7" s="990"/>
      <c r="P7" s="990"/>
      <c r="Q7" s="547"/>
      <c r="R7" s="547"/>
      <c r="S7" s="1745"/>
      <c r="T7" s="547"/>
      <c r="U7" s="989">
        <f t="shared" si="0"/>
        <v>-1802505289089</v>
      </c>
      <c r="V7" s="547">
        <v>-4447822569641</v>
      </c>
      <c r="W7" s="1264">
        <f t="shared" si="1"/>
        <v>-1802505</v>
      </c>
      <c r="X7" s="547">
        <f t="shared" si="2"/>
        <v>-4447823</v>
      </c>
      <c r="Y7" s="566"/>
      <c r="Z7" s="567"/>
      <c r="AA7" s="989">
        <f t="shared" si="3"/>
        <v>-1802505289089</v>
      </c>
      <c r="AB7" s="812">
        <f t="shared" si="4"/>
        <v>-1802505</v>
      </c>
    </row>
    <row r="8" spans="1:28" ht="22.5" hidden="1" customHeight="1">
      <c r="A8" s="531">
        <v>6587</v>
      </c>
      <c r="B8" s="531">
        <v>100201</v>
      </c>
      <c r="C8" s="529">
        <v>17</v>
      </c>
      <c r="D8" s="1575" t="s">
        <v>1945</v>
      </c>
      <c r="E8" s="1028" t="s">
        <v>228</v>
      </c>
      <c r="F8" s="547">
        <v>-639983359868</v>
      </c>
      <c r="G8" s="1576"/>
      <c r="H8" s="547"/>
      <c r="I8" s="547"/>
      <c r="J8" s="1746">
        <v>-411431167146</v>
      </c>
      <c r="K8" s="547"/>
      <c r="L8" s="547"/>
      <c r="M8" s="1745"/>
      <c r="N8" s="547"/>
      <c r="O8" s="990"/>
      <c r="P8" s="990"/>
      <c r="Q8" s="547"/>
      <c r="R8" s="547"/>
      <c r="S8" s="1745"/>
      <c r="T8" s="547"/>
      <c r="U8" s="989">
        <f t="shared" si="0"/>
        <v>-1051414527014</v>
      </c>
      <c r="V8" s="547">
        <v>-6047401829470</v>
      </c>
      <c r="W8" s="1264">
        <f t="shared" si="1"/>
        <v>-1051415</v>
      </c>
      <c r="X8" s="547">
        <f t="shared" si="2"/>
        <v>-6047402</v>
      </c>
      <c r="Y8" s="566"/>
      <c r="Z8" s="567"/>
      <c r="AA8" s="989">
        <f t="shared" si="3"/>
        <v>-1051414527014</v>
      </c>
      <c r="AB8" s="812">
        <f t="shared" si="4"/>
        <v>-1051415</v>
      </c>
    </row>
    <row r="9" spans="1:28" ht="22.5" hidden="1" customHeight="1">
      <c r="A9" s="531">
        <v>6587</v>
      </c>
      <c r="B9" s="531">
        <v>100201</v>
      </c>
      <c r="C9" s="529">
        <v>17</v>
      </c>
      <c r="D9" s="1575" t="s">
        <v>1712</v>
      </c>
      <c r="E9" s="1028" t="s">
        <v>228</v>
      </c>
      <c r="F9" s="547"/>
      <c r="G9" s="1576"/>
      <c r="H9" s="547"/>
      <c r="I9" s="547"/>
      <c r="J9" s="1746"/>
      <c r="K9" s="1763"/>
      <c r="L9" s="547"/>
      <c r="M9" s="1745"/>
      <c r="N9" s="547"/>
      <c r="O9" s="990"/>
      <c r="P9" s="990"/>
      <c r="Q9" s="547"/>
      <c r="R9" s="547"/>
      <c r="S9" s="1745"/>
      <c r="T9" s="547"/>
      <c r="U9" s="989">
        <f t="shared" si="0"/>
        <v>0</v>
      </c>
      <c r="V9" s="547">
        <v>-1129148517401</v>
      </c>
      <c r="W9" s="1264">
        <f t="shared" si="1"/>
        <v>0</v>
      </c>
      <c r="X9" s="547">
        <f t="shared" si="2"/>
        <v>-1129149</v>
      </c>
      <c r="Y9" s="566"/>
      <c r="Z9" s="567"/>
      <c r="AA9" s="989">
        <f t="shared" si="3"/>
        <v>0</v>
      </c>
      <c r="AB9" s="812">
        <f t="shared" si="4"/>
        <v>0</v>
      </c>
    </row>
    <row r="10" spans="1:28" ht="22.5" hidden="1" customHeight="1">
      <c r="A10" s="531">
        <v>6584</v>
      </c>
      <c r="B10" s="531">
        <v>100201</v>
      </c>
      <c r="C10" s="529">
        <v>17</v>
      </c>
      <c r="D10" s="530" t="s">
        <v>2694</v>
      </c>
      <c r="E10" s="1028" t="s">
        <v>2695</v>
      </c>
      <c r="F10" s="1576"/>
      <c r="G10" s="1576"/>
      <c r="H10" s="1576"/>
      <c r="I10" s="547"/>
      <c r="J10" s="1746"/>
      <c r="K10" s="1745"/>
      <c r="L10" s="1625"/>
      <c r="M10" s="1760"/>
      <c r="N10" s="547"/>
      <c r="O10" s="547"/>
      <c r="P10" s="990"/>
      <c r="Q10" s="547"/>
      <c r="R10" s="547"/>
      <c r="S10" s="1745"/>
      <c r="T10" s="547"/>
      <c r="U10" s="989">
        <f t="shared" si="0"/>
        <v>0</v>
      </c>
      <c r="V10" s="547">
        <v>0</v>
      </c>
      <c r="W10" s="1264">
        <f t="shared" si="1"/>
        <v>0</v>
      </c>
      <c r="X10" s="547">
        <f t="shared" si="2"/>
        <v>0</v>
      </c>
      <c r="Y10" s="566"/>
      <c r="Z10" s="567"/>
      <c r="AA10" s="989">
        <f t="shared" si="3"/>
        <v>0</v>
      </c>
      <c r="AB10" s="812">
        <f t="shared" si="4"/>
        <v>0</v>
      </c>
    </row>
    <row r="11" spans="1:28" ht="22.5" hidden="1" customHeight="1">
      <c r="A11" s="1742">
        <v>6589</v>
      </c>
      <c r="B11" s="1742">
        <v>100201</v>
      </c>
      <c r="C11" s="1743">
        <v>17</v>
      </c>
      <c r="D11" s="1753" t="s">
        <v>2251</v>
      </c>
      <c r="E11" s="1754" t="s">
        <v>2710</v>
      </c>
      <c r="F11" s="1755"/>
      <c r="G11" s="1755"/>
      <c r="H11" s="1755"/>
      <c r="I11" s="1745"/>
      <c r="J11" s="1746">
        <v>-42717402541358</v>
      </c>
      <c r="K11" s="1768"/>
      <c r="L11" s="1760"/>
      <c r="M11" s="1760"/>
      <c r="N11" s="1745"/>
      <c r="O11" s="1745"/>
      <c r="P11" s="1746"/>
      <c r="Q11" s="1745"/>
      <c r="R11" s="1745"/>
      <c r="S11" s="1745"/>
      <c r="T11" s="1745"/>
      <c r="U11" s="989">
        <f t="shared" si="0"/>
        <v>-42717402541358</v>
      </c>
      <c r="V11" s="1745">
        <v>-26632020087035</v>
      </c>
      <c r="W11" s="1264">
        <f t="shared" si="1"/>
        <v>-42717403</v>
      </c>
      <c r="X11" s="547">
        <f t="shared" si="2"/>
        <v>-26632020</v>
      </c>
      <c r="Y11" s="1747"/>
      <c r="Z11" s="1748"/>
      <c r="AA11" s="989">
        <f t="shared" si="3"/>
        <v>-42717402541358</v>
      </c>
      <c r="AB11" s="812">
        <f t="shared" si="4"/>
        <v>-42717403</v>
      </c>
    </row>
    <row r="12" spans="1:28" ht="22.5" hidden="1" customHeight="1">
      <c r="A12" s="531">
        <v>6587</v>
      </c>
      <c r="B12" s="531">
        <v>100201</v>
      </c>
      <c r="C12" s="529">
        <v>17</v>
      </c>
      <c r="D12" s="1575" t="s">
        <v>23</v>
      </c>
      <c r="E12" s="1028" t="s">
        <v>2037</v>
      </c>
      <c r="F12" s="1580"/>
      <c r="G12" s="1576"/>
      <c r="H12" s="1576">
        <v>-500000000000</v>
      </c>
      <c r="I12" s="547"/>
      <c r="J12" s="1746">
        <v>500000000000</v>
      </c>
      <c r="K12" s="1768"/>
      <c r="L12" s="547"/>
      <c r="M12" s="1745"/>
      <c r="N12" s="547"/>
      <c r="O12" s="990"/>
      <c r="P12" s="990"/>
      <c r="Q12" s="547"/>
      <c r="R12" s="547"/>
      <c r="S12" s="1745"/>
      <c r="T12" s="547"/>
      <c r="U12" s="989">
        <f t="shared" si="0"/>
        <v>0</v>
      </c>
      <c r="V12" s="547">
        <v>0</v>
      </c>
      <c r="W12" s="1264">
        <f t="shared" si="1"/>
        <v>0</v>
      </c>
      <c r="X12" s="547">
        <f t="shared" si="2"/>
        <v>0</v>
      </c>
      <c r="Y12" s="566"/>
      <c r="Z12" s="567"/>
      <c r="AA12" s="989">
        <f t="shared" si="3"/>
        <v>0</v>
      </c>
      <c r="AB12" s="812">
        <f t="shared" si="4"/>
        <v>0</v>
      </c>
    </row>
    <row r="13" spans="1:28" ht="22.5" hidden="1" customHeight="1">
      <c r="A13" s="531">
        <v>3214</v>
      </c>
      <c r="B13" s="531">
        <v>100201</v>
      </c>
      <c r="C13" s="529">
        <v>17</v>
      </c>
      <c r="D13" s="1575" t="s">
        <v>23</v>
      </c>
      <c r="E13" s="1028" t="s">
        <v>2037</v>
      </c>
      <c r="F13" s="1576"/>
      <c r="G13" s="1576"/>
      <c r="H13" s="547"/>
      <c r="I13" s="547"/>
      <c r="J13" s="1746"/>
      <c r="K13" s="547"/>
      <c r="L13" s="547"/>
      <c r="M13" s="1745"/>
      <c r="N13" s="547"/>
      <c r="O13" s="990"/>
      <c r="P13" s="990"/>
      <c r="Q13" s="547"/>
      <c r="R13" s="547"/>
      <c r="S13" s="1745"/>
      <c r="T13" s="547"/>
      <c r="U13" s="989">
        <f t="shared" si="0"/>
        <v>0</v>
      </c>
      <c r="V13" s="547">
        <v>0</v>
      </c>
      <c r="W13" s="1264">
        <f t="shared" si="1"/>
        <v>0</v>
      </c>
      <c r="X13" s="547">
        <f t="shared" si="2"/>
        <v>0</v>
      </c>
      <c r="Y13" s="566"/>
      <c r="Z13" s="567"/>
      <c r="AA13" s="989">
        <f t="shared" si="3"/>
        <v>0</v>
      </c>
      <c r="AB13" s="812">
        <f t="shared" si="4"/>
        <v>0</v>
      </c>
    </row>
    <row r="14" spans="1:28" ht="22.5" hidden="1" customHeight="1">
      <c r="A14" s="531"/>
      <c r="B14" s="531">
        <v>100201</v>
      </c>
      <c r="C14" s="529">
        <v>17</v>
      </c>
      <c r="D14" s="530" t="s">
        <v>2680</v>
      </c>
      <c r="E14" s="1028" t="s">
        <v>2681</v>
      </c>
      <c r="F14" s="1576"/>
      <c r="G14" s="1576"/>
      <c r="H14" s="547">
        <v>-8960337000000</v>
      </c>
      <c r="I14" s="547">
        <v>500000000000</v>
      </c>
      <c r="J14" s="1746">
        <v>8460337000000</v>
      </c>
      <c r="K14" s="547"/>
      <c r="L14" s="547"/>
      <c r="M14" s="1745"/>
      <c r="N14" s="547"/>
      <c r="O14" s="990"/>
      <c r="P14" s="990"/>
      <c r="Q14" s="547"/>
      <c r="R14" s="547"/>
      <c r="S14" s="1745"/>
      <c r="T14" s="547"/>
      <c r="U14" s="989">
        <f t="shared" si="0"/>
        <v>0</v>
      </c>
      <c r="V14" s="547">
        <v>0</v>
      </c>
      <c r="W14" s="1264">
        <f t="shared" si="1"/>
        <v>0</v>
      </c>
      <c r="X14" s="547">
        <f t="shared" si="2"/>
        <v>0</v>
      </c>
      <c r="Y14" s="566"/>
      <c r="Z14" s="567"/>
      <c r="AA14" s="989">
        <f t="shared" si="3"/>
        <v>0</v>
      </c>
      <c r="AB14" s="812">
        <f t="shared" si="4"/>
        <v>0</v>
      </c>
    </row>
    <row r="15" spans="1:28" ht="22.5" hidden="1" customHeight="1">
      <c r="A15" s="531">
        <v>6587</v>
      </c>
      <c r="B15" s="531">
        <v>100201</v>
      </c>
      <c r="C15" s="529">
        <v>17</v>
      </c>
      <c r="D15" s="1575" t="s">
        <v>1473</v>
      </c>
      <c r="E15" s="1028" t="s">
        <v>1496</v>
      </c>
      <c r="F15" s="1580">
        <v>-1267895902208</v>
      </c>
      <c r="G15" s="1583"/>
      <c r="H15" s="1809">
        <v>1000000000000</v>
      </c>
      <c r="I15" s="547">
        <v>-500000000000</v>
      </c>
      <c r="J15" s="1760">
        <v>767895902208</v>
      </c>
      <c r="K15" s="547"/>
      <c r="L15" s="547"/>
      <c r="M15" s="1745"/>
      <c r="N15" s="547"/>
      <c r="O15" s="990"/>
      <c r="P15" s="990"/>
      <c r="Q15" s="547"/>
      <c r="R15" s="547"/>
      <c r="S15" s="1745"/>
      <c r="T15" s="547"/>
      <c r="U15" s="989">
        <f t="shared" si="0"/>
        <v>0</v>
      </c>
      <c r="V15" s="547">
        <v>0</v>
      </c>
      <c r="W15" s="1264">
        <f t="shared" si="1"/>
        <v>0</v>
      </c>
      <c r="X15" s="547">
        <f t="shared" si="2"/>
        <v>0</v>
      </c>
      <c r="Y15" s="566"/>
      <c r="Z15" s="567"/>
      <c r="AA15" s="989">
        <f t="shared" si="3"/>
        <v>0</v>
      </c>
      <c r="AB15" s="812">
        <f t="shared" si="4"/>
        <v>0</v>
      </c>
    </row>
    <row r="16" spans="1:28" ht="22.5" hidden="1" customHeight="1">
      <c r="A16" s="531">
        <v>3214</v>
      </c>
      <c r="B16" s="531">
        <v>100201</v>
      </c>
      <c r="C16" s="529">
        <v>17</v>
      </c>
      <c r="D16" s="1575" t="s">
        <v>1473</v>
      </c>
      <c r="E16" s="1028" t="s">
        <v>1496</v>
      </c>
      <c r="F16" s="1576"/>
      <c r="G16" s="1576"/>
      <c r="H16" s="547"/>
      <c r="I16" s="547"/>
      <c r="J16" s="1746"/>
      <c r="K16" s="547"/>
      <c r="L16" s="547"/>
      <c r="M16" s="1745"/>
      <c r="N16" s="547"/>
      <c r="O16" s="990"/>
      <c r="P16" s="990"/>
      <c r="Q16" s="547"/>
      <c r="R16" s="547"/>
      <c r="S16" s="1745"/>
      <c r="T16" s="547"/>
      <c r="U16" s="989">
        <f t="shared" si="0"/>
        <v>0</v>
      </c>
      <c r="V16" s="547">
        <v>0</v>
      </c>
      <c r="W16" s="1264">
        <f t="shared" si="1"/>
        <v>0</v>
      </c>
      <c r="X16" s="547">
        <f t="shared" si="2"/>
        <v>0</v>
      </c>
      <c r="Y16" s="566"/>
      <c r="Z16" s="567"/>
      <c r="AA16" s="989">
        <f t="shared" si="3"/>
        <v>0</v>
      </c>
      <c r="AB16" s="812">
        <f t="shared" si="4"/>
        <v>0</v>
      </c>
    </row>
    <row r="17" spans="1:28" ht="22.5" hidden="1" customHeight="1">
      <c r="A17" s="531"/>
      <c r="B17" s="531">
        <v>10040</v>
      </c>
      <c r="C17" s="529">
        <v>11</v>
      </c>
      <c r="D17" s="530" t="s">
        <v>763</v>
      </c>
      <c r="E17" s="1028" t="s">
        <v>822</v>
      </c>
      <c r="F17" s="1576"/>
      <c r="G17" s="1576"/>
      <c r="H17" s="1775"/>
      <c r="I17" s="547"/>
      <c r="J17" s="1746"/>
      <c r="K17" s="547"/>
      <c r="L17" s="547"/>
      <c r="M17" s="1745"/>
      <c r="N17" s="547"/>
      <c r="O17" s="990"/>
      <c r="P17" s="990"/>
      <c r="Q17" s="547"/>
      <c r="R17" s="547"/>
      <c r="S17" s="1745"/>
      <c r="T17" s="547"/>
      <c r="U17" s="989">
        <f t="shared" si="0"/>
        <v>0</v>
      </c>
      <c r="V17" s="547">
        <v>0</v>
      </c>
      <c r="W17" s="1264">
        <f t="shared" si="1"/>
        <v>0</v>
      </c>
      <c r="X17" s="547">
        <f t="shared" si="2"/>
        <v>0</v>
      </c>
      <c r="Y17" s="566"/>
      <c r="Z17" s="567"/>
      <c r="AA17" s="989">
        <f t="shared" si="3"/>
        <v>0</v>
      </c>
      <c r="AB17" s="812">
        <f t="shared" si="4"/>
        <v>0</v>
      </c>
    </row>
    <row r="18" spans="1:28" ht="22.5" hidden="1" customHeight="1">
      <c r="A18" s="531"/>
      <c r="B18" s="531">
        <v>10040</v>
      </c>
      <c r="C18" s="529">
        <v>11</v>
      </c>
      <c r="D18" s="530" t="s">
        <v>1195</v>
      </c>
      <c r="E18" s="1028" t="s">
        <v>1196</v>
      </c>
      <c r="F18" s="1576"/>
      <c r="G18" s="1576"/>
      <c r="H18" s="547"/>
      <c r="I18" s="547"/>
      <c r="J18" s="1746"/>
      <c r="K18" s="547"/>
      <c r="L18" s="547"/>
      <c r="M18" s="1745"/>
      <c r="N18" s="547"/>
      <c r="O18" s="990"/>
      <c r="P18" s="990"/>
      <c r="Q18" s="547"/>
      <c r="R18" s="547"/>
      <c r="S18" s="1745"/>
      <c r="T18" s="547"/>
      <c r="U18" s="989">
        <f t="shared" si="0"/>
        <v>0</v>
      </c>
      <c r="V18" s="547">
        <v>0</v>
      </c>
      <c r="W18" s="1264">
        <f t="shared" si="1"/>
        <v>0</v>
      </c>
      <c r="X18" s="547">
        <f t="shared" si="2"/>
        <v>0</v>
      </c>
      <c r="Y18" s="566"/>
      <c r="Z18" s="567"/>
      <c r="AA18" s="989">
        <f t="shared" si="3"/>
        <v>0</v>
      </c>
      <c r="AB18" s="812">
        <f t="shared" si="4"/>
        <v>0</v>
      </c>
    </row>
    <row r="19" spans="1:28" ht="22.5" hidden="1" customHeight="1">
      <c r="A19" s="531">
        <v>1</v>
      </c>
      <c r="B19" s="531">
        <v>1029</v>
      </c>
      <c r="C19" s="529">
        <v>17</v>
      </c>
      <c r="D19" s="530" t="s">
        <v>158</v>
      </c>
      <c r="E19" s="1028" t="s">
        <v>159</v>
      </c>
      <c r="F19" s="1580">
        <v>4808150379</v>
      </c>
      <c r="G19" s="1576">
        <v>491874498</v>
      </c>
      <c r="H19" s="1775"/>
      <c r="I19" s="1775">
        <v>17875900</v>
      </c>
      <c r="J19" s="1760">
        <v>-56919352979</v>
      </c>
      <c r="K19" s="1625">
        <v>2654500</v>
      </c>
      <c r="L19" s="547"/>
      <c r="M19" s="1745"/>
      <c r="N19" s="1625"/>
      <c r="O19" s="990"/>
      <c r="P19" s="990"/>
      <c r="Q19" s="547"/>
      <c r="R19" s="547"/>
      <c r="S19" s="1745"/>
      <c r="T19" s="547"/>
      <c r="U19" s="989">
        <f t="shared" si="0"/>
        <v>-51598797702</v>
      </c>
      <c r="V19" s="547">
        <v>0</v>
      </c>
      <c r="W19" s="1264">
        <f t="shared" si="1"/>
        <v>-51599</v>
      </c>
      <c r="X19" s="547">
        <f t="shared" si="2"/>
        <v>0</v>
      </c>
      <c r="Y19" s="566"/>
      <c r="Z19" s="567"/>
      <c r="AA19" s="989">
        <f t="shared" si="3"/>
        <v>-51598797702</v>
      </c>
      <c r="AB19" s="812">
        <f t="shared" si="4"/>
        <v>-51599</v>
      </c>
    </row>
    <row r="20" spans="1:28" ht="22.5" hidden="1" customHeight="1">
      <c r="A20" s="531">
        <v>3214</v>
      </c>
      <c r="B20" s="531">
        <v>100201</v>
      </c>
      <c r="C20" s="529">
        <v>17</v>
      </c>
      <c r="D20" s="530" t="s">
        <v>538</v>
      </c>
      <c r="E20" s="1028" t="s">
        <v>1441</v>
      </c>
      <c r="F20" s="1576"/>
      <c r="G20" s="1576"/>
      <c r="H20" s="547"/>
      <c r="I20" s="547"/>
      <c r="J20" s="1746"/>
      <c r="K20" s="547"/>
      <c r="L20" s="547"/>
      <c r="M20" s="1745"/>
      <c r="N20" s="547"/>
      <c r="O20" s="990"/>
      <c r="P20" s="990"/>
      <c r="Q20" s="547"/>
      <c r="R20" s="547"/>
      <c r="S20" s="1745"/>
      <c r="T20" s="547"/>
      <c r="U20" s="989">
        <f t="shared" si="0"/>
        <v>0</v>
      </c>
      <c r="V20" s="547">
        <v>0</v>
      </c>
      <c r="W20" s="1264">
        <f t="shared" si="1"/>
        <v>0</v>
      </c>
      <c r="X20" s="547">
        <f t="shared" si="2"/>
        <v>0</v>
      </c>
      <c r="Y20" s="566"/>
      <c r="Z20" s="567"/>
      <c r="AA20" s="989">
        <f t="shared" si="3"/>
        <v>0</v>
      </c>
      <c r="AB20" s="812">
        <f t="shared" si="4"/>
        <v>0</v>
      </c>
    </row>
    <row r="21" spans="1:28" ht="22.5" hidden="1" customHeight="1">
      <c r="A21" s="531">
        <v>7</v>
      </c>
      <c r="B21" s="531">
        <v>1029</v>
      </c>
      <c r="C21" s="529">
        <v>17</v>
      </c>
      <c r="D21" s="530" t="s">
        <v>1529</v>
      </c>
      <c r="E21" s="1028" t="s">
        <v>159</v>
      </c>
      <c r="F21" s="1579">
        <v>503067389601</v>
      </c>
      <c r="G21" s="1578">
        <v>337432596063</v>
      </c>
      <c r="H21" s="547"/>
      <c r="I21" s="547"/>
      <c r="J21" s="1745">
        <v>5317900777</v>
      </c>
      <c r="K21" s="1625">
        <v>-845817886441</v>
      </c>
      <c r="L21" s="547"/>
      <c r="M21" s="1745"/>
      <c r="N21" s="1625"/>
      <c r="O21" s="990"/>
      <c r="P21" s="990"/>
      <c r="Q21" s="547"/>
      <c r="R21" s="547"/>
      <c r="S21" s="1745"/>
      <c r="T21" s="547"/>
      <c r="U21" s="989">
        <f t="shared" si="0"/>
        <v>0</v>
      </c>
      <c r="V21" s="547">
        <v>0</v>
      </c>
      <c r="W21" s="1264">
        <f t="shared" si="1"/>
        <v>0</v>
      </c>
      <c r="X21" s="547">
        <f t="shared" si="2"/>
        <v>0</v>
      </c>
      <c r="Y21" s="566"/>
      <c r="Z21" s="567"/>
      <c r="AA21" s="989">
        <f t="shared" si="3"/>
        <v>0</v>
      </c>
      <c r="AB21" s="812">
        <f t="shared" si="4"/>
        <v>0</v>
      </c>
    </row>
    <row r="22" spans="1:28" ht="22.5" hidden="1" customHeight="1">
      <c r="A22" s="531"/>
      <c r="B22" s="531">
        <v>1013</v>
      </c>
      <c r="C22" s="529">
        <v>11</v>
      </c>
      <c r="D22" s="530" t="s">
        <v>681</v>
      </c>
      <c r="E22" s="1028" t="s">
        <v>682</v>
      </c>
      <c r="F22" s="1579">
        <v>2495085192633</v>
      </c>
      <c r="G22" s="1583">
        <v>-16442550</v>
      </c>
      <c r="H22" s="1807"/>
      <c r="I22" s="1625"/>
      <c r="J22" s="1760"/>
      <c r="K22" s="1625"/>
      <c r="L22" s="1625"/>
      <c r="M22" s="1760"/>
      <c r="N22" s="1625"/>
      <c r="O22" s="1625"/>
      <c r="P22" s="990"/>
      <c r="Q22" s="547"/>
      <c r="R22" s="547"/>
      <c r="S22" s="1745"/>
      <c r="T22" s="547"/>
      <c r="U22" s="989">
        <f t="shared" si="0"/>
        <v>2495068750083</v>
      </c>
      <c r="V22" s="547">
        <v>2495068750083</v>
      </c>
      <c r="W22" s="1264">
        <f t="shared" si="1"/>
        <v>2495069</v>
      </c>
      <c r="X22" s="547">
        <f t="shared" si="2"/>
        <v>2495069</v>
      </c>
      <c r="Y22" s="566"/>
      <c r="Z22" s="567"/>
      <c r="AA22" s="989">
        <f t="shared" si="3"/>
        <v>2495068750083</v>
      </c>
      <c r="AB22" s="812">
        <f t="shared" si="4"/>
        <v>2495069</v>
      </c>
    </row>
    <row r="23" spans="1:28" ht="22.5" hidden="1" customHeight="1">
      <c r="A23" s="531"/>
      <c r="B23" s="531">
        <v>1013</v>
      </c>
      <c r="C23" s="529">
        <v>11</v>
      </c>
      <c r="D23" s="530" t="s">
        <v>683</v>
      </c>
      <c r="E23" s="1028" t="s">
        <v>684</v>
      </c>
      <c r="F23" s="1579">
        <v>1058979025602</v>
      </c>
      <c r="G23" s="1583"/>
      <c r="H23" s="1807"/>
      <c r="I23" s="1625"/>
      <c r="J23" s="1760"/>
      <c r="K23" s="1625"/>
      <c r="L23" s="1625"/>
      <c r="M23" s="1760"/>
      <c r="N23" s="1625"/>
      <c r="O23" s="1625"/>
      <c r="P23" s="990"/>
      <c r="Q23" s="547"/>
      <c r="R23" s="547"/>
      <c r="S23" s="1745"/>
      <c r="T23" s="547"/>
      <c r="U23" s="989">
        <f t="shared" si="0"/>
        <v>1058979025602</v>
      </c>
      <c r="V23" s="547">
        <v>1058979025602</v>
      </c>
      <c r="W23" s="1264">
        <f t="shared" si="1"/>
        <v>1058979</v>
      </c>
      <c r="X23" s="547">
        <f t="shared" si="2"/>
        <v>1058979</v>
      </c>
      <c r="Y23" s="566"/>
      <c r="Z23" s="567"/>
      <c r="AA23" s="989">
        <f t="shared" si="3"/>
        <v>1058979025602</v>
      </c>
      <c r="AB23" s="812">
        <f t="shared" si="4"/>
        <v>1058979</v>
      </c>
    </row>
    <row r="24" spans="1:28" ht="22.5" hidden="1" customHeight="1">
      <c r="A24" s="531">
        <v>1</v>
      </c>
      <c r="B24" s="531">
        <v>10040</v>
      </c>
      <c r="C24" s="529">
        <v>17</v>
      </c>
      <c r="D24" s="530" t="s">
        <v>2251</v>
      </c>
      <c r="E24" s="1028" t="s">
        <v>2252</v>
      </c>
      <c r="F24" s="1580">
        <v>-1510191402910</v>
      </c>
      <c r="G24" s="1578">
        <v>-19849284813</v>
      </c>
      <c r="H24" s="1806">
        <v>-3585160696</v>
      </c>
      <c r="I24" s="547">
        <v>24115563714</v>
      </c>
      <c r="J24" s="1745">
        <v>-517128009</v>
      </c>
      <c r="K24" s="1625">
        <v>1000710852174</v>
      </c>
      <c r="L24" s="1625"/>
      <c r="M24" s="1760"/>
      <c r="N24" s="1625">
        <v>-44726574055</v>
      </c>
      <c r="O24" s="1625"/>
      <c r="P24" s="990"/>
      <c r="Q24" s="547"/>
      <c r="R24" s="547"/>
      <c r="S24" s="1745"/>
      <c r="T24" s="547"/>
      <c r="U24" s="989">
        <f t="shared" si="0"/>
        <v>-554043134595</v>
      </c>
      <c r="V24" s="547">
        <v>-11328968250832</v>
      </c>
      <c r="W24" s="1264">
        <f t="shared" si="1"/>
        <v>-554043</v>
      </c>
      <c r="X24" s="547">
        <f t="shared" si="2"/>
        <v>-11328968</v>
      </c>
      <c r="Y24" s="566"/>
      <c r="Z24" s="567"/>
      <c r="AA24" s="989">
        <f t="shared" si="3"/>
        <v>-554043134595</v>
      </c>
      <c r="AB24" s="812">
        <f t="shared" si="4"/>
        <v>-554043</v>
      </c>
    </row>
    <row r="25" spans="1:28" ht="22.5" hidden="1" customHeight="1">
      <c r="A25" s="531">
        <v>3214</v>
      </c>
      <c r="B25" s="531">
        <v>100201</v>
      </c>
      <c r="C25" s="529">
        <v>17</v>
      </c>
      <c r="D25" s="1575" t="s">
        <v>2251</v>
      </c>
      <c r="E25" s="1028" t="s">
        <v>2252</v>
      </c>
      <c r="F25" s="1576"/>
      <c r="G25" s="1576"/>
      <c r="H25" s="547"/>
      <c r="I25" s="547"/>
      <c r="J25" s="1745">
        <v>-4553694771137</v>
      </c>
      <c r="K25" s="547"/>
      <c r="L25" s="547"/>
      <c r="M25" s="1745"/>
      <c r="N25" s="547"/>
      <c r="O25" s="1625">
        <v>271687435309</v>
      </c>
      <c r="P25" s="990"/>
      <c r="Q25" s="547"/>
      <c r="R25" s="547"/>
      <c r="S25" s="1745"/>
      <c r="T25" s="547"/>
      <c r="U25" s="989">
        <f t="shared" si="0"/>
        <v>-4282007335828</v>
      </c>
      <c r="V25" s="547">
        <v>-15347738671410</v>
      </c>
      <c r="W25" s="1264">
        <f t="shared" si="1"/>
        <v>-4282007</v>
      </c>
      <c r="X25" s="547">
        <f t="shared" si="2"/>
        <v>-15347739</v>
      </c>
      <c r="Y25" s="566"/>
      <c r="Z25" s="567"/>
      <c r="AA25" s="989">
        <f t="shared" si="3"/>
        <v>-4282007335828</v>
      </c>
      <c r="AB25" s="812">
        <f t="shared" si="4"/>
        <v>-4282007</v>
      </c>
    </row>
    <row r="26" spans="1:28" ht="22.5" hidden="1" customHeight="1">
      <c r="A26" s="531"/>
      <c r="B26" s="531">
        <v>10040</v>
      </c>
      <c r="C26" s="529">
        <v>17</v>
      </c>
      <c r="D26" s="1575" t="s">
        <v>2251</v>
      </c>
      <c r="E26" s="1028" t="s">
        <v>922</v>
      </c>
      <c r="F26" s="1576"/>
      <c r="G26" s="1576"/>
      <c r="H26" s="547"/>
      <c r="I26" s="547"/>
      <c r="J26" s="1745"/>
      <c r="K26" s="547"/>
      <c r="L26" s="547"/>
      <c r="M26" s="1745"/>
      <c r="N26" s="547"/>
      <c r="O26" s="990"/>
      <c r="P26" s="990"/>
      <c r="Q26" s="547"/>
      <c r="R26" s="547"/>
      <c r="S26" s="1745"/>
      <c r="T26" s="547"/>
      <c r="U26" s="989">
        <f t="shared" si="0"/>
        <v>0</v>
      </c>
      <c r="V26" s="547">
        <v>0</v>
      </c>
      <c r="W26" s="1264">
        <f t="shared" si="1"/>
        <v>0</v>
      </c>
      <c r="X26" s="547">
        <f t="shared" si="2"/>
        <v>0</v>
      </c>
      <c r="Y26" s="566"/>
      <c r="Z26" s="567"/>
      <c r="AA26" s="989">
        <f t="shared" si="3"/>
        <v>0</v>
      </c>
      <c r="AB26" s="812">
        <f t="shared" si="4"/>
        <v>0</v>
      </c>
    </row>
    <row r="27" spans="1:28" ht="22.5" hidden="1" customHeight="1">
      <c r="A27" s="1742"/>
      <c r="B27" s="1742">
        <v>1013</v>
      </c>
      <c r="C27" s="1743">
        <v>11</v>
      </c>
      <c r="D27" s="1777" t="s">
        <v>2223</v>
      </c>
      <c r="E27" s="1754" t="s">
        <v>2226</v>
      </c>
      <c r="F27" s="1755">
        <v>2430077160369</v>
      </c>
      <c r="G27" s="1755">
        <v>83289555183</v>
      </c>
      <c r="H27" s="1745">
        <v>371669521</v>
      </c>
      <c r="I27" s="1745">
        <v>16545368748</v>
      </c>
      <c r="J27" s="1745">
        <v>-20131176</v>
      </c>
      <c r="K27" s="1745"/>
      <c r="L27" s="1745">
        <v>538795186</v>
      </c>
      <c r="M27" s="1745"/>
      <c r="N27" s="1745"/>
      <c r="O27" s="1746"/>
      <c r="P27" s="1746">
        <v>21969464196</v>
      </c>
      <c r="Q27" s="1745"/>
      <c r="R27" s="1745"/>
      <c r="S27" s="1745"/>
      <c r="T27" s="1745"/>
      <c r="U27" s="989">
        <f t="shared" si="0"/>
        <v>2552771882027</v>
      </c>
      <c r="V27" s="1745">
        <v>1013918405767</v>
      </c>
      <c r="W27" s="1264">
        <f t="shared" si="1"/>
        <v>2552772</v>
      </c>
      <c r="X27" s="547">
        <f t="shared" si="2"/>
        <v>1013918</v>
      </c>
      <c r="Y27" s="1747"/>
      <c r="Z27" s="1748"/>
      <c r="AA27" s="989">
        <f t="shared" si="3"/>
        <v>2552771882027</v>
      </c>
      <c r="AB27" s="812">
        <f t="shared" si="4"/>
        <v>2552772</v>
      </c>
    </row>
    <row r="28" spans="1:28" ht="22.5" hidden="1" customHeight="1">
      <c r="A28" s="531"/>
      <c r="B28" s="531">
        <v>1013</v>
      </c>
      <c r="C28" s="529">
        <v>11</v>
      </c>
      <c r="D28" s="530" t="s">
        <v>685</v>
      </c>
      <c r="E28" s="1028" t="s">
        <v>688</v>
      </c>
      <c r="F28" s="1580">
        <v>-229424952311</v>
      </c>
      <c r="G28" s="1583"/>
      <c r="H28" s="1576"/>
      <c r="I28" s="1625"/>
      <c r="J28" s="1760"/>
      <c r="K28" s="1625">
        <v>5625720024</v>
      </c>
      <c r="L28" s="547"/>
      <c r="M28" s="1745"/>
      <c r="N28" s="1625"/>
      <c r="O28" s="1625"/>
      <c r="P28" s="990"/>
      <c r="Q28" s="547"/>
      <c r="R28" s="547"/>
      <c r="S28" s="1745"/>
      <c r="T28" s="547"/>
      <c r="U28" s="989">
        <f t="shared" si="0"/>
        <v>-223799232287</v>
      </c>
      <c r="V28" s="547">
        <v>-229424952311</v>
      </c>
      <c r="W28" s="1264">
        <f t="shared" si="1"/>
        <v>-223799</v>
      </c>
      <c r="X28" s="547">
        <f t="shared" si="2"/>
        <v>-229425</v>
      </c>
      <c r="Y28" s="566"/>
      <c r="Z28" s="567"/>
      <c r="AA28" s="989">
        <f t="shared" si="3"/>
        <v>-223799232287</v>
      </c>
      <c r="AB28" s="812">
        <f t="shared" si="4"/>
        <v>-223799</v>
      </c>
    </row>
    <row r="29" spans="1:28" ht="22.5" hidden="1" customHeight="1">
      <c r="A29" s="531">
        <v>7</v>
      </c>
      <c r="B29" s="531">
        <v>10040</v>
      </c>
      <c r="C29" s="529">
        <v>17</v>
      </c>
      <c r="D29" s="530" t="s">
        <v>2694</v>
      </c>
      <c r="E29" s="1028" t="s">
        <v>609</v>
      </c>
      <c r="F29" s="1580">
        <v>-58212397121225</v>
      </c>
      <c r="G29" s="1583">
        <v>-9185140251</v>
      </c>
      <c r="H29" s="1583">
        <v>-7454723318637</v>
      </c>
      <c r="I29" s="1625">
        <v>-4580313787707</v>
      </c>
      <c r="J29" s="1746">
        <v>-510105152000</v>
      </c>
      <c r="K29" s="1625">
        <v>70567126519819</v>
      </c>
      <c r="L29" s="1760"/>
      <c r="M29" s="1760"/>
      <c r="N29" s="1625"/>
      <c r="O29" s="990"/>
      <c r="P29" s="990"/>
      <c r="Q29" s="547"/>
      <c r="R29" s="547"/>
      <c r="S29" s="1745"/>
      <c r="T29" s="547"/>
      <c r="U29" s="989">
        <f t="shared" si="0"/>
        <v>-199598000001</v>
      </c>
      <c r="V29" s="547">
        <v>-6774926995020</v>
      </c>
      <c r="W29" s="1264">
        <f t="shared" si="1"/>
        <v>-199598</v>
      </c>
      <c r="X29" s="547">
        <f t="shared" si="2"/>
        <v>-6774927</v>
      </c>
      <c r="Y29" s="566"/>
      <c r="Z29" s="567"/>
      <c r="AA29" s="989">
        <f t="shared" si="3"/>
        <v>-199598000001</v>
      </c>
      <c r="AB29" s="812">
        <f t="shared" si="4"/>
        <v>-199598</v>
      </c>
    </row>
    <row r="30" spans="1:28" ht="22.5" hidden="1" customHeight="1">
      <c r="A30" s="531"/>
      <c r="B30" s="531">
        <v>1301</v>
      </c>
      <c r="C30" s="529">
        <v>19</v>
      </c>
      <c r="D30" s="530" t="s">
        <v>134</v>
      </c>
      <c r="E30" s="1028" t="s">
        <v>135</v>
      </c>
      <c r="F30" s="1580">
        <v>5200000000</v>
      </c>
      <c r="G30" s="1576">
        <v>-5200000000</v>
      </c>
      <c r="H30" s="547"/>
      <c r="I30" s="547"/>
      <c r="J30" s="1745"/>
      <c r="K30" s="547"/>
      <c r="L30" s="1811"/>
      <c r="M30" s="1811"/>
      <c r="N30" s="547"/>
      <c r="O30" s="990"/>
      <c r="P30" s="990"/>
      <c r="Q30" s="547"/>
      <c r="R30" s="547"/>
      <c r="S30" s="1745"/>
      <c r="T30" s="547"/>
      <c r="U30" s="1671">
        <f t="shared" si="0"/>
        <v>0</v>
      </c>
      <c r="V30" s="547">
        <v>0</v>
      </c>
      <c r="W30" s="1264">
        <f t="shared" si="1"/>
        <v>0</v>
      </c>
      <c r="X30" s="547">
        <f t="shared" si="2"/>
        <v>0</v>
      </c>
      <c r="Y30" s="566"/>
      <c r="Z30" s="567"/>
      <c r="AA30" s="989">
        <f t="shared" si="3"/>
        <v>0</v>
      </c>
      <c r="AB30" s="812">
        <f t="shared" si="4"/>
        <v>0</v>
      </c>
    </row>
    <row r="31" spans="1:28" ht="22.5" hidden="1" customHeight="1">
      <c r="A31" s="1742"/>
      <c r="B31" s="1742">
        <v>430</v>
      </c>
      <c r="C31" s="1743">
        <v>11</v>
      </c>
      <c r="D31" s="1753" t="s">
        <v>2671</v>
      </c>
      <c r="E31" s="1754" t="s">
        <v>2739</v>
      </c>
      <c r="F31" s="1744">
        <v>1477174610938</v>
      </c>
      <c r="G31" s="1755"/>
      <c r="H31" s="1745"/>
      <c r="I31" s="1745"/>
      <c r="J31" s="1745"/>
      <c r="K31" s="1745"/>
      <c r="L31" s="1811"/>
      <c r="M31" s="1811"/>
      <c r="N31" s="1745"/>
      <c r="O31" s="1746"/>
      <c r="P31" s="1746"/>
      <c r="Q31" s="1745"/>
      <c r="R31" s="1745"/>
      <c r="S31" s="1745"/>
      <c r="T31" s="1745">
        <v>-1132951527891</v>
      </c>
      <c r="U31" s="1948">
        <f t="shared" si="0"/>
        <v>344223083047</v>
      </c>
      <c r="V31" s="1745"/>
      <c r="W31" s="1781">
        <f t="shared" si="1"/>
        <v>344223</v>
      </c>
      <c r="X31" s="1745"/>
      <c r="Y31" s="1747"/>
      <c r="Z31" s="1748"/>
      <c r="AA31" s="1749">
        <f t="shared" si="3"/>
        <v>344223083047</v>
      </c>
      <c r="AB31" s="1750">
        <f t="shared" si="4"/>
        <v>344223</v>
      </c>
    </row>
    <row r="32" spans="1:28" ht="22.5" hidden="1" customHeight="1">
      <c r="A32" s="1742"/>
      <c r="B32" s="1742">
        <v>419</v>
      </c>
      <c r="C32" s="1743">
        <v>11</v>
      </c>
      <c r="D32" s="1753" t="s">
        <v>2671</v>
      </c>
      <c r="E32" s="1754" t="s">
        <v>2738</v>
      </c>
      <c r="F32" s="1744"/>
      <c r="G32" s="1755"/>
      <c r="H32" s="1745"/>
      <c r="I32" s="1745"/>
      <c r="J32" s="1745"/>
      <c r="K32" s="1745"/>
      <c r="L32" s="1811"/>
      <c r="M32" s="1811"/>
      <c r="N32" s="1745">
        <v>75000000000</v>
      </c>
      <c r="O32" s="1746"/>
      <c r="P32" s="1746"/>
      <c r="Q32" s="1745"/>
      <c r="R32" s="1745"/>
      <c r="S32" s="1745"/>
      <c r="T32" s="1745">
        <v>1132951527891</v>
      </c>
      <c r="U32" s="1948">
        <f t="shared" si="0"/>
        <v>1207951527891</v>
      </c>
      <c r="V32" s="1745"/>
      <c r="W32" s="1781">
        <f t="shared" si="1"/>
        <v>1207952</v>
      </c>
      <c r="X32" s="1745"/>
      <c r="Y32" s="1747"/>
      <c r="Z32" s="1748"/>
      <c r="AA32" s="1749">
        <f t="shared" si="3"/>
        <v>1207951527891</v>
      </c>
      <c r="AB32" s="1750">
        <f t="shared" si="4"/>
        <v>1207952</v>
      </c>
    </row>
    <row r="33" spans="1:28" ht="22.5" hidden="1" customHeight="1">
      <c r="A33" s="531"/>
      <c r="B33" s="531">
        <v>428</v>
      </c>
      <c r="C33" s="529">
        <v>11</v>
      </c>
      <c r="D33" s="530" t="s">
        <v>976</v>
      </c>
      <c r="E33" s="1028" t="s">
        <v>977</v>
      </c>
      <c r="F33" s="1576">
        <v>-10404349</v>
      </c>
      <c r="G33" s="1576">
        <v>37276954</v>
      </c>
      <c r="H33" s="547"/>
      <c r="I33" s="547"/>
      <c r="J33" s="1745"/>
      <c r="K33" s="547"/>
      <c r="L33" s="547"/>
      <c r="M33" s="1745"/>
      <c r="N33" s="547"/>
      <c r="O33" s="990"/>
      <c r="P33" s="990"/>
      <c r="Q33" s="547"/>
      <c r="R33" s="547"/>
      <c r="S33" s="1745"/>
      <c r="T33" s="547"/>
      <c r="U33" s="989">
        <f t="shared" si="0"/>
        <v>26872605</v>
      </c>
      <c r="V33" s="547">
        <v>-328706595</v>
      </c>
      <c r="W33" s="1264">
        <f t="shared" si="1"/>
        <v>27</v>
      </c>
      <c r="X33" s="547">
        <f t="shared" si="2"/>
        <v>-329</v>
      </c>
      <c r="Y33" s="566"/>
      <c r="Z33" s="567"/>
      <c r="AA33" s="989">
        <f t="shared" si="3"/>
        <v>26872605</v>
      </c>
      <c r="AB33" s="812">
        <f t="shared" si="4"/>
        <v>27</v>
      </c>
    </row>
    <row r="34" spans="1:28" ht="22.5" hidden="1" customHeight="1">
      <c r="A34" s="531"/>
      <c r="B34" s="531">
        <v>1030</v>
      </c>
      <c r="C34" s="529">
        <v>11</v>
      </c>
      <c r="D34" s="530" t="s">
        <v>310</v>
      </c>
      <c r="E34" s="1028" t="s">
        <v>966</v>
      </c>
      <c r="F34" s="1580">
        <v>6353876020</v>
      </c>
      <c r="G34" s="1576"/>
      <c r="H34" s="547"/>
      <c r="I34" s="547"/>
      <c r="J34" s="1745">
        <v>-107896000</v>
      </c>
      <c r="K34" s="1625"/>
      <c r="L34" s="547"/>
      <c r="M34" s="1745"/>
      <c r="N34" s="547"/>
      <c r="O34" s="990"/>
      <c r="P34" s="990"/>
      <c r="Q34" s="547"/>
      <c r="R34" s="547"/>
      <c r="S34" s="1745"/>
      <c r="T34" s="547"/>
      <c r="U34" s="989">
        <f t="shared" si="0"/>
        <v>6245980020</v>
      </c>
      <c r="V34" s="547">
        <v>-3859799246</v>
      </c>
      <c r="W34" s="1264">
        <f t="shared" si="1"/>
        <v>6246</v>
      </c>
      <c r="X34" s="547">
        <f t="shared" si="2"/>
        <v>-3860</v>
      </c>
      <c r="Y34" s="566"/>
      <c r="Z34" s="567"/>
      <c r="AA34" s="989">
        <f t="shared" si="3"/>
        <v>6245980020</v>
      </c>
      <c r="AB34" s="812">
        <f t="shared" si="4"/>
        <v>6246</v>
      </c>
    </row>
    <row r="35" spans="1:28" ht="22.5" hidden="1" customHeight="1">
      <c r="A35" s="531"/>
      <c r="B35" s="531">
        <v>428</v>
      </c>
      <c r="C35" s="529">
        <v>11</v>
      </c>
      <c r="D35" s="530" t="s">
        <v>577</v>
      </c>
      <c r="E35" s="1028" t="s">
        <v>578</v>
      </c>
      <c r="F35" s="1580">
        <v>9501644767</v>
      </c>
      <c r="G35" s="1578">
        <v>-933411967</v>
      </c>
      <c r="H35" s="1806">
        <v>-348726627</v>
      </c>
      <c r="I35" s="1625">
        <v>-1769358536</v>
      </c>
      <c r="J35" s="1745">
        <v>-5863933624</v>
      </c>
      <c r="K35" s="547"/>
      <c r="L35" s="1625"/>
      <c r="M35" s="1760"/>
      <c r="N35" s="1625"/>
      <c r="O35" s="990"/>
      <c r="P35" s="990"/>
      <c r="Q35" s="547"/>
      <c r="R35" s="547"/>
      <c r="S35" s="1745"/>
      <c r="T35" s="547"/>
      <c r="U35" s="989">
        <f t="shared" si="0"/>
        <v>586214013</v>
      </c>
      <c r="V35" s="547">
        <v>5909418584</v>
      </c>
      <c r="W35" s="1264">
        <f t="shared" si="1"/>
        <v>586</v>
      </c>
      <c r="X35" s="547">
        <f t="shared" si="2"/>
        <v>5909</v>
      </c>
      <c r="Y35" s="566"/>
      <c r="Z35" s="567"/>
      <c r="AA35" s="989">
        <f t="shared" si="3"/>
        <v>586214013</v>
      </c>
      <c r="AB35" s="812">
        <f t="shared" si="4"/>
        <v>586</v>
      </c>
    </row>
    <row r="36" spans="1:28" ht="22.5" hidden="1" customHeight="1">
      <c r="A36" s="531">
        <v>3215</v>
      </c>
      <c r="B36" s="531">
        <v>425</v>
      </c>
      <c r="C36" s="529">
        <v>11</v>
      </c>
      <c r="D36" s="530" t="s">
        <v>568</v>
      </c>
      <c r="E36" s="1028" t="s">
        <v>153</v>
      </c>
      <c r="F36" s="1580">
        <v>9448831038</v>
      </c>
      <c r="G36" s="1578">
        <v>-9127857758</v>
      </c>
      <c r="H36" s="1773">
        <v>-106380243</v>
      </c>
      <c r="I36" s="547">
        <v>9020768300</v>
      </c>
      <c r="J36" s="1745">
        <v>-8905888057</v>
      </c>
      <c r="K36" s="547"/>
      <c r="L36" s="1775">
        <v>-17000000</v>
      </c>
      <c r="M36" s="1775"/>
      <c r="N36" s="547"/>
      <c r="O36" s="990"/>
      <c r="P36" s="990"/>
      <c r="Q36" s="547"/>
      <c r="R36" s="547"/>
      <c r="S36" s="1745"/>
      <c r="T36" s="547"/>
      <c r="U36" s="989">
        <f t="shared" si="0"/>
        <v>312473280</v>
      </c>
      <c r="V36" s="547">
        <v>2771092643</v>
      </c>
      <c r="W36" s="1264">
        <f t="shared" si="1"/>
        <v>312</v>
      </c>
      <c r="X36" s="547">
        <f t="shared" si="2"/>
        <v>2771</v>
      </c>
      <c r="Y36" s="566"/>
      <c r="Z36" s="567"/>
      <c r="AA36" s="989">
        <f t="shared" si="3"/>
        <v>312473280</v>
      </c>
      <c r="AB36" s="812">
        <f t="shared" si="4"/>
        <v>312</v>
      </c>
    </row>
    <row r="37" spans="1:28" ht="22.5" customHeight="1">
      <c r="A37" s="531"/>
      <c r="B37" s="531">
        <v>1027</v>
      </c>
      <c r="C37" s="529">
        <v>17</v>
      </c>
      <c r="D37" s="530" t="s">
        <v>308</v>
      </c>
      <c r="E37" s="1028" t="s">
        <v>309</v>
      </c>
      <c r="F37" s="1580">
        <v>-1527462537758</v>
      </c>
      <c r="G37" s="1576">
        <v>162525765</v>
      </c>
      <c r="H37" s="547">
        <v>410856996</v>
      </c>
      <c r="I37" s="547"/>
      <c r="J37" s="1760">
        <v>-128317651</v>
      </c>
      <c r="K37" s="547"/>
      <c r="L37" s="547"/>
      <c r="M37" s="1745"/>
      <c r="N37" s="547"/>
      <c r="O37" s="1625"/>
      <c r="P37" s="990"/>
      <c r="Q37" s="547"/>
      <c r="R37" s="547"/>
      <c r="S37" s="1745"/>
      <c r="T37" s="547"/>
      <c r="U37" s="989">
        <f t="shared" si="0"/>
        <v>-1527017472648</v>
      </c>
      <c r="V37" s="547">
        <v>-1527422434966</v>
      </c>
      <c r="W37" s="1264">
        <f t="shared" si="1"/>
        <v>-1527017</v>
      </c>
      <c r="X37" s="547">
        <f t="shared" si="2"/>
        <v>-1527422</v>
      </c>
      <c r="Y37" s="566"/>
      <c r="Z37" s="567"/>
      <c r="AA37" s="989">
        <f t="shared" si="3"/>
        <v>-1527017472648</v>
      </c>
      <c r="AB37" s="812">
        <f t="shared" si="4"/>
        <v>-1527017</v>
      </c>
    </row>
    <row r="38" spans="1:28" ht="22.5" hidden="1" customHeight="1">
      <c r="A38" s="531"/>
      <c r="B38" s="531">
        <v>1001</v>
      </c>
      <c r="C38" s="529">
        <v>17</v>
      </c>
      <c r="D38" s="530" t="s">
        <v>305</v>
      </c>
      <c r="E38" s="1028" t="s">
        <v>172</v>
      </c>
      <c r="F38" s="1576">
        <v>-3707754831</v>
      </c>
      <c r="G38" s="1576">
        <v>-779492590</v>
      </c>
      <c r="H38" s="1812"/>
      <c r="I38" s="547">
        <v>-1029594476</v>
      </c>
      <c r="J38" s="1760"/>
      <c r="K38" s="1625"/>
      <c r="L38" s="1745">
        <v>3565754831</v>
      </c>
      <c r="M38" s="1775"/>
      <c r="N38" s="547"/>
      <c r="O38" s="990"/>
      <c r="P38" s="990"/>
      <c r="Q38" s="547"/>
      <c r="R38" s="547"/>
      <c r="S38" s="1745"/>
      <c r="T38" s="547"/>
      <c r="U38" s="989">
        <f t="shared" si="0"/>
        <v>-1951087066</v>
      </c>
      <c r="V38" s="547">
        <v>-6192258857</v>
      </c>
      <c r="W38" s="1264">
        <f t="shared" si="1"/>
        <v>-1951</v>
      </c>
      <c r="X38" s="547">
        <f t="shared" si="2"/>
        <v>-6192</v>
      </c>
      <c r="Y38" s="566"/>
      <c r="Z38" s="567"/>
      <c r="AA38" s="989">
        <f t="shared" si="3"/>
        <v>-1951087066</v>
      </c>
      <c r="AB38" s="812">
        <f t="shared" si="4"/>
        <v>-1951</v>
      </c>
    </row>
    <row r="39" spans="1:28" ht="22.5" hidden="1" customHeight="1">
      <c r="A39" s="531"/>
      <c r="B39" s="531">
        <v>1025</v>
      </c>
      <c r="C39" s="529">
        <v>17</v>
      </c>
      <c r="D39" s="530" t="s">
        <v>57</v>
      </c>
      <c r="E39" s="1028" t="s">
        <v>137</v>
      </c>
      <c r="F39" s="1580">
        <v>-16342592230</v>
      </c>
      <c r="G39" s="1578">
        <v>-13223880</v>
      </c>
      <c r="H39" s="1806"/>
      <c r="I39" s="1625">
        <v>-5439100000</v>
      </c>
      <c r="J39" s="1745">
        <v>-32715107</v>
      </c>
      <c r="K39" s="1625">
        <v>-5298967110</v>
      </c>
      <c r="L39" s="547">
        <v>13204313230</v>
      </c>
      <c r="M39" s="1745"/>
      <c r="N39" s="547"/>
      <c r="O39" s="990"/>
      <c r="P39" s="990"/>
      <c r="Q39" s="547"/>
      <c r="R39" s="547"/>
      <c r="S39" s="1745"/>
      <c r="T39" s="547"/>
      <c r="U39" s="989">
        <f t="shared" si="0"/>
        <v>-13922285097</v>
      </c>
      <c r="V39" s="547">
        <v>-49783203762</v>
      </c>
      <c r="W39" s="1264">
        <f t="shared" si="1"/>
        <v>-13922</v>
      </c>
      <c r="X39" s="547">
        <f t="shared" si="2"/>
        <v>-49783</v>
      </c>
      <c r="Y39" s="566"/>
      <c r="Z39" s="567"/>
      <c r="AA39" s="989">
        <f t="shared" si="3"/>
        <v>-13922285097</v>
      </c>
      <c r="AB39" s="812">
        <f t="shared" si="4"/>
        <v>-13922</v>
      </c>
    </row>
    <row r="40" spans="1:28" ht="22.5" hidden="1" customHeight="1">
      <c r="A40" s="531">
        <v>1</v>
      </c>
      <c r="B40" s="531">
        <v>1023</v>
      </c>
      <c r="C40" s="529">
        <v>11</v>
      </c>
      <c r="D40" s="530" t="s">
        <v>521</v>
      </c>
      <c r="E40" s="1028" t="s">
        <v>207</v>
      </c>
      <c r="F40" s="1580">
        <v>-26030448110</v>
      </c>
      <c r="G40" s="1578">
        <v>5048974648</v>
      </c>
      <c r="H40" s="1773"/>
      <c r="I40" s="1625">
        <v>-9453538344</v>
      </c>
      <c r="J40" s="1745">
        <v>22063055494</v>
      </c>
      <c r="K40" s="1625"/>
      <c r="L40" s="1625"/>
      <c r="M40" s="1760"/>
      <c r="N40" s="1625"/>
      <c r="O40" s="990"/>
      <c r="P40" s="990"/>
      <c r="Q40" s="547"/>
      <c r="R40" s="547"/>
      <c r="S40" s="1745"/>
      <c r="T40" s="547"/>
      <c r="U40" s="989">
        <f t="shared" si="0"/>
        <v>-8371956312</v>
      </c>
      <c r="V40" s="547">
        <v>-25474723662</v>
      </c>
      <c r="W40" s="1264">
        <f t="shared" ref="W40:W68" si="5">ROUND((U40/1000000),0)</f>
        <v>-8372</v>
      </c>
      <c r="X40" s="547">
        <f t="shared" ref="X40:X68" si="6">ROUND((V40/1000000),0)</f>
        <v>-25475</v>
      </c>
      <c r="Y40" s="566"/>
      <c r="Z40" s="567"/>
      <c r="AA40" s="989">
        <f t="shared" ref="AA40:AA72" si="7">U40+Z40-Y40</f>
        <v>-8371956312</v>
      </c>
      <c r="AB40" s="812">
        <f t="shared" ref="AB40:AB72" si="8">ROUND((AA40/1000000),0)</f>
        <v>-8372</v>
      </c>
    </row>
    <row r="41" spans="1:28" ht="22.5" hidden="1" customHeight="1">
      <c r="A41" s="531">
        <v>7</v>
      </c>
      <c r="B41" s="531">
        <v>1023</v>
      </c>
      <c r="C41" s="529">
        <v>11</v>
      </c>
      <c r="D41" s="530" t="s">
        <v>1324</v>
      </c>
      <c r="E41" s="1028" t="s">
        <v>207</v>
      </c>
      <c r="F41" s="1579">
        <v>5935297997103</v>
      </c>
      <c r="G41" s="1578">
        <v>6229915712227</v>
      </c>
      <c r="H41" s="1775">
        <v>266811863835</v>
      </c>
      <c r="I41" s="547">
        <v>28540642011</v>
      </c>
      <c r="J41" s="1745">
        <v>171317534604</v>
      </c>
      <c r="K41" s="1625">
        <v>-5506003605326</v>
      </c>
      <c r="L41" s="547">
        <v>242345326749</v>
      </c>
      <c r="M41" s="1745"/>
      <c r="N41" s="1625"/>
      <c r="O41" s="990"/>
      <c r="P41" s="990"/>
      <c r="Q41" s="547"/>
      <c r="R41" s="547"/>
      <c r="S41" s="1745"/>
      <c r="T41" s="547"/>
      <c r="U41" s="989">
        <f t="shared" si="0"/>
        <v>7368225471203</v>
      </c>
      <c r="V41" s="547">
        <v>158972102104</v>
      </c>
      <c r="W41" s="1264">
        <f t="shared" si="5"/>
        <v>7368225</v>
      </c>
      <c r="X41" s="547">
        <f t="shared" si="6"/>
        <v>158972</v>
      </c>
      <c r="Y41" s="566"/>
      <c r="Z41" s="567"/>
      <c r="AA41" s="989">
        <f t="shared" si="7"/>
        <v>7368225471203</v>
      </c>
      <c r="AB41" s="812">
        <f t="shared" si="8"/>
        <v>7368225</v>
      </c>
    </row>
    <row r="42" spans="1:28" ht="22.5" hidden="1" customHeight="1">
      <c r="A42" s="531">
        <v>1</v>
      </c>
      <c r="B42" s="531">
        <v>1022</v>
      </c>
      <c r="C42" s="529">
        <v>11</v>
      </c>
      <c r="D42" s="530" t="s">
        <v>60</v>
      </c>
      <c r="E42" s="1028" t="s">
        <v>1366</v>
      </c>
      <c r="F42" s="1579">
        <v>229108508639</v>
      </c>
      <c r="G42" s="1578">
        <v>142990740208</v>
      </c>
      <c r="H42" s="1806">
        <v>-6111924429</v>
      </c>
      <c r="I42" s="1625">
        <v>-1278680559308</v>
      </c>
      <c r="J42" s="1745">
        <v>866335815022</v>
      </c>
      <c r="K42" s="1625">
        <v>-77129897356</v>
      </c>
      <c r="L42" s="1625"/>
      <c r="M42" s="1760"/>
      <c r="N42" s="1625"/>
      <c r="O42" s="1625"/>
      <c r="P42" s="990"/>
      <c r="Q42" s="547"/>
      <c r="R42" s="547"/>
      <c r="S42" s="1745"/>
      <c r="T42" s="547"/>
      <c r="U42" s="989">
        <f t="shared" si="0"/>
        <v>-123487317224</v>
      </c>
      <c r="V42" s="547">
        <v>-64436133781</v>
      </c>
      <c r="W42" s="1264">
        <f t="shared" si="5"/>
        <v>-123487</v>
      </c>
      <c r="X42" s="547">
        <f t="shared" si="6"/>
        <v>-64436</v>
      </c>
      <c r="Y42" s="566"/>
      <c r="Z42" s="567"/>
      <c r="AA42" s="989">
        <f t="shared" si="7"/>
        <v>-123487317224</v>
      </c>
      <c r="AB42" s="812">
        <f t="shared" si="8"/>
        <v>-123487</v>
      </c>
    </row>
    <row r="43" spans="1:28" ht="22.5" hidden="1" customHeight="1">
      <c r="A43" s="531"/>
      <c r="B43" s="531">
        <v>1013</v>
      </c>
      <c r="C43" s="529">
        <v>11</v>
      </c>
      <c r="D43" s="530" t="s">
        <v>686</v>
      </c>
      <c r="E43" s="1028" t="s">
        <v>689</v>
      </c>
      <c r="F43" s="1580">
        <v>-112424986116</v>
      </c>
      <c r="G43" s="1583"/>
      <c r="H43" s="1576"/>
      <c r="I43" s="1625"/>
      <c r="J43" s="1760"/>
      <c r="K43" s="1625">
        <v>2812860012</v>
      </c>
      <c r="L43" s="547"/>
      <c r="M43" s="1745"/>
      <c r="N43" s="1625"/>
      <c r="O43" s="1625"/>
      <c r="P43" s="990"/>
      <c r="Q43" s="547"/>
      <c r="R43" s="547"/>
      <c r="S43" s="1745"/>
      <c r="T43" s="547"/>
      <c r="U43" s="989">
        <f t="shared" si="0"/>
        <v>-109612126104</v>
      </c>
      <c r="V43" s="547">
        <v>-112424986116</v>
      </c>
      <c r="W43" s="1264">
        <f t="shared" si="5"/>
        <v>-109612</v>
      </c>
      <c r="X43" s="547">
        <f t="shared" si="6"/>
        <v>-112425</v>
      </c>
      <c r="Y43" s="566"/>
      <c r="Z43" s="567"/>
      <c r="AA43" s="989">
        <f t="shared" si="7"/>
        <v>-109612126104</v>
      </c>
      <c r="AB43" s="812">
        <f t="shared" si="8"/>
        <v>-109612</v>
      </c>
    </row>
    <row r="44" spans="1:28" ht="22.5" hidden="1" customHeight="1">
      <c r="A44" s="531">
        <v>7</v>
      </c>
      <c r="B44" s="531">
        <v>1022</v>
      </c>
      <c r="C44" s="529">
        <v>11</v>
      </c>
      <c r="D44" s="530" t="s">
        <v>1322</v>
      </c>
      <c r="E44" s="1028" t="s">
        <v>777</v>
      </c>
      <c r="F44" s="1579">
        <v>25886337293128</v>
      </c>
      <c r="G44" s="1578">
        <v>13537142875883</v>
      </c>
      <c r="H44" s="1745">
        <v>-266811863835</v>
      </c>
      <c r="I44" s="547">
        <v>861911357989</v>
      </c>
      <c r="J44" s="1745">
        <v>-1660034188180</v>
      </c>
      <c r="K44" s="1625">
        <v>-36724454247590</v>
      </c>
      <c r="L44" s="547">
        <v>-242345326749</v>
      </c>
      <c r="M44" s="1745"/>
      <c r="N44" s="1625"/>
      <c r="O44" s="990"/>
      <c r="P44" s="990"/>
      <c r="Q44" s="547"/>
      <c r="R44" s="547"/>
      <c r="S44" s="1745"/>
      <c r="T44" s="547"/>
      <c r="U44" s="989">
        <f t="shared" si="0"/>
        <v>1391745900646</v>
      </c>
      <c r="V44" s="547">
        <v>211545595870</v>
      </c>
      <c r="W44" s="1264">
        <f t="shared" si="5"/>
        <v>1391746</v>
      </c>
      <c r="X44" s="547">
        <f t="shared" si="6"/>
        <v>211546</v>
      </c>
      <c r="Y44" s="566"/>
      <c r="Z44" s="567"/>
      <c r="AA44" s="989">
        <f t="shared" si="7"/>
        <v>1391745900646</v>
      </c>
      <c r="AB44" s="812">
        <f t="shared" si="8"/>
        <v>1391746</v>
      </c>
    </row>
    <row r="45" spans="1:28" ht="22.5" hidden="1" customHeight="1">
      <c r="A45" s="1742"/>
      <c r="B45" s="1742">
        <v>1013</v>
      </c>
      <c r="C45" s="1743">
        <v>11</v>
      </c>
      <c r="D45" s="1753" t="s">
        <v>2224</v>
      </c>
      <c r="E45" s="1754" t="s">
        <v>2225</v>
      </c>
      <c r="F45" s="1756">
        <v>-236247456007</v>
      </c>
      <c r="G45" s="1757">
        <v>-9231002833</v>
      </c>
      <c r="H45" s="1745">
        <v>-106704000</v>
      </c>
      <c r="I45" s="1745">
        <v>-24213771278</v>
      </c>
      <c r="J45" s="1745">
        <v>702539789</v>
      </c>
      <c r="K45" s="1760"/>
      <c r="L45" s="1745"/>
      <c r="M45" s="1745"/>
      <c r="N45" s="1760"/>
      <c r="O45" s="1746"/>
      <c r="P45" s="1746"/>
      <c r="Q45" s="1745"/>
      <c r="R45" s="1745"/>
      <c r="S45" s="1745"/>
      <c r="T45" s="1745"/>
      <c r="U45" s="989">
        <f t="shared" si="0"/>
        <v>-269096394329</v>
      </c>
      <c r="V45" s="1745">
        <v>-115855149370</v>
      </c>
      <c r="W45" s="1264">
        <f t="shared" si="5"/>
        <v>-269096</v>
      </c>
      <c r="X45" s="547">
        <f t="shared" si="6"/>
        <v>-115855</v>
      </c>
      <c r="Y45" s="1747"/>
      <c r="Z45" s="1748"/>
      <c r="AA45" s="989">
        <f t="shared" si="7"/>
        <v>-269096394329</v>
      </c>
      <c r="AB45" s="812">
        <f t="shared" si="8"/>
        <v>-269096</v>
      </c>
    </row>
    <row r="46" spans="1:28" ht="22.5" hidden="1" customHeight="1">
      <c r="A46" s="531"/>
      <c r="B46" s="531">
        <v>1013</v>
      </c>
      <c r="C46" s="529">
        <v>11</v>
      </c>
      <c r="D46" s="530" t="s">
        <v>687</v>
      </c>
      <c r="E46" s="1028" t="s">
        <v>691</v>
      </c>
      <c r="F46" s="1579">
        <v>705661527451</v>
      </c>
      <c r="G46" s="1583"/>
      <c r="H46" s="1807"/>
      <c r="I46" s="547"/>
      <c r="J46" s="1746"/>
      <c r="K46" s="547"/>
      <c r="L46" s="547"/>
      <c r="M46" s="1745"/>
      <c r="N46" s="547"/>
      <c r="O46" s="990"/>
      <c r="P46" s="990"/>
      <c r="Q46" s="547"/>
      <c r="R46" s="547"/>
      <c r="S46" s="1745"/>
      <c r="T46" s="547"/>
      <c r="U46" s="989">
        <f t="shared" si="0"/>
        <v>705661527451</v>
      </c>
      <c r="V46" s="547">
        <v>705661527451</v>
      </c>
      <c r="W46" s="1264">
        <f t="shared" si="5"/>
        <v>705662</v>
      </c>
      <c r="X46" s="547">
        <f t="shared" si="6"/>
        <v>705662</v>
      </c>
      <c r="Y46" s="566"/>
      <c r="Z46" s="567"/>
      <c r="AA46" s="989">
        <f t="shared" si="7"/>
        <v>705661527451</v>
      </c>
      <c r="AB46" s="812">
        <f t="shared" si="8"/>
        <v>705662</v>
      </c>
    </row>
    <row r="47" spans="1:28" ht="22.5" hidden="1" customHeight="1">
      <c r="A47" s="531"/>
      <c r="B47" s="531">
        <v>1022</v>
      </c>
      <c r="C47" s="529">
        <v>11</v>
      </c>
      <c r="D47" s="530" t="s">
        <v>121</v>
      </c>
      <c r="E47" s="1028" t="s">
        <v>1149</v>
      </c>
      <c r="F47" s="1944"/>
      <c r="G47" s="1576"/>
      <c r="H47" s="1583"/>
      <c r="I47" s="547"/>
      <c r="J47" s="1746"/>
      <c r="K47" s="547"/>
      <c r="L47" s="547"/>
      <c r="M47" s="1745"/>
      <c r="N47" s="547"/>
      <c r="O47" s="990"/>
      <c r="P47" s="990"/>
      <c r="Q47" s="547"/>
      <c r="R47" s="547"/>
      <c r="S47" s="1745"/>
      <c r="T47" s="547"/>
      <c r="U47" s="989">
        <f t="shared" si="0"/>
        <v>0</v>
      </c>
      <c r="V47" s="547">
        <v>0</v>
      </c>
      <c r="W47" s="1264">
        <f t="shared" si="5"/>
        <v>0</v>
      </c>
      <c r="X47" s="547">
        <f t="shared" si="6"/>
        <v>0</v>
      </c>
      <c r="Y47" s="566"/>
      <c r="Z47" s="567"/>
      <c r="AA47" s="989">
        <f t="shared" si="7"/>
        <v>0</v>
      </c>
      <c r="AB47" s="812">
        <f t="shared" si="8"/>
        <v>0</v>
      </c>
    </row>
    <row r="48" spans="1:28" ht="22.5" hidden="1" customHeight="1">
      <c r="A48" s="531"/>
      <c r="B48" s="531">
        <v>1013</v>
      </c>
      <c r="C48" s="529">
        <v>11</v>
      </c>
      <c r="D48" s="530" t="s">
        <v>690</v>
      </c>
      <c r="E48" s="1028" t="s">
        <v>692</v>
      </c>
      <c r="F48" s="1579">
        <v>361980280554</v>
      </c>
      <c r="G48" s="1583"/>
      <c r="H48" s="2036"/>
      <c r="I48" s="547"/>
      <c r="J48" s="1746"/>
      <c r="K48" s="547"/>
      <c r="L48" s="547"/>
      <c r="M48" s="1745"/>
      <c r="N48" s="547"/>
      <c r="O48" s="990"/>
      <c r="P48" s="990"/>
      <c r="Q48" s="547"/>
      <c r="R48" s="547"/>
      <c r="S48" s="1745"/>
      <c r="T48" s="547"/>
      <c r="U48" s="989">
        <f t="shared" si="0"/>
        <v>361980280554</v>
      </c>
      <c r="V48" s="547">
        <v>361980280554</v>
      </c>
      <c r="W48" s="1264">
        <f t="shared" si="5"/>
        <v>361980</v>
      </c>
      <c r="X48" s="547">
        <f t="shared" si="6"/>
        <v>361980</v>
      </c>
      <c r="Y48" s="566"/>
      <c r="Z48" s="567"/>
      <c r="AA48" s="989">
        <f t="shared" si="7"/>
        <v>361980280554</v>
      </c>
      <c r="AB48" s="812">
        <f t="shared" si="8"/>
        <v>361980</v>
      </c>
    </row>
    <row r="49" spans="1:28" ht="22.5" hidden="1" customHeight="1">
      <c r="A49" s="531">
        <v>7</v>
      </c>
      <c r="B49" s="531">
        <v>1006</v>
      </c>
      <c r="C49" s="529">
        <v>11</v>
      </c>
      <c r="D49" s="530" t="s">
        <v>1372</v>
      </c>
      <c r="E49" s="1028" t="s">
        <v>1371</v>
      </c>
      <c r="F49" s="1579">
        <v>9723074922750</v>
      </c>
      <c r="G49" s="1578">
        <v>6998603030650</v>
      </c>
      <c r="H49" s="547"/>
      <c r="I49" s="547"/>
      <c r="J49" s="1745">
        <v>-599221497052</v>
      </c>
      <c r="K49" s="1625">
        <v>-10139783704882</v>
      </c>
      <c r="L49" s="547"/>
      <c r="M49" s="1745"/>
      <c r="N49" s="1625"/>
      <c r="O49" s="990"/>
      <c r="P49" s="990"/>
      <c r="Q49" s="547"/>
      <c r="R49" s="547"/>
      <c r="S49" s="1745"/>
      <c r="T49" s="547"/>
      <c r="U49" s="989">
        <f t="shared" si="0"/>
        <v>5982672751466</v>
      </c>
      <c r="V49" s="547">
        <v>0</v>
      </c>
      <c r="W49" s="1264">
        <f t="shared" si="5"/>
        <v>5982673</v>
      </c>
      <c r="X49" s="547">
        <f t="shared" si="6"/>
        <v>0</v>
      </c>
      <c r="Y49" s="566"/>
      <c r="Z49" s="567"/>
      <c r="AA49" s="989">
        <f t="shared" si="7"/>
        <v>5982672751466</v>
      </c>
      <c r="AB49" s="812">
        <f t="shared" si="8"/>
        <v>5982673</v>
      </c>
    </row>
    <row r="50" spans="1:28" ht="22.5" hidden="1" customHeight="1">
      <c r="A50" s="531">
        <v>7</v>
      </c>
      <c r="B50" s="531">
        <v>1005</v>
      </c>
      <c r="C50" s="529">
        <v>11</v>
      </c>
      <c r="D50" s="530" t="s">
        <v>1369</v>
      </c>
      <c r="E50" s="1028" t="s">
        <v>1370</v>
      </c>
      <c r="F50" s="1579">
        <v>1460322372782</v>
      </c>
      <c r="G50" s="1578">
        <v>1050662894742</v>
      </c>
      <c r="H50" s="547"/>
      <c r="I50" s="547"/>
      <c r="J50" s="1745"/>
      <c r="K50" s="1625">
        <v>-2010985267524</v>
      </c>
      <c r="L50" s="547"/>
      <c r="M50" s="1745"/>
      <c r="N50" s="1625"/>
      <c r="O50" s="990"/>
      <c r="P50" s="990"/>
      <c r="Q50" s="547"/>
      <c r="R50" s="547"/>
      <c r="S50" s="1745"/>
      <c r="T50" s="547"/>
      <c r="U50" s="989">
        <f t="shared" si="0"/>
        <v>500000000000</v>
      </c>
      <c r="V50" s="547">
        <v>0</v>
      </c>
      <c r="W50" s="1264">
        <f t="shared" si="5"/>
        <v>500000</v>
      </c>
      <c r="X50" s="547">
        <f t="shared" si="6"/>
        <v>0</v>
      </c>
      <c r="Y50" s="566"/>
      <c r="Z50" s="567"/>
      <c r="AA50" s="989">
        <f t="shared" si="7"/>
        <v>500000000000</v>
      </c>
      <c r="AB50" s="812">
        <f t="shared" si="8"/>
        <v>500000</v>
      </c>
    </row>
    <row r="51" spans="1:28" ht="22.5" hidden="1" customHeight="1">
      <c r="A51" s="531">
        <v>1</v>
      </c>
      <c r="B51" s="531">
        <v>1021</v>
      </c>
      <c r="C51" s="529">
        <v>17</v>
      </c>
      <c r="D51" s="530" t="s">
        <v>343</v>
      </c>
      <c r="E51" s="1028" t="s">
        <v>344</v>
      </c>
      <c r="F51" s="1580">
        <v>-1767962510117</v>
      </c>
      <c r="G51" s="1576">
        <v>1173691151</v>
      </c>
      <c r="H51" s="1806"/>
      <c r="I51" s="1625"/>
      <c r="J51" s="1745"/>
      <c r="K51" s="1625"/>
      <c r="L51" s="547"/>
      <c r="M51" s="1745"/>
      <c r="N51" s="547"/>
      <c r="O51" s="990"/>
      <c r="P51" s="990">
        <v>-266074621925</v>
      </c>
      <c r="Q51" s="547"/>
      <c r="R51" s="547"/>
      <c r="S51" s="1745"/>
      <c r="T51" s="547"/>
      <c r="U51" s="989">
        <f t="shared" si="0"/>
        <v>-2032863440891</v>
      </c>
      <c r="V51" s="547">
        <v>-1338541995464</v>
      </c>
      <c r="W51" s="1264">
        <f t="shared" si="5"/>
        <v>-2032863</v>
      </c>
      <c r="X51" s="547">
        <f t="shared" si="6"/>
        <v>-1338542</v>
      </c>
      <c r="Y51" s="566"/>
      <c r="Z51" s="567"/>
      <c r="AA51" s="989">
        <f t="shared" si="7"/>
        <v>-2032863440891</v>
      </c>
      <c r="AB51" s="812">
        <f t="shared" si="8"/>
        <v>-2032863</v>
      </c>
    </row>
    <row r="52" spans="1:28" ht="22.5" hidden="1" customHeight="1">
      <c r="A52" s="531"/>
      <c r="B52" s="531">
        <v>1020</v>
      </c>
      <c r="C52" s="529">
        <v>17</v>
      </c>
      <c r="D52" s="1575" t="s">
        <v>1384</v>
      </c>
      <c r="E52" s="1028" t="s">
        <v>820</v>
      </c>
      <c r="F52" s="547">
        <v>-413491478712</v>
      </c>
      <c r="G52" s="1576"/>
      <c r="H52" s="547"/>
      <c r="I52" s="547">
        <v>-57370629036</v>
      </c>
      <c r="J52" s="1746"/>
      <c r="K52" s="547"/>
      <c r="L52" s="547"/>
      <c r="M52" s="1745"/>
      <c r="N52" s="547"/>
      <c r="O52" s="990"/>
      <c r="P52" s="990"/>
      <c r="Q52" s="547"/>
      <c r="R52" s="547"/>
      <c r="S52" s="1745"/>
      <c r="T52" s="547"/>
      <c r="U52" s="989">
        <f t="shared" si="0"/>
        <v>-470862107748</v>
      </c>
      <c r="V52" s="547">
        <v>-413491478712</v>
      </c>
      <c r="W52" s="1264">
        <f t="shared" si="5"/>
        <v>-470862</v>
      </c>
      <c r="X52" s="547">
        <f t="shared" si="6"/>
        <v>-413491</v>
      </c>
      <c r="Y52" s="566"/>
      <c r="Z52" s="567"/>
      <c r="AA52" s="989">
        <f t="shared" si="7"/>
        <v>-470862107748</v>
      </c>
      <c r="AB52" s="812">
        <f t="shared" si="8"/>
        <v>-470862</v>
      </c>
    </row>
    <row r="53" spans="1:28" ht="22.5" hidden="1" customHeight="1">
      <c r="A53" s="531">
        <v>7</v>
      </c>
      <c r="B53" s="531">
        <v>431</v>
      </c>
      <c r="C53" s="529">
        <v>11</v>
      </c>
      <c r="D53" s="530" t="s">
        <v>1325</v>
      </c>
      <c r="E53" s="1028" t="s">
        <v>209</v>
      </c>
      <c r="F53" s="1579">
        <v>6651046936563</v>
      </c>
      <c r="G53" s="1578">
        <v>4705992027904</v>
      </c>
      <c r="H53" s="547"/>
      <c r="I53" s="547"/>
      <c r="J53" s="1745">
        <v>-16326950892</v>
      </c>
      <c r="K53" s="1625">
        <v>-9340712013575</v>
      </c>
      <c r="L53" s="547"/>
      <c r="M53" s="1745"/>
      <c r="N53" s="1625"/>
      <c r="O53" s="990"/>
      <c r="P53" s="990"/>
      <c r="Q53" s="547"/>
      <c r="R53" s="547"/>
      <c r="S53" s="1745"/>
      <c r="T53" s="547"/>
      <c r="U53" s="989">
        <f t="shared" si="0"/>
        <v>2000000000000</v>
      </c>
      <c r="V53" s="547">
        <v>0</v>
      </c>
      <c r="W53" s="1264">
        <f t="shared" si="5"/>
        <v>2000000</v>
      </c>
      <c r="X53" s="547">
        <f t="shared" si="6"/>
        <v>0</v>
      </c>
      <c r="Y53" s="566"/>
      <c r="Z53" s="567"/>
      <c r="AA53" s="989">
        <f t="shared" si="7"/>
        <v>2000000000000</v>
      </c>
      <c r="AB53" s="812">
        <f t="shared" si="8"/>
        <v>2000000</v>
      </c>
    </row>
    <row r="54" spans="1:28" ht="22.5" hidden="1" customHeight="1">
      <c r="A54" s="1742"/>
      <c r="B54" s="1742">
        <v>421</v>
      </c>
      <c r="C54" s="1743">
        <v>11</v>
      </c>
      <c r="D54" s="1777" t="s">
        <v>610</v>
      </c>
      <c r="E54" s="1754" t="s">
        <v>611</v>
      </c>
      <c r="F54" s="1745">
        <v>5222877871</v>
      </c>
      <c r="G54" s="1755"/>
      <c r="H54" s="1758"/>
      <c r="I54" s="1745"/>
      <c r="J54" s="1746"/>
      <c r="K54" s="1745">
        <v>-1305719468</v>
      </c>
      <c r="L54" s="1745"/>
      <c r="M54" s="1745"/>
      <c r="N54" s="1745"/>
      <c r="O54" s="1746"/>
      <c r="P54" s="1746"/>
      <c r="Q54" s="1745"/>
      <c r="R54" s="1745"/>
      <c r="S54" s="1745"/>
      <c r="T54" s="1745"/>
      <c r="U54" s="989">
        <f t="shared" si="0"/>
        <v>3917158403</v>
      </c>
      <c r="V54" s="1745">
        <v>5222877871</v>
      </c>
      <c r="W54" s="1264">
        <f t="shared" si="5"/>
        <v>3917</v>
      </c>
      <c r="X54" s="547">
        <f t="shared" si="6"/>
        <v>5223</v>
      </c>
      <c r="Y54" s="1747"/>
      <c r="Z54" s="1748"/>
      <c r="AA54" s="1749">
        <f t="shared" si="7"/>
        <v>3917158403</v>
      </c>
      <c r="AB54" s="1750">
        <f t="shared" si="8"/>
        <v>3917</v>
      </c>
    </row>
    <row r="55" spans="1:28" ht="22.5" hidden="1" customHeight="1">
      <c r="A55" s="531"/>
      <c r="B55" s="531">
        <v>420</v>
      </c>
      <c r="C55" s="529">
        <v>11</v>
      </c>
      <c r="D55" s="1575" t="s">
        <v>483</v>
      </c>
      <c r="E55" s="1028" t="s">
        <v>1056</v>
      </c>
      <c r="F55" s="1579">
        <v>15066805581</v>
      </c>
      <c r="G55" s="1578"/>
      <c r="H55" s="1806"/>
      <c r="I55" s="547">
        <v>-191666644</v>
      </c>
      <c r="J55" s="1745"/>
      <c r="K55" s="547"/>
      <c r="L55" s="547"/>
      <c r="M55" s="1745"/>
      <c r="N55" s="547"/>
      <c r="O55" s="990"/>
      <c r="P55" s="990"/>
      <c r="Q55" s="547"/>
      <c r="R55" s="547"/>
      <c r="S55" s="1745"/>
      <c r="T55" s="547"/>
      <c r="U55" s="1671">
        <f t="shared" si="0"/>
        <v>14875138937</v>
      </c>
      <c r="V55" s="547">
        <v>17077638959</v>
      </c>
      <c r="W55" s="1264">
        <f t="shared" si="5"/>
        <v>14875</v>
      </c>
      <c r="X55" s="547">
        <f t="shared" si="6"/>
        <v>17078</v>
      </c>
      <c r="Y55" s="566"/>
      <c r="Z55" s="567"/>
      <c r="AA55" s="989">
        <f t="shared" si="7"/>
        <v>14875138937</v>
      </c>
      <c r="AB55" s="812">
        <f t="shared" si="8"/>
        <v>14875</v>
      </c>
    </row>
    <row r="56" spans="1:28" ht="27" hidden="1" customHeight="1">
      <c r="A56" s="531"/>
      <c r="B56" s="531">
        <v>1008</v>
      </c>
      <c r="C56" s="529">
        <v>17</v>
      </c>
      <c r="D56" s="530" t="s">
        <v>443</v>
      </c>
      <c r="E56" s="1028" t="s">
        <v>1555</v>
      </c>
      <c r="F56" s="1580">
        <v>-593045348046</v>
      </c>
      <c r="G56" s="1576"/>
      <c r="H56" s="1775"/>
      <c r="I56" s="547"/>
      <c r="J56" s="1745"/>
      <c r="K56" s="547"/>
      <c r="L56" s="547"/>
      <c r="M56" s="1745"/>
      <c r="N56" s="547"/>
      <c r="O56" s="990"/>
      <c r="P56" s="990">
        <v>-1107289285691</v>
      </c>
      <c r="Q56" s="547"/>
      <c r="R56" s="547"/>
      <c r="S56" s="1745"/>
      <c r="T56" s="547"/>
      <c r="U56" s="989">
        <f t="shared" si="0"/>
        <v>-1700334633737</v>
      </c>
      <c r="V56" s="547">
        <v>-435572974428</v>
      </c>
      <c r="W56" s="1264">
        <f t="shared" si="5"/>
        <v>-1700335</v>
      </c>
      <c r="X56" s="547">
        <f t="shared" si="6"/>
        <v>-435573</v>
      </c>
      <c r="Y56" s="566"/>
      <c r="Z56" s="567"/>
      <c r="AA56" s="989">
        <f t="shared" si="7"/>
        <v>-1700334633737</v>
      </c>
      <c r="AB56" s="812">
        <f t="shared" si="8"/>
        <v>-1700335</v>
      </c>
    </row>
    <row r="57" spans="1:28" ht="27" hidden="1" customHeight="1">
      <c r="A57" s="531"/>
      <c r="B57" s="531">
        <v>418</v>
      </c>
      <c r="C57" s="529">
        <v>11</v>
      </c>
      <c r="D57" s="530" t="s">
        <v>660</v>
      </c>
      <c r="E57" s="1028" t="s">
        <v>661</v>
      </c>
      <c r="F57" s="1579">
        <v>3118561933</v>
      </c>
      <c r="G57" s="1576">
        <v>16677000</v>
      </c>
      <c r="H57" s="547"/>
      <c r="I57" s="547"/>
      <c r="J57" s="1745"/>
      <c r="K57" s="547"/>
      <c r="L57" s="547"/>
      <c r="M57" s="1745"/>
      <c r="N57" s="547"/>
      <c r="O57" s="990"/>
      <c r="P57" s="990"/>
      <c r="Q57" s="547"/>
      <c r="R57" s="547"/>
      <c r="S57" s="1745"/>
      <c r="T57" s="547"/>
      <c r="U57" s="989">
        <f t="shared" si="0"/>
        <v>3135238933</v>
      </c>
      <c r="V57" s="547">
        <v>78993742483</v>
      </c>
      <c r="W57" s="1264">
        <f t="shared" si="5"/>
        <v>3135</v>
      </c>
      <c r="X57" s="547">
        <f t="shared" si="6"/>
        <v>78994</v>
      </c>
      <c r="Y57" s="566"/>
      <c r="Z57" s="567"/>
      <c r="AA57" s="989">
        <f t="shared" si="7"/>
        <v>3135238933</v>
      </c>
      <c r="AB57" s="812">
        <f t="shared" si="8"/>
        <v>3135</v>
      </c>
    </row>
    <row r="58" spans="1:28" ht="27" hidden="1" customHeight="1">
      <c r="A58" s="531"/>
      <c r="B58" s="531">
        <v>417</v>
      </c>
      <c r="C58" s="529">
        <v>11</v>
      </c>
      <c r="D58" s="530" t="s">
        <v>266</v>
      </c>
      <c r="E58" s="1028" t="s">
        <v>267</v>
      </c>
      <c r="F58" s="1579">
        <v>557643568</v>
      </c>
      <c r="G58" s="1578">
        <v>336192362</v>
      </c>
      <c r="H58" s="547"/>
      <c r="I58" s="547"/>
      <c r="J58" s="1745"/>
      <c r="K58" s="547"/>
      <c r="L58" s="547"/>
      <c r="M58" s="1745"/>
      <c r="N58" s="1625"/>
      <c r="O58" s="1625"/>
      <c r="P58" s="990"/>
      <c r="Q58" s="547"/>
      <c r="R58" s="547"/>
      <c r="S58" s="1745"/>
      <c r="T58" s="547"/>
      <c r="U58" s="989">
        <f t="shared" si="0"/>
        <v>893835930</v>
      </c>
      <c r="V58" s="547">
        <v>1164138936</v>
      </c>
      <c r="W58" s="1264">
        <f t="shared" si="5"/>
        <v>894</v>
      </c>
      <c r="X58" s="547">
        <f t="shared" si="6"/>
        <v>1164</v>
      </c>
      <c r="Y58" s="566"/>
      <c r="Z58" s="567"/>
      <c r="AA58" s="989">
        <f t="shared" si="7"/>
        <v>893835930</v>
      </c>
      <c r="AB58" s="812">
        <f t="shared" si="8"/>
        <v>894</v>
      </c>
    </row>
    <row r="59" spans="1:28" ht="27" hidden="1" customHeight="1">
      <c r="A59" s="531"/>
      <c r="B59" s="531">
        <v>1008</v>
      </c>
      <c r="C59" s="529">
        <v>17</v>
      </c>
      <c r="D59" s="530" t="s">
        <v>79</v>
      </c>
      <c r="E59" s="1028" t="s">
        <v>1554</v>
      </c>
      <c r="F59" s="1579">
        <v>-289234390240</v>
      </c>
      <c r="G59" s="1578">
        <v>38742438240</v>
      </c>
      <c r="H59" s="547"/>
      <c r="I59" s="1625"/>
      <c r="J59" s="1745"/>
      <c r="K59" s="1625"/>
      <c r="L59" s="547"/>
      <c r="M59" s="1745"/>
      <c r="N59" s="547"/>
      <c r="O59" s="990"/>
      <c r="P59" s="990"/>
      <c r="Q59" s="547"/>
      <c r="R59" s="547"/>
      <c r="S59" s="1745"/>
      <c r="T59" s="547"/>
      <c r="U59" s="989">
        <f t="shared" si="0"/>
        <v>-250491952000</v>
      </c>
      <c r="V59" s="547">
        <v>-232123800000</v>
      </c>
      <c r="W59" s="1264">
        <f t="shared" si="5"/>
        <v>-250492</v>
      </c>
      <c r="X59" s="547">
        <f t="shared" si="6"/>
        <v>-232124</v>
      </c>
      <c r="Y59" s="566"/>
      <c r="Z59" s="567"/>
      <c r="AA59" s="989">
        <f t="shared" si="7"/>
        <v>-250491952000</v>
      </c>
      <c r="AB59" s="812">
        <f t="shared" si="8"/>
        <v>-250492</v>
      </c>
    </row>
    <row r="60" spans="1:28" ht="27" hidden="1" customHeight="1">
      <c r="A60" s="531"/>
      <c r="B60" s="531">
        <v>416</v>
      </c>
      <c r="C60" s="529">
        <v>11</v>
      </c>
      <c r="D60" s="530" t="s">
        <v>581</v>
      </c>
      <c r="E60" s="1028" t="s">
        <v>755</v>
      </c>
      <c r="F60" s="1579">
        <v>90147497495</v>
      </c>
      <c r="G60" s="1578">
        <v>53980663238</v>
      </c>
      <c r="H60" s="547"/>
      <c r="I60" s="1625"/>
      <c r="J60" s="1745">
        <v>-2009604327</v>
      </c>
      <c r="K60" s="1625"/>
      <c r="L60" s="547"/>
      <c r="M60" s="1745"/>
      <c r="N60" s="547"/>
      <c r="O60" s="990"/>
      <c r="P60" s="990"/>
      <c r="Q60" s="547"/>
      <c r="R60" s="547"/>
      <c r="S60" s="1745"/>
      <c r="T60" s="547"/>
      <c r="U60" s="989">
        <f t="shared" si="0"/>
        <v>142118556406</v>
      </c>
      <c r="V60" s="547">
        <v>192686240933</v>
      </c>
      <c r="W60" s="1264">
        <f t="shared" si="5"/>
        <v>142119</v>
      </c>
      <c r="X60" s="547">
        <f t="shared" si="6"/>
        <v>192686</v>
      </c>
      <c r="Y60" s="566"/>
      <c r="Z60" s="567"/>
      <c r="AA60" s="989">
        <f t="shared" si="7"/>
        <v>142118556406</v>
      </c>
      <c r="AB60" s="812">
        <f t="shared" si="8"/>
        <v>142119</v>
      </c>
    </row>
    <row r="61" spans="1:28" ht="27" hidden="1" customHeight="1">
      <c r="A61" s="531">
        <v>7</v>
      </c>
      <c r="B61" s="531">
        <v>415</v>
      </c>
      <c r="C61" s="529">
        <v>11</v>
      </c>
      <c r="D61" s="530" t="s">
        <v>1323</v>
      </c>
      <c r="E61" s="1028" t="s">
        <v>558</v>
      </c>
      <c r="F61" s="1579">
        <v>2490133417862</v>
      </c>
      <c r="G61" s="1578">
        <v>1810029346639</v>
      </c>
      <c r="H61" s="547"/>
      <c r="I61" s="547"/>
      <c r="J61" s="1745">
        <v>-66480459567</v>
      </c>
      <c r="K61" s="1625">
        <v>-2733682304934</v>
      </c>
      <c r="L61" s="547"/>
      <c r="M61" s="1745"/>
      <c r="N61" s="1625"/>
      <c r="O61" s="990"/>
      <c r="P61" s="990"/>
      <c r="Q61" s="547"/>
      <c r="R61" s="547"/>
      <c r="S61" s="1745"/>
      <c r="T61" s="547"/>
      <c r="U61" s="989">
        <f t="shared" si="0"/>
        <v>1500000000000</v>
      </c>
      <c r="V61" s="547">
        <v>0</v>
      </c>
      <c r="W61" s="1264">
        <f t="shared" si="5"/>
        <v>1500000</v>
      </c>
      <c r="X61" s="547">
        <f t="shared" si="6"/>
        <v>0</v>
      </c>
      <c r="Y61" s="566"/>
      <c r="Z61" s="567"/>
      <c r="AA61" s="989">
        <f t="shared" si="7"/>
        <v>1500000000000</v>
      </c>
      <c r="AB61" s="812">
        <f t="shared" si="8"/>
        <v>1500000</v>
      </c>
    </row>
    <row r="62" spans="1:28" ht="27" hidden="1" customHeight="1">
      <c r="A62" s="531">
        <v>7</v>
      </c>
      <c r="B62" s="531">
        <v>414</v>
      </c>
      <c r="C62" s="529">
        <v>11</v>
      </c>
      <c r="D62" s="530" t="s">
        <v>1367</v>
      </c>
      <c r="E62" s="1028" t="s">
        <v>1368</v>
      </c>
      <c r="F62" s="1579">
        <v>5602282605951</v>
      </c>
      <c r="G62" s="1578">
        <v>4019441699010</v>
      </c>
      <c r="H62" s="547"/>
      <c r="I62" s="547"/>
      <c r="J62" s="1745">
        <v>-94848830869</v>
      </c>
      <c r="K62" s="1625">
        <v>-4526875474092</v>
      </c>
      <c r="L62" s="547"/>
      <c r="M62" s="1745"/>
      <c r="N62" s="1625"/>
      <c r="O62" s="990"/>
      <c r="P62" s="990"/>
      <c r="Q62" s="547"/>
      <c r="R62" s="547"/>
      <c r="S62" s="1745"/>
      <c r="T62" s="547"/>
      <c r="U62" s="989">
        <f t="shared" si="0"/>
        <v>5000000000000</v>
      </c>
      <c r="V62" s="547">
        <v>0</v>
      </c>
      <c r="W62" s="1264">
        <f t="shared" si="5"/>
        <v>5000000</v>
      </c>
      <c r="X62" s="547">
        <f t="shared" si="6"/>
        <v>0</v>
      </c>
      <c r="Y62" s="566"/>
      <c r="Z62" s="567"/>
      <c r="AA62" s="989">
        <f t="shared" si="7"/>
        <v>5000000000000</v>
      </c>
      <c r="AB62" s="812">
        <f t="shared" si="8"/>
        <v>5000000</v>
      </c>
    </row>
    <row r="63" spans="1:28" ht="27" hidden="1" customHeight="1">
      <c r="A63" s="531"/>
      <c r="B63" s="531">
        <v>411</v>
      </c>
      <c r="C63" s="529">
        <v>11</v>
      </c>
      <c r="D63" s="1575" t="s">
        <v>409</v>
      </c>
      <c r="E63" s="1028" t="s">
        <v>410</v>
      </c>
      <c r="F63" s="1579">
        <v>47503862360</v>
      </c>
      <c r="G63" s="1583">
        <v>-82500000</v>
      </c>
      <c r="H63" s="547"/>
      <c r="I63" s="1625"/>
      <c r="J63" s="1746"/>
      <c r="K63" s="547"/>
      <c r="L63" s="547"/>
      <c r="M63" s="1745"/>
      <c r="N63" s="547"/>
      <c r="O63" s="990"/>
      <c r="P63" s="990"/>
      <c r="Q63" s="547"/>
      <c r="R63" s="547"/>
      <c r="S63" s="1745"/>
      <c r="T63" s="547"/>
      <c r="U63" s="989">
        <f t="shared" si="0"/>
        <v>47421362360</v>
      </c>
      <c r="V63" s="547">
        <v>42134454974</v>
      </c>
      <c r="W63" s="1264">
        <f>ROUND((U63/1000000),0)</f>
        <v>47421</v>
      </c>
      <c r="X63" s="547">
        <f t="shared" si="6"/>
        <v>42134</v>
      </c>
      <c r="Y63" s="566"/>
      <c r="Z63" s="567"/>
      <c r="AA63" s="989">
        <f t="shared" si="7"/>
        <v>47421362360</v>
      </c>
      <c r="AB63" s="812">
        <f t="shared" si="8"/>
        <v>47421</v>
      </c>
    </row>
    <row r="64" spans="1:28" ht="27" hidden="1" customHeight="1">
      <c r="A64" s="531">
        <v>3214</v>
      </c>
      <c r="B64" s="531">
        <v>408</v>
      </c>
      <c r="C64" s="529">
        <v>11</v>
      </c>
      <c r="D64" s="1575" t="s">
        <v>2426</v>
      </c>
      <c r="E64" s="1028" t="s">
        <v>1435</v>
      </c>
      <c r="F64" s="1576"/>
      <c r="G64" s="1576"/>
      <c r="H64" s="547"/>
      <c r="I64" s="547"/>
      <c r="J64" s="1745"/>
      <c r="K64" s="547"/>
      <c r="L64" s="1625"/>
      <c r="M64" s="1760"/>
      <c r="N64" s="547"/>
      <c r="O64" s="1625"/>
      <c r="P64" s="990"/>
      <c r="Q64" s="547"/>
      <c r="R64" s="547"/>
      <c r="S64" s="1745"/>
      <c r="T64" s="547"/>
      <c r="U64" s="989">
        <f t="shared" si="0"/>
        <v>0</v>
      </c>
      <c r="V64" s="547">
        <v>0</v>
      </c>
      <c r="W64" s="1264">
        <f t="shared" si="5"/>
        <v>0</v>
      </c>
      <c r="X64" s="547">
        <f t="shared" si="6"/>
        <v>0</v>
      </c>
      <c r="Y64" s="566"/>
      <c r="Z64" s="567"/>
      <c r="AA64" s="989">
        <f t="shared" si="7"/>
        <v>0</v>
      </c>
      <c r="AB64" s="812">
        <f t="shared" si="8"/>
        <v>0</v>
      </c>
    </row>
    <row r="65" spans="1:28" ht="27" hidden="1" customHeight="1">
      <c r="A65" s="531"/>
      <c r="B65" s="531">
        <v>410</v>
      </c>
      <c r="C65" s="529">
        <v>11</v>
      </c>
      <c r="D65" s="1575" t="s">
        <v>610</v>
      </c>
      <c r="E65" s="1028" t="s">
        <v>611</v>
      </c>
      <c r="F65" s="1576"/>
      <c r="G65" s="1576"/>
      <c r="H65" s="1583"/>
      <c r="I65" s="547"/>
      <c r="J65" s="1746"/>
      <c r="K65" s="547"/>
      <c r="L65" s="547"/>
      <c r="M65" s="1745"/>
      <c r="N65" s="547"/>
      <c r="O65" s="990"/>
      <c r="P65" s="990"/>
      <c r="Q65" s="547"/>
      <c r="R65" s="547"/>
      <c r="S65" s="1745"/>
      <c r="T65" s="547"/>
      <c r="U65" s="989">
        <f t="shared" si="0"/>
        <v>0</v>
      </c>
      <c r="V65" s="547">
        <v>0</v>
      </c>
      <c r="W65" s="1264">
        <f t="shared" si="5"/>
        <v>0</v>
      </c>
      <c r="X65" s="547">
        <f t="shared" si="6"/>
        <v>0</v>
      </c>
      <c r="Y65" s="566"/>
      <c r="Z65" s="567"/>
      <c r="AA65" s="989">
        <f t="shared" si="7"/>
        <v>0</v>
      </c>
      <c r="AB65" s="812">
        <f t="shared" si="8"/>
        <v>0</v>
      </c>
    </row>
    <row r="66" spans="1:28" ht="27" hidden="1" customHeight="1">
      <c r="A66" s="531"/>
      <c r="B66" s="531">
        <v>409</v>
      </c>
      <c r="C66" s="529">
        <v>11</v>
      </c>
      <c r="D66" s="530" t="s">
        <v>50</v>
      </c>
      <c r="E66" s="1028" t="s">
        <v>2059</v>
      </c>
      <c r="F66" s="1579">
        <v>261777446818</v>
      </c>
      <c r="G66" s="1578">
        <v>2455100413</v>
      </c>
      <c r="H66" s="1812">
        <v>-20068500</v>
      </c>
      <c r="I66" s="547">
        <v>160045865036</v>
      </c>
      <c r="J66" s="1760">
        <v>-5292397464</v>
      </c>
      <c r="K66" s="1625"/>
      <c r="L66" s="1625">
        <v>-92440119112</v>
      </c>
      <c r="M66" s="1760"/>
      <c r="N66" s="1625"/>
      <c r="O66" s="990"/>
      <c r="P66" s="990"/>
      <c r="Q66" s="547"/>
      <c r="R66" s="547"/>
      <c r="S66" s="1745"/>
      <c r="T66" s="547"/>
      <c r="U66" s="989">
        <f t="shared" si="0"/>
        <v>326525827191</v>
      </c>
      <c r="V66" s="547">
        <v>313602951921</v>
      </c>
      <c r="W66" s="1264">
        <f t="shared" si="5"/>
        <v>326526</v>
      </c>
      <c r="X66" s="547">
        <f t="shared" si="6"/>
        <v>313603</v>
      </c>
      <c r="Y66" s="566"/>
      <c r="Z66" s="567"/>
      <c r="AA66" s="989">
        <f t="shared" si="7"/>
        <v>326525827191</v>
      </c>
      <c r="AB66" s="812">
        <f t="shared" si="8"/>
        <v>326526</v>
      </c>
    </row>
    <row r="67" spans="1:28" ht="27" hidden="1" customHeight="1">
      <c r="A67" s="531">
        <v>3214</v>
      </c>
      <c r="B67" s="531">
        <v>408</v>
      </c>
      <c r="C67" s="529">
        <v>11</v>
      </c>
      <c r="D67" s="1575" t="s">
        <v>409</v>
      </c>
      <c r="E67" s="1028" t="s">
        <v>1627</v>
      </c>
      <c r="F67" s="1576"/>
      <c r="G67" s="1576"/>
      <c r="H67" s="547"/>
      <c r="I67" s="547"/>
      <c r="J67" s="1746">
        <v>-4324786669344</v>
      </c>
      <c r="K67" s="547"/>
      <c r="L67" s="1625"/>
      <c r="M67" s="1760"/>
      <c r="N67" s="547">
        <v>4324786669344</v>
      </c>
      <c r="O67" s="1625"/>
      <c r="P67" s="990"/>
      <c r="Q67" s="547"/>
      <c r="R67" s="547"/>
      <c r="S67" s="1745"/>
      <c r="T67" s="547"/>
      <c r="U67" s="989">
        <f t="shared" si="0"/>
        <v>0</v>
      </c>
      <c r="V67" s="547">
        <v>35736101026</v>
      </c>
      <c r="W67" s="1264">
        <f t="shared" si="5"/>
        <v>0</v>
      </c>
      <c r="X67" s="547">
        <f t="shared" si="6"/>
        <v>35736</v>
      </c>
      <c r="Y67" s="566"/>
      <c r="Z67" s="567"/>
      <c r="AA67" s="989">
        <f t="shared" si="7"/>
        <v>0</v>
      </c>
      <c r="AB67" s="812">
        <f t="shared" si="8"/>
        <v>0</v>
      </c>
    </row>
    <row r="68" spans="1:28" ht="27" hidden="1" customHeight="1">
      <c r="A68" s="531"/>
      <c r="B68" s="531">
        <v>407</v>
      </c>
      <c r="C68" s="529">
        <v>11</v>
      </c>
      <c r="D68" s="530" t="s">
        <v>58</v>
      </c>
      <c r="E68" s="1028" t="s">
        <v>139</v>
      </c>
      <c r="F68" s="1580">
        <v>-3531073012158</v>
      </c>
      <c r="G68" s="1576"/>
      <c r="H68" s="1812">
        <v>3531073012158</v>
      </c>
      <c r="I68" s="547"/>
      <c r="J68" s="1745"/>
      <c r="K68" s="1775"/>
      <c r="L68" s="547"/>
      <c r="M68" s="1745"/>
      <c r="N68" s="547"/>
      <c r="O68" s="990"/>
      <c r="P68" s="990"/>
      <c r="Q68" s="547"/>
      <c r="R68" s="547"/>
      <c r="S68" s="1745"/>
      <c r="T68" s="547"/>
      <c r="U68" s="989">
        <f t="shared" si="0"/>
        <v>0</v>
      </c>
      <c r="V68" s="547">
        <v>0</v>
      </c>
      <c r="W68" s="1264">
        <f t="shared" si="5"/>
        <v>0</v>
      </c>
      <c r="X68" s="547">
        <f t="shared" si="6"/>
        <v>0</v>
      </c>
      <c r="Y68" s="566"/>
      <c r="Z68" s="567"/>
      <c r="AA68" s="989">
        <f t="shared" si="7"/>
        <v>0</v>
      </c>
      <c r="AB68" s="812">
        <f t="shared" si="8"/>
        <v>0</v>
      </c>
    </row>
    <row r="69" spans="1:28" ht="27" hidden="1" customHeight="1">
      <c r="A69" s="531"/>
      <c r="B69" s="531">
        <v>407</v>
      </c>
      <c r="C69" s="529">
        <v>11</v>
      </c>
      <c r="D69" s="530" t="s">
        <v>1364</v>
      </c>
      <c r="E69" s="1028" t="s">
        <v>1365</v>
      </c>
      <c r="F69" s="1579">
        <v>-1140105013629</v>
      </c>
      <c r="G69" s="1578">
        <v>906559464</v>
      </c>
      <c r="H69" s="1806">
        <v>-2239386290763</v>
      </c>
      <c r="I69" s="547">
        <v>3487635556833</v>
      </c>
      <c r="J69" s="1745">
        <v>-43343556781</v>
      </c>
      <c r="K69" s="1625"/>
      <c r="L69" s="547"/>
      <c r="M69" s="1745"/>
      <c r="N69" s="547">
        <v>44726574055</v>
      </c>
      <c r="O69" s="990"/>
      <c r="P69" s="990"/>
      <c r="Q69" s="547"/>
      <c r="R69" s="547"/>
      <c r="S69" s="1745"/>
      <c r="T69" s="547"/>
      <c r="U69" s="989">
        <f t="shared" ref="U69:U134" si="9">SUM(F69:T69)</f>
        <v>110433829179</v>
      </c>
      <c r="V69" s="547">
        <v>95950370399</v>
      </c>
      <c r="W69" s="1264">
        <f>ROUND((U69/1000000),0)</f>
        <v>110434</v>
      </c>
      <c r="X69" s="547">
        <f t="shared" ref="X69:X105" si="10">ROUND((V69/1000000),0)</f>
        <v>95950</v>
      </c>
      <c r="Y69" s="566"/>
      <c r="Z69" s="567"/>
      <c r="AA69" s="989">
        <f t="shared" si="7"/>
        <v>110433829179</v>
      </c>
      <c r="AB69" s="812">
        <f t="shared" si="8"/>
        <v>110434</v>
      </c>
    </row>
    <row r="70" spans="1:28" ht="27" hidden="1" customHeight="1">
      <c r="A70" s="531">
        <v>1</v>
      </c>
      <c r="B70" s="531">
        <v>407</v>
      </c>
      <c r="C70" s="529">
        <v>11</v>
      </c>
      <c r="D70" s="530" t="s">
        <v>2025</v>
      </c>
      <c r="E70" s="1028" t="s">
        <v>2026</v>
      </c>
      <c r="F70" s="1579">
        <v>-60591850680</v>
      </c>
      <c r="G70" s="1578"/>
      <c r="H70" s="1806"/>
      <c r="I70" s="547"/>
      <c r="J70" s="1745"/>
      <c r="K70" s="1625"/>
      <c r="L70" s="547"/>
      <c r="M70" s="1745"/>
      <c r="N70" s="547"/>
      <c r="O70" s="990"/>
      <c r="P70" s="990"/>
      <c r="Q70" s="547"/>
      <c r="R70" s="547"/>
      <c r="S70" s="1745"/>
      <c r="T70" s="547"/>
      <c r="U70" s="989">
        <f t="shared" si="9"/>
        <v>-60591850680</v>
      </c>
      <c r="V70" s="547">
        <v>450622805</v>
      </c>
      <c r="W70" s="1264">
        <f t="shared" ref="W70:W142" si="11">ROUND((U70/1000000),0)</f>
        <v>-60592</v>
      </c>
      <c r="X70" s="547">
        <f t="shared" si="10"/>
        <v>451</v>
      </c>
      <c r="Y70" s="566"/>
      <c r="Z70" s="567"/>
      <c r="AA70" s="989">
        <f t="shared" si="7"/>
        <v>-60591850680</v>
      </c>
      <c r="AB70" s="812">
        <f t="shared" si="8"/>
        <v>-60592</v>
      </c>
    </row>
    <row r="71" spans="1:28" ht="27" hidden="1" customHeight="1">
      <c r="A71" s="531"/>
      <c r="B71" s="531">
        <v>429</v>
      </c>
      <c r="C71" s="529">
        <v>11</v>
      </c>
      <c r="D71" s="530" t="s">
        <v>586</v>
      </c>
      <c r="E71" s="1028" t="s">
        <v>587</v>
      </c>
      <c r="F71" s="1579">
        <v>4429278581</v>
      </c>
      <c r="G71" s="1576"/>
      <c r="H71" s="1583"/>
      <c r="I71" s="1625"/>
      <c r="J71" s="1746">
        <v>174452149838</v>
      </c>
      <c r="K71" s="1625">
        <v>167102205042</v>
      </c>
      <c r="L71" s="1625">
        <v>10199125800</v>
      </c>
      <c r="M71" s="1760"/>
      <c r="N71" s="1625"/>
      <c r="O71" s="990"/>
      <c r="P71" s="990">
        <v>-297811238304</v>
      </c>
      <c r="Q71" s="547"/>
      <c r="R71" s="547"/>
      <c r="S71" s="1745"/>
      <c r="T71" s="547"/>
      <c r="U71" s="989">
        <f t="shared" si="9"/>
        <v>58371520957</v>
      </c>
      <c r="V71" s="547">
        <v>257728599169</v>
      </c>
      <c r="W71" s="1264">
        <f t="shared" si="11"/>
        <v>58372</v>
      </c>
      <c r="X71" s="547">
        <f t="shared" si="10"/>
        <v>257729</v>
      </c>
      <c r="Y71" s="566"/>
      <c r="Z71" s="567"/>
      <c r="AA71" s="989">
        <f t="shared" si="7"/>
        <v>58371520957</v>
      </c>
      <c r="AB71" s="812">
        <f t="shared" si="8"/>
        <v>58372</v>
      </c>
    </row>
    <row r="72" spans="1:28" ht="27" hidden="1" customHeight="1">
      <c r="A72" s="531"/>
      <c r="B72" s="531">
        <v>406</v>
      </c>
      <c r="C72" s="529">
        <v>11</v>
      </c>
      <c r="D72" s="530" t="s">
        <v>73</v>
      </c>
      <c r="E72" s="1028" t="s">
        <v>74</v>
      </c>
      <c r="F72" s="1579">
        <v>83789817199</v>
      </c>
      <c r="G72" s="1583">
        <v>-17087185046</v>
      </c>
      <c r="H72" s="1758">
        <v>-1390150000</v>
      </c>
      <c r="I72" s="547">
        <v>-743177502</v>
      </c>
      <c r="J72" s="1746">
        <v>-33692000000</v>
      </c>
      <c r="K72" s="547"/>
      <c r="L72" s="547"/>
      <c r="M72" s="1745"/>
      <c r="N72" s="547"/>
      <c r="O72" s="990"/>
      <c r="P72" s="990"/>
      <c r="Q72" s="547"/>
      <c r="R72" s="547"/>
      <c r="S72" s="1745"/>
      <c r="T72" s="547"/>
      <c r="U72" s="989">
        <f t="shared" si="9"/>
        <v>30877304651</v>
      </c>
      <c r="V72" s="547">
        <v>16805222599</v>
      </c>
      <c r="W72" s="1264">
        <f t="shared" si="11"/>
        <v>30877</v>
      </c>
      <c r="X72" s="547">
        <f t="shared" si="10"/>
        <v>16805</v>
      </c>
      <c r="Y72" s="566"/>
      <c r="Z72" s="567"/>
      <c r="AA72" s="989">
        <f t="shared" si="7"/>
        <v>30877304651</v>
      </c>
      <c r="AB72" s="812">
        <f t="shared" si="8"/>
        <v>30877</v>
      </c>
    </row>
    <row r="73" spans="1:28" ht="27" hidden="1" customHeight="1">
      <c r="A73" s="531"/>
      <c r="B73" s="531">
        <v>426</v>
      </c>
      <c r="C73" s="529">
        <v>11</v>
      </c>
      <c r="D73" s="530" t="s">
        <v>643</v>
      </c>
      <c r="E73" s="1028" t="s">
        <v>642</v>
      </c>
      <c r="F73" s="1579">
        <v>26840280200</v>
      </c>
      <c r="G73" s="1578">
        <v>79290960</v>
      </c>
      <c r="H73" s="547"/>
      <c r="I73" s="547"/>
      <c r="J73" s="1745"/>
      <c r="K73" s="1625"/>
      <c r="L73" s="547"/>
      <c r="M73" s="1745"/>
      <c r="N73" s="547"/>
      <c r="O73" s="990"/>
      <c r="P73" s="990"/>
      <c r="Q73" s="547"/>
      <c r="R73" s="547"/>
      <c r="S73" s="1745"/>
      <c r="T73" s="547"/>
      <c r="U73" s="989">
        <f t="shared" si="9"/>
        <v>26919571160</v>
      </c>
      <c r="V73" s="547">
        <v>181690597692</v>
      </c>
      <c r="W73" s="1264">
        <f t="shared" si="11"/>
        <v>26920</v>
      </c>
      <c r="X73" s="547">
        <f t="shared" si="10"/>
        <v>181691</v>
      </c>
      <c r="Y73" s="566"/>
      <c r="Z73" s="567"/>
      <c r="AA73" s="989">
        <f t="shared" ref="AA73:AA110" si="12">U73+Z73-Y73</f>
        <v>26919571160</v>
      </c>
      <c r="AB73" s="812">
        <f t="shared" ref="AB73:AB110" si="13">ROUND((AA73/1000000),0)</f>
        <v>26920</v>
      </c>
    </row>
    <row r="74" spans="1:28" ht="27" hidden="1" customHeight="1">
      <c r="A74" s="531"/>
      <c r="B74" s="531">
        <v>1018</v>
      </c>
      <c r="C74" s="529">
        <v>17</v>
      </c>
      <c r="D74" s="530" t="s">
        <v>515</v>
      </c>
      <c r="E74" s="1028" t="s">
        <v>516</v>
      </c>
      <c r="F74" s="547">
        <v>-44173000000</v>
      </c>
      <c r="G74" s="1576"/>
      <c r="H74" s="547"/>
      <c r="I74" s="547"/>
      <c r="J74" s="1746"/>
      <c r="K74" s="547"/>
      <c r="L74" s="547"/>
      <c r="M74" s="1745"/>
      <c r="N74" s="547"/>
      <c r="O74" s="990"/>
      <c r="P74" s="990"/>
      <c r="Q74" s="547"/>
      <c r="R74" s="547"/>
      <c r="S74" s="1745"/>
      <c r="T74" s="547"/>
      <c r="U74" s="989">
        <f t="shared" si="9"/>
        <v>-44173000000</v>
      </c>
      <c r="V74" s="547">
        <v>-44173000000</v>
      </c>
      <c r="W74" s="1264">
        <f t="shared" si="11"/>
        <v>-44173</v>
      </c>
      <c r="X74" s="547">
        <f t="shared" si="10"/>
        <v>-44173</v>
      </c>
      <c r="Y74" s="566"/>
      <c r="Z74" s="567"/>
      <c r="AA74" s="989">
        <f t="shared" si="12"/>
        <v>-44173000000</v>
      </c>
      <c r="AB74" s="812">
        <f t="shared" si="13"/>
        <v>-44173</v>
      </c>
    </row>
    <row r="75" spans="1:28" ht="27" hidden="1" customHeight="1">
      <c r="A75" s="531"/>
      <c r="B75" s="531">
        <v>1008</v>
      </c>
      <c r="C75" s="529">
        <v>17</v>
      </c>
      <c r="D75" s="530" t="s">
        <v>445</v>
      </c>
      <c r="E75" s="1028" t="s">
        <v>1556</v>
      </c>
      <c r="F75" s="1579">
        <v>-213523342612</v>
      </c>
      <c r="G75" s="1578">
        <v>-1699667236</v>
      </c>
      <c r="H75" s="547"/>
      <c r="I75" s="1625">
        <v>-2050500000</v>
      </c>
      <c r="J75" s="1745">
        <v>-740000000</v>
      </c>
      <c r="K75" s="1775"/>
      <c r="L75" s="547"/>
      <c r="M75" s="1745"/>
      <c r="N75" s="547"/>
      <c r="O75" s="990"/>
      <c r="P75" s="990"/>
      <c r="Q75" s="547"/>
      <c r="R75" s="547"/>
      <c r="S75" s="1745"/>
      <c r="T75" s="547"/>
      <c r="U75" s="989">
        <f t="shared" si="9"/>
        <v>-218013509848</v>
      </c>
      <c r="V75" s="547">
        <v>-2679425000</v>
      </c>
      <c r="W75" s="1264">
        <f t="shared" si="11"/>
        <v>-218014</v>
      </c>
      <c r="X75" s="547">
        <f t="shared" si="10"/>
        <v>-2679</v>
      </c>
      <c r="Y75" s="566"/>
      <c r="Z75" s="567"/>
      <c r="AA75" s="989">
        <f t="shared" si="12"/>
        <v>-218013509848</v>
      </c>
      <c r="AB75" s="812">
        <f t="shared" si="13"/>
        <v>-218014</v>
      </c>
    </row>
    <row r="76" spans="1:28" ht="27" hidden="1" customHeight="1">
      <c r="A76" s="531"/>
      <c r="B76" s="531">
        <v>422</v>
      </c>
      <c r="C76" s="529">
        <v>11</v>
      </c>
      <c r="D76" s="530" t="s">
        <v>201</v>
      </c>
      <c r="E76" s="1028" t="s">
        <v>2039</v>
      </c>
      <c r="F76" s="547">
        <v>41065829500</v>
      </c>
      <c r="G76" s="1576"/>
      <c r="H76" s="547"/>
      <c r="I76" s="547"/>
      <c r="J76" s="1746"/>
      <c r="K76" s="547"/>
      <c r="L76" s="547"/>
      <c r="M76" s="1745"/>
      <c r="N76" s="547"/>
      <c r="O76" s="990"/>
      <c r="P76" s="990"/>
      <c r="Q76" s="547"/>
      <c r="R76" s="547"/>
      <c r="S76" s="1745"/>
      <c r="T76" s="547"/>
      <c r="U76" s="989">
        <f t="shared" si="9"/>
        <v>41065829500</v>
      </c>
      <c r="V76" s="547">
        <v>41065829500</v>
      </c>
      <c r="W76" s="1264">
        <f t="shared" si="11"/>
        <v>41066</v>
      </c>
      <c r="X76" s="547">
        <f t="shared" si="10"/>
        <v>41066</v>
      </c>
      <c r="Y76" s="566"/>
      <c r="Z76" s="567"/>
      <c r="AA76" s="989">
        <f t="shared" si="12"/>
        <v>41065829500</v>
      </c>
      <c r="AB76" s="812">
        <f t="shared" si="13"/>
        <v>41066</v>
      </c>
    </row>
    <row r="77" spans="1:28" ht="27" hidden="1" customHeight="1">
      <c r="A77" s="531"/>
      <c r="B77" s="531">
        <v>433</v>
      </c>
      <c r="C77" s="529">
        <v>11</v>
      </c>
      <c r="D77" s="530" t="s">
        <v>893</v>
      </c>
      <c r="E77" s="1028" t="s">
        <v>894</v>
      </c>
      <c r="F77" s="1579">
        <v>-230141113214</v>
      </c>
      <c r="G77" s="1583">
        <v>193000000</v>
      </c>
      <c r="H77" s="1583"/>
      <c r="I77" s="547">
        <v>35555100800</v>
      </c>
      <c r="J77" s="1746">
        <v>272106688792</v>
      </c>
      <c r="K77" s="547"/>
      <c r="L77" s="547"/>
      <c r="M77" s="1745"/>
      <c r="N77" s="547"/>
      <c r="O77" s="990"/>
      <c r="P77" s="990"/>
      <c r="Q77" s="547"/>
      <c r="R77" s="547"/>
      <c r="S77" s="1745"/>
      <c r="T77" s="547"/>
      <c r="U77" s="989">
        <f t="shared" si="9"/>
        <v>77713676378</v>
      </c>
      <c r="V77" s="547">
        <v>-115934499417</v>
      </c>
      <c r="W77" s="1264">
        <f t="shared" si="11"/>
        <v>77714</v>
      </c>
      <c r="X77" s="547">
        <f t="shared" si="10"/>
        <v>-115934</v>
      </c>
      <c r="Y77" s="566"/>
      <c r="Z77" s="567"/>
      <c r="AA77" s="989">
        <f t="shared" si="12"/>
        <v>77713676378</v>
      </c>
      <c r="AB77" s="812">
        <f t="shared" si="13"/>
        <v>77714</v>
      </c>
    </row>
    <row r="78" spans="1:28" ht="27" hidden="1" customHeight="1">
      <c r="A78" s="531"/>
      <c r="B78" s="531">
        <v>406</v>
      </c>
      <c r="C78" s="529">
        <v>11</v>
      </c>
      <c r="D78" s="530" t="s">
        <v>503</v>
      </c>
      <c r="E78" s="1028" t="s">
        <v>504</v>
      </c>
      <c r="F78" s="1580">
        <v>-1756851129702</v>
      </c>
      <c r="G78" s="1576">
        <v>1920553290378</v>
      </c>
      <c r="H78" s="1807"/>
      <c r="I78" s="547">
        <v>1316800115</v>
      </c>
      <c r="J78" s="1760">
        <v>5000000000</v>
      </c>
      <c r="K78" s="1625"/>
      <c r="L78" s="547"/>
      <c r="M78" s="1745"/>
      <c r="N78" s="547"/>
      <c r="O78" s="990"/>
      <c r="P78" s="990"/>
      <c r="Q78" s="547"/>
      <c r="R78" s="547"/>
      <c r="S78" s="1745"/>
      <c r="T78" s="547">
        <v>-98467322416</v>
      </c>
      <c r="U78" s="989">
        <f t="shared" si="9"/>
        <v>71551638375</v>
      </c>
      <c r="V78" s="547">
        <v>112361925689</v>
      </c>
      <c r="W78" s="1264">
        <f t="shared" si="11"/>
        <v>71552</v>
      </c>
      <c r="X78" s="547">
        <f t="shared" si="10"/>
        <v>112362</v>
      </c>
      <c r="Y78" s="566"/>
      <c r="Z78" s="567"/>
      <c r="AA78" s="989">
        <f t="shared" si="12"/>
        <v>71551638375</v>
      </c>
      <c r="AB78" s="812">
        <f t="shared" si="13"/>
        <v>71552</v>
      </c>
    </row>
    <row r="79" spans="1:28" ht="27" hidden="1" customHeight="1">
      <c r="A79" s="1742"/>
      <c r="B79" s="1742">
        <v>417</v>
      </c>
      <c r="C79" s="1743">
        <v>11</v>
      </c>
      <c r="D79" s="1753" t="s">
        <v>503</v>
      </c>
      <c r="E79" s="1754" t="s">
        <v>2735</v>
      </c>
      <c r="F79" s="1744"/>
      <c r="G79" s="1755"/>
      <c r="H79" s="2036"/>
      <c r="I79" s="1745"/>
      <c r="J79" s="1760"/>
      <c r="K79" s="1760"/>
      <c r="L79" s="1745"/>
      <c r="M79" s="1745"/>
      <c r="N79" s="1745"/>
      <c r="O79" s="1746">
        <v>128000000000</v>
      </c>
      <c r="P79" s="1746"/>
      <c r="Q79" s="1745"/>
      <c r="R79" s="1745"/>
      <c r="S79" s="1745"/>
      <c r="T79" s="1745">
        <v>455586094006</v>
      </c>
      <c r="U79" s="989">
        <f t="shared" si="9"/>
        <v>583586094006</v>
      </c>
      <c r="V79" s="1745"/>
      <c r="W79" s="1264">
        <f t="shared" si="11"/>
        <v>583586</v>
      </c>
      <c r="X79" s="547">
        <f t="shared" si="10"/>
        <v>0</v>
      </c>
      <c r="Y79" s="1747"/>
      <c r="Z79" s="1748"/>
      <c r="AA79" s="989">
        <f t="shared" si="12"/>
        <v>583586094006</v>
      </c>
      <c r="AB79" s="812">
        <f t="shared" si="13"/>
        <v>583586</v>
      </c>
    </row>
    <row r="80" spans="1:28" ht="27" hidden="1" customHeight="1">
      <c r="A80" s="1742"/>
      <c r="B80" s="1742">
        <v>1031</v>
      </c>
      <c r="C80" s="1743">
        <v>17</v>
      </c>
      <c r="D80" s="1753" t="s">
        <v>503</v>
      </c>
      <c r="E80" s="1754" t="s">
        <v>2736</v>
      </c>
      <c r="F80" s="1744"/>
      <c r="G80" s="1755"/>
      <c r="H80" s="2036"/>
      <c r="I80" s="1745"/>
      <c r="J80" s="1760"/>
      <c r="K80" s="1760"/>
      <c r="L80" s="1745"/>
      <c r="M80" s="1745"/>
      <c r="N80" s="1745"/>
      <c r="O80" s="1746"/>
      <c r="P80" s="1746"/>
      <c r="Q80" s="1745"/>
      <c r="R80" s="1745"/>
      <c r="S80" s="1745"/>
      <c r="T80" s="1745">
        <v>-357118771590</v>
      </c>
      <c r="U80" s="989">
        <f t="shared" si="9"/>
        <v>-357118771590</v>
      </c>
      <c r="V80" s="1745"/>
      <c r="W80" s="1264">
        <f t="shared" si="11"/>
        <v>-357119</v>
      </c>
      <c r="X80" s="547">
        <f t="shared" si="10"/>
        <v>0</v>
      </c>
      <c r="Y80" s="1747"/>
      <c r="Z80" s="1748"/>
      <c r="AA80" s="989">
        <f t="shared" si="12"/>
        <v>-357118771590</v>
      </c>
      <c r="AB80" s="812">
        <f t="shared" si="13"/>
        <v>-357119</v>
      </c>
    </row>
    <row r="81" spans="1:28" ht="27" hidden="1" customHeight="1">
      <c r="A81" s="531"/>
      <c r="B81" s="531">
        <v>1008</v>
      </c>
      <c r="C81" s="529">
        <v>17</v>
      </c>
      <c r="D81" s="530" t="s">
        <v>298</v>
      </c>
      <c r="E81" s="1028" t="s">
        <v>1553</v>
      </c>
      <c r="F81" s="1580"/>
      <c r="G81" s="1576"/>
      <c r="H81" s="547"/>
      <c r="I81" s="547"/>
      <c r="J81" s="1745"/>
      <c r="K81" s="547"/>
      <c r="L81" s="547"/>
      <c r="M81" s="1745"/>
      <c r="N81" s="547"/>
      <c r="O81" s="990"/>
      <c r="P81" s="990"/>
      <c r="Q81" s="547"/>
      <c r="R81" s="547"/>
      <c r="S81" s="1745"/>
      <c r="T81" s="547"/>
      <c r="U81" s="989">
        <f t="shared" si="9"/>
        <v>0</v>
      </c>
      <c r="V81" s="547">
        <v>-4075614506</v>
      </c>
      <c r="W81" s="1264">
        <f t="shared" si="11"/>
        <v>0</v>
      </c>
      <c r="X81" s="547">
        <f t="shared" si="10"/>
        <v>-4076</v>
      </c>
      <c r="Y81" s="566"/>
      <c r="Z81" s="567"/>
      <c r="AA81" s="989">
        <f t="shared" si="12"/>
        <v>0</v>
      </c>
      <c r="AB81" s="812">
        <f t="shared" si="13"/>
        <v>0</v>
      </c>
    </row>
    <row r="82" spans="1:28" ht="27" hidden="1" customHeight="1">
      <c r="A82" s="531"/>
      <c r="B82" s="531">
        <v>1018</v>
      </c>
      <c r="C82" s="529">
        <v>17</v>
      </c>
      <c r="D82" s="530" t="s">
        <v>1189</v>
      </c>
      <c r="E82" s="1028" t="s">
        <v>1190</v>
      </c>
      <c r="F82" s="1580">
        <v>-2942946276</v>
      </c>
      <c r="G82" s="1578"/>
      <c r="H82" s="1806"/>
      <c r="I82" s="547"/>
      <c r="J82" s="1745"/>
      <c r="K82" s="547"/>
      <c r="L82" s="547"/>
      <c r="M82" s="1745"/>
      <c r="N82" s="547"/>
      <c r="O82" s="990"/>
      <c r="P82" s="990"/>
      <c r="Q82" s="547"/>
      <c r="R82" s="547"/>
      <c r="S82" s="1745"/>
      <c r="T82" s="547"/>
      <c r="U82" s="989">
        <f t="shared" si="9"/>
        <v>-2942946276</v>
      </c>
      <c r="V82" s="547">
        <v>-2349695595</v>
      </c>
      <c r="W82" s="1264">
        <f t="shared" si="11"/>
        <v>-2943</v>
      </c>
      <c r="X82" s="547">
        <f t="shared" si="10"/>
        <v>-2350</v>
      </c>
      <c r="Y82" s="566"/>
      <c r="Z82" s="567"/>
      <c r="AA82" s="989">
        <f t="shared" si="12"/>
        <v>-2942946276</v>
      </c>
      <c r="AB82" s="812">
        <f t="shared" si="13"/>
        <v>-2943</v>
      </c>
    </row>
    <row r="83" spans="1:28" ht="27" hidden="1" customHeight="1">
      <c r="A83" s="531"/>
      <c r="B83" s="531">
        <v>427</v>
      </c>
      <c r="C83" s="529">
        <v>11</v>
      </c>
      <c r="D83" s="530" t="s">
        <v>336</v>
      </c>
      <c r="E83" s="1028" t="s">
        <v>656</v>
      </c>
      <c r="F83" s="1579">
        <v>35186231669</v>
      </c>
      <c r="G83" s="1578">
        <v>1337445827</v>
      </c>
      <c r="H83" s="1806"/>
      <c r="I83" s="547"/>
      <c r="J83" s="1745"/>
      <c r="K83" s="547"/>
      <c r="L83" s="547"/>
      <c r="M83" s="1745"/>
      <c r="N83" s="547"/>
      <c r="O83" s="990"/>
      <c r="P83" s="990"/>
      <c r="Q83" s="547"/>
      <c r="R83" s="547"/>
      <c r="S83" s="1745"/>
      <c r="T83" s="547"/>
      <c r="U83" s="989">
        <f t="shared" si="9"/>
        <v>36523677496</v>
      </c>
      <c r="V83" s="547">
        <v>25608931212</v>
      </c>
      <c r="W83" s="1264">
        <f t="shared" si="11"/>
        <v>36524</v>
      </c>
      <c r="X83" s="547">
        <f t="shared" si="10"/>
        <v>25609</v>
      </c>
      <c r="Y83" s="566"/>
      <c r="Z83" s="567"/>
      <c r="AA83" s="989">
        <f t="shared" si="12"/>
        <v>36523677496</v>
      </c>
      <c r="AB83" s="812">
        <f t="shared" si="13"/>
        <v>36524</v>
      </c>
    </row>
    <row r="84" spans="1:28" ht="27" hidden="1" customHeight="1">
      <c r="A84" s="531"/>
      <c r="B84" s="531">
        <v>501</v>
      </c>
      <c r="C84" s="529">
        <v>13</v>
      </c>
      <c r="D84" s="530" t="s">
        <v>464</v>
      </c>
      <c r="E84" s="1028" t="s">
        <v>311</v>
      </c>
      <c r="F84" s="1580">
        <v>-394218269</v>
      </c>
      <c r="G84" s="1576"/>
      <c r="H84" s="547"/>
      <c r="I84" s="547"/>
      <c r="J84" s="1745"/>
      <c r="K84" s="547"/>
      <c r="L84" s="547"/>
      <c r="M84" s="1745"/>
      <c r="N84" s="547"/>
      <c r="O84" s="990"/>
      <c r="P84" s="990"/>
      <c r="Q84" s="547"/>
      <c r="R84" s="547"/>
      <c r="S84" s="1745"/>
      <c r="T84" s="547"/>
      <c r="U84" s="989">
        <f t="shared" si="9"/>
        <v>-394218269</v>
      </c>
      <c r="V84" s="547">
        <v>-1149139997</v>
      </c>
      <c r="W84" s="1264">
        <f t="shared" si="11"/>
        <v>-394</v>
      </c>
      <c r="X84" s="547">
        <f t="shared" si="10"/>
        <v>-1149</v>
      </c>
      <c r="Y84" s="566"/>
      <c r="Z84" s="567"/>
      <c r="AA84" s="989">
        <f t="shared" si="12"/>
        <v>-394218269</v>
      </c>
      <c r="AB84" s="812">
        <f t="shared" si="13"/>
        <v>-394</v>
      </c>
    </row>
    <row r="85" spans="1:28" ht="27" hidden="1" customHeight="1">
      <c r="A85" s="531"/>
      <c r="B85" s="531">
        <v>406</v>
      </c>
      <c r="C85" s="529">
        <v>11</v>
      </c>
      <c r="D85" s="1575" t="s">
        <v>2426</v>
      </c>
      <c r="E85" s="1028" t="s">
        <v>467</v>
      </c>
      <c r="F85" s="1576">
        <v>48349185263</v>
      </c>
      <c r="G85" s="1576">
        <v>7718086275</v>
      </c>
      <c r="H85" s="547"/>
      <c r="I85" s="547"/>
      <c r="J85" s="1745"/>
      <c r="K85" s="547"/>
      <c r="L85" s="547"/>
      <c r="M85" s="1745"/>
      <c r="N85" s="547"/>
      <c r="O85" s="990"/>
      <c r="P85" s="990"/>
      <c r="Q85" s="547"/>
      <c r="R85" s="547"/>
      <c r="S85" s="1745"/>
      <c r="T85" s="547"/>
      <c r="U85" s="989">
        <f t="shared" si="9"/>
        <v>56067271538</v>
      </c>
      <c r="V85" s="547">
        <v>19398196044</v>
      </c>
      <c r="W85" s="1264">
        <f t="shared" si="11"/>
        <v>56067</v>
      </c>
      <c r="X85" s="547">
        <f t="shared" si="10"/>
        <v>19398</v>
      </c>
      <c r="Y85" s="566"/>
      <c r="Z85" s="567"/>
      <c r="AA85" s="989">
        <f t="shared" si="12"/>
        <v>56067271538</v>
      </c>
      <c r="AB85" s="812">
        <f t="shared" si="13"/>
        <v>56067</v>
      </c>
    </row>
    <row r="86" spans="1:28" ht="27" hidden="1" customHeight="1">
      <c r="A86" s="531"/>
      <c r="B86" s="531">
        <v>406</v>
      </c>
      <c r="C86" s="529">
        <v>11</v>
      </c>
      <c r="D86" s="530" t="s">
        <v>63</v>
      </c>
      <c r="E86" s="1028" t="s">
        <v>559</v>
      </c>
      <c r="F86" s="1579">
        <v>105260376172</v>
      </c>
      <c r="G86" s="1576"/>
      <c r="H86" s="1810"/>
      <c r="I86" s="547"/>
      <c r="J86" s="1746"/>
      <c r="K86" s="547"/>
      <c r="L86" s="547"/>
      <c r="M86" s="1745"/>
      <c r="N86" s="547"/>
      <c r="O86" s="990"/>
      <c r="P86" s="990"/>
      <c r="Q86" s="547"/>
      <c r="R86" s="547"/>
      <c r="S86" s="1745"/>
      <c r="T86" s="547"/>
      <c r="U86" s="989">
        <f t="shared" si="9"/>
        <v>105260376172</v>
      </c>
      <c r="V86" s="547">
        <v>62691158672</v>
      </c>
      <c r="W86" s="1264">
        <f t="shared" si="11"/>
        <v>105260</v>
      </c>
      <c r="X86" s="547">
        <f t="shared" si="10"/>
        <v>62691</v>
      </c>
      <c r="Y86" s="566"/>
      <c r="Z86" s="567"/>
      <c r="AA86" s="989">
        <f t="shared" si="12"/>
        <v>105260376172</v>
      </c>
      <c r="AB86" s="812">
        <f t="shared" si="13"/>
        <v>105260</v>
      </c>
    </row>
    <row r="87" spans="1:28" ht="27" hidden="1" customHeight="1">
      <c r="A87" s="531"/>
      <c r="B87" s="531">
        <v>428</v>
      </c>
      <c r="C87" s="529">
        <v>11</v>
      </c>
      <c r="D87" s="530" t="s">
        <v>52</v>
      </c>
      <c r="E87" s="1028" t="s">
        <v>206</v>
      </c>
      <c r="F87" s="1579">
        <v>40498731775</v>
      </c>
      <c r="G87" s="1578">
        <v>5549170612</v>
      </c>
      <c r="H87" s="547"/>
      <c r="I87" s="547"/>
      <c r="J87" s="1745">
        <v>95247000</v>
      </c>
      <c r="K87" s="547"/>
      <c r="L87" s="547"/>
      <c r="M87" s="1745"/>
      <c r="N87" s="547"/>
      <c r="O87" s="990"/>
      <c r="P87" s="990"/>
      <c r="Q87" s="547"/>
      <c r="R87" s="547"/>
      <c r="S87" s="1745"/>
      <c r="T87" s="547"/>
      <c r="U87" s="989">
        <f t="shared" si="9"/>
        <v>46143149387</v>
      </c>
      <c r="V87" s="547">
        <v>20929462620</v>
      </c>
      <c r="W87" s="1264">
        <f t="shared" si="11"/>
        <v>46143</v>
      </c>
      <c r="X87" s="547">
        <f t="shared" si="10"/>
        <v>20929</v>
      </c>
      <c r="Y87" s="566"/>
      <c r="Z87" s="567"/>
      <c r="AA87" s="989">
        <f t="shared" si="12"/>
        <v>46143149387</v>
      </c>
      <c r="AB87" s="812">
        <f t="shared" si="13"/>
        <v>46143</v>
      </c>
    </row>
    <row r="88" spans="1:28" ht="27" hidden="1" customHeight="1">
      <c r="A88" s="531"/>
      <c r="B88" s="531">
        <v>1018</v>
      </c>
      <c r="C88" s="529">
        <v>17</v>
      </c>
      <c r="D88" s="530" t="s">
        <v>605</v>
      </c>
      <c r="E88" s="1028" t="s">
        <v>227</v>
      </c>
      <c r="F88" s="547">
        <v>-282948731</v>
      </c>
      <c r="G88" s="1576"/>
      <c r="H88" s="1775"/>
      <c r="I88" s="547"/>
      <c r="J88" s="1746"/>
      <c r="K88" s="1745"/>
      <c r="L88" s="547"/>
      <c r="M88" s="1745"/>
      <c r="N88" s="547"/>
      <c r="O88" s="990"/>
      <c r="P88" s="990"/>
      <c r="Q88" s="547"/>
      <c r="R88" s="547"/>
      <c r="S88" s="1745"/>
      <c r="T88" s="547"/>
      <c r="U88" s="989">
        <f t="shared" si="9"/>
        <v>-282948731</v>
      </c>
      <c r="V88" s="547">
        <v>-282948731</v>
      </c>
      <c r="W88" s="1264">
        <f t="shared" si="11"/>
        <v>-283</v>
      </c>
      <c r="X88" s="547">
        <f t="shared" si="10"/>
        <v>-283</v>
      </c>
      <c r="Y88" s="566"/>
      <c r="Z88" s="567"/>
      <c r="AA88" s="989">
        <f t="shared" si="12"/>
        <v>-282948731</v>
      </c>
      <c r="AB88" s="812">
        <f t="shared" si="13"/>
        <v>-283</v>
      </c>
    </row>
    <row r="89" spans="1:28" ht="27" hidden="1" customHeight="1">
      <c r="A89" s="531"/>
      <c r="B89" s="531">
        <v>1018</v>
      </c>
      <c r="C89" s="529">
        <v>17</v>
      </c>
      <c r="D89" s="530" t="s">
        <v>1193</v>
      </c>
      <c r="E89" s="1028" t="s">
        <v>1194</v>
      </c>
      <c r="F89" s="1580">
        <v>-4615821</v>
      </c>
      <c r="G89" s="1576"/>
      <c r="H89" s="1775"/>
      <c r="I89" s="547"/>
      <c r="J89" s="1745"/>
      <c r="K89" s="1745"/>
      <c r="L89" s="547"/>
      <c r="M89" s="1745"/>
      <c r="N89" s="547"/>
      <c r="O89" s="990"/>
      <c r="P89" s="990"/>
      <c r="Q89" s="547"/>
      <c r="R89" s="547"/>
      <c r="S89" s="1745"/>
      <c r="T89" s="547"/>
      <c r="U89" s="989">
        <f t="shared" si="9"/>
        <v>-4615821</v>
      </c>
      <c r="V89" s="547">
        <v>-41329511</v>
      </c>
      <c r="W89" s="1264">
        <f t="shared" si="11"/>
        <v>-5</v>
      </c>
      <c r="X89" s="547">
        <f t="shared" si="10"/>
        <v>-41</v>
      </c>
      <c r="Y89" s="566"/>
      <c r="Z89" s="567"/>
      <c r="AA89" s="989">
        <f t="shared" si="12"/>
        <v>-4615821</v>
      </c>
      <c r="AB89" s="812">
        <f t="shared" si="13"/>
        <v>-5</v>
      </c>
    </row>
    <row r="90" spans="1:28" ht="27" hidden="1" customHeight="1">
      <c r="A90" s="531"/>
      <c r="B90" s="531">
        <v>1008</v>
      </c>
      <c r="C90" s="529">
        <v>17</v>
      </c>
      <c r="D90" s="530" t="s">
        <v>296</v>
      </c>
      <c r="E90" s="1028" t="s">
        <v>1552</v>
      </c>
      <c r="F90" s="1580">
        <v>-12072096</v>
      </c>
      <c r="G90" s="1576"/>
      <c r="H90" s="1775"/>
      <c r="I90" s="547"/>
      <c r="J90" s="1745"/>
      <c r="K90" s="547"/>
      <c r="L90" s="1775"/>
      <c r="M90" s="1775"/>
      <c r="N90" s="547"/>
      <c r="O90" s="990"/>
      <c r="P90" s="990"/>
      <c r="Q90" s="547"/>
      <c r="R90" s="547"/>
      <c r="S90" s="1745"/>
      <c r="T90" s="547"/>
      <c r="U90" s="989">
        <f t="shared" si="9"/>
        <v>-12072096</v>
      </c>
      <c r="V90" s="547">
        <v>-12072096</v>
      </c>
      <c r="W90" s="1264">
        <f t="shared" si="11"/>
        <v>-12</v>
      </c>
      <c r="X90" s="547">
        <f t="shared" si="10"/>
        <v>-12</v>
      </c>
      <c r="Y90" s="566"/>
      <c r="Z90" s="567"/>
      <c r="AA90" s="989">
        <f t="shared" si="12"/>
        <v>-12072096</v>
      </c>
      <c r="AB90" s="812">
        <f t="shared" si="13"/>
        <v>-12</v>
      </c>
    </row>
    <row r="91" spans="1:28" ht="27" hidden="1" customHeight="1">
      <c r="A91" s="531"/>
      <c r="B91" s="531">
        <v>428</v>
      </c>
      <c r="C91" s="529">
        <v>11</v>
      </c>
      <c r="D91" s="530" t="s">
        <v>254</v>
      </c>
      <c r="E91" s="1028" t="s">
        <v>958</v>
      </c>
      <c r="F91" s="1579">
        <v>42137623898</v>
      </c>
      <c r="G91" s="1576">
        <v>148948500</v>
      </c>
      <c r="H91" s="1806"/>
      <c r="I91" s="547"/>
      <c r="J91" s="1745"/>
      <c r="K91" s="547"/>
      <c r="L91" s="547"/>
      <c r="M91" s="1745"/>
      <c r="N91" s="547"/>
      <c r="O91" s="990"/>
      <c r="P91" s="990"/>
      <c r="Q91" s="547"/>
      <c r="R91" s="547"/>
      <c r="S91" s="1745"/>
      <c r="T91" s="547"/>
      <c r="U91" s="989">
        <f t="shared" si="9"/>
        <v>42286572398</v>
      </c>
      <c r="V91" s="547">
        <v>18797336432</v>
      </c>
      <c r="W91" s="1264">
        <f t="shared" si="11"/>
        <v>42287</v>
      </c>
      <c r="X91" s="547">
        <f t="shared" si="10"/>
        <v>18797</v>
      </c>
      <c r="Y91" s="566"/>
      <c r="Z91" s="567"/>
      <c r="AA91" s="989">
        <f t="shared" si="12"/>
        <v>42286572398</v>
      </c>
      <c r="AB91" s="812">
        <f t="shared" si="13"/>
        <v>42287</v>
      </c>
    </row>
    <row r="92" spans="1:28" ht="27" hidden="1" customHeight="1">
      <c r="A92" s="531"/>
      <c r="B92" s="531">
        <v>428</v>
      </c>
      <c r="C92" s="529">
        <v>11</v>
      </c>
      <c r="D92" s="530" t="s">
        <v>662</v>
      </c>
      <c r="E92" s="1028" t="s">
        <v>988</v>
      </c>
      <c r="F92" s="1579">
        <v>32628564077</v>
      </c>
      <c r="G92" s="1576">
        <v>4892042596</v>
      </c>
      <c r="H92" s="1806">
        <v>1739169013</v>
      </c>
      <c r="I92" s="547">
        <v>-221287963</v>
      </c>
      <c r="J92" s="1745">
        <v>-1612857978</v>
      </c>
      <c r="K92" s="1625"/>
      <c r="L92" s="1625"/>
      <c r="M92" s="1760"/>
      <c r="N92" s="547"/>
      <c r="O92" s="1625"/>
      <c r="P92" s="990"/>
      <c r="Q92" s="547"/>
      <c r="R92" s="547"/>
      <c r="S92" s="1745"/>
      <c r="T92" s="547"/>
      <c r="U92" s="989">
        <f t="shared" si="9"/>
        <v>37425629745</v>
      </c>
      <c r="V92" s="547">
        <v>19806787360</v>
      </c>
      <c r="W92" s="1264">
        <f t="shared" si="11"/>
        <v>37426</v>
      </c>
      <c r="X92" s="547">
        <f t="shared" si="10"/>
        <v>19807</v>
      </c>
      <c r="Y92" s="566"/>
      <c r="Z92" s="567"/>
      <c r="AA92" s="989">
        <f t="shared" si="12"/>
        <v>37425629745</v>
      </c>
      <c r="AB92" s="812">
        <f t="shared" si="13"/>
        <v>37426</v>
      </c>
    </row>
    <row r="93" spans="1:28" ht="27" hidden="1" customHeight="1">
      <c r="A93" s="531"/>
      <c r="B93" s="531">
        <v>406</v>
      </c>
      <c r="C93" s="529">
        <v>11</v>
      </c>
      <c r="D93" s="530" t="s">
        <v>75</v>
      </c>
      <c r="E93" s="1028" t="s">
        <v>406</v>
      </c>
      <c r="F93" s="547"/>
      <c r="G93" s="1576"/>
      <c r="H93" s="547"/>
      <c r="I93" s="547"/>
      <c r="J93" s="1746"/>
      <c r="K93" s="547"/>
      <c r="L93" s="547"/>
      <c r="M93" s="1745"/>
      <c r="N93" s="547"/>
      <c r="O93" s="990"/>
      <c r="P93" s="990"/>
      <c r="Q93" s="547"/>
      <c r="R93" s="547"/>
      <c r="S93" s="1745"/>
      <c r="T93" s="547"/>
      <c r="U93" s="989">
        <f t="shared" si="9"/>
        <v>0</v>
      </c>
      <c r="V93" s="547">
        <v>4743111468</v>
      </c>
      <c r="W93" s="1264">
        <f t="shared" si="11"/>
        <v>0</v>
      </c>
      <c r="X93" s="547">
        <f t="shared" si="10"/>
        <v>4743</v>
      </c>
      <c r="Y93" s="566"/>
      <c r="Z93" s="567"/>
      <c r="AA93" s="989">
        <f t="shared" si="12"/>
        <v>0</v>
      </c>
      <c r="AB93" s="812">
        <f t="shared" si="13"/>
        <v>0</v>
      </c>
    </row>
    <row r="94" spans="1:28" ht="27" hidden="1" customHeight="1">
      <c r="A94" s="1742"/>
      <c r="B94" s="1742">
        <v>428</v>
      </c>
      <c r="C94" s="1743">
        <v>11</v>
      </c>
      <c r="D94" s="530" t="s">
        <v>582</v>
      </c>
      <c r="E94" s="1754" t="s">
        <v>583</v>
      </c>
      <c r="F94" s="1756">
        <v>7292749024</v>
      </c>
      <c r="G94" s="1578">
        <v>-3731363701</v>
      </c>
      <c r="H94" s="1806"/>
      <c r="I94" s="547">
        <v>-2112604989</v>
      </c>
      <c r="J94" s="1745">
        <v>168237954</v>
      </c>
      <c r="K94" s="1625"/>
      <c r="L94" s="547"/>
      <c r="M94" s="1745"/>
      <c r="N94" s="1745"/>
      <c r="O94" s="1746"/>
      <c r="P94" s="1746"/>
      <c r="Q94" s="1745"/>
      <c r="R94" s="1745"/>
      <c r="S94" s="1745"/>
      <c r="T94" s="1745"/>
      <c r="U94" s="989">
        <f t="shared" si="9"/>
        <v>1617018288</v>
      </c>
      <c r="V94" s="1745">
        <v>6059021931</v>
      </c>
      <c r="W94" s="1264">
        <f t="shared" si="11"/>
        <v>1617</v>
      </c>
      <c r="X94" s="547">
        <f t="shared" si="10"/>
        <v>6059</v>
      </c>
      <c r="Y94" s="1747"/>
      <c r="Z94" s="1748"/>
      <c r="AA94" s="1749">
        <f t="shared" si="12"/>
        <v>1617018288</v>
      </c>
      <c r="AB94" s="1750">
        <f t="shared" si="13"/>
        <v>1617</v>
      </c>
    </row>
    <row r="95" spans="1:28" ht="27" hidden="1" customHeight="1">
      <c r="A95" s="531"/>
      <c r="B95" s="531">
        <v>1301</v>
      </c>
      <c r="C95" s="529">
        <v>19</v>
      </c>
      <c r="D95" s="530" t="s">
        <v>9</v>
      </c>
      <c r="E95" s="1028" t="s">
        <v>590</v>
      </c>
      <c r="F95" s="1580">
        <v>-12240272009994</v>
      </c>
      <c r="G95" s="1576">
        <v>33868667838</v>
      </c>
      <c r="H95" s="1580">
        <v>-5173721008</v>
      </c>
      <c r="I95" s="547">
        <v>-427695136841</v>
      </c>
      <c r="J95" s="1745">
        <v>2939233661</v>
      </c>
      <c r="K95" s="547"/>
      <c r="L95" s="547"/>
      <c r="M95" s="1745"/>
      <c r="N95" s="547"/>
      <c r="O95" s="990"/>
      <c r="P95" s="990"/>
      <c r="Q95" s="547"/>
      <c r="R95" s="547"/>
      <c r="S95" s="1745"/>
      <c r="T95" s="547"/>
      <c r="U95" s="1671">
        <f t="shared" si="9"/>
        <v>-12636332966344</v>
      </c>
      <c r="V95" s="547">
        <v>-9884175869242</v>
      </c>
      <c r="W95" s="1264">
        <f t="shared" si="11"/>
        <v>-12636333</v>
      </c>
      <c r="X95" s="547">
        <f t="shared" si="10"/>
        <v>-9884176</v>
      </c>
      <c r="Y95" s="566"/>
      <c r="Z95" s="567"/>
      <c r="AA95" s="989">
        <f t="shared" si="12"/>
        <v>-12636332966344</v>
      </c>
      <c r="AB95" s="812">
        <f t="shared" si="13"/>
        <v>-12636333</v>
      </c>
    </row>
    <row r="96" spans="1:28" ht="27" hidden="1" customHeight="1">
      <c r="A96" s="531"/>
      <c r="B96" s="531">
        <v>1018</v>
      </c>
      <c r="C96" s="529">
        <v>17</v>
      </c>
      <c r="D96" s="530" t="s">
        <v>501</v>
      </c>
      <c r="E96" s="1028" t="s">
        <v>695</v>
      </c>
      <c r="F96" s="547">
        <v>-10000000</v>
      </c>
      <c r="G96" s="1576"/>
      <c r="H96" s="547"/>
      <c r="I96" s="547"/>
      <c r="J96" s="1746"/>
      <c r="K96" s="547"/>
      <c r="L96" s="547"/>
      <c r="M96" s="1745"/>
      <c r="N96" s="547"/>
      <c r="O96" s="990"/>
      <c r="P96" s="990"/>
      <c r="Q96" s="547"/>
      <c r="R96" s="547"/>
      <c r="S96" s="1745"/>
      <c r="T96" s="547"/>
      <c r="U96" s="989">
        <f t="shared" si="9"/>
        <v>-10000000</v>
      </c>
      <c r="V96" s="547">
        <v>-10000000</v>
      </c>
      <c r="W96" s="1264">
        <f t="shared" si="11"/>
        <v>-10</v>
      </c>
      <c r="X96" s="547">
        <f t="shared" si="10"/>
        <v>-10</v>
      </c>
      <c r="Y96" s="566"/>
      <c r="Z96" s="567"/>
      <c r="AA96" s="989">
        <f t="shared" si="12"/>
        <v>-10000000</v>
      </c>
      <c r="AB96" s="812">
        <f t="shared" si="13"/>
        <v>-10</v>
      </c>
    </row>
    <row r="97" spans="1:28" ht="27" hidden="1" customHeight="1">
      <c r="A97" s="1742">
        <v>3214</v>
      </c>
      <c r="B97" s="1742">
        <v>1007</v>
      </c>
      <c r="C97" s="1743">
        <v>17</v>
      </c>
      <c r="D97" s="1753" t="s">
        <v>501</v>
      </c>
      <c r="E97" s="1754" t="s">
        <v>695</v>
      </c>
      <c r="F97" s="1745"/>
      <c r="G97" s="1755"/>
      <c r="H97" s="1745"/>
      <c r="I97" s="1745"/>
      <c r="J97" s="1746"/>
      <c r="K97" s="1745"/>
      <c r="L97" s="1745"/>
      <c r="M97" s="1745"/>
      <c r="N97" s="1745"/>
      <c r="O97" s="1746"/>
      <c r="P97" s="1746"/>
      <c r="Q97" s="1745"/>
      <c r="R97" s="1745"/>
      <c r="S97" s="1745"/>
      <c r="T97" s="1745"/>
      <c r="U97" s="989">
        <f t="shared" si="9"/>
        <v>0</v>
      </c>
      <c r="V97" s="547">
        <v>-7946110209</v>
      </c>
      <c r="W97" s="1264">
        <f t="shared" si="11"/>
        <v>0</v>
      </c>
      <c r="X97" s="547">
        <f t="shared" si="10"/>
        <v>-7946</v>
      </c>
      <c r="Y97" s="1747"/>
      <c r="Z97" s="1748"/>
      <c r="AA97" s="989">
        <f t="shared" si="12"/>
        <v>0</v>
      </c>
      <c r="AB97" s="812">
        <f t="shared" si="13"/>
        <v>0</v>
      </c>
    </row>
    <row r="98" spans="1:28" ht="27" hidden="1" customHeight="1">
      <c r="A98" s="531"/>
      <c r="B98" s="531">
        <v>1018</v>
      </c>
      <c r="C98" s="529">
        <v>17</v>
      </c>
      <c r="D98" s="530" t="s">
        <v>999</v>
      </c>
      <c r="E98" s="1028" t="s">
        <v>1000</v>
      </c>
      <c r="F98" s="547">
        <v>-9317180</v>
      </c>
      <c r="G98" s="1576"/>
      <c r="H98" s="547"/>
      <c r="I98" s="547"/>
      <c r="J98" s="1746"/>
      <c r="K98" s="547"/>
      <c r="L98" s="547"/>
      <c r="M98" s="1745"/>
      <c r="N98" s="547"/>
      <c r="O98" s="990"/>
      <c r="P98" s="990"/>
      <c r="Q98" s="547"/>
      <c r="R98" s="547"/>
      <c r="S98" s="1745"/>
      <c r="T98" s="547"/>
      <c r="U98" s="989">
        <f t="shared" si="9"/>
        <v>-9317180</v>
      </c>
      <c r="V98" s="547">
        <v>-9317180</v>
      </c>
      <c r="W98" s="1264">
        <f t="shared" si="11"/>
        <v>-9</v>
      </c>
      <c r="X98" s="547">
        <f t="shared" si="10"/>
        <v>-9</v>
      </c>
      <c r="Y98" s="566"/>
      <c r="Z98" s="567"/>
      <c r="AA98" s="989">
        <f t="shared" si="12"/>
        <v>-9317180</v>
      </c>
      <c r="AB98" s="812">
        <f t="shared" si="13"/>
        <v>-9</v>
      </c>
    </row>
    <row r="99" spans="1:28" ht="27" hidden="1" customHeight="1">
      <c r="A99" s="531"/>
      <c r="B99" s="531">
        <v>1018</v>
      </c>
      <c r="C99" s="529">
        <v>17</v>
      </c>
      <c r="D99" s="530" t="s">
        <v>982</v>
      </c>
      <c r="E99" s="1028" t="s">
        <v>983</v>
      </c>
      <c r="F99" s="1580"/>
      <c r="G99" s="1576"/>
      <c r="H99" s="547"/>
      <c r="I99" s="547"/>
      <c r="J99" s="1745"/>
      <c r="K99" s="547"/>
      <c r="L99" s="547"/>
      <c r="M99" s="1745"/>
      <c r="N99" s="547"/>
      <c r="O99" s="990"/>
      <c r="P99" s="990"/>
      <c r="Q99" s="547"/>
      <c r="R99" s="547"/>
      <c r="S99" s="1745"/>
      <c r="T99" s="547"/>
      <c r="U99" s="989">
        <f t="shared" si="9"/>
        <v>0</v>
      </c>
      <c r="V99" s="547">
        <v>0</v>
      </c>
      <c r="W99" s="1264">
        <f t="shared" si="11"/>
        <v>0</v>
      </c>
      <c r="X99" s="547">
        <f t="shared" si="10"/>
        <v>0</v>
      </c>
      <c r="Y99" s="566"/>
      <c r="Z99" s="567"/>
      <c r="AA99" s="989">
        <f t="shared" si="12"/>
        <v>0</v>
      </c>
      <c r="AB99" s="812">
        <f t="shared" si="13"/>
        <v>0</v>
      </c>
    </row>
    <row r="100" spans="1:28" ht="27" hidden="1" customHeight="1">
      <c r="A100" s="531"/>
      <c r="B100" s="531">
        <v>428</v>
      </c>
      <c r="C100" s="529">
        <v>11</v>
      </c>
      <c r="D100" s="530" t="s">
        <v>572</v>
      </c>
      <c r="E100" s="1028" t="s">
        <v>168</v>
      </c>
      <c r="F100" s="1580">
        <v>9724992067</v>
      </c>
      <c r="G100" s="1578">
        <v>685922523</v>
      </c>
      <c r="H100" s="1806"/>
      <c r="I100" s="547">
        <v>-120928300</v>
      </c>
      <c r="J100" s="1745"/>
      <c r="K100" s="1625"/>
      <c r="L100" s="1775"/>
      <c r="M100" s="1775"/>
      <c r="N100" s="1625"/>
      <c r="O100" s="990"/>
      <c r="P100" s="990"/>
      <c r="Q100" s="547"/>
      <c r="R100" s="547"/>
      <c r="S100" s="1745"/>
      <c r="T100" s="547"/>
      <c r="U100" s="989">
        <f t="shared" si="9"/>
        <v>10289986290</v>
      </c>
      <c r="V100" s="547">
        <v>4061993425</v>
      </c>
      <c r="W100" s="1264">
        <f t="shared" si="11"/>
        <v>10290</v>
      </c>
      <c r="X100" s="547">
        <f t="shared" si="10"/>
        <v>4062</v>
      </c>
      <c r="Y100" s="566"/>
      <c r="Z100" s="567"/>
      <c r="AA100" s="989">
        <f t="shared" si="12"/>
        <v>10289986290</v>
      </c>
      <c r="AB100" s="812">
        <f t="shared" si="13"/>
        <v>10290</v>
      </c>
    </row>
    <row r="101" spans="1:28" ht="27" hidden="1" customHeight="1">
      <c r="A101" s="531"/>
      <c r="B101" s="531">
        <v>1018</v>
      </c>
      <c r="C101" s="529">
        <v>17</v>
      </c>
      <c r="D101" s="530" t="s">
        <v>889</v>
      </c>
      <c r="E101" s="1028" t="s">
        <v>891</v>
      </c>
      <c r="F101" s="1576"/>
      <c r="G101" s="1576"/>
      <c r="H101" s="547"/>
      <c r="I101" s="547"/>
      <c r="J101" s="1745"/>
      <c r="K101" s="547"/>
      <c r="L101" s="547"/>
      <c r="M101" s="1745"/>
      <c r="N101" s="547"/>
      <c r="O101" s="990"/>
      <c r="P101" s="990"/>
      <c r="Q101" s="547"/>
      <c r="R101" s="547"/>
      <c r="S101" s="1745"/>
      <c r="T101" s="547"/>
      <c r="U101" s="989">
        <f t="shared" si="9"/>
        <v>0</v>
      </c>
      <c r="V101" s="547">
        <v>0</v>
      </c>
      <c r="W101" s="1264">
        <f t="shared" si="11"/>
        <v>0</v>
      </c>
      <c r="X101" s="547">
        <f t="shared" si="10"/>
        <v>0</v>
      </c>
      <c r="Y101" s="566"/>
      <c r="Z101" s="567"/>
      <c r="AA101" s="989">
        <f t="shared" si="12"/>
        <v>0</v>
      </c>
      <c r="AB101" s="812">
        <f t="shared" si="13"/>
        <v>0</v>
      </c>
    </row>
    <row r="102" spans="1:28" ht="27" hidden="1" customHeight="1">
      <c r="A102" s="531"/>
      <c r="B102" s="531">
        <v>1018</v>
      </c>
      <c r="C102" s="529">
        <v>17</v>
      </c>
      <c r="D102" s="530" t="s">
        <v>845</v>
      </c>
      <c r="E102" s="1028" t="s">
        <v>899</v>
      </c>
      <c r="F102" s="1580">
        <v>-182670000</v>
      </c>
      <c r="G102" s="1576"/>
      <c r="H102" s="547"/>
      <c r="I102" s="547">
        <v>182670000</v>
      </c>
      <c r="J102" s="1745"/>
      <c r="K102" s="547"/>
      <c r="L102" s="1625"/>
      <c r="M102" s="1760"/>
      <c r="N102" s="547"/>
      <c r="O102" s="990"/>
      <c r="P102" s="990"/>
      <c r="Q102" s="547"/>
      <c r="R102" s="547"/>
      <c r="S102" s="1745"/>
      <c r="T102" s="547"/>
      <c r="U102" s="989">
        <f t="shared" si="9"/>
        <v>0</v>
      </c>
      <c r="V102" s="547">
        <v>0</v>
      </c>
      <c r="W102" s="1264">
        <f t="shared" si="11"/>
        <v>0</v>
      </c>
      <c r="X102" s="547">
        <f t="shared" si="10"/>
        <v>0</v>
      </c>
      <c r="Y102" s="566"/>
      <c r="Z102" s="567"/>
      <c r="AA102" s="989">
        <f t="shared" si="12"/>
        <v>0</v>
      </c>
      <c r="AB102" s="812">
        <f t="shared" si="13"/>
        <v>0</v>
      </c>
    </row>
    <row r="103" spans="1:28" ht="27" hidden="1" customHeight="1">
      <c r="A103" s="531"/>
      <c r="B103" s="531">
        <v>1018</v>
      </c>
      <c r="C103" s="529">
        <v>17</v>
      </c>
      <c r="D103" s="530" t="s">
        <v>892</v>
      </c>
      <c r="E103" s="1028" t="s">
        <v>1181</v>
      </c>
      <c r="F103" s="1580">
        <v>-3153619</v>
      </c>
      <c r="G103" s="1576"/>
      <c r="H103" s="547"/>
      <c r="I103" s="1745">
        <v>3153619</v>
      </c>
      <c r="J103" s="1745"/>
      <c r="K103" s="1745"/>
      <c r="L103" s="1625"/>
      <c r="M103" s="1760"/>
      <c r="N103" s="547"/>
      <c r="O103" s="990"/>
      <c r="P103" s="990"/>
      <c r="Q103" s="547"/>
      <c r="R103" s="547"/>
      <c r="S103" s="1745"/>
      <c r="T103" s="547"/>
      <c r="U103" s="989">
        <f t="shared" si="9"/>
        <v>0</v>
      </c>
      <c r="V103" s="547">
        <v>0</v>
      </c>
      <c r="W103" s="1264">
        <f t="shared" si="11"/>
        <v>0</v>
      </c>
      <c r="X103" s="547">
        <f t="shared" si="10"/>
        <v>0</v>
      </c>
      <c r="Y103" s="566"/>
      <c r="Z103" s="567"/>
      <c r="AA103" s="989">
        <f t="shared" si="12"/>
        <v>0</v>
      </c>
      <c r="AB103" s="812">
        <f t="shared" si="13"/>
        <v>0</v>
      </c>
    </row>
    <row r="104" spans="1:28" ht="27" hidden="1" customHeight="1">
      <c r="A104" s="1742"/>
      <c r="B104" s="1742">
        <v>1018</v>
      </c>
      <c r="C104" s="1743">
        <v>17</v>
      </c>
      <c r="D104" s="1753" t="s">
        <v>2236</v>
      </c>
      <c r="E104" s="1754" t="s">
        <v>2237</v>
      </c>
      <c r="F104" s="1744">
        <v>-12030000</v>
      </c>
      <c r="G104" s="1755">
        <v>-420000</v>
      </c>
      <c r="H104" s="1745"/>
      <c r="I104" s="1745">
        <v>12030000</v>
      </c>
      <c r="J104" s="1745"/>
      <c r="K104" s="1745"/>
      <c r="L104" s="1760"/>
      <c r="M104" s="1760"/>
      <c r="N104" s="1745"/>
      <c r="O104" s="1746"/>
      <c r="P104" s="1746"/>
      <c r="Q104" s="1745"/>
      <c r="R104" s="1745"/>
      <c r="S104" s="1745"/>
      <c r="T104" s="1745"/>
      <c r="U104" s="1749">
        <f t="shared" si="9"/>
        <v>-420000</v>
      </c>
      <c r="V104" s="1745">
        <v>0</v>
      </c>
      <c r="W104" s="1781">
        <f t="shared" si="11"/>
        <v>0</v>
      </c>
      <c r="X104" s="547">
        <f t="shared" si="10"/>
        <v>0</v>
      </c>
      <c r="Y104" s="1747"/>
      <c r="Z104" s="1748"/>
      <c r="AA104" s="1749">
        <f t="shared" si="12"/>
        <v>-420000</v>
      </c>
      <c r="AB104" s="1750">
        <f t="shared" si="13"/>
        <v>0</v>
      </c>
    </row>
    <row r="105" spans="1:28" ht="27" hidden="1" customHeight="1">
      <c r="A105" s="1742"/>
      <c r="B105" s="1742">
        <v>1018</v>
      </c>
      <c r="C105" s="1743">
        <v>17</v>
      </c>
      <c r="D105" s="1753" t="s">
        <v>2234</v>
      </c>
      <c r="E105" s="1754" t="s">
        <v>2235</v>
      </c>
      <c r="F105" s="1744">
        <v>-3312942017</v>
      </c>
      <c r="G105" s="1755"/>
      <c r="H105" s="1745"/>
      <c r="I105" s="1745"/>
      <c r="J105" s="1745"/>
      <c r="K105" s="1745"/>
      <c r="L105" s="1760"/>
      <c r="M105" s="1760"/>
      <c r="N105" s="1745"/>
      <c r="O105" s="1746"/>
      <c r="P105" s="1746"/>
      <c r="Q105" s="1745"/>
      <c r="R105" s="1745"/>
      <c r="S105" s="1745"/>
      <c r="T105" s="1745"/>
      <c r="U105" s="989">
        <f t="shared" si="9"/>
        <v>-3312942017</v>
      </c>
      <c r="V105" s="1745">
        <v>-157317876</v>
      </c>
      <c r="W105" s="1264">
        <f t="shared" si="11"/>
        <v>-3313</v>
      </c>
      <c r="X105" s="547">
        <f t="shared" si="10"/>
        <v>-157</v>
      </c>
      <c r="Y105" s="1747"/>
      <c r="Z105" s="1748"/>
      <c r="AA105" s="989">
        <f t="shared" si="12"/>
        <v>-3312942017</v>
      </c>
      <c r="AB105" s="812">
        <f t="shared" si="13"/>
        <v>-3313</v>
      </c>
    </row>
    <row r="106" spans="1:28" ht="27" hidden="1" customHeight="1">
      <c r="A106" s="531"/>
      <c r="B106" s="531">
        <v>1018</v>
      </c>
      <c r="C106" s="529">
        <v>17</v>
      </c>
      <c r="D106" s="530" t="s">
        <v>1182</v>
      </c>
      <c r="E106" s="1028" t="s">
        <v>1183</v>
      </c>
      <c r="F106" s="1576"/>
      <c r="G106" s="1576"/>
      <c r="H106" s="547"/>
      <c r="I106" s="547"/>
      <c r="J106" s="1745"/>
      <c r="K106" s="547"/>
      <c r="L106" s="547"/>
      <c r="M106" s="1745"/>
      <c r="N106" s="547"/>
      <c r="O106" s="990"/>
      <c r="P106" s="990"/>
      <c r="Q106" s="547"/>
      <c r="R106" s="547"/>
      <c r="S106" s="1745"/>
      <c r="T106" s="547"/>
      <c r="U106" s="989">
        <f t="shared" si="9"/>
        <v>0</v>
      </c>
      <c r="V106" s="547">
        <v>0</v>
      </c>
      <c r="W106" s="1264">
        <f t="shared" si="11"/>
        <v>0</v>
      </c>
      <c r="X106" s="547">
        <f t="shared" ref="X106:X147" si="14">ROUND((V106/1000000),0)</f>
        <v>0</v>
      </c>
      <c r="Y106" s="566"/>
      <c r="Z106" s="567"/>
      <c r="AA106" s="989">
        <f t="shared" si="12"/>
        <v>0</v>
      </c>
      <c r="AB106" s="812">
        <f t="shared" si="13"/>
        <v>0</v>
      </c>
    </row>
    <row r="107" spans="1:28" ht="27" hidden="1" customHeight="1">
      <c r="A107" s="531"/>
      <c r="B107" s="531">
        <v>1018</v>
      </c>
      <c r="C107" s="529">
        <v>17</v>
      </c>
      <c r="D107" s="530" t="s">
        <v>1184</v>
      </c>
      <c r="E107" s="1028" t="s">
        <v>1185</v>
      </c>
      <c r="F107" s="1580"/>
      <c r="G107" s="1576"/>
      <c r="H107" s="547"/>
      <c r="I107" s="547"/>
      <c r="J107" s="1745"/>
      <c r="K107" s="547"/>
      <c r="L107" s="547"/>
      <c r="M107" s="1745"/>
      <c r="N107" s="547"/>
      <c r="O107" s="990"/>
      <c r="P107" s="990"/>
      <c r="Q107" s="547"/>
      <c r="R107" s="547"/>
      <c r="S107" s="1745"/>
      <c r="T107" s="547"/>
      <c r="U107" s="989">
        <f t="shared" si="9"/>
        <v>0</v>
      </c>
      <c r="V107" s="547">
        <v>0</v>
      </c>
      <c r="W107" s="1264">
        <f t="shared" si="11"/>
        <v>0</v>
      </c>
      <c r="X107" s="547">
        <f t="shared" si="14"/>
        <v>0</v>
      </c>
      <c r="Y107" s="566"/>
      <c r="Z107" s="567"/>
      <c r="AA107" s="989">
        <f t="shared" si="12"/>
        <v>0</v>
      </c>
      <c r="AB107" s="812">
        <f t="shared" si="13"/>
        <v>0</v>
      </c>
    </row>
    <row r="108" spans="1:28" ht="27" hidden="1" customHeight="1">
      <c r="A108" s="1742"/>
      <c r="B108" s="1742">
        <v>1018</v>
      </c>
      <c r="C108" s="1743">
        <v>17</v>
      </c>
      <c r="D108" s="1753" t="s">
        <v>2232</v>
      </c>
      <c r="E108" s="1754" t="s">
        <v>2233</v>
      </c>
      <c r="F108" s="1744">
        <v>-13770000</v>
      </c>
      <c r="G108" s="1755"/>
      <c r="H108" s="1745"/>
      <c r="I108" s="1745">
        <v>13770000</v>
      </c>
      <c r="J108" s="1745"/>
      <c r="K108" s="1745"/>
      <c r="L108" s="1775"/>
      <c r="M108" s="1775"/>
      <c r="N108" s="1745"/>
      <c r="O108" s="1746"/>
      <c r="P108" s="1746"/>
      <c r="Q108" s="1745"/>
      <c r="R108" s="1745"/>
      <c r="S108" s="1745"/>
      <c r="T108" s="1745"/>
      <c r="U108" s="989">
        <f t="shared" si="9"/>
        <v>0</v>
      </c>
      <c r="V108" s="1745">
        <v>0</v>
      </c>
      <c r="W108" s="1264">
        <f t="shared" si="11"/>
        <v>0</v>
      </c>
      <c r="X108" s="1745"/>
      <c r="Y108" s="1747"/>
      <c r="Z108" s="1748"/>
      <c r="AA108" s="989">
        <f t="shared" si="12"/>
        <v>0</v>
      </c>
      <c r="AB108" s="812">
        <f t="shared" si="13"/>
        <v>0</v>
      </c>
    </row>
    <row r="109" spans="1:28" ht="27" hidden="1" customHeight="1">
      <c r="A109" s="531"/>
      <c r="B109" s="531">
        <v>1018</v>
      </c>
      <c r="C109" s="529">
        <v>17</v>
      </c>
      <c r="D109" s="530" t="s">
        <v>1186</v>
      </c>
      <c r="E109" s="1028" t="s">
        <v>1187</v>
      </c>
      <c r="F109" s="1580"/>
      <c r="G109" s="1576"/>
      <c r="H109" s="547"/>
      <c r="I109" s="547"/>
      <c r="J109" s="1745"/>
      <c r="K109" s="547"/>
      <c r="L109" s="1811"/>
      <c r="M109" s="1811"/>
      <c r="N109" s="547"/>
      <c r="O109" s="990"/>
      <c r="P109" s="990"/>
      <c r="Q109" s="547"/>
      <c r="R109" s="547"/>
      <c r="S109" s="1745"/>
      <c r="T109" s="547"/>
      <c r="U109" s="989">
        <f t="shared" si="9"/>
        <v>0</v>
      </c>
      <c r="V109" s="547">
        <v>0</v>
      </c>
      <c r="W109" s="1264">
        <f t="shared" si="11"/>
        <v>0</v>
      </c>
      <c r="X109" s="547">
        <f t="shared" si="14"/>
        <v>0</v>
      </c>
      <c r="Y109" s="566"/>
      <c r="Z109" s="567"/>
      <c r="AA109" s="989">
        <f t="shared" si="12"/>
        <v>0</v>
      </c>
      <c r="AB109" s="812">
        <f t="shared" si="13"/>
        <v>0</v>
      </c>
    </row>
    <row r="110" spans="1:28" ht="27" hidden="1" customHeight="1">
      <c r="A110" s="531"/>
      <c r="B110" s="531">
        <v>1018</v>
      </c>
      <c r="C110" s="529">
        <v>17</v>
      </c>
      <c r="D110" s="530" t="s">
        <v>844</v>
      </c>
      <c r="E110" s="1028" t="s">
        <v>1188</v>
      </c>
      <c r="F110" s="1580">
        <v>-240000</v>
      </c>
      <c r="G110" s="1576"/>
      <c r="H110" s="547"/>
      <c r="I110" s="1745">
        <v>240000</v>
      </c>
      <c r="J110" s="1745"/>
      <c r="K110" s="547"/>
      <c r="L110" s="1811"/>
      <c r="M110" s="1811"/>
      <c r="N110" s="547"/>
      <c r="O110" s="990"/>
      <c r="P110" s="990"/>
      <c r="Q110" s="547"/>
      <c r="R110" s="547"/>
      <c r="S110" s="1745"/>
      <c r="T110" s="547"/>
      <c r="U110" s="989">
        <f t="shared" si="9"/>
        <v>0</v>
      </c>
      <c r="V110" s="547">
        <v>0</v>
      </c>
      <c r="W110" s="1264">
        <f t="shared" si="11"/>
        <v>0</v>
      </c>
      <c r="X110" s="547">
        <f t="shared" si="14"/>
        <v>0</v>
      </c>
      <c r="Y110" s="566"/>
      <c r="Z110" s="567"/>
      <c r="AA110" s="989">
        <f t="shared" si="12"/>
        <v>0</v>
      </c>
      <c r="AB110" s="812">
        <f t="shared" si="13"/>
        <v>0</v>
      </c>
    </row>
    <row r="111" spans="1:28" ht="27" hidden="1" customHeight="1">
      <c r="A111" s="531"/>
      <c r="B111" s="531">
        <v>406</v>
      </c>
      <c r="C111" s="529">
        <v>11</v>
      </c>
      <c r="D111" s="530" t="s">
        <v>1247</v>
      </c>
      <c r="E111" s="1028" t="s">
        <v>1105</v>
      </c>
      <c r="F111" s="1576"/>
      <c r="G111" s="1576"/>
      <c r="H111" s="547"/>
      <c r="I111" s="547"/>
      <c r="J111" s="1745"/>
      <c r="K111" s="547"/>
      <c r="L111" s="1775"/>
      <c r="M111" s="1775"/>
      <c r="N111" s="547"/>
      <c r="O111" s="990"/>
      <c r="P111" s="990"/>
      <c r="Q111" s="547"/>
      <c r="R111" s="547"/>
      <c r="S111" s="1745"/>
      <c r="T111" s="547"/>
      <c r="U111" s="989">
        <f t="shared" si="9"/>
        <v>0</v>
      </c>
      <c r="V111" s="547">
        <v>450000</v>
      </c>
      <c r="W111" s="1264">
        <f t="shared" si="11"/>
        <v>0</v>
      </c>
      <c r="X111" s="547">
        <f t="shared" si="14"/>
        <v>0</v>
      </c>
      <c r="Y111" s="566"/>
      <c r="Z111" s="567"/>
      <c r="AA111" s="989">
        <f t="shared" ref="AA111:AA145" si="15">U111+Z111-Y111</f>
        <v>0</v>
      </c>
      <c r="AB111" s="812">
        <f t="shared" ref="AB111:AB145" si="16">ROUND((AA111/1000000),0)</f>
        <v>0</v>
      </c>
    </row>
    <row r="112" spans="1:28" ht="27" hidden="1" customHeight="1">
      <c r="A112" s="531"/>
      <c r="B112" s="531">
        <v>428</v>
      </c>
      <c r="C112" s="529">
        <v>11</v>
      </c>
      <c r="D112" s="530" t="s">
        <v>239</v>
      </c>
      <c r="E112" s="1028" t="s">
        <v>1601</v>
      </c>
      <c r="F112" s="1576">
        <v>4790220827</v>
      </c>
      <c r="G112" s="1755"/>
      <c r="H112" s="1745"/>
      <c r="I112" s="1745"/>
      <c r="J112" s="1745"/>
      <c r="K112" s="547"/>
      <c r="L112" s="547"/>
      <c r="M112" s="1745"/>
      <c r="N112" s="547"/>
      <c r="O112" s="990"/>
      <c r="P112" s="990"/>
      <c r="Q112" s="547"/>
      <c r="R112" s="547"/>
      <c r="S112" s="1745"/>
      <c r="T112" s="547"/>
      <c r="U112" s="989">
        <f t="shared" si="9"/>
        <v>4790220827</v>
      </c>
      <c r="V112" s="547">
        <v>3595906351</v>
      </c>
      <c r="W112" s="1264">
        <f t="shared" si="11"/>
        <v>4790</v>
      </c>
      <c r="X112" s="547">
        <f t="shared" si="14"/>
        <v>3596</v>
      </c>
      <c r="Y112" s="566"/>
      <c r="Z112" s="567"/>
      <c r="AA112" s="989">
        <f t="shared" si="15"/>
        <v>4790220827</v>
      </c>
      <c r="AB112" s="812">
        <f t="shared" si="16"/>
        <v>4790</v>
      </c>
    </row>
    <row r="113" spans="1:28" ht="27" hidden="1" customHeight="1">
      <c r="A113" s="1742"/>
      <c r="B113" s="1742">
        <v>406</v>
      </c>
      <c r="C113" s="1743">
        <v>11</v>
      </c>
      <c r="D113" s="1753" t="s">
        <v>1257</v>
      </c>
      <c r="E113" s="1754" t="s">
        <v>1029</v>
      </c>
      <c r="F113" s="1756">
        <v>57083817170</v>
      </c>
      <c r="G113" s="1758">
        <v>4965980567</v>
      </c>
      <c r="H113" s="1758">
        <v>-6058986377</v>
      </c>
      <c r="I113" s="1745">
        <v>-4948030271</v>
      </c>
      <c r="J113" s="1761">
        <v>-48942925110</v>
      </c>
      <c r="K113" s="1745">
        <v>-1905192879</v>
      </c>
      <c r="L113" s="1745"/>
      <c r="M113" s="1745"/>
      <c r="N113" s="1745"/>
      <c r="O113" s="1746"/>
      <c r="P113" s="1746"/>
      <c r="Q113" s="1745"/>
      <c r="R113" s="1745"/>
      <c r="S113" s="1745"/>
      <c r="T113" s="1745"/>
      <c r="U113" s="1749">
        <f t="shared" si="9"/>
        <v>194663100</v>
      </c>
      <c r="V113" s="1745">
        <v>1692355335</v>
      </c>
      <c r="W113" s="1264">
        <f t="shared" si="11"/>
        <v>195</v>
      </c>
      <c r="X113" s="547">
        <f t="shared" si="14"/>
        <v>1692</v>
      </c>
      <c r="Y113" s="1747"/>
      <c r="Z113" s="1748"/>
      <c r="AA113" s="1749">
        <f t="shared" si="15"/>
        <v>194663100</v>
      </c>
      <c r="AB113" s="1750">
        <f t="shared" si="16"/>
        <v>195</v>
      </c>
    </row>
    <row r="114" spans="1:28" ht="27" hidden="1" customHeight="1">
      <c r="A114" s="531"/>
      <c r="B114" s="531">
        <v>1018</v>
      </c>
      <c r="C114" s="529">
        <v>17</v>
      </c>
      <c r="D114" s="530" t="s">
        <v>989</v>
      </c>
      <c r="E114" s="1028" t="s">
        <v>990</v>
      </c>
      <c r="F114" s="1576"/>
      <c r="G114" s="1755"/>
      <c r="H114" s="1745"/>
      <c r="I114" s="1745"/>
      <c r="J114" s="1745"/>
      <c r="K114" s="547"/>
      <c r="L114" s="547"/>
      <c r="M114" s="1745"/>
      <c r="N114" s="547"/>
      <c r="O114" s="990"/>
      <c r="P114" s="990"/>
      <c r="Q114" s="547"/>
      <c r="R114" s="547"/>
      <c r="S114" s="1745"/>
      <c r="T114" s="547"/>
      <c r="U114" s="989">
        <f t="shared" si="9"/>
        <v>0</v>
      </c>
      <c r="V114" s="547">
        <v>0</v>
      </c>
      <c r="W114" s="1264">
        <f t="shared" si="11"/>
        <v>0</v>
      </c>
      <c r="X114" s="547">
        <f t="shared" si="14"/>
        <v>0</v>
      </c>
      <c r="Y114" s="566"/>
      <c r="Z114" s="567"/>
      <c r="AA114" s="989">
        <f t="shared" si="15"/>
        <v>0</v>
      </c>
      <c r="AB114" s="812">
        <f t="shared" si="16"/>
        <v>0</v>
      </c>
    </row>
    <row r="115" spans="1:28" ht="27" hidden="1" customHeight="1">
      <c r="A115" s="531"/>
      <c r="B115" s="531">
        <v>1018</v>
      </c>
      <c r="C115" s="529">
        <v>17</v>
      </c>
      <c r="D115" s="530" t="s">
        <v>991</v>
      </c>
      <c r="E115" s="1028" t="s">
        <v>992</v>
      </c>
      <c r="F115" s="1576"/>
      <c r="G115" s="1755"/>
      <c r="H115" s="1745"/>
      <c r="I115" s="1745"/>
      <c r="J115" s="1745"/>
      <c r="K115" s="547"/>
      <c r="L115" s="547"/>
      <c r="M115" s="1745"/>
      <c r="N115" s="547"/>
      <c r="O115" s="990"/>
      <c r="P115" s="990"/>
      <c r="Q115" s="547"/>
      <c r="R115" s="547"/>
      <c r="S115" s="1745"/>
      <c r="T115" s="547"/>
      <c r="U115" s="989">
        <f t="shared" si="9"/>
        <v>0</v>
      </c>
      <c r="V115" s="547">
        <v>0</v>
      </c>
      <c r="W115" s="1264">
        <f t="shared" si="11"/>
        <v>0</v>
      </c>
      <c r="X115" s="547">
        <f t="shared" si="14"/>
        <v>0</v>
      </c>
      <c r="Y115" s="566"/>
      <c r="Z115" s="567"/>
      <c r="AA115" s="989">
        <f t="shared" si="15"/>
        <v>0</v>
      </c>
      <c r="AB115" s="812">
        <f t="shared" si="16"/>
        <v>0</v>
      </c>
    </row>
    <row r="116" spans="1:28" ht="27" hidden="1" customHeight="1">
      <c r="A116" s="531"/>
      <c r="B116" s="531">
        <v>406</v>
      </c>
      <c r="C116" s="529">
        <v>11</v>
      </c>
      <c r="D116" s="530" t="s">
        <v>565</v>
      </c>
      <c r="E116" s="1028" t="s">
        <v>566</v>
      </c>
      <c r="F116" s="1579">
        <v>1659038740</v>
      </c>
      <c r="G116" s="1755"/>
      <c r="H116" s="1745"/>
      <c r="I116" s="1745"/>
      <c r="J116" s="1745"/>
      <c r="K116" s="547"/>
      <c r="L116" s="1775"/>
      <c r="M116" s="1775"/>
      <c r="N116" s="547"/>
      <c r="O116" s="990"/>
      <c r="P116" s="990"/>
      <c r="Q116" s="547"/>
      <c r="R116" s="547"/>
      <c r="S116" s="1745"/>
      <c r="T116" s="547"/>
      <c r="U116" s="989">
        <f t="shared" si="9"/>
        <v>1659038740</v>
      </c>
      <c r="V116" s="547">
        <v>1659038740</v>
      </c>
      <c r="W116" s="1264">
        <f t="shared" si="11"/>
        <v>1659</v>
      </c>
      <c r="X116" s="547">
        <f t="shared" si="14"/>
        <v>1659</v>
      </c>
      <c r="Y116" s="566"/>
      <c r="Z116" s="567"/>
      <c r="AA116" s="989">
        <f t="shared" si="15"/>
        <v>1659038740</v>
      </c>
      <c r="AB116" s="812">
        <f t="shared" si="16"/>
        <v>1659</v>
      </c>
    </row>
    <row r="117" spans="1:28" ht="27" hidden="1" customHeight="1">
      <c r="A117" s="531"/>
      <c r="B117" s="531">
        <v>428</v>
      </c>
      <c r="C117" s="529">
        <v>11</v>
      </c>
      <c r="D117" s="530" t="s">
        <v>109</v>
      </c>
      <c r="E117" s="1028" t="s">
        <v>839</v>
      </c>
      <c r="F117" s="1579">
        <v>2100501504</v>
      </c>
      <c r="G117" s="1576">
        <v>420100301</v>
      </c>
      <c r="H117" s="547"/>
      <c r="I117" s="547"/>
      <c r="J117" s="1745"/>
      <c r="K117" s="547"/>
      <c r="L117" s="547"/>
      <c r="M117" s="1745"/>
      <c r="N117" s="547"/>
      <c r="O117" s="990"/>
      <c r="P117" s="990"/>
      <c r="Q117" s="547"/>
      <c r="R117" s="547"/>
      <c r="S117" s="1745"/>
      <c r="T117" s="547"/>
      <c r="U117" s="989">
        <f t="shared" si="9"/>
        <v>2520601805</v>
      </c>
      <c r="V117" s="547">
        <v>3320710312</v>
      </c>
      <c r="W117" s="1264">
        <f t="shared" si="11"/>
        <v>2521</v>
      </c>
      <c r="X117" s="547">
        <f t="shared" si="14"/>
        <v>3321</v>
      </c>
      <c r="Y117" s="566"/>
      <c r="Z117" s="567"/>
      <c r="AA117" s="989">
        <f t="shared" si="15"/>
        <v>2520601805</v>
      </c>
      <c r="AB117" s="812">
        <f t="shared" si="16"/>
        <v>2521</v>
      </c>
    </row>
    <row r="118" spans="1:28" ht="27" hidden="1" customHeight="1">
      <c r="A118" s="531"/>
      <c r="B118" s="531">
        <v>428</v>
      </c>
      <c r="C118" s="529">
        <v>11</v>
      </c>
      <c r="D118" s="530" t="s">
        <v>306</v>
      </c>
      <c r="E118" s="1028" t="s">
        <v>307</v>
      </c>
      <c r="F118" s="1576">
        <v>-1182190351</v>
      </c>
      <c r="G118" s="1578">
        <v>47473860</v>
      </c>
      <c r="H118" s="547">
        <v>-610352040</v>
      </c>
      <c r="I118" s="547"/>
      <c r="J118" s="1745">
        <v>2570286202</v>
      </c>
      <c r="K118" s="547"/>
      <c r="L118" s="1775"/>
      <c r="M118" s="1775"/>
      <c r="N118" s="547"/>
      <c r="O118" s="990"/>
      <c r="P118" s="990"/>
      <c r="Q118" s="547"/>
      <c r="R118" s="547"/>
      <c r="S118" s="1745"/>
      <c r="T118" s="547"/>
      <c r="U118" s="989">
        <f t="shared" si="9"/>
        <v>825217671</v>
      </c>
      <c r="V118" s="547">
        <v>0</v>
      </c>
      <c r="W118" s="1264">
        <f t="shared" si="11"/>
        <v>825</v>
      </c>
      <c r="X118" s="547">
        <f t="shared" si="14"/>
        <v>0</v>
      </c>
      <c r="Y118" s="566"/>
      <c r="Z118" s="567"/>
      <c r="AA118" s="989">
        <f t="shared" si="15"/>
        <v>825217671</v>
      </c>
      <c r="AB118" s="812">
        <f t="shared" si="16"/>
        <v>825</v>
      </c>
    </row>
    <row r="119" spans="1:28" ht="27" hidden="1" customHeight="1">
      <c r="A119" s="531"/>
      <c r="B119" s="531">
        <v>1018</v>
      </c>
      <c r="C119" s="529">
        <v>17</v>
      </c>
      <c r="D119" s="530" t="s">
        <v>993</v>
      </c>
      <c r="E119" s="1028" t="s">
        <v>994</v>
      </c>
      <c r="F119" s="1580"/>
      <c r="G119" s="1576"/>
      <c r="H119" s="547"/>
      <c r="I119" s="1625"/>
      <c r="J119" s="1745"/>
      <c r="K119" s="547"/>
      <c r="L119" s="547"/>
      <c r="M119" s="1745"/>
      <c r="N119" s="547"/>
      <c r="O119" s="990"/>
      <c r="P119" s="990"/>
      <c r="Q119" s="547"/>
      <c r="R119" s="547"/>
      <c r="S119" s="1745"/>
      <c r="T119" s="547"/>
      <c r="U119" s="989">
        <f t="shared" si="9"/>
        <v>0</v>
      </c>
      <c r="V119" s="547">
        <v>0</v>
      </c>
      <c r="W119" s="1264">
        <f t="shared" si="11"/>
        <v>0</v>
      </c>
      <c r="X119" s="547">
        <f t="shared" si="14"/>
        <v>0</v>
      </c>
      <c r="Y119" s="566"/>
      <c r="Z119" s="567"/>
      <c r="AA119" s="989">
        <f t="shared" si="15"/>
        <v>0</v>
      </c>
      <c r="AB119" s="812">
        <f t="shared" si="16"/>
        <v>0</v>
      </c>
    </row>
    <row r="120" spans="1:28" ht="27" hidden="1" customHeight="1">
      <c r="A120" s="531"/>
      <c r="B120" s="531">
        <v>428</v>
      </c>
      <c r="C120" s="529">
        <v>11</v>
      </c>
      <c r="D120" s="530" t="s">
        <v>567</v>
      </c>
      <c r="E120" s="1028" t="s">
        <v>776</v>
      </c>
      <c r="F120" s="1579">
        <v>3726418581</v>
      </c>
      <c r="G120" s="1576">
        <v>-1535725876</v>
      </c>
      <c r="H120" s="1775"/>
      <c r="I120" s="547"/>
      <c r="J120" s="1745">
        <v>445467949</v>
      </c>
      <c r="K120" s="1625"/>
      <c r="L120" s="547"/>
      <c r="M120" s="1745"/>
      <c r="N120" s="547"/>
      <c r="O120" s="990"/>
      <c r="P120" s="990"/>
      <c r="Q120" s="547"/>
      <c r="R120" s="547"/>
      <c r="S120" s="1745"/>
      <c r="T120" s="547"/>
      <c r="U120" s="989">
        <f t="shared" si="9"/>
        <v>2636160654</v>
      </c>
      <c r="V120" s="547">
        <v>2488189949</v>
      </c>
      <c r="W120" s="1264">
        <f t="shared" si="11"/>
        <v>2636</v>
      </c>
      <c r="X120" s="547">
        <f t="shared" si="14"/>
        <v>2488</v>
      </c>
      <c r="Y120" s="566"/>
      <c r="Z120" s="567"/>
      <c r="AA120" s="989">
        <f t="shared" si="15"/>
        <v>2636160654</v>
      </c>
      <c r="AB120" s="812">
        <f t="shared" si="16"/>
        <v>2636</v>
      </c>
    </row>
    <row r="121" spans="1:28" ht="27" hidden="1" customHeight="1">
      <c r="A121" s="531"/>
      <c r="B121" s="531">
        <v>406</v>
      </c>
      <c r="C121" s="529">
        <v>11</v>
      </c>
      <c r="D121" s="530" t="s">
        <v>1150</v>
      </c>
      <c r="E121" s="1028" t="s">
        <v>1151</v>
      </c>
      <c r="F121" s="547">
        <v>1348983865</v>
      </c>
      <c r="G121" s="1576"/>
      <c r="H121" s="1810"/>
      <c r="I121" s="547"/>
      <c r="J121" s="1759"/>
      <c r="K121" s="547"/>
      <c r="L121" s="547"/>
      <c r="M121" s="1745"/>
      <c r="N121" s="547"/>
      <c r="O121" s="990"/>
      <c r="P121" s="990"/>
      <c r="Q121" s="547"/>
      <c r="R121" s="547"/>
      <c r="S121" s="1745"/>
      <c r="T121" s="547"/>
      <c r="U121" s="989">
        <f t="shared" si="9"/>
        <v>1348983865</v>
      </c>
      <c r="V121" s="547">
        <v>1348983865</v>
      </c>
      <c r="W121" s="1264">
        <f t="shared" si="11"/>
        <v>1349</v>
      </c>
      <c r="X121" s="547">
        <f t="shared" si="14"/>
        <v>1349</v>
      </c>
      <c r="Y121" s="566"/>
      <c r="Z121" s="567"/>
      <c r="AA121" s="989">
        <f t="shared" si="15"/>
        <v>1348983865</v>
      </c>
      <c r="AB121" s="812">
        <f t="shared" si="16"/>
        <v>1349</v>
      </c>
    </row>
    <row r="122" spans="1:28" ht="27" hidden="1" customHeight="1">
      <c r="A122" s="531"/>
      <c r="B122" s="531">
        <v>428</v>
      </c>
      <c r="C122" s="529">
        <v>11</v>
      </c>
      <c r="D122" s="530" t="s">
        <v>959</v>
      </c>
      <c r="E122" s="1028" t="s">
        <v>961</v>
      </c>
      <c r="F122" s="1579">
        <v>939732600</v>
      </c>
      <c r="G122" s="1576">
        <v>187946520</v>
      </c>
      <c r="H122" s="1775"/>
      <c r="I122" s="547"/>
      <c r="J122" s="1745"/>
      <c r="K122" s="547"/>
      <c r="L122" s="547"/>
      <c r="M122" s="1745"/>
      <c r="N122" s="547"/>
      <c r="O122" s="990"/>
      <c r="P122" s="990"/>
      <c r="Q122" s="547"/>
      <c r="R122" s="547"/>
      <c r="S122" s="1745"/>
      <c r="T122" s="547"/>
      <c r="U122" s="989">
        <f t="shared" si="9"/>
        <v>1127679120</v>
      </c>
      <c r="V122" s="547">
        <v>2067411720</v>
      </c>
      <c r="W122" s="1264">
        <f t="shared" si="11"/>
        <v>1128</v>
      </c>
      <c r="X122" s="547">
        <f t="shared" si="14"/>
        <v>2067</v>
      </c>
      <c r="Y122" s="566"/>
      <c r="Z122" s="567"/>
      <c r="AA122" s="989">
        <f t="shared" si="15"/>
        <v>1127679120</v>
      </c>
      <c r="AB122" s="812">
        <f t="shared" si="16"/>
        <v>1128</v>
      </c>
    </row>
    <row r="123" spans="1:28" ht="27" hidden="1" customHeight="1">
      <c r="A123" s="531"/>
      <c r="B123" s="531">
        <v>1018</v>
      </c>
      <c r="C123" s="529">
        <v>17</v>
      </c>
      <c r="D123" s="530" t="s">
        <v>995</v>
      </c>
      <c r="E123" s="1028" t="s">
        <v>996</v>
      </c>
      <c r="F123" s="1579"/>
      <c r="G123" s="1576"/>
      <c r="H123" s="1775"/>
      <c r="I123" s="1625"/>
      <c r="J123" s="1775"/>
      <c r="K123" s="547"/>
      <c r="L123" s="1775"/>
      <c r="M123" s="1775"/>
      <c r="N123" s="547"/>
      <c r="O123" s="990"/>
      <c r="P123" s="990"/>
      <c r="Q123" s="547"/>
      <c r="R123" s="547"/>
      <c r="S123" s="1745"/>
      <c r="T123" s="547"/>
      <c r="U123" s="989">
        <f t="shared" si="9"/>
        <v>0</v>
      </c>
      <c r="V123" s="547">
        <v>0</v>
      </c>
      <c r="W123" s="1264">
        <f t="shared" si="11"/>
        <v>0</v>
      </c>
      <c r="X123" s="547">
        <f t="shared" si="14"/>
        <v>0</v>
      </c>
      <c r="Y123" s="566"/>
      <c r="Z123" s="567"/>
      <c r="AA123" s="989">
        <f t="shared" si="15"/>
        <v>0</v>
      </c>
      <c r="AB123" s="812">
        <f t="shared" si="16"/>
        <v>0</v>
      </c>
    </row>
    <row r="124" spans="1:28" ht="27" hidden="1" customHeight="1">
      <c r="A124" s="531"/>
      <c r="B124" s="531">
        <v>428</v>
      </c>
      <c r="C124" s="529">
        <v>11</v>
      </c>
      <c r="D124" s="530" t="s">
        <v>970</v>
      </c>
      <c r="E124" s="1028" t="s">
        <v>971</v>
      </c>
      <c r="F124" s="1579">
        <v>25015500</v>
      </c>
      <c r="G124" s="1576">
        <v>8338500</v>
      </c>
      <c r="H124" s="1775"/>
      <c r="I124" s="547"/>
      <c r="J124" s="1775"/>
      <c r="K124" s="1775"/>
      <c r="L124" s="547"/>
      <c r="M124" s="1745"/>
      <c r="N124" s="547"/>
      <c r="O124" s="1759"/>
      <c r="P124" s="990"/>
      <c r="Q124" s="547"/>
      <c r="R124" s="547"/>
      <c r="S124" s="1745"/>
      <c r="T124" s="547"/>
      <c r="U124" s="989">
        <f t="shared" si="9"/>
        <v>33354000</v>
      </c>
      <c r="V124" s="547">
        <v>530614193</v>
      </c>
      <c r="W124" s="1264">
        <f t="shared" si="11"/>
        <v>33</v>
      </c>
      <c r="X124" s="547">
        <f t="shared" si="14"/>
        <v>531</v>
      </c>
      <c r="Y124" s="566"/>
      <c r="Z124" s="567"/>
      <c r="AA124" s="989">
        <f t="shared" si="15"/>
        <v>33354000</v>
      </c>
      <c r="AB124" s="812">
        <f t="shared" si="16"/>
        <v>33</v>
      </c>
    </row>
    <row r="125" spans="1:28" ht="27" hidden="1" customHeight="1">
      <c r="A125" s="531"/>
      <c r="B125" s="531">
        <v>1018</v>
      </c>
      <c r="C125" s="529">
        <v>17</v>
      </c>
      <c r="D125" s="530" t="s">
        <v>1373</v>
      </c>
      <c r="E125" s="1028" t="s">
        <v>1374</v>
      </c>
      <c r="F125" s="1576"/>
      <c r="G125" s="1576"/>
      <c r="H125" s="547"/>
      <c r="I125" s="547"/>
      <c r="J125" s="1745"/>
      <c r="K125" s="547"/>
      <c r="L125" s="1775"/>
      <c r="M125" s="1775"/>
      <c r="N125" s="547"/>
      <c r="O125" s="990"/>
      <c r="P125" s="990"/>
      <c r="Q125" s="547"/>
      <c r="R125" s="547"/>
      <c r="S125" s="1745"/>
      <c r="T125" s="547"/>
      <c r="U125" s="989">
        <f t="shared" si="9"/>
        <v>0</v>
      </c>
      <c r="V125" s="547">
        <v>0</v>
      </c>
      <c r="W125" s="1264">
        <f t="shared" si="11"/>
        <v>0</v>
      </c>
      <c r="X125" s="547">
        <f t="shared" si="14"/>
        <v>0</v>
      </c>
      <c r="Y125" s="566"/>
      <c r="Z125" s="567"/>
      <c r="AA125" s="989">
        <f t="shared" si="15"/>
        <v>0</v>
      </c>
      <c r="AB125" s="812">
        <f t="shared" si="16"/>
        <v>0</v>
      </c>
    </row>
    <row r="126" spans="1:28" ht="27" hidden="1" customHeight="1">
      <c r="A126" s="531"/>
      <c r="B126" s="531">
        <v>1018</v>
      </c>
      <c r="C126" s="529">
        <v>17</v>
      </c>
      <c r="D126" s="530" t="s">
        <v>752</v>
      </c>
      <c r="E126" s="1028" t="s">
        <v>997</v>
      </c>
      <c r="F126" s="1576"/>
      <c r="G126" s="1576"/>
      <c r="H126" s="547"/>
      <c r="I126" s="547"/>
      <c r="J126" s="1745"/>
      <c r="K126" s="547"/>
      <c r="L126" s="547"/>
      <c r="M126" s="1745"/>
      <c r="N126" s="547"/>
      <c r="O126" s="990"/>
      <c r="P126" s="990"/>
      <c r="Q126" s="547"/>
      <c r="R126" s="547"/>
      <c r="S126" s="1745"/>
      <c r="T126" s="547"/>
      <c r="U126" s="989">
        <f t="shared" si="9"/>
        <v>0</v>
      </c>
      <c r="V126" s="547">
        <v>0</v>
      </c>
      <c r="W126" s="1264">
        <f t="shared" si="11"/>
        <v>0</v>
      </c>
      <c r="X126" s="547">
        <f t="shared" si="14"/>
        <v>0</v>
      </c>
      <c r="Y126" s="566"/>
      <c r="Z126" s="567"/>
      <c r="AA126" s="989">
        <f t="shared" si="15"/>
        <v>0</v>
      </c>
      <c r="AB126" s="812">
        <f t="shared" si="16"/>
        <v>0</v>
      </c>
    </row>
    <row r="127" spans="1:28" ht="27" hidden="1" customHeight="1">
      <c r="A127" s="531"/>
      <c r="B127" s="531">
        <v>428</v>
      </c>
      <c r="C127" s="529">
        <v>11</v>
      </c>
      <c r="D127" s="530" t="s">
        <v>269</v>
      </c>
      <c r="E127" s="1028" t="s">
        <v>268</v>
      </c>
      <c r="F127" s="1579">
        <v>333540000</v>
      </c>
      <c r="G127" s="1576">
        <v>66708000</v>
      </c>
      <c r="H127" s="547"/>
      <c r="I127" s="547"/>
      <c r="J127" s="1745"/>
      <c r="K127" s="547"/>
      <c r="L127" s="547"/>
      <c r="M127" s="1745"/>
      <c r="N127" s="547"/>
      <c r="O127" s="990"/>
      <c r="P127" s="990"/>
      <c r="Q127" s="547"/>
      <c r="R127" s="547"/>
      <c r="S127" s="1745"/>
      <c r="T127" s="547"/>
      <c r="U127" s="989">
        <f t="shared" si="9"/>
        <v>400248000</v>
      </c>
      <c r="V127" s="547">
        <v>798291029</v>
      </c>
      <c r="W127" s="1264">
        <f t="shared" si="11"/>
        <v>400</v>
      </c>
      <c r="X127" s="547">
        <f t="shared" si="14"/>
        <v>798</v>
      </c>
      <c r="Y127" s="566"/>
      <c r="Z127" s="567"/>
      <c r="AA127" s="989">
        <f t="shared" si="15"/>
        <v>400248000</v>
      </c>
      <c r="AB127" s="812">
        <f t="shared" si="16"/>
        <v>400</v>
      </c>
    </row>
    <row r="128" spans="1:28" ht="27" hidden="1" customHeight="1">
      <c r="A128" s="1742"/>
      <c r="B128" s="1742">
        <v>428</v>
      </c>
      <c r="C128" s="1743">
        <v>11</v>
      </c>
      <c r="D128" s="1753" t="s">
        <v>2668</v>
      </c>
      <c r="E128" s="1754" t="s">
        <v>2669</v>
      </c>
      <c r="F128" s="1756">
        <v>82567500</v>
      </c>
      <c r="G128" s="1755">
        <v>10791000</v>
      </c>
      <c r="H128" s="1775"/>
      <c r="I128" s="1745"/>
      <c r="J128" s="1745"/>
      <c r="K128" s="1745"/>
      <c r="L128" s="1775"/>
      <c r="M128" s="1775"/>
      <c r="N128" s="1745"/>
      <c r="O128" s="1746"/>
      <c r="P128" s="1746"/>
      <c r="Q128" s="1745"/>
      <c r="R128" s="1745"/>
      <c r="S128" s="1745"/>
      <c r="T128" s="1745"/>
      <c r="U128" s="1749">
        <f t="shared" si="9"/>
        <v>93358500</v>
      </c>
      <c r="V128" s="1745"/>
      <c r="W128" s="1781">
        <f t="shared" si="11"/>
        <v>93</v>
      </c>
      <c r="X128" s="1745"/>
      <c r="Y128" s="1747"/>
      <c r="Z128" s="1748"/>
      <c r="AA128" s="1749">
        <f t="shared" si="15"/>
        <v>93358500</v>
      </c>
      <c r="AB128" s="1750">
        <f t="shared" si="16"/>
        <v>93</v>
      </c>
    </row>
    <row r="129" spans="1:28" ht="27" hidden="1" customHeight="1">
      <c r="A129" s="1742"/>
      <c r="B129" s="1742">
        <v>428</v>
      </c>
      <c r="C129" s="1743">
        <v>11</v>
      </c>
      <c r="D129" s="1753" t="s">
        <v>1178</v>
      </c>
      <c r="E129" s="1754" t="s">
        <v>1179</v>
      </c>
      <c r="F129" s="1756">
        <v>89787891</v>
      </c>
      <c r="G129" s="1755"/>
      <c r="H129" s="1775"/>
      <c r="I129" s="1745"/>
      <c r="J129" s="1745"/>
      <c r="K129" s="1745"/>
      <c r="L129" s="1775"/>
      <c r="M129" s="1775"/>
      <c r="N129" s="1745"/>
      <c r="O129" s="1746"/>
      <c r="P129" s="1746"/>
      <c r="Q129" s="1745"/>
      <c r="R129" s="1745"/>
      <c r="S129" s="1745"/>
      <c r="T129" s="1745"/>
      <c r="U129" s="1749">
        <f t="shared" si="9"/>
        <v>89787891</v>
      </c>
      <c r="V129" s="1745"/>
      <c r="W129" s="1781">
        <f t="shared" si="11"/>
        <v>90</v>
      </c>
      <c r="X129" s="1745"/>
      <c r="Y129" s="1747"/>
      <c r="Z129" s="1748"/>
      <c r="AA129" s="1749">
        <f t="shared" si="15"/>
        <v>89787891</v>
      </c>
      <c r="AB129" s="1750">
        <f t="shared" si="16"/>
        <v>90</v>
      </c>
    </row>
    <row r="130" spans="1:28" ht="27" hidden="1" customHeight="1">
      <c r="A130" s="531"/>
      <c r="B130" s="531">
        <v>428</v>
      </c>
      <c r="C130" s="529">
        <v>11</v>
      </c>
      <c r="D130" s="530" t="s">
        <v>1069</v>
      </c>
      <c r="E130" s="1028" t="s">
        <v>1070</v>
      </c>
      <c r="F130" s="1579">
        <v>605365215</v>
      </c>
      <c r="G130" s="1576">
        <v>18846645</v>
      </c>
      <c r="H130" s="1775"/>
      <c r="I130" s="547"/>
      <c r="J130" s="1745"/>
      <c r="K130" s="547"/>
      <c r="L130" s="1775"/>
      <c r="M130" s="1775"/>
      <c r="N130" s="547"/>
      <c r="O130" s="990"/>
      <c r="P130" s="990"/>
      <c r="Q130" s="547"/>
      <c r="R130" s="547"/>
      <c r="S130" s="1745"/>
      <c r="T130" s="547"/>
      <c r="U130" s="989">
        <f t="shared" si="9"/>
        <v>624211860</v>
      </c>
      <c r="V130" s="547">
        <v>548825280</v>
      </c>
      <c r="W130" s="1264">
        <f t="shared" si="11"/>
        <v>624</v>
      </c>
      <c r="X130" s="547">
        <f t="shared" si="14"/>
        <v>549</v>
      </c>
      <c r="Y130" s="566"/>
      <c r="Z130" s="567"/>
      <c r="AA130" s="989">
        <f t="shared" si="15"/>
        <v>624211860</v>
      </c>
      <c r="AB130" s="812">
        <f t="shared" si="16"/>
        <v>624</v>
      </c>
    </row>
    <row r="131" spans="1:28" ht="27" hidden="1" customHeight="1">
      <c r="A131" s="531"/>
      <c r="B131" s="531">
        <v>1018</v>
      </c>
      <c r="C131" s="529">
        <v>17</v>
      </c>
      <c r="D131" s="530" t="s">
        <v>665</v>
      </c>
      <c r="E131" s="1028" t="s">
        <v>664</v>
      </c>
      <c r="F131" s="1576">
        <v>-93000000</v>
      </c>
      <c r="G131" s="1576"/>
      <c r="H131" s="1775"/>
      <c r="I131" s="547"/>
      <c r="J131" s="1745"/>
      <c r="K131" s="547"/>
      <c r="L131" s="1775"/>
      <c r="M131" s="1775"/>
      <c r="N131" s="547"/>
      <c r="O131" s="990"/>
      <c r="P131" s="990"/>
      <c r="Q131" s="547"/>
      <c r="R131" s="547"/>
      <c r="S131" s="1745"/>
      <c r="T131" s="547"/>
      <c r="U131" s="989">
        <f t="shared" si="9"/>
        <v>-93000000</v>
      </c>
      <c r="V131" s="547">
        <v>0</v>
      </c>
      <c r="W131" s="1264">
        <f t="shared" si="11"/>
        <v>-93</v>
      </c>
      <c r="X131" s="547">
        <f t="shared" si="14"/>
        <v>0</v>
      </c>
      <c r="Y131" s="566"/>
      <c r="Z131" s="567"/>
      <c r="AA131" s="989">
        <f t="shared" si="15"/>
        <v>-93000000</v>
      </c>
      <c r="AB131" s="812">
        <f t="shared" si="16"/>
        <v>-93</v>
      </c>
    </row>
    <row r="132" spans="1:28" ht="27" hidden="1" customHeight="1">
      <c r="A132" s="531"/>
      <c r="B132" s="531">
        <v>1008</v>
      </c>
      <c r="C132" s="529">
        <v>17</v>
      </c>
      <c r="D132" s="530" t="s">
        <v>1772</v>
      </c>
      <c r="E132" s="1028" t="s">
        <v>1761</v>
      </c>
      <c r="F132" s="1576">
        <v>69500000</v>
      </c>
      <c r="G132" s="1576">
        <v>-69500000</v>
      </c>
      <c r="H132" s="547"/>
      <c r="I132" s="547"/>
      <c r="J132" s="1745"/>
      <c r="K132" s="547"/>
      <c r="L132" s="547"/>
      <c r="M132" s="1745"/>
      <c r="N132" s="547"/>
      <c r="O132" s="990"/>
      <c r="P132" s="990"/>
      <c r="Q132" s="547"/>
      <c r="R132" s="547"/>
      <c r="S132" s="1745"/>
      <c r="T132" s="547"/>
      <c r="U132" s="989">
        <f t="shared" si="9"/>
        <v>0</v>
      </c>
      <c r="V132" s="547">
        <v>0</v>
      </c>
      <c r="W132" s="1264">
        <f t="shared" si="11"/>
        <v>0</v>
      </c>
      <c r="X132" s="547">
        <f t="shared" si="14"/>
        <v>0</v>
      </c>
      <c r="Y132" s="566"/>
      <c r="Z132" s="567"/>
      <c r="AA132" s="989">
        <f t="shared" si="15"/>
        <v>0</v>
      </c>
      <c r="AB132" s="812">
        <f t="shared" si="16"/>
        <v>0</v>
      </c>
    </row>
    <row r="133" spans="1:28" ht="27" hidden="1" customHeight="1">
      <c r="A133" s="531"/>
      <c r="B133" s="531">
        <v>428</v>
      </c>
      <c r="C133" s="529">
        <v>11</v>
      </c>
      <c r="D133" s="530" t="s">
        <v>963</v>
      </c>
      <c r="E133" s="1028" t="s">
        <v>964</v>
      </c>
      <c r="F133" s="1579">
        <v>521274600</v>
      </c>
      <c r="G133" s="1576">
        <v>15107400</v>
      </c>
      <c r="H133" s="1775"/>
      <c r="I133" s="547"/>
      <c r="J133" s="1745"/>
      <c r="K133" s="1775"/>
      <c r="L133" s="547"/>
      <c r="M133" s="1745"/>
      <c r="N133" s="547"/>
      <c r="O133" s="990"/>
      <c r="P133" s="990"/>
      <c r="Q133" s="547"/>
      <c r="R133" s="547"/>
      <c r="S133" s="1745"/>
      <c r="T133" s="547"/>
      <c r="U133" s="989">
        <f t="shared" si="9"/>
        <v>536382000</v>
      </c>
      <c r="V133" s="547">
        <v>475952400</v>
      </c>
      <c r="W133" s="1264">
        <f t="shared" si="11"/>
        <v>536</v>
      </c>
      <c r="X133" s="547">
        <f t="shared" si="14"/>
        <v>476</v>
      </c>
      <c r="Y133" s="566"/>
      <c r="Z133" s="567"/>
      <c r="AA133" s="989">
        <f t="shared" si="15"/>
        <v>536382000</v>
      </c>
      <c r="AB133" s="812">
        <f t="shared" si="16"/>
        <v>536</v>
      </c>
    </row>
    <row r="134" spans="1:28" ht="27" hidden="1" customHeight="1">
      <c r="A134" s="531"/>
      <c r="B134" s="531">
        <v>1018</v>
      </c>
      <c r="C134" s="529">
        <v>17</v>
      </c>
      <c r="D134" s="530" t="s">
        <v>980</v>
      </c>
      <c r="E134" s="1028" t="s">
        <v>981</v>
      </c>
      <c r="F134" s="1579">
        <v>-359235205</v>
      </c>
      <c r="G134" s="1576">
        <v>48062460</v>
      </c>
      <c r="H134" s="1775"/>
      <c r="I134" s="1775"/>
      <c r="J134" s="1745"/>
      <c r="K134" s="547"/>
      <c r="L134" s="547"/>
      <c r="M134" s="1745"/>
      <c r="N134" s="547"/>
      <c r="O134" s="990"/>
      <c r="P134" s="990"/>
      <c r="Q134" s="547"/>
      <c r="R134" s="547"/>
      <c r="S134" s="1745"/>
      <c r="T134" s="547"/>
      <c r="U134" s="989">
        <f t="shared" si="9"/>
        <v>-311172745</v>
      </c>
      <c r="V134" s="547">
        <v>-473970442</v>
      </c>
      <c r="W134" s="1264">
        <f t="shared" si="11"/>
        <v>-311</v>
      </c>
      <c r="X134" s="547">
        <f t="shared" si="14"/>
        <v>-474</v>
      </c>
      <c r="Y134" s="566"/>
      <c r="Z134" s="567"/>
      <c r="AA134" s="989">
        <f t="shared" si="15"/>
        <v>-311172745</v>
      </c>
      <c r="AB134" s="812">
        <f t="shared" si="16"/>
        <v>-311</v>
      </c>
    </row>
    <row r="135" spans="1:28" ht="27" hidden="1" customHeight="1">
      <c r="A135" s="531"/>
      <c r="B135" s="531">
        <v>1001</v>
      </c>
      <c r="C135" s="529">
        <v>17</v>
      </c>
      <c r="D135" s="530" t="s">
        <v>584</v>
      </c>
      <c r="E135" s="1028" t="s">
        <v>645</v>
      </c>
      <c r="F135" s="1580">
        <v>-3055956390</v>
      </c>
      <c r="G135" s="1762">
        <v>26160000</v>
      </c>
      <c r="H135" s="1763"/>
      <c r="I135" s="1763"/>
      <c r="J135" s="1763"/>
      <c r="K135" s="1763"/>
      <c r="L135" s="1763"/>
      <c r="M135" s="1763"/>
      <c r="N135" s="1763"/>
      <c r="O135" s="1764"/>
      <c r="P135" s="1764"/>
      <c r="Q135" s="1763"/>
      <c r="R135" s="1763"/>
      <c r="S135" s="1763"/>
      <c r="T135" s="1763"/>
      <c r="U135" s="989">
        <f t="shared" ref="U135:U198" si="17">SUM(F135:T135)</f>
        <v>-3029796390</v>
      </c>
      <c r="V135" s="547">
        <v>491742756</v>
      </c>
      <c r="W135" s="1264">
        <f t="shared" si="11"/>
        <v>-3030</v>
      </c>
      <c r="X135" s="547">
        <f t="shared" si="14"/>
        <v>492</v>
      </c>
      <c r="Y135" s="566"/>
      <c r="Z135" s="567"/>
      <c r="AA135" s="989">
        <f t="shared" si="15"/>
        <v>-3029796390</v>
      </c>
      <c r="AB135" s="812">
        <f t="shared" si="16"/>
        <v>-3030</v>
      </c>
    </row>
    <row r="136" spans="1:28" ht="27" hidden="1" customHeight="1">
      <c r="A136" s="1742"/>
      <c r="B136" s="1742">
        <v>1018</v>
      </c>
      <c r="C136" s="1743">
        <v>17</v>
      </c>
      <c r="D136" s="1753" t="s">
        <v>2673</v>
      </c>
      <c r="E136" s="1754" t="s">
        <v>2674</v>
      </c>
      <c r="F136" s="1744">
        <v>-4590000000</v>
      </c>
      <c r="G136" s="1762"/>
      <c r="H136" s="1763"/>
      <c r="I136" s="1763"/>
      <c r="J136" s="1763"/>
      <c r="K136" s="1763"/>
      <c r="L136" s="1763"/>
      <c r="M136" s="1763"/>
      <c r="N136" s="1745">
        <v>-225000000</v>
      </c>
      <c r="O136" s="1746"/>
      <c r="P136" s="1764"/>
      <c r="Q136" s="1763"/>
      <c r="R136" s="1763"/>
      <c r="S136" s="1763"/>
      <c r="T136" s="1745"/>
      <c r="U136" s="989">
        <f t="shared" si="17"/>
        <v>-4815000000</v>
      </c>
      <c r="V136" s="1745"/>
      <c r="W136" s="1264">
        <f t="shared" si="11"/>
        <v>-4815</v>
      </c>
      <c r="X136" s="1745"/>
      <c r="Y136" s="1747"/>
      <c r="Z136" s="1748"/>
      <c r="AA136" s="989">
        <f t="shared" si="15"/>
        <v>-4815000000</v>
      </c>
      <c r="AB136" s="812">
        <f t="shared" si="16"/>
        <v>-4815</v>
      </c>
    </row>
    <row r="137" spans="1:28" ht="27" hidden="1" customHeight="1">
      <c r="A137" s="531"/>
      <c r="B137" s="531">
        <v>432</v>
      </c>
      <c r="C137" s="529">
        <v>11</v>
      </c>
      <c r="D137" s="530" t="s">
        <v>573</v>
      </c>
      <c r="E137" s="1028" t="s">
        <v>965</v>
      </c>
      <c r="F137" s="1579">
        <v>12011478879</v>
      </c>
      <c r="G137" s="1755">
        <v>63944850</v>
      </c>
      <c r="H137" s="1773">
        <v>210000000</v>
      </c>
      <c r="I137" s="1745"/>
      <c r="J137" s="1745"/>
      <c r="K137" s="1745"/>
      <c r="L137" s="1745"/>
      <c r="M137" s="1745"/>
      <c r="N137" s="1745"/>
      <c r="O137" s="1746"/>
      <c r="P137" s="1746"/>
      <c r="Q137" s="1745"/>
      <c r="R137" s="1745"/>
      <c r="S137" s="1745"/>
      <c r="T137" s="1745"/>
      <c r="U137" s="989">
        <f t="shared" si="17"/>
        <v>12285423729</v>
      </c>
      <c r="V137" s="547">
        <v>-724691942</v>
      </c>
      <c r="W137" s="1264">
        <f t="shared" si="11"/>
        <v>12285</v>
      </c>
      <c r="X137" s="547">
        <f t="shared" si="14"/>
        <v>-725</v>
      </c>
      <c r="Y137" s="566"/>
      <c r="Z137" s="567"/>
      <c r="AA137" s="989">
        <f t="shared" si="15"/>
        <v>12285423729</v>
      </c>
      <c r="AB137" s="812">
        <f t="shared" si="16"/>
        <v>12285</v>
      </c>
    </row>
    <row r="138" spans="1:28" ht="27" hidden="1" customHeight="1">
      <c r="A138" s="531"/>
      <c r="B138" s="531">
        <v>428</v>
      </c>
      <c r="C138" s="529">
        <v>11</v>
      </c>
      <c r="D138" s="530" t="s">
        <v>570</v>
      </c>
      <c r="E138" s="1028" t="s">
        <v>257</v>
      </c>
      <c r="F138" s="1579">
        <v>165019896</v>
      </c>
      <c r="G138" s="1755">
        <v>165019896</v>
      </c>
      <c r="H138" s="1745"/>
      <c r="I138" s="1745"/>
      <c r="J138" s="1745"/>
      <c r="K138" s="1745"/>
      <c r="L138" s="1745"/>
      <c r="M138" s="1745"/>
      <c r="N138" s="1745"/>
      <c r="O138" s="1746"/>
      <c r="P138" s="1746"/>
      <c r="Q138" s="1745"/>
      <c r="R138" s="1745"/>
      <c r="S138" s="1745"/>
      <c r="T138" s="1745"/>
      <c r="U138" s="989">
        <f t="shared" si="17"/>
        <v>330039792</v>
      </c>
      <c r="V138" s="547">
        <v>990119376</v>
      </c>
      <c r="W138" s="1264">
        <f t="shared" si="11"/>
        <v>330</v>
      </c>
      <c r="X138" s="547">
        <f t="shared" si="14"/>
        <v>990</v>
      </c>
      <c r="Y138" s="566"/>
      <c r="Z138" s="567"/>
      <c r="AA138" s="989">
        <f t="shared" si="15"/>
        <v>330039792</v>
      </c>
      <c r="AB138" s="812">
        <f t="shared" si="16"/>
        <v>330</v>
      </c>
    </row>
    <row r="139" spans="1:28" ht="27" hidden="1" customHeight="1">
      <c r="A139" s="531"/>
      <c r="B139" s="531">
        <v>406</v>
      </c>
      <c r="C139" s="529">
        <v>11</v>
      </c>
      <c r="D139" s="530" t="s">
        <v>549</v>
      </c>
      <c r="E139" s="1028" t="s">
        <v>550</v>
      </c>
      <c r="F139" s="1580">
        <v>308503793</v>
      </c>
      <c r="G139" s="1755">
        <v>-102155710</v>
      </c>
      <c r="H139" s="1744"/>
      <c r="I139" s="1745">
        <v>268538335</v>
      </c>
      <c r="J139" s="1745">
        <v>16090910</v>
      </c>
      <c r="K139" s="1745"/>
      <c r="L139" s="1745"/>
      <c r="M139" s="1745"/>
      <c r="N139" s="1745"/>
      <c r="O139" s="1746"/>
      <c r="P139" s="1746"/>
      <c r="Q139" s="1745"/>
      <c r="R139" s="1745"/>
      <c r="S139" s="1745"/>
      <c r="T139" s="1745"/>
      <c r="U139" s="1671">
        <f t="shared" si="17"/>
        <v>490977328</v>
      </c>
      <c r="V139" s="547">
        <v>349360600</v>
      </c>
      <c r="W139" s="1264">
        <f t="shared" si="11"/>
        <v>491</v>
      </c>
      <c r="X139" s="547">
        <f t="shared" si="14"/>
        <v>349</v>
      </c>
      <c r="Y139" s="566"/>
      <c r="Z139" s="567"/>
      <c r="AA139" s="989">
        <f t="shared" si="15"/>
        <v>490977328</v>
      </c>
      <c r="AB139" s="812">
        <f t="shared" si="16"/>
        <v>491</v>
      </c>
    </row>
    <row r="140" spans="1:28" ht="27" hidden="1" customHeight="1">
      <c r="A140" s="531"/>
      <c r="B140" s="531">
        <v>428</v>
      </c>
      <c r="C140" s="529">
        <v>11</v>
      </c>
      <c r="D140" s="530" t="s">
        <v>260</v>
      </c>
      <c r="E140" s="1028" t="s">
        <v>261</v>
      </c>
      <c r="F140" s="1579">
        <v>41692500</v>
      </c>
      <c r="G140" s="1755">
        <v>8338500</v>
      </c>
      <c r="H140" s="1745"/>
      <c r="I140" s="1745"/>
      <c r="J140" s="1745"/>
      <c r="K140" s="1745"/>
      <c r="L140" s="1745"/>
      <c r="M140" s="1745"/>
      <c r="N140" s="1745"/>
      <c r="O140" s="1746"/>
      <c r="P140" s="1746"/>
      <c r="Q140" s="1745"/>
      <c r="R140" s="1745"/>
      <c r="S140" s="1745"/>
      <c r="T140" s="1745"/>
      <c r="U140" s="989">
        <f t="shared" si="17"/>
        <v>50031000</v>
      </c>
      <c r="V140" s="547">
        <v>258493500</v>
      </c>
      <c r="W140" s="1264">
        <f t="shared" si="11"/>
        <v>50</v>
      </c>
      <c r="X140" s="547">
        <f t="shared" si="14"/>
        <v>258</v>
      </c>
      <c r="Y140" s="566"/>
      <c r="Z140" s="567"/>
      <c r="AA140" s="989">
        <f t="shared" si="15"/>
        <v>50031000</v>
      </c>
      <c r="AB140" s="812">
        <f t="shared" si="16"/>
        <v>50</v>
      </c>
    </row>
    <row r="141" spans="1:28" ht="27" hidden="1" customHeight="1">
      <c r="A141" s="531"/>
      <c r="B141" s="531">
        <v>1008</v>
      </c>
      <c r="C141" s="529">
        <v>17</v>
      </c>
      <c r="D141" s="530" t="s">
        <v>450</v>
      </c>
      <c r="E141" s="1028" t="s">
        <v>1011</v>
      </c>
      <c r="F141" s="1576"/>
      <c r="G141" s="1767"/>
      <c r="H141" s="1768"/>
      <c r="I141" s="1768"/>
      <c r="J141" s="1768"/>
      <c r="K141" s="1768"/>
      <c r="L141" s="1768"/>
      <c r="M141" s="1768"/>
      <c r="N141" s="1768"/>
      <c r="O141" s="1769"/>
      <c r="P141" s="1769"/>
      <c r="Q141" s="1768"/>
      <c r="R141" s="1768"/>
      <c r="S141" s="1768"/>
      <c r="T141" s="1768"/>
      <c r="U141" s="989">
        <f t="shared" si="17"/>
        <v>0</v>
      </c>
      <c r="V141" s="547">
        <v>0</v>
      </c>
      <c r="W141" s="1264">
        <f t="shared" si="11"/>
        <v>0</v>
      </c>
      <c r="X141" s="547">
        <f t="shared" si="14"/>
        <v>0</v>
      </c>
      <c r="Y141" s="566"/>
      <c r="Z141" s="567"/>
      <c r="AA141" s="989">
        <f t="shared" si="15"/>
        <v>0</v>
      </c>
      <c r="AB141" s="812">
        <f t="shared" si="16"/>
        <v>0</v>
      </c>
    </row>
    <row r="142" spans="1:28" ht="27" hidden="1" customHeight="1">
      <c r="A142" s="531"/>
      <c r="B142" s="531">
        <v>1008</v>
      </c>
      <c r="C142" s="529">
        <v>17</v>
      </c>
      <c r="D142" s="530" t="s">
        <v>395</v>
      </c>
      <c r="E142" s="1028" t="s">
        <v>1611</v>
      </c>
      <c r="F142" s="1579">
        <v>709467836</v>
      </c>
      <c r="G142" s="1576"/>
      <c r="H142" s="547"/>
      <c r="I142" s="1625">
        <v>709467836</v>
      </c>
      <c r="J142" s="1745">
        <v>-1418935672</v>
      </c>
      <c r="K142" s="547"/>
      <c r="L142" s="547"/>
      <c r="M142" s="1745"/>
      <c r="N142" s="547"/>
      <c r="O142" s="990"/>
      <c r="P142" s="990"/>
      <c r="Q142" s="547"/>
      <c r="R142" s="547"/>
      <c r="S142" s="1745"/>
      <c r="T142" s="547"/>
      <c r="U142" s="989">
        <f t="shared" si="17"/>
        <v>0</v>
      </c>
      <c r="V142" s="547">
        <v>0</v>
      </c>
      <c r="W142" s="1264">
        <f t="shared" si="11"/>
        <v>0</v>
      </c>
      <c r="X142" s="547">
        <f t="shared" si="14"/>
        <v>0</v>
      </c>
      <c r="Y142" s="566"/>
      <c r="Z142" s="567"/>
      <c r="AA142" s="989">
        <f t="shared" si="15"/>
        <v>0</v>
      </c>
      <c r="AB142" s="812">
        <f t="shared" si="16"/>
        <v>0</v>
      </c>
    </row>
    <row r="143" spans="1:28" ht="27" hidden="1" customHeight="1">
      <c r="A143" s="531"/>
      <c r="B143" s="531">
        <v>428</v>
      </c>
      <c r="C143" s="529">
        <v>11</v>
      </c>
      <c r="D143" s="530" t="s">
        <v>210</v>
      </c>
      <c r="E143" s="1028" t="s">
        <v>211</v>
      </c>
      <c r="F143" s="1579">
        <v>264324986</v>
      </c>
      <c r="G143" s="1576">
        <v>8338500</v>
      </c>
      <c r="H143" s="1775"/>
      <c r="I143" s="547"/>
      <c r="J143" s="1745"/>
      <c r="K143" s="1775"/>
      <c r="L143" s="547"/>
      <c r="M143" s="1745"/>
      <c r="N143" s="547"/>
      <c r="O143" s="990"/>
      <c r="P143" s="990"/>
      <c r="Q143" s="547"/>
      <c r="R143" s="547"/>
      <c r="S143" s="1745"/>
      <c r="T143" s="547"/>
      <c r="U143" s="989">
        <f t="shared" si="17"/>
        <v>272663486</v>
      </c>
      <c r="V143" s="547">
        <v>239309486</v>
      </c>
      <c r="W143" s="1264">
        <f t="shared" ref="W143:W207" si="18">ROUND((U143/1000000),0)</f>
        <v>273</v>
      </c>
      <c r="X143" s="547">
        <f t="shared" si="14"/>
        <v>239</v>
      </c>
      <c r="Y143" s="566"/>
      <c r="Z143" s="567"/>
      <c r="AA143" s="989">
        <f t="shared" si="15"/>
        <v>272663486</v>
      </c>
      <c r="AB143" s="812">
        <f t="shared" si="16"/>
        <v>273</v>
      </c>
    </row>
    <row r="144" spans="1:28" ht="27" hidden="1" customHeight="1">
      <c r="A144" s="531"/>
      <c r="B144" s="531">
        <v>406</v>
      </c>
      <c r="C144" s="529">
        <v>11</v>
      </c>
      <c r="D144" s="530" t="s">
        <v>407</v>
      </c>
      <c r="E144" s="1028" t="s">
        <v>408</v>
      </c>
      <c r="F144" s="1579">
        <v>199100360</v>
      </c>
      <c r="G144" s="1576"/>
      <c r="H144" s="1775"/>
      <c r="I144" s="547"/>
      <c r="J144" s="1746"/>
      <c r="K144" s="547"/>
      <c r="L144" s="547"/>
      <c r="M144" s="1745"/>
      <c r="N144" s="547"/>
      <c r="O144" s="990"/>
      <c r="P144" s="990"/>
      <c r="Q144" s="547"/>
      <c r="R144" s="547"/>
      <c r="S144" s="1745"/>
      <c r="T144" s="547"/>
      <c r="U144" s="989">
        <f t="shared" si="17"/>
        <v>199100360</v>
      </c>
      <c r="V144" s="547">
        <v>199100360</v>
      </c>
      <c r="W144" s="1264">
        <f t="shared" si="18"/>
        <v>199</v>
      </c>
      <c r="X144" s="547">
        <f t="shared" si="14"/>
        <v>199</v>
      </c>
      <c r="Y144" s="566"/>
      <c r="Z144" s="567"/>
      <c r="AA144" s="989">
        <f t="shared" si="15"/>
        <v>199100360</v>
      </c>
      <c r="AB144" s="812">
        <f t="shared" si="16"/>
        <v>199</v>
      </c>
    </row>
    <row r="145" spans="1:28" ht="27" hidden="1" customHeight="1">
      <c r="A145" s="531"/>
      <c r="B145" s="531">
        <v>1008</v>
      </c>
      <c r="C145" s="529">
        <v>17</v>
      </c>
      <c r="D145" s="530" t="s">
        <v>1773</v>
      </c>
      <c r="E145" s="1028" t="s">
        <v>1762</v>
      </c>
      <c r="F145" s="1580">
        <v>-13237051640</v>
      </c>
      <c r="G145" s="1576">
        <v>-1432564568</v>
      </c>
      <c r="H145" s="1775"/>
      <c r="I145" s="1775"/>
      <c r="J145" s="1745">
        <v>14669616208</v>
      </c>
      <c r="K145" s="1760"/>
      <c r="L145" s="547"/>
      <c r="M145" s="1745"/>
      <c r="N145" s="547"/>
      <c r="O145" s="990"/>
      <c r="P145" s="990"/>
      <c r="Q145" s="547"/>
      <c r="R145" s="547"/>
      <c r="S145" s="1745"/>
      <c r="T145" s="547"/>
      <c r="U145" s="989">
        <f t="shared" si="17"/>
        <v>0</v>
      </c>
      <c r="V145" s="547">
        <v>0</v>
      </c>
      <c r="W145" s="1264">
        <f t="shared" si="18"/>
        <v>0</v>
      </c>
      <c r="X145" s="547">
        <f t="shared" si="14"/>
        <v>0</v>
      </c>
      <c r="Y145" s="566"/>
      <c r="Z145" s="567"/>
      <c r="AA145" s="989">
        <f t="shared" si="15"/>
        <v>0</v>
      </c>
      <c r="AB145" s="812">
        <f t="shared" si="16"/>
        <v>0</v>
      </c>
    </row>
    <row r="146" spans="1:28" ht="27" hidden="1" customHeight="1">
      <c r="A146" s="531"/>
      <c r="B146" s="531">
        <v>1001</v>
      </c>
      <c r="C146" s="529">
        <v>17</v>
      </c>
      <c r="D146" s="530" t="s">
        <v>714</v>
      </c>
      <c r="E146" s="1028" t="s">
        <v>715</v>
      </c>
      <c r="F146" s="1576">
        <v>-306437844</v>
      </c>
      <c r="G146" s="1578">
        <v>22513950</v>
      </c>
      <c r="H146" s="1812"/>
      <c r="I146" s="547"/>
      <c r="J146" s="1745">
        <v>-236116144</v>
      </c>
      <c r="K146" s="1625"/>
      <c r="L146" s="547">
        <v>306437844</v>
      </c>
      <c r="M146" s="1745"/>
      <c r="N146" s="547"/>
      <c r="O146" s="990"/>
      <c r="P146" s="990"/>
      <c r="Q146" s="547"/>
      <c r="R146" s="547"/>
      <c r="S146" s="1745"/>
      <c r="T146" s="547"/>
      <c r="U146" s="989">
        <f t="shared" si="17"/>
        <v>-213602194</v>
      </c>
      <c r="V146" s="547">
        <v>331701762</v>
      </c>
      <c r="W146" s="1264">
        <f t="shared" si="18"/>
        <v>-214</v>
      </c>
      <c r="X146" s="547">
        <f t="shared" si="14"/>
        <v>332</v>
      </c>
      <c r="Y146" s="566"/>
      <c r="Z146" s="567"/>
      <c r="AA146" s="989">
        <f t="shared" ref="AA146" si="19">U146+Z146-Y146</f>
        <v>-213602194</v>
      </c>
      <c r="AB146" s="812">
        <f t="shared" ref="AB146" si="20">ROUND((AA146/1000000),0)</f>
        <v>-214</v>
      </c>
    </row>
    <row r="147" spans="1:28" ht="27" hidden="1" customHeight="1">
      <c r="A147" s="531">
        <v>3214</v>
      </c>
      <c r="B147" s="531">
        <v>406</v>
      </c>
      <c r="C147" s="529">
        <v>11</v>
      </c>
      <c r="D147" s="530" t="s">
        <v>2040</v>
      </c>
      <c r="E147" s="1028" t="s">
        <v>2041</v>
      </c>
      <c r="F147" s="1579"/>
      <c r="G147" s="1583"/>
      <c r="H147" s="1810"/>
      <c r="I147" s="547"/>
      <c r="J147" s="1746"/>
      <c r="K147" s="1745"/>
      <c r="L147" s="547"/>
      <c r="M147" s="1745"/>
      <c r="N147" s="547"/>
      <c r="O147" s="990"/>
      <c r="P147" s="990"/>
      <c r="Q147" s="547"/>
      <c r="R147" s="547"/>
      <c r="S147" s="1745"/>
      <c r="T147" s="547"/>
      <c r="U147" s="989">
        <f t="shared" si="17"/>
        <v>0</v>
      </c>
      <c r="V147" s="547">
        <v>160000000</v>
      </c>
      <c r="W147" s="1264">
        <f t="shared" si="18"/>
        <v>0</v>
      </c>
      <c r="X147" s="547">
        <f t="shared" si="14"/>
        <v>160</v>
      </c>
      <c r="Y147" s="566"/>
      <c r="Z147" s="567"/>
      <c r="AA147" s="989"/>
      <c r="AB147" s="812"/>
    </row>
    <row r="148" spans="1:28" ht="27" hidden="1" customHeight="1">
      <c r="A148" s="1742"/>
      <c r="B148" s="1742">
        <v>406</v>
      </c>
      <c r="C148" s="1743">
        <v>11</v>
      </c>
      <c r="D148" s="1753" t="s">
        <v>1598</v>
      </c>
      <c r="E148" s="1754" t="s">
        <v>1597</v>
      </c>
      <c r="F148" s="1756">
        <v>223000000</v>
      </c>
      <c r="G148" s="1755"/>
      <c r="H148" s="1809"/>
      <c r="I148" s="547"/>
      <c r="J148" s="1761"/>
      <c r="K148" s="1775"/>
      <c r="L148" s="1775"/>
      <c r="M148" s="1775"/>
      <c r="N148" s="1775"/>
      <c r="O148" s="1759"/>
      <c r="P148" s="1746"/>
      <c r="Q148" s="1745"/>
      <c r="R148" s="1745"/>
      <c r="S148" s="1745"/>
      <c r="T148" s="1745"/>
      <c r="U148" s="1749">
        <f t="shared" si="17"/>
        <v>223000000</v>
      </c>
      <c r="V148" s="1745">
        <v>223000000</v>
      </c>
      <c r="W148" s="1264">
        <f t="shared" si="18"/>
        <v>223</v>
      </c>
      <c r="X148" s="547">
        <f t="shared" ref="X148:X212" si="21">ROUND((V148/1000000),0)</f>
        <v>223</v>
      </c>
      <c r="Y148" s="1747"/>
      <c r="Z148" s="1748"/>
      <c r="AA148" s="1749">
        <f t="shared" ref="AA148:AA180" si="22">U148+Z148-Y148</f>
        <v>223000000</v>
      </c>
      <c r="AB148" s="1750">
        <f t="shared" ref="AB148:AB180" si="23">ROUND((AA148/1000000),0)</f>
        <v>223</v>
      </c>
    </row>
    <row r="149" spans="1:28" ht="27" hidden="1" customHeight="1">
      <c r="A149" s="531">
        <v>3214</v>
      </c>
      <c r="B149" s="531">
        <v>1007</v>
      </c>
      <c r="C149" s="529">
        <v>17</v>
      </c>
      <c r="D149" s="530" t="s">
        <v>18</v>
      </c>
      <c r="E149" s="1028" t="s">
        <v>2730</v>
      </c>
      <c r="F149" s="1576"/>
      <c r="G149" s="1576"/>
      <c r="H149" s="1775"/>
      <c r="I149" s="547"/>
      <c r="J149" s="1746"/>
      <c r="K149" s="1775"/>
      <c r="L149" s="1745"/>
      <c r="M149" s="1745"/>
      <c r="N149" s="1745">
        <v>-1032467242825</v>
      </c>
      <c r="O149" s="1759">
        <v>249446071582</v>
      </c>
      <c r="P149" s="990"/>
      <c r="Q149" s="547"/>
      <c r="R149" s="547"/>
      <c r="S149" s="1745"/>
      <c r="T149" s="547"/>
      <c r="U149" s="989">
        <f t="shared" si="17"/>
        <v>-783021171243</v>
      </c>
      <c r="V149" s="547">
        <v>0</v>
      </c>
      <c r="W149" s="1264">
        <f t="shared" si="18"/>
        <v>-783021</v>
      </c>
      <c r="X149" s="547">
        <f t="shared" si="21"/>
        <v>0</v>
      </c>
      <c r="Y149" s="566"/>
      <c r="Z149" s="567"/>
      <c r="AA149" s="989">
        <f t="shared" si="22"/>
        <v>-783021171243</v>
      </c>
      <c r="AB149" s="812">
        <f t="shared" si="23"/>
        <v>-783021</v>
      </c>
    </row>
    <row r="150" spans="1:28" ht="27" hidden="1" customHeight="1">
      <c r="A150" s="531"/>
      <c r="B150" s="531">
        <v>1020</v>
      </c>
      <c r="C150" s="529">
        <v>17</v>
      </c>
      <c r="D150" s="530" t="s">
        <v>2833</v>
      </c>
      <c r="E150" s="1754" t="s">
        <v>2835</v>
      </c>
      <c r="F150" s="1576"/>
      <c r="G150" s="1583"/>
      <c r="H150" s="547"/>
      <c r="I150" s="547"/>
      <c r="J150" s="1746"/>
      <c r="K150" s="1625"/>
      <c r="L150" s="547"/>
      <c r="M150" s="1745"/>
      <c r="N150" s="547"/>
      <c r="O150" s="1746"/>
      <c r="P150" s="990">
        <v>-6440539598553</v>
      </c>
      <c r="Q150" s="547"/>
      <c r="R150" s="547"/>
      <c r="S150" s="1745"/>
      <c r="T150" s="547"/>
      <c r="U150" s="989">
        <f t="shared" si="17"/>
        <v>-6440539598553</v>
      </c>
      <c r="V150" s="547">
        <v>0</v>
      </c>
      <c r="W150" s="1264">
        <f t="shared" si="18"/>
        <v>-6440540</v>
      </c>
      <c r="X150" s="547">
        <f t="shared" si="21"/>
        <v>0</v>
      </c>
      <c r="Y150" s="566"/>
      <c r="Z150" s="567"/>
      <c r="AA150" s="989">
        <f t="shared" si="22"/>
        <v>-6440539598553</v>
      </c>
      <c r="AB150" s="812">
        <f t="shared" si="23"/>
        <v>-6440540</v>
      </c>
    </row>
    <row r="151" spans="1:28" ht="27" hidden="1" customHeight="1">
      <c r="A151" s="531"/>
      <c r="B151" s="531">
        <v>1018</v>
      </c>
      <c r="C151" s="529">
        <v>17</v>
      </c>
      <c r="D151" s="530" t="s">
        <v>30</v>
      </c>
      <c r="E151" s="1028" t="s">
        <v>31</v>
      </c>
      <c r="F151" s="1576">
        <v>99625000</v>
      </c>
      <c r="G151" s="1576"/>
      <c r="H151" s="547"/>
      <c r="I151" s="547">
        <v>-99625000</v>
      </c>
      <c r="J151" s="1746"/>
      <c r="K151" s="547"/>
      <c r="L151" s="547"/>
      <c r="M151" s="1745"/>
      <c r="N151" s="547"/>
      <c r="O151" s="990"/>
      <c r="P151" s="990"/>
      <c r="Q151" s="547"/>
      <c r="R151" s="547"/>
      <c r="S151" s="1745"/>
      <c r="T151" s="547"/>
      <c r="U151" s="989">
        <f t="shared" si="17"/>
        <v>0</v>
      </c>
      <c r="V151" s="547">
        <v>0</v>
      </c>
      <c r="W151" s="1264">
        <f t="shared" si="18"/>
        <v>0</v>
      </c>
      <c r="X151" s="547">
        <f t="shared" si="21"/>
        <v>0</v>
      </c>
      <c r="Y151" s="566"/>
      <c r="Z151" s="567"/>
      <c r="AA151" s="989">
        <f t="shared" si="22"/>
        <v>0</v>
      </c>
      <c r="AB151" s="812">
        <f t="shared" si="23"/>
        <v>0</v>
      </c>
    </row>
    <row r="152" spans="1:28" ht="27" hidden="1" customHeight="1">
      <c r="A152" s="1742"/>
      <c r="B152" s="1742">
        <v>428</v>
      </c>
      <c r="C152" s="1743">
        <v>11</v>
      </c>
      <c r="D152" s="1753" t="s">
        <v>1072</v>
      </c>
      <c r="E152" s="1754" t="s">
        <v>2667</v>
      </c>
      <c r="F152" s="1755">
        <v>171169548</v>
      </c>
      <c r="G152" s="1755"/>
      <c r="H152" s="1745"/>
      <c r="I152" s="1745"/>
      <c r="J152" s="1746"/>
      <c r="K152" s="1745"/>
      <c r="L152" s="1745"/>
      <c r="M152" s="1745"/>
      <c r="N152" s="1745"/>
      <c r="O152" s="1746"/>
      <c r="P152" s="1746"/>
      <c r="Q152" s="1745"/>
      <c r="R152" s="1745"/>
      <c r="S152" s="1745"/>
      <c r="T152" s="1745"/>
      <c r="U152" s="1749">
        <f t="shared" si="17"/>
        <v>171169548</v>
      </c>
      <c r="V152" s="1745"/>
      <c r="W152" s="1781">
        <f t="shared" si="18"/>
        <v>171</v>
      </c>
      <c r="X152" s="1745"/>
      <c r="Y152" s="1747"/>
      <c r="Z152" s="1748"/>
      <c r="AA152" s="1749">
        <f t="shared" si="22"/>
        <v>171169548</v>
      </c>
      <c r="AB152" s="1750">
        <f t="shared" si="23"/>
        <v>171</v>
      </c>
    </row>
    <row r="153" spans="1:28" ht="27" hidden="1" customHeight="1">
      <c r="A153" s="531"/>
      <c r="B153" s="531">
        <v>428</v>
      </c>
      <c r="C153" s="529">
        <v>11</v>
      </c>
      <c r="D153" s="530" t="s">
        <v>535</v>
      </c>
      <c r="E153" s="1028" t="s">
        <v>64</v>
      </c>
      <c r="F153" s="1579">
        <v>50031000</v>
      </c>
      <c r="G153" s="1576">
        <v>16677000</v>
      </c>
      <c r="H153" s="547"/>
      <c r="I153" s="547"/>
      <c r="J153" s="1745"/>
      <c r="K153" s="547"/>
      <c r="L153" s="547"/>
      <c r="M153" s="1745"/>
      <c r="N153" s="547"/>
      <c r="O153" s="990"/>
      <c r="P153" s="990"/>
      <c r="Q153" s="547"/>
      <c r="R153" s="547"/>
      <c r="S153" s="1745"/>
      <c r="T153" s="547"/>
      <c r="U153" s="989">
        <f t="shared" si="17"/>
        <v>66708000</v>
      </c>
      <c r="V153" s="547">
        <v>0</v>
      </c>
      <c r="W153" s="1264">
        <f t="shared" si="18"/>
        <v>67</v>
      </c>
      <c r="X153" s="547">
        <f t="shared" si="21"/>
        <v>0</v>
      </c>
      <c r="Y153" s="566"/>
      <c r="Z153" s="567"/>
      <c r="AA153" s="989">
        <f t="shared" si="22"/>
        <v>66708000</v>
      </c>
      <c r="AB153" s="812">
        <f t="shared" si="23"/>
        <v>67</v>
      </c>
    </row>
    <row r="154" spans="1:28" ht="27" hidden="1" customHeight="1">
      <c r="A154" s="531"/>
      <c r="B154" s="531">
        <v>1018</v>
      </c>
      <c r="C154" s="529">
        <v>17</v>
      </c>
      <c r="D154" s="530" t="s">
        <v>97</v>
      </c>
      <c r="E154" s="1028" t="s">
        <v>95</v>
      </c>
      <c r="F154" s="1576"/>
      <c r="G154" s="1576"/>
      <c r="H154" s="1775"/>
      <c r="I154" s="1775"/>
      <c r="J154" s="1746"/>
      <c r="K154" s="1745"/>
      <c r="L154" s="1775"/>
      <c r="M154" s="1775"/>
      <c r="N154" s="547"/>
      <c r="O154" s="1759"/>
      <c r="P154" s="990"/>
      <c r="Q154" s="547"/>
      <c r="R154" s="547"/>
      <c r="S154" s="1745"/>
      <c r="T154" s="547"/>
      <c r="U154" s="989">
        <f t="shared" si="17"/>
        <v>0</v>
      </c>
      <c r="V154" s="547">
        <v>0</v>
      </c>
      <c r="W154" s="1264">
        <f t="shared" si="18"/>
        <v>0</v>
      </c>
      <c r="X154" s="547">
        <f t="shared" si="21"/>
        <v>0</v>
      </c>
      <c r="Y154" s="566"/>
      <c r="Z154" s="567"/>
      <c r="AA154" s="989">
        <f t="shared" si="22"/>
        <v>0</v>
      </c>
      <c r="AB154" s="812">
        <f t="shared" si="23"/>
        <v>0</v>
      </c>
    </row>
    <row r="155" spans="1:28" ht="27" hidden="1" customHeight="1">
      <c r="A155" s="531"/>
      <c r="B155" s="531">
        <v>1018</v>
      </c>
      <c r="C155" s="529">
        <v>17</v>
      </c>
      <c r="D155" s="530" t="s">
        <v>471</v>
      </c>
      <c r="E155" s="1028" t="s">
        <v>98</v>
      </c>
      <c r="F155" s="1576"/>
      <c r="G155" s="1576"/>
      <c r="H155" s="547"/>
      <c r="I155" s="547"/>
      <c r="J155" s="1746"/>
      <c r="K155" s="1745"/>
      <c r="L155" s="2051"/>
      <c r="M155" s="1612"/>
      <c r="N155" s="547"/>
      <c r="O155" s="990"/>
      <c r="P155" s="990"/>
      <c r="Q155" s="547"/>
      <c r="R155" s="547"/>
      <c r="S155" s="1745"/>
      <c r="T155" s="547"/>
      <c r="U155" s="989">
        <f t="shared" si="17"/>
        <v>0</v>
      </c>
      <c r="V155" s="547">
        <v>0</v>
      </c>
      <c r="W155" s="1264">
        <f t="shared" si="18"/>
        <v>0</v>
      </c>
      <c r="X155" s="547">
        <f t="shared" si="21"/>
        <v>0</v>
      </c>
      <c r="Y155" s="566"/>
      <c r="Z155" s="567"/>
      <c r="AA155" s="989">
        <f t="shared" si="22"/>
        <v>0</v>
      </c>
      <c r="AB155" s="812">
        <f t="shared" si="23"/>
        <v>0</v>
      </c>
    </row>
    <row r="156" spans="1:28" ht="27" hidden="1" customHeight="1">
      <c r="A156" s="531"/>
      <c r="B156" s="531">
        <v>406</v>
      </c>
      <c r="C156" s="529">
        <v>11</v>
      </c>
      <c r="D156" s="530" t="s">
        <v>1259</v>
      </c>
      <c r="E156" s="1028" t="s">
        <v>1260</v>
      </c>
      <c r="F156" s="1579">
        <v>-8473137096360</v>
      </c>
      <c r="G156" s="1576">
        <v>12612928800</v>
      </c>
      <c r="H156" s="1807">
        <v>8461306995343</v>
      </c>
      <c r="I156" s="547"/>
      <c r="J156" s="1746"/>
      <c r="K156" s="547">
        <v>-969995343</v>
      </c>
      <c r="L156" s="547">
        <v>-3760000</v>
      </c>
      <c r="M156" s="1745"/>
      <c r="N156" s="547"/>
      <c r="O156" s="990"/>
      <c r="P156" s="990"/>
      <c r="Q156" s="547"/>
      <c r="R156" s="547"/>
      <c r="S156" s="1745"/>
      <c r="T156" s="547"/>
      <c r="U156" s="989">
        <f t="shared" si="17"/>
        <v>-190927560</v>
      </c>
      <c r="V156" s="547">
        <v>-190927560</v>
      </c>
      <c r="W156" s="1264">
        <f t="shared" si="18"/>
        <v>-191</v>
      </c>
      <c r="X156" s="547">
        <f t="shared" si="21"/>
        <v>-191</v>
      </c>
      <c r="Y156" s="566"/>
      <c r="Z156" s="567"/>
      <c r="AA156" s="989">
        <f t="shared" si="22"/>
        <v>-190927560</v>
      </c>
      <c r="AB156" s="812">
        <f t="shared" si="23"/>
        <v>-191</v>
      </c>
    </row>
    <row r="157" spans="1:28" ht="27" hidden="1" customHeight="1">
      <c r="A157" s="531"/>
      <c r="B157" s="531">
        <v>1018</v>
      </c>
      <c r="C157" s="529">
        <v>17</v>
      </c>
      <c r="D157" s="530" t="s">
        <v>571</v>
      </c>
      <c r="E157" s="1028" t="s">
        <v>2015</v>
      </c>
      <c r="F157" s="1579">
        <v>-3550986088</v>
      </c>
      <c r="G157" s="1576"/>
      <c r="H157" s="547"/>
      <c r="I157" s="547"/>
      <c r="J157" s="1745"/>
      <c r="K157" s="1775"/>
      <c r="L157" s="547"/>
      <c r="M157" s="1745"/>
      <c r="N157" s="547"/>
      <c r="O157" s="990"/>
      <c r="P157" s="990"/>
      <c r="Q157" s="547"/>
      <c r="R157" s="547"/>
      <c r="S157" s="1745"/>
      <c r="T157" s="547"/>
      <c r="U157" s="989">
        <f t="shared" si="17"/>
        <v>-3550986088</v>
      </c>
      <c r="V157" s="547">
        <v>-964127960</v>
      </c>
      <c r="W157" s="1264">
        <f t="shared" si="18"/>
        <v>-3551</v>
      </c>
      <c r="X157" s="547">
        <f t="shared" si="21"/>
        <v>-964</v>
      </c>
      <c r="Y157" s="566"/>
      <c r="Z157" s="567"/>
      <c r="AA157" s="989">
        <f t="shared" si="22"/>
        <v>-3550986088</v>
      </c>
      <c r="AB157" s="812">
        <f t="shared" si="23"/>
        <v>-3551</v>
      </c>
    </row>
    <row r="158" spans="1:28" ht="27" hidden="1" customHeight="1">
      <c r="A158" s="531"/>
      <c r="B158" s="531">
        <v>428</v>
      </c>
      <c r="C158" s="529">
        <v>11</v>
      </c>
      <c r="D158" s="530" t="s">
        <v>883</v>
      </c>
      <c r="E158" s="1028" t="s">
        <v>884</v>
      </c>
      <c r="F158" s="1579">
        <v>141754500</v>
      </c>
      <c r="G158" s="1576">
        <v>8338500</v>
      </c>
      <c r="H158" s="547"/>
      <c r="I158" s="547"/>
      <c r="J158" s="1745"/>
      <c r="K158" s="547"/>
      <c r="L158" s="547"/>
      <c r="M158" s="1745"/>
      <c r="N158" s="547"/>
      <c r="O158" s="990"/>
      <c r="P158" s="990"/>
      <c r="Q158" s="547"/>
      <c r="R158" s="547"/>
      <c r="S158" s="1745"/>
      <c r="T158" s="547"/>
      <c r="U158" s="989">
        <f t="shared" si="17"/>
        <v>150093000</v>
      </c>
      <c r="V158" s="547">
        <v>116739000</v>
      </c>
      <c r="W158" s="1264">
        <f t="shared" si="18"/>
        <v>150</v>
      </c>
      <c r="X158" s="547">
        <f t="shared" si="21"/>
        <v>117</v>
      </c>
      <c r="Y158" s="566"/>
      <c r="Z158" s="567"/>
      <c r="AA158" s="989">
        <f t="shared" si="22"/>
        <v>150093000</v>
      </c>
      <c r="AB158" s="812">
        <f t="shared" si="23"/>
        <v>150</v>
      </c>
    </row>
    <row r="159" spans="1:28" ht="27" hidden="1" customHeight="1">
      <c r="A159" s="531"/>
      <c r="B159" s="531">
        <v>1018</v>
      </c>
      <c r="C159" s="529">
        <v>17</v>
      </c>
      <c r="D159" s="530" t="s">
        <v>100</v>
      </c>
      <c r="E159" s="1028" t="s">
        <v>1612</v>
      </c>
      <c r="F159" s="1576"/>
      <c r="G159" s="1576"/>
      <c r="H159" s="1775"/>
      <c r="I159" s="547"/>
      <c r="J159" s="1746"/>
      <c r="K159" s="547"/>
      <c r="L159" s="547"/>
      <c r="M159" s="1745"/>
      <c r="N159" s="547"/>
      <c r="O159" s="990"/>
      <c r="P159" s="990"/>
      <c r="Q159" s="547"/>
      <c r="R159" s="547"/>
      <c r="S159" s="1745"/>
      <c r="T159" s="547"/>
      <c r="U159" s="989">
        <f t="shared" si="17"/>
        <v>0</v>
      </c>
      <c r="V159" s="547">
        <v>0</v>
      </c>
      <c r="W159" s="1264">
        <f t="shared" si="18"/>
        <v>0</v>
      </c>
      <c r="X159" s="547">
        <f t="shared" si="21"/>
        <v>0</v>
      </c>
      <c r="Y159" s="566"/>
      <c r="Z159" s="567"/>
      <c r="AA159" s="989">
        <f t="shared" si="22"/>
        <v>0</v>
      </c>
      <c r="AB159" s="812">
        <f t="shared" si="23"/>
        <v>0</v>
      </c>
    </row>
    <row r="160" spans="1:28" ht="27" hidden="1" customHeight="1">
      <c r="A160" s="531"/>
      <c r="B160" s="531">
        <v>406</v>
      </c>
      <c r="C160" s="529">
        <v>11</v>
      </c>
      <c r="D160" s="1575" t="s">
        <v>355</v>
      </c>
      <c r="E160" s="1028" t="s">
        <v>356</v>
      </c>
      <c r="F160" s="547">
        <v>78800606</v>
      </c>
      <c r="G160" s="1576"/>
      <c r="H160" s="1775"/>
      <c r="I160" s="547"/>
      <c r="J160" s="1746"/>
      <c r="K160" s="547"/>
      <c r="L160" s="547"/>
      <c r="M160" s="1745"/>
      <c r="N160" s="547"/>
      <c r="O160" s="990"/>
      <c r="P160" s="990"/>
      <c r="Q160" s="547"/>
      <c r="R160" s="547"/>
      <c r="S160" s="1745"/>
      <c r="T160" s="547"/>
      <c r="U160" s="989">
        <f t="shared" si="17"/>
        <v>78800606</v>
      </c>
      <c r="V160" s="547">
        <v>78800606</v>
      </c>
      <c r="W160" s="1264">
        <f t="shared" si="18"/>
        <v>79</v>
      </c>
      <c r="X160" s="547">
        <f t="shared" si="21"/>
        <v>79</v>
      </c>
      <c r="Y160" s="566"/>
      <c r="Z160" s="567"/>
      <c r="AA160" s="989">
        <f t="shared" si="22"/>
        <v>78800606</v>
      </c>
      <c r="AB160" s="812">
        <f t="shared" si="23"/>
        <v>79</v>
      </c>
    </row>
    <row r="161" spans="1:28" ht="27" hidden="1" customHeight="1">
      <c r="A161" s="531"/>
      <c r="B161" s="531">
        <v>1018</v>
      </c>
      <c r="C161" s="529">
        <v>17</v>
      </c>
      <c r="D161" s="530" t="s">
        <v>1360</v>
      </c>
      <c r="E161" s="1028" t="s">
        <v>1613</v>
      </c>
      <c r="F161" s="1576"/>
      <c r="G161" s="1576"/>
      <c r="H161" s="1775"/>
      <c r="I161" s="547"/>
      <c r="J161" s="1746"/>
      <c r="K161" s="547"/>
      <c r="L161" s="547"/>
      <c r="M161" s="1745"/>
      <c r="N161" s="547"/>
      <c r="O161" s="990"/>
      <c r="P161" s="990"/>
      <c r="Q161" s="547"/>
      <c r="R161" s="547"/>
      <c r="S161" s="1745"/>
      <c r="T161" s="547"/>
      <c r="U161" s="989">
        <f t="shared" si="17"/>
        <v>0</v>
      </c>
      <c r="V161" s="547">
        <v>0</v>
      </c>
      <c r="W161" s="1264">
        <f t="shared" si="18"/>
        <v>0</v>
      </c>
      <c r="X161" s="547">
        <f t="shared" si="21"/>
        <v>0</v>
      </c>
      <c r="Y161" s="566"/>
      <c r="Z161" s="567"/>
      <c r="AA161" s="989">
        <f t="shared" si="22"/>
        <v>0</v>
      </c>
      <c r="AB161" s="812">
        <f t="shared" si="23"/>
        <v>0</v>
      </c>
    </row>
    <row r="162" spans="1:28" ht="27" hidden="1" customHeight="1">
      <c r="A162" s="531"/>
      <c r="B162" s="531">
        <v>428</v>
      </c>
      <c r="C162" s="529">
        <v>11</v>
      </c>
      <c r="D162" s="530" t="s">
        <v>1771</v>
      </c>
      <c r="E162" s="1028" t="s">
        <v>1765</v>
      </c>
      <c r="F162" s="1579">
        <v>170040000</v>
      </c>
      <c r="G162" s="1576">
        <v>13080000</v>
      </c>
      <c r="H162" s="547"/>
      <c r="I162" s="547"/>
      <c r="J162" s="1745"/>
      <c r="K162" s="547"/>
      <c r="L162" s="547"/>
      <c r="M162" s="1745"/>
      <c r="N162" s="547"/>
      <c r="O162" s="990"/>
      <c r="P162" s="990"/>
      <c r="Q162" s="547"/>
      <c r="R162" s="547"/>
      <c r="S162" s="1745"/>
      <c r="T162" s="547"/>
      <c r="U162" s="989">
        <f t="shared" si="17"/>
        <v>183120000</v>
      </c>
      <c r="V162" s="547">
        <v>130800000</v>
      </c>
      <c r="W162" s="1264">
        <f t="shared" si="18"/>
        <v>183</v>
      </c>
      <c r="X162" s="547">
        <f t="shared" si="21"/>
        <v>131</v>
      </c>
      <c r="Y162" s="566"/>
      <c r="Z162" s="567"/>
      <c r="AA162" s="989">
        <f t="shared" si="22"/>
        <v>183120000</v>
      </c>
      <c r="AB162" s="812">
        <f t="shared" si="23"/>
        <v>183</v>
      </c>
    </row>
    <row r="163" spans="1:28" ht="27" hidden="1" customHeight="1">
      <c r="A163" s="531"/>
      <c r="B163" s="531">
        <v>428</v>
      </c>
      <c r="C163" s="529">
        <v>11</v>
      </c>
      <c r="D163" s="530" t="s">
        <v>412</v>
      </c>
      <c r="E163" s="1028" t="s">
        <v>17</v>
      </c>
      <c r="F163" s="1579">
        <v>-608672230</v>
      </c>
      <c r="G163" s="1576">
        <v>-1955001500</v>
      </c>
      <c r="H163" s="1806">
        <v>145600000</v>
      </c>
      <c r="I163" s="547">
        <v>-2946500000</v>
      </c>
      <c r="J163" s="1745">
        <v>5364573731</v>
      </c>
      <c r="K163" s="547"/>
      <c r="L163" s="547"/>
      <c r="M163" s="1745"/>
      <c r="N163" s="547"/>
      <c r="O163" s="990"/>
      <c r="P163" s="990"/>
      <c r="Q163" s="547"/>
      <c r="R163" s="547"/>
      <c r="S163" s="1745"/>
      <c r="T163" s="547"/>
      <c r="U163" s="989">
        <f t="shared" si="17"/>
        <v>1</v>
      </c>
      <c r="V163" s="547">
        <v>222379792</v>
      </c>
      <c r="W163" s="1264">
        <f t="shared" si="18"/>
        <v>0</v>
      </c>
      <c r="X163" s="547">
        <f t="shared" si="21"/>
        <v>222</v>
      </c>
      <c r="Y163" s="566"/>
      <c r="Z163" s="567"/>
      <c r="AA163" s="989">
        <f t="shared" si="22"/>
        <v>1</v>
      </c>
      <c r="AB163" s="812">
        <f t="shared" si="23"/>
        <v>0</v>
      </c>
    </row>
    <row r="164" spans="1:28" ht="27" hidden="1" customHeight="1">
      <c r="A164" s="531"/>
      <c r="B164" s="531">
        <v>406</v>
      </c>
      <c r="C164" s="529">
        <v>11</v>
      </c>
      <c r="D164" s="530" t="s">
        <v>489</v>
      </c>
      <c r="E164" s="1028" t="s">
        <v>854</v>
      </c>
      <c r="F164" s="1579">
        <v>71320783</v>
      </c>
      <c r="G164" s="1576"/>
      <c r="H164" s="547"/>
      <c r="I164" s="547"/>
      <c r="J164" s="1745"/>
      <c r="K164" s="547"/>
      <c r="L164" s="547"/>
      <c r="M164" s="1745"/>
      <c r="N164" s="547"/>
      <c r="O164" s="990"/>
      <c r="P164" s="990"/>
      <c r="Q164" s="547"/>
      <c r="R164" s="547"/>
      <c r="S164" s="1745"/>
      <c r="T164" s="547"/>
      <c r="U164" s="989">
        <f t="shared" si="17"/>
        <v>71320783</v>
      </c>
      <c r="V164" s="547">
        <v>71320783</v>
      </c>
      <c r="W164" s="1264">
        <f t="shared" si="18"/>
        <v>71</v>
      </c>
      <c r="X164" s="547">
        <f t="shared" si="21"/>
        <v>71</v>
      </c>
      <c r="Y164" s="566"/>
      <c r="Z164" s="567"/>
      <c r="AA164" s="989">
        <f t="shared" si="22"/>
        <v>71320783</v>
      </c>
      <c r="AB164" s="812">
        <f t="shared" si="23"/>
        <v>71</v>
      </c>
    </row>
    <row r="165" spans="1:28" ht="27" hidden="1" customHeight="1">
      <c r="A165" s="531"/>
      <c r="B165" s="531">
        <v>428</v>
      </c>
      <c r="C165" s="529">
        <v>11</v>
      </c>
      <c r="D165" s="530" t="s">
        <v>1176</v>
      </c>
      <c r="E165" s="1028" t="s">
        <v>1177</v>
      </c>
      <c r="F165" s="1579">
        <v>25015500</v>
      </c>
      <c r="G165" s="1576">
        <v>8338500</v>
      </c>
      <c r="H165" s="547"/>
      <c r="I165" s="547"/>
      <c r="J165" s="1745"/>
      <c r="K165" s="547"/>
      <c r="L165" s="547"/>
      <c r="M165" s="1745"/>
      <c r="N165" s="547"/>
      <c r="O165" s="990"/>
      <c r="P165" s="990"/>
      <c r="Q165" s="547"/>
      <c r="R165" s="547"/>
      <c r="S165" s="1745"/>
      <c r="T165" s="547"/>
      <c r="U165" s="989">
        <f t="shared" si="17"/>
        <v>33354000</v>
      </c>
      <c r="V165" s="547">
        <v>100062000</v>
      </c>
      <c r="W165" s="1264">
        <f t="shared" si="18"/>
        <v>33</v>
      </c>
      <c r="X165" s="547">
        <f t="shared" si="21"/>
        <v>100</v>
      </c>
      <c r="Y165" s="566"/>
      <c r="Z165" s="567"/>
      <c r="AA165" s="989">
        <f t="shared" si="22"/>
        <v>33354000</v>
      </c>
      <c r="AB165" s="812">
        <f t="shared" si="23"/>
        <v>33</v>
      </c>
    </row>
    <row r="166" spans="1:28" ht="27" hidden="1" customHeight="1">
      <c r="A166" s="531"/>
      <c r="B166" s="531">
        <v>428</v>
      </c>
      <c r="C166" s="529">
        <v>11</v>
      </c>
      <c r="D166" s="530" t="s">
        <v>1770</v>
      </c>
      <c r="E166" s="1028" t="s">
        <v>1764</v>
      </c>
      <c r="F166" s="1579"/>
      <c r="G166" s="1576">
        <v>26160000</v>
      </c>
      <c r="H166" s="547"/>
      <c r="I166" s="547"/>
      <c r="J166" s="1745"/>
      <c r="K166" s="547"/>
      <c r="L166" s="547"/>
      <c r="M166" s="1745"/>
      <c r="N166" s="547"/>
      <c r="O166" s="990"/>
      <c r="P166" s="990"/>
      <c r="Q166" s="547"/>
      <c r="R166" s="547"/>
      <c r="S166" s="1745"/>
      <c r="T166" s="547"/>
      <c r="U166" s="989">
        <f t="shared" si="17"/>
        <v>26160000</v>
      </c>
      <c r="V166" s="547">
        <v>52320000</v>
      </c>
      <c r="W166" s="1264">
        <f t="shared" si="18"/>
        <v>26</v>
      </c>
      <c r="X166" s="547">
        <f t="shared" si="21"/>
        <v>52</v>
      </c>
      <c r="Y166" s="566"/>
      <c r="Z166" s="567"/>
      <c r="AA166" s="989">
        <f t="shared" si="22"/>
        <v>26160000</v>
      </c>
      <c r="AB166" s="812">
        <f t="shared" si="23"/>
        <v>26</v>
      </c>
    </row>
    <row r="167" spans="1:28" ht="27" hidden="1" customHeight="1">
      <c r="A167" s="531"/>
      <c r="B167" s="531">
        <v>406</v>
      </c>
      <c r="C167" s="529">
        <v>11</v>
      </c>
      <c r="D167" s="530" t="s">
        <v>974</v>
      </c>
      <c r="E167" s="1028" t="s">
        <v>975</v>
      </c>
      <c r="F167" s="1579">
        <v>23739800</v>
      </c>
      <c r="G167" s="1576"/>
      <c r="H167" s="547"/>
      <c r="I167" s="547"/>
      <c r="J167" s="1745"/>
      <c r="K167" s="547"/>
      <c r="L167" s="547"/>
      <c r="M167" s="1745"/>
      <c r="N167" s="547"/>
      <c r="O167" s="990"/>
      <c r="P167" s="990"/>
      <c r="Q167" s="547"/>
      <c r="R167" s="547"/>
      <c r="S167" s="1745"/>
      <c r="T167" s="547"/>
      <c r="U167" s="989">
        <f t="shared" si="17"/>
        <v>23739800</v>
      </c>
      <c r="V167" s="547">
        <v>17265200</v>
      </c>
      <c r="W167" s="1264">
        <f t="shared" si="18"/>
        <v>24</v>
      </c>
      <c r="X167" s="547">
        <f t="shared" si="21"/>
        <v>17</v>
      </c>
      <c r="Y167" s="566"/>
      <c r="Z167" s="567"/>
      <c r="AA167" s="989">
        <f t="shared" si="22"/>
        <v>23739800</v>
      </c>
      <c r="AB167" s="812">
        <f t="shared" si="23"/>
        <v>24</v>
      </c>
    </row>
    <row r="168" spans="1:28" ht="27" hidden="1" customHeight="1">
      <c r="A168" s="531"/>
      <c r="B168" s="531">
        <v>406</v>
      </c>
      <c r="C168" s="529">
        <v>11</v>
      </c>
      <c r="D168" s="530" t="s">
        <v>1003</v>
      </c>
      <c r="E168" s="1028" t="s">
        <v>1258</v>
      </c>
      <c r="F168" s="1579">
        <v>6320000</v>
      </c>
      <c r="G168" s="1576"/>
      <c r="H168" s="547"/>
      <c r="I168" s="547"/>
      <c r="J168" s="1746"/>
      <c r="K168" s="1745"/>
      <c r="L168" s="547"/>
      <c r="M168" s="1745"/>
      <c r="N168" s="547"/>
      <c r="O168" s="990"/>
      <c r="P168" s="990"/>
      <c r="Q168" s="547"/>
      <c r="R168" s="547"/>
      <c r="S168" s="1745"/>
      <c r="T168" s="547"/>
      <c r="U168" s="989">
        <f t="shared" si="17"/>
        <v>6320000</v>
      </c>
      <c r="V168" s="547">
        <v>6320000</v>
      </c>
      <c r="W168" s="1264">
        <f t="shared" si="18"/>
        <v>6</v>
      </c>
      <c r="X168" s="547">
        <f t="shared" si="21"/>
        <v>6</v>
      </c>
      <c r="Y168" s="566"/>
      <c r="Z168" s="567"/>
      <c r="AA168" s="989">
        <f t="shared" si="22"/>
        <v>6320000</v>
      </c>
      <c r="AB168" s="812">
        <f t="shared" si="23"/>
        <v>6</v>
      </c>
    </row>
    <row r="169" spans="1:28" ht="27" hidden="1" customHeight="1">
      <c r="A169" s="531"/>
      <c r="B169" s="531">
        <v>406</v>
      </c>
      <c r="C169" s="529">
        <v>11</v>
      </c>
      <c r="D169" s="530" t="s">
        <v>1191</v>
      </c>
      <c r="E169" s="1028" t="s">
        <v>1192</v>
      </c>
      <c r="F169" s="1579">
        <v>3233832</v>
      </c>
      <c r="G169" s="1576"/>
      <c r="H169" s="1775"/>
      <c r="I169" s="547"/>
      <c r="J169" s="1745"/>
      <c r="K169" s="1745"/>
      <c r="L169" s="547"/>
      <c r="M169" s="1775"/>
      <c r="N169" s="1775"/>
      <c r="O169" s="990"/>
      <c r="P169" s="990"/>
      <c r="Q169" s="547"/>
      <c r="R169" s="547"/>
      <c r="S169" s="1745"/>
      <c r="T169" s="547"/>
      <c r="U169" s="989">
        <f t="shared" si="17"/>
        <v>3233832</v>
      </c>
      <c r="V169" s="547">
        <v>3233832</v>
      </c>
      <c r="W169" s="1264">
        <f t="shared" si="18"/>
        <v>3</v>
      </c>
      <c r="X169" s="547">
        <f t="shared" si="21"/>
        <v>3</v>
      </c>
      <c r="Y169" s="566"/>
      <c r="Z169" s="567"/>
      <c r="AA169" s="989">
        <f t="shared" si="22"/>
        <v>3233832</v>
      </c>
      <c r="AB169" s="812">
        <f t="shared" si="23"/>
        <v>3</v>
      </c>
    </row>
    <row r="170" spans="1:28" ht="27" hidden="1" customHeight="1">
      <c r="A170" s="531"/>
      <c r="B170" s="531">
        <v>406</v>
      </c>
      <c r="C170" s="529">
        <v>11</v>
      </c>
      <c r="D170" s="530" t="s">
        <v>43</v>
      </c>
      <c r="E170" s="1028" t="s">
        <v>1001</v>
      </c>
      <c r="F170" s="1580"/>
      <c r="G170" s="1576"/>
      <c r="H170" s="1812"/>
      <c r="I170" s="1808"/>
      <c r="J170" s="1745"/>
      <c r="K170" s="547"/>
      <c r="L170" s="1625"/>
      <c r="M170" s="1760"/>
      <c r="N170" s="547"/>
      <c r="O170" s="990"/>
      <c r="P170" s="990"/>
      <c r="Q170" s="547"/>
      <c r="R170" s="547"/>
      <c r="S170" s="1745"/>
      <c r="T170" s="547"/>
      <c r="U170" s="989">
        <f t="shared" si="17"/>
        <v>0</v>
      </c>
      <c r="V170" s="547">
        <v>0</v>
      </c>
      <c r="W170" s="1264">
        <f t="shared" si="18"/>
        <v>0</v>
      </c>
      <c r="X170" s="547">
        <f t="shared" si="21"/>
        <v>0</v>
      </c>
      <c r="Y170" s="566"/>
      <c r="Z170" s="567"/>
      <c r="AA170" s="989">
        <f t="shared" si="22"/>
        <v>0</v>
      </c>
      <c r="AB170" s="812">
        <f t="shared" si="23"/>
        <v>0</v>
      </c>
    </row>
    <row r="171" spans="1:28" ht="27" hidden="1" customHeight="1">
      <c r="A171" s="531"/>
      <c r="B171" s="531">
        <v>1018</v>
      </c>
      <c r="C171" s="529">
        <v>17</v>
      </c>
      <c r="D171" s="530" t="s">
        <v>912</v>
      </c>
      <c r="E171" s="1028" t="s">
        <v>1005</v>
      </c>
      <c r="F171" s="1576"/>
      <c r="G171" s="1576"/>
      <c r="H171" s="547"/>
      <c r="I171" s="547"/>
      <c r="J171" s="1746"/>
      <c r="K171" s="547"/>
      <c r="L171" s="547"/>
      <c r="M171" s="1745"/>
      <c r="N171" s="547"/>
      <c r="O171" s="990"/>
      <c r="P171" s="990"/>
      <c r="Q171" s="547"/>
      <c r="R171" s="547"/>
      <c r="S171" s="1745"/>
      <c r="T171" s="547"/>
      <c r="U171" s="989">
        <f t="shared" si="17"/>
        <v>0</v>
      </c>
      <c r="V171" s="547">
        <v>0</v>
      </c>
      <c r="W171" s="1264">
        <f t="shared" si="18"/>
        <v>0</v>
      </c>
      <c r="X171" s="547">
        <f t="shared" si="21"/>
        <v>0</v>
      </c>
      <c r="Y171" s="566"/>
      <c r="Z171" s="567"/>
      <c r="AA171" s="989">
        <f t="shared" si="22"/>
        <v>0</v>
      </c>
      <c r="AB171" s="812">
        <f t="shared" si="23"/>
        <v>0</v>
      </c>
    </row>
    <row r="172" spans="1:28" ht="27" hidden="1" customHeight="1">
      <c r="A172" s="531"/>
      <c r="B172" s="531">
        <v>1018</v>
      </c>
      <c r="C172" s="529">
        <v>17</v>
      </c>
      <c r="D172" s="530">
        <v>90009681</v>
      </c>
      <c r="E172" s="1028" t="s">
        <v>1942</v>
      </c>
      <c r="F172" s="1576"/>
      <c r="G172" s="1576"/>
      <c r="H172" s="1775"/>
      <c r="I172" s="1775"/>
      <c r="J172" s="1745"/>
      <c r="K172" s="547"/>
      <c r="L172" s="1775"/>
      <c r="M172" s="1775"/>
      <c r="N172" s="1775"/>
      <c r="O172" s="990"/>
      <c r="P172" s="990"/>
      <c r="Q172" s="547"/>
      <c r="R172" s="547"/>
      <c r="S172" s="1745"/>
      <c r="T172" s="547"/>
      <c r="U172" s="989">
        <f t="shared" si="17"/>
        <v>0</v>
      </c>
      <c r="V172" s="547">
        <v>0</v>
      </c>
      <c r="W172" s="1264">
        <f t="shared" si="18"/>
        <v>0</v>
      </c>
      <c r="X172" s="547">
        <f t="shared" si="21"/>
        <v>0</v>
      </c>
      <c r="Y172" s="566"/>
      <c r="Z172" s="567"/>
      <c r="AA172" s="989">
        <f t="shared" si="22"/>
        <v>0</v>
      </c>
      <c r="AB172" s="812">
        <f t="shared" si="23"/>
        <v>0</v>
      </c>
    </row>
    <row r="173" spans="1:28" ht="27" hidden="1" customHeight="1">
      <c r="A173" s="531"/>
      <c r="B173" s="531">
        <v>406</v>
      </c>
      <c r="C173" s="529">
        <v>11</v>
      </c>
      <c r="D173" s="530" t="s">
        <v>1769</v>
      </c>
      <c r="E173" s="1028" t="s">
        <v>1760</v>
      </c>
      <c r="F173" s="1576"/>
      <c r="G173" s="1576"/>
      <c r="H173" s="547"/>
      <c r="I173" s="547"/>
      <c r="J173" s="1745"/>
      <c r="K173" s="547"/>
      <c r="L173" s="547"/>
      <c r="M173" s="1745"/>
      <c r="N173" s="547"/>
      <c r="O173" s="990"/>
      <c r="P173" s="990"/>
      <c r="Q173" s="547"/>
      <c r="R173" s="547"/>
      <c r="S173" s="1745"/>
      <c r="T173" s="547"/>
      <c r="U173" s="989">
        <f t="shared" si="17"/>
        <v>0</v>
      </c>
      <c r="V173" s="547">
        <v>0</v>
      </c>
      <c r="W173" s="1264">
        <f t="shared" si="18"/>
        <v>0</v>
      </c>
      <c r="X173" s="547">
        <f t="shared" si="21"/>
        <v>0</v>
      </c>
      <c r="Y173" s="566"/>
      <c r="Z173" s="567"/>
      <c r="AA173" s="989">
        <f t="shared" si="22"/>
        <v>0</v>
      </c>
      <c r="AB173" s="812">
        <f t="shared" si="23"/>
        <v>0</v>
      </c>
    </row>
    <row r="174" spans="1:28" ht="27" hidden="1" customHeight="1">
      <c r="A174" s="531"/>
      <c r="B174" s="531">
        <v>406</v>
      </c>
      <c r="C174" s="529">
        <v>11</v>
      </c>
      <c r="D174" s="530" t="s">
        <v>378</v>
      </c>
      <c r="E174" s="1028" t="s">
        <v>957</v>
      </c>
      <c r="F174" s="1576"/>
      <c r="G174" s="1576"/>
      <c r="H174" s="547"/>
      <c r="I174" s="547"/>
      <c r="J174" s="1745"/>
      <c r="K174" s="547"/>
      <c r="L174" s="547"/>
      <c r="M174" s="1745"/>
      <c r="N174" s="547"/>
      <c r="O174" s="990"/>
      <c r="P174" s="990"/>
      <c r="Q174" s="547"/>
      <c r="R174" s="547"/>
      <c r="S174" s="1745"/>
      <c r="T174" s="547"/>
      <c r="U174" s="989">
        <f t="shared" si="17"/>
        <v>0</v>
      </c>
      <c r="V174" s="547">
        <v>0</v>
      </c>
      <c r="W174" s="1264">
        <f t="shared" si="18"/>
        <v>0</v>
      </c>
      <c r="X174" s="547">
        <f t="shared" si="21"/>
        <v>0</v>
      </c>
      <c r="Y174" s="566"/>
      <c r="Z174" s="567"/>
      <c r="AA174" s="989">
        <f t="shared" si="22"/>
        <v>0</v>
      </c>
      <c r="AB174" s="812">
        <f t="shared" si="23"/>
        <v>0</v>
      </c>
    </row>
    <row r="175" spans="1:28" ht="27" hidden="1" customHeight="1">
      <c r="A175" s="531"/>
      <c r="B175" s="531">
        <v>406</v>
      </c>
      <c r="C175" s="529">
        <v>11</v>
      </c>
      <c r="D175" s="530" t="s">
        <v>361</v>
      </c>
      <c r="E175" s="1028" t="s">
        <v>253</v>
      </c>
      <c r="F175" s="1576"/>
      <c r="G175" s="1576"/>
      <c r="H175" s="547"/>
      <c r="I175" s="547"/>
      <c r="J175" s="1745"/>
      <c r="K175" s="547"/>
      <c r="L175" s="547"/>
      <c r="M175" s="1745"/>
      <c r="N175" s="547"/>
      <c r="O175" s="990"/>
      <c r="P175" s="990"/>
      <c r="Q175" s="547"/>
      <c r="R175" s="547"/>
      <c r="S175" s="1745"/>
      <c r="T175" s="547"/>
      <c r="U175" s="989">
        <f t="shared" si="17"/>
        <v>0</v>
      </c>
      <c r="V175" s="547">
        <v>0</v>
      </c>
      <c r="W175" s="1264">
        <f t="shared" si="18"/>
        <v>0</v>
      </c>
      <c r="X175" s="547">
        <f t="shared" si="21"/>
        <v>0</v>
      </c>
      <c r="Y175" s="566"/>
      <c r="Z175" s="567"/>
      <c r="AA175" s="989">
        <f t="shared" si="22"/>
        <v>0</v>
      </c>
      <c r="AB175" s="812">
        <f t="shared" si="23"/>
        <v>0</v>
      </c>
    </row>
    <row r="176" spans="1:28" ht="27" hidden="1" customHeight="1">
      <c r="A176" s="531"/>
      <c r="B176" s="531">
        <v>406</v>
      </c>
      <c r="C176" s="529">
        <v>11</v>
      </c>
      <c r="D176" s="530" t="s">
        <v>732</v>
      </c>
      <c r="E176" s="1028" t="s">
        <v>962</v>
      </c>
      <c r="F176" s="1576"/>
      <c r="G176" s="1576"/>
      <c r="H176" s="547"/>
      <c r="I176" s="1775"/>
      <c r="J176" s="1745"/>
      <c r="K176" s="1775"/>
      <c r="L176" s="547"/>
      <c r="M176" s="1745"/>
      <c r="N176" s="547"/>
      <c r="O176" s="990"/>
      <c r="P176" s="990"/>
      <c r="Q176" s="547"/>
      <c r="R176" s="547"/>
      <c r="S176" s="1745"/>
      <c r="T176" s="547"/>
      <c r="U176" s="989">
        <f t="shared" si="17"/>
        <v>0</v>
      </c>
      <c r="V176" s="547">
        <v>0</v>
      </c>
      <c r="W176" s="1264">
        <f t="shared" si="18"/>
        <v>0</v>
      </c>
      <c r="X176" s="547">
        <f t="shared" si="21"/>
        <v>0</v>
      </c>
      <c r="Y176" s="566"/>
      <c r="Z176" s="567"/>
      <c r="AA176" s="989">
        <f t="shared" si="22"/>
        <v>0</v>
      </c>
      <c r="AB176" s="812">
        <f t="shared" si="23"/>
        <v>0</v>
      </c>
    </row>
    <row r="177" spans="1:28" ht="27" hidden="1" customHeight="1">
      <c r="A177" s="531"/>
      <c r="B177" s="531">
        <v>406</v>
      </c>
      <c r="C177" s="529">
        <v>11</v>
      </c>
      <c r="D177" s="530" t="s">
        <v>256</v>
      </c>
      <c r="E177" s="1028" t="s">
        <v>258</v>
      </c>
      <c r="F177" s="1576"/>
      <c r="G177" s="1576"/>
      <c r="H177" s="547"/>
      <c r="I177" s="547"/>
      <c r="J177" s="1745"/>
      <c r="K177" s="547"/>
      <c r="L177" s="547"/>
      <c r="M177" s="1745"/>
      <c r="N177" s="547"/>
      <c r="O177" s="990"/>
      <c r="P177" s="990"/>
      <c r="Q177" s="547"/>
      <c r="R177" s="547"/>
      <c r="S177" s="1745"/>
      <c r="T177" s="547"/>
      <c r="U177" s="989">
        <f t="shared" si="17"/>
        <v>0</v>
      </c>
      <c r="V177" s="547">
        <v>0</v>
      </c>
      <c r="W177" s="1264">
        <f t="shared" si="18"/>
        <v>0</v>
      </c>
      <c r="X177" s="547">
        <f t="shared" si="21"/>
        <v>0</v>
      </c>
      <c r="Y177" s="566"/>
      <c r="Z177" s="567"/>
      <c r="AA177" s="989">
        <f t="shared" si="22"/>
        <v>0</v>
      </c>
      <c r="AB177" s="812">
        <f t="shared" si="23"/>
        <v>0</v>
      </c>
    </row>
    <row r="178" spans="1:28" ht="27" hidden="1" customHeight="1">
      <c r="A178" s="531"/>
      <c r="B178" s="531">
        <v>406</v>
      </c>
      <c r="C178" s="529">
        <v>11</v>
      </c>
      <c r="D178" s="530" t="s">
        <v>579</v>
      </c>
      <c r="E178" s="1028" t="s">
        <v>580</v>
      </c>
      <c r="F178" s="1580"/>
      <c r="G178" s="1576"/>
      <c r="H178" s="1775"/>
      <c r="I178" s="547"/>
      <c r="J178" s="1745"/>
      <c r="K178" s="1775"/>
      <c r="L178" s="547"/>
      <c r="M178" s="1745"/>
      <c r="N178" s="547"/>
      <c r="O178" s="990"/>
      <c r="P178" s="990"/>
      <c r="Q178" s="547"/>
      <c r="R178" s="547"/>
      <c r="S178" s="1745"/>
      <c r="T178" s="547"/>
      <c r="U178" s="989">
        <f t="shared" si="17"/>
        <v>0</v>
      </c>
      <c r="V178" s="547">
        <v>0</v>
      </c>
      <c r="W178" s="1264">
        <f t="shared" si="18"/>
        <v>0</v>
      </c>
      <c r="X178" s="547">
        <f t="shared" si="21"/>
        <v>0</v>
      </c>
      <c r="Y178" s="566"/>
      <c r="Z178" s="567"/>
      <c r="AA178" s="989">
        <f t="shared" si="22"/>
        <v>0</v>
      </c>
      <c r="AB178" s="812">
        <f t="shared" si="23"/>
        <v>0</v>
      </c>
    </row>
    <row r="179" spans="1:28" ht="27" hidden="1" customHeight="1">
      <c r="A179" s="531"/>
      <c r="B179" s="531">
        <v>406</v>
      </c>
      <c r="C179" s="529">
        <v>11</v>
      </c>
      <c r="D179" s="530" t="s">
        <v>881</v>
      </c>
      <c r="E179" s="1028" t="s">
        <v>882</v>
      </c>
      <c r="F179" s="1576"/>
      <c r="G179" s="1576"/>
      <c r="H179" s="547"/>
      <c r="I179" s="547"/>
      <c r="J179" s="1745"/>
      <c r="K179" s="547"/>
      <c r="L179" s="547"/>
      <c r="M179" s="1745"/>
      <c r="N179" s="547"/>
      <c r="O179" s="990"/>
      <c r="P179" s="990"/>
      <c r="Q179" s="547"/>
      <c r="R179" s="547"/>
      <c r="S179" s="1745"/>
      <c r="T179" s="547"/>
      <c r="U179" s="989">
        <f t="shared" si="17"/>
        <v>0</v>
      </c>
      <c r="V179" s="547">
        <v>0</v>
      </c>
      <c r="W179" s="1264">
        <f t="shared" si="18"/>
        <v>0</v>
      </c>
      <c r="X179" s="547">
        <f t="shared" si="21"/>
        <v>0</v>
      </c>
      <c r="Y179" s="566"/>
      <c r="Z179" s="567"/>
      <c r="AA179" s="989">
        <f t="shared" si="22"/>
        <v>0</v>
      </c>
      <c r="AB179" s="812">
        <f t="shared" si="23"/>
        <v>0</v>
      </c>
    </row>
    <row r="180" spans="1:28" ht="27" hidden="1" customHeight="1">
      <c r="A180" s="531"/>
      <c r="B180" s="531">
        <v>1018</v>
      </c>
      <c r="C180" s="529">
        <v>17</v>
      </c>
      <c r="D180" s="530" t="s">
        <v>741</v>
      </c>
      <c r="E180" s="1028" t="s">
        <v>742</v>
      </c>
      <c r="F180" s="1576"/>
      <c r="G180" s="1576"/>
      <c r="H180" s="1775"/>
      <c r="I180" s="1775"/>
      <c r="J180" s="1746"/>
      <c r="K180" s="547"/>
      <c r="L180" s="547"/>
      <c r="M180" s="1745"/>
      <c r="N180" s="547"/>
      <c r="O180" s="990"/>
      <c r="P180" s="990"/>
      <c r="Q180" s="547"/>
      <c r="R180" s="547"/>
      <c r="S180" s="1745"/>
      <c r="T180" s="547"/>
      <c r="U180" s="989">
        <f t="shared" si="17"/>
        <v>0</v>
      </c>
      <c r="V180" s="547">
        <v>0</v>
      </c>
      <c r="W180" s="1264">
        <f t="shared" si="18"/>
        <v>0</v>
      </c>
      <c r="X180" s="547">
        <f t="shared" si="21"/>
        <v>0</v>
      </c>
      <c r="Y180" s="566"/>
      <c r="Z180" s="567"/>
      <c r="AA180" s="989">
        <f t="shared" si="22"/>
        <v>0</v>
      </c>
      <c r="AB180" s="812">
        <f t="shared" si="23"/>
        <v>0</v>
      </c>
    </row>
    <row r="181" spans="1:28" ht="27" hidden="1" customHeight="1">
      <c r="A181" s="531"/>
      <c r="B181" s="531">
        <v>406</v>
      </c>
      <c r="C181" s="529">
        <v>11</v>
      </c>
      <c r="D181" s="530" t="s">
        <v>299</v>
      </c>
      <c r="E181" s="1028" t="s">
        <v>644</v>
      </c>
      <c r="F181" s="1576"/>
      <c r="G181" s="1576"/>
      <c r="H181" s="547"/>
      <c r="I181" s="547"/>
      <c r="J181" s="1745"/>
      <c r="K181" s="547"/>
      <c r="L181" s="547"/>
      <c r="M181" s="1745"/>
      <c r="N181" s="547"/>
      <c r="O181" s="990"/>
      <c r="P181" s="990"/>
      <c r="Q181" s="547"/>
      <c r="R181" s="547"/>
      <c r="S181" s="1745"/>
      <c r="T181" s="547"/>
      <c r="U181" s="989">
        <f t="shared" si="17"/>
        <v>0</v>
      </c>
      <c r="V181" s="547">
        <v>0</v>
      </c>
      <c r="W181" s="1264">
        <f t="shared" si="18"/>
        <v>0</v>
      </c>
      <c r="X181" s="547">
        <f t="shared" si="21"/>
        <v>0</v>
      </c>
      <c r="Y181" s="566"/>
      <c r="Z181" s="567"/>
      <c r="AA181" s="989">
        <f t="shared" ref="AA181:AA213" si="24">U181+Z181-Y181</f>
        <v>0</v>
      </c>
      <c r="AB181" s="812">
        <f t="shared" ref="AB181:AB213" si="25">ROUND((AA181/1000000),0)</f>
        <v>0</v>
      </c>
    </row>
    <row r="182" spans="1:28" ht="27" hidden="1" customHeight="1">
      <c r="A182" s="531"/>
      <c r="B182" s="531">
        <v>406</v>
      </c>
      <c r="C182" s="529">
        <v>11</v>
      </c>
      <c r="D182" s="530" t="s">
        <v>277</v>
      </c>
      <c r="E182" s="1028" t="s">
        <v>278</v>
      </c>
      <c r="F182" s="1579">
        <v>9824422</v>
      </c>
      <c r="G182" s="1576"/>
      <c r="H182" s="547"/>
      <c r="I182" s="1811"/>
      <c r="J182" s="1745"/>
      <c r="K182" s="1745"/>
      <c r="L182" s="547"/>
      <c r="M182" s="1745"/>
      <c r="N182" s="547"/>
      <c r="O182" s="990"/>
      <c r="P182" s="990"/>
      <c r="Q182" s="547"/>
      <c r="R182" s="547"/>
      <c r="S182" s="1745"/>
      <c r="T182" s="547"/>
      <c r="U182" s="989">
        <f t="shared" si="17"/>
        <v>9824422</v>
      </c>
      <c r="V182" s="547">
        <v>4912211</v>
      </c>
      <c r="W182" s="1264">
        <f t="shared" si="18"/>
        <v>10</v>
      </c>
      <c r="X182" s="547">
        <f t="shared" si="21"/>
        <v>5</v>
      </c>
      <c r="Y182" s="566"/>
      <c r="Z182" s="567"/>
      <c r="AA182" s="989">
        <f t="shared" si="24"/>
        <v>9824422</v>
      </c>
      <c r="AB182" s="812">
        <f t="shared" si="25"/>
        <v>10</v>
      </c>
    </row>
    <row r="183" spans="1:28" ht="27" hidden="1" customHeight="1">
      <c r="A183" s="531"/>
      <c r="B183" s="531">
        <v>406</v>
      </c>
      <c r="C183" s="529">
        <v>11</v>
      </c>
      <c r="D183" s="530" t="s">
        <v>838</v>
      </c>
      <c r="E183" s="1028" t="s">
        <v>837</v>
      </c>
      <c r="F183" s="1576"/>
      <c r="G183" s="1576"/>
      <c r="H183" s="547"/>
      <c r="I183" s="547"/>
      <c r="J183" s="1745"/>
      <c r="K183" s="547"/>
      <c r="L183" s="547"/>
      <c r="M183" s="1745"/>
      <c r="N183" s="547"/>
      <c r="O183" s="990"/>
      <c r="P183" s="990"/>
      <c r="Q183" s="547"/>
      <c r="R183" s="547"/>
      <c r="S183" s="1745"/>
      <c r="T183" s="547"/>
      <c r="U183" s="989">
        <f t="shared" si="17"/>
        <v>0</v>
      </c>
      <c r="V183" s="547">
        <v>0</v>
      </c>
      <c r="W183" s="1264">
        <f t="shared" si="18"/>
        <v>0</v>
      </c>
      <c r="X183" s="547">
        <f t="shared" si="21"/>
        <v>0</v>
      </c>
      <c r="Y183" s="566"/>
      <c r="Z183" s="567"/>
      <c r="AA183" s="989">
        <f t="shared" si="24"/>
        <v>0</v>
      </c>
      <c r="AB183" s="812">
        <f t="shared" si="25"/>
        <v>0</v>
      </c>
    </row>
    <row r="184" spans="1:28" ht="27" hidden="1" customHeight="1">
      <c r="A184" s="531"/>
      <c r="B184" s="531">
        <v>406</v>
      </c>
      <c r="C184" s="529">
        <v>11</v>
      </c>
      <c r="D184" s="530" t="s">
        <v>1157</v>
      </c>
      <c r="E184" s="1028" t="s">
        <v>2679</v>
      </c>
      <c r="F184" s="1579">
        <v>1582840000</v>
      </c>
      <c r="G184" s="1583">
        <v>5014465989</v>
      </c>
      <c r="H184" s="1745">
        <v>-6421565989</v>
      </c>
      <c r="I184" s="547"/>
      <c r="J184" s="1746"/>
      <c r="K184" s="1745"/>
      <c r="L184" s="547"/>
      <c r="M184" s="1745"/>
      <c r="N184" s="547"/>
      <c r="O184" s="990"/>
      <c r="P184" s="990"/>
      <c r="Q184" s="547"/>
      <c r="R184" s="547"/>
      <c r="S184" s="1745"/>
      <c r="T184" s="547"/>
      <c r="U184" s="989">
        <f t="shared" si="17"/>
        <v>175740000</v>
      </c>
      <c r="V184" s="547">
        <v>3221640000</v>
      </c>
      <c r="W184" s="1264">
        <f t="shared" si="18"/>
        <v>176</v>
      </c>
      <c r="X184" s="547">
        <f t="shared" si="21"/>
        <v>3222</v>
      </c>
      <c r="Y184" s="566"/>
      <c r="Z184" s="567"/>
      <c r="AA184" s="989">
        <f t="shared" si="24"/>
        <v>175740000</v>
      </c>
      <c r="AB184" s="812">
        <f t="shared" si="25"/>
        <v>176</v>
      </c>
    </row>
    <row r="185" spans="1:28" ht="27" hidden="1" customHeight="1">
      <c r="A185" s="531"/>
      <c r="B185" s="531">
        <v>406</v>
      </c>
      <c r="C185" s="529">
        <v>11</v>
      </c>
      <c r="D185" s="530" t="s">
        <v>264</v>
      </c>
      <c r="E185" s="1028" t="s">
        <v>265</v>
      </c>
      <c r="F185" s="1576"/>
      <c r="G185" s="1576"/>
      <c r="H185" s="547"/>
      <c r="I185" s="547"/>
      <c r="J185" s="1745"/>
      <c r="K185" s="547"/>
      <c r="L185" s="547"/>
      <c r="M185" s="1745"/>
      <c r="N185" s="547"/>
      <c r="O185" s="990"/>
      <c r="P185" s="990"/>
      <c r="Q185" s="547"/>
      <c r="R185" s="547"/>
      <c r="S185" s="1745"/>
      <c r="T185" s="547"/>
      <c r="U185" s="989">
        <f t="shared" si="17"/>
        <v>0</v>
      </c>
      <c r="V185" s="547">
        <v>0</v>
      </c>
      <c r="W185" s="1264">
        <f t="shared" si="18"/>
        <v>0</v>
      </c>
      <c r="X185" s="547">
        <f t="shared" si="21"/>
        <v>0</v>
      </c>
      <c r="Y185" s="566"/>
      <c r="Z185" s="567"/>
      <c r="AA185" s="989">
        <f t="shared" si="24"/>
        <v>0</v>
      </c>
      <c r="AB185" s="812">
        <f t="shared" si="25"/>
        <v>0</v>
      </c>
    </row>
    <row r="186" spans="1:28" ht="27" hidden="1" customHeight="1">
      <c r="A186" s="531"/>
      <c r="B186" s="531">
        <v>406</v>
      </c>
      <c r="C186" s="529">
        <v>11</v>
      </c>
      <c r="D186" s="530" t="s">
        <v>647</v>
      </c>
      <c r="E186" s="1028" t="s">
        <v>646</v>
      </c>
      <c r="F186" s="1576"/>
      <c r="G186" s="1576"/>
      <c r="H186" s="547"/>
      <c r="I186" s="547"/>
      <c r="J186" s="1745"/>
      <c r="K186" s="547"/>
      <c r="L186" s="547"/>
      <c r="M186" s="1745"/>
      <c r="N186" s="547"/>
      <c r="O186" s="990"/>
      <c r="P186" s="990"/>
      <c r="Q186" s="547"/>
      <c r="R186" s="547"/>
      <c r="S186" s="1745"/>
      <c r="T186" s="547"/>
      <c r="U186" s="989">
        <f t="shared" si="17"/>
        <v>0</v>
      </c>
      <c r="V186" s="547">
        <v>0</v>
      </c>
      <c r="W186" s="1264">
        <f t="shared" si="18"/>
        <v>0</v>
      </c>
      <c r="X186" s="547">
        <f t="shared" si="21"/>
        <v>0</v>
      </c>
      <c r="Y186" s="566"/>
      <c r="Z186" s="567"/>
      <c r="AA186" s="989">
        <f t="shared" si="24"/>
        <v>0</v>
      </c>
      <c r="AB186" s="812">
        <f t="shared" si="25"/>
        <v>0</v>
      </c>
    </row>
    <row r="187" spans="1:28" ht="27" hidden="1" customHeight="1">
      <c r="A187" s="531"/>
      <c r="B187" s="531">
        <v>428</v>
      </c>
      <c r="C187" s="529">
        <v>11</v>
      </c>
      <c r="D187" s="530" t="s">
        <v>1058</v>
      </c>
      <c r="E187" s="1028" t="s">
        <v>1057</v>
      </c>
      <c r="F187" s="1576"/>
      <c r="G187" s="1576">
        <v>2582414167</v>
      </c>
      <c r="H187" s="547"/>
      <c r="I187" s="547"/>
      <c r="J187" s="1745"/>
      <c r="K187" s="1625"/>
      <c r="L187" s="547"/>
      <c r="M187" s="1745"/>
      <c r="N187" s="1625"/>
      <c r="O187" s="990"/>
      <c r="P187" s="990"/>
      <c r="Q187" s="547"/>
      <c r="R187" s="547"/>
      <c r="S187" s="1745"/>
      <c r="T187" s="547"/>
      <c r="U187" s="989">
        <f t="shared" si="17"/>
        <v>2582414167</v>
      </c>
      <c r="V187" s="547">
        <v>-28180533</v>
      </c>
      <c r="W187" s="1264">
        <f>ROUND((U187/1000000),0)</f>
        <v>2582</v>
      </c>
      <c r="X187" s="547">
        <f t="shared" si="21"/>
        <v>-28</v>
      </c>
      <c r="Y187" s="566"/>
      <c r="Z187" s="567"/>
      <c r="AA187" s="989">
        <f t="shared" si="24"/>
        <v>2582414167</v>
      </c>
      <c r="AB187" s="812">
        <f t="shared" si="25"/>
        <v>2582</v>
      </c>
    </row>
    <row r="188" spans="1:28" ht="27" hidden="1" customHeight="1">
      <c r="A188" s="531"/>
      <c r="B188" s="531">
        <v>1008</v>
      </c>
      <c r="C188" s="529">
        <v>17</v>
      </c>
      <c r="D188" s="530" t="s">
        <v>697</v>
      </c>
      <c r="E188" s="1028" t="s">
        <v>696</v>
      </c>
      <c r="F188" s="1580">
        <v>-18417242358</v>
      </c>
      <c r="G188" s="1583">
        <v>-1275263100019</v>
      </c>
      <c r="H188" s="1583">
        <v>-4307498562</v>
      </c>
      <c r="I188" s="547">
        <v>-237858930211</v>
      </c>
      <c r="J188" s="1746"/>
      <c r="K188" s="547"/>
      <c r="L188" s="547"/>
      <c r="M188" s="1745"/>
      <c r="N188" s="547"/>
      <c r="O188" s="1625"/>
      <c r="P188" s="990"/>
      <c r="Q188" s="547"/>
      <c r="R188" s="547"/>
      <c r="S188" s="1745"/>
      <c r="T188" s="547"/>
      <c r="U188" s="989">
        <f t="shared" si="17"/>
        <v>-1535846771150</v>
      </c>
      <c r="V188" s="547">
        <v>-856332860676</v>
      </c>
      <c r="W188" s="1264">
        <f t="shared" si="18"/>
        <v>-1535847</v>
      </c>
      <c r="X188" s="547">
        <f t="shared" si="21"/>
        <v>-856333</v>
      </c>
      <c r="Y188" s="566"/>
      <c r="Z188" s="567"/>
      <c r="AA188" s="989">
        <f t="shared" si="24"/>
        <v>-1535846771150</v>
      </c>
      <c r="AB188" s="812">
        <f t="shared" si="25"/>
        <v>-1535847</v>
      </c>
    </row>
    <row r="189" spans="1:28" ht="27" hidden="1" customHeight="1">
      <c r="A189" s="531"/>
      <c r="B189" s="531">
        <v>406</v>
      </c>
      <c r="C189" s="529">
        <v>11</v>
      </c>
      <c r="D189" s="530" t="s">
        <v>2027</v>
      </c>
      <c r="E189" s="1028" t="s">
        <v>2028</v>
      </c>
      <c r="F189" s="1579"/>
      <c r="G189" s="1576"/>
      <c r="H189" s="547"/>
      <c r="I189" s="547"/>
      <c r="J189" s="1745"/>
      <c r="K189" s="547"/>
      <c r="L189" s="547"/>
      <c r="M189" s="1745"/>
      <c r="N189" s="547"/>
      <c r="O189" s="990"/>
      <c r="P189" s="990"/>
      <c r="Q189" s="547"/>
      <c r="R189" s="547"/>
      <c r="S189" s="1745"/>
      <c r="T189" s="547"/>
      <c r="U189" s="989">
        <f t="shared" si="17"/>
        <v>0</v>
      </c>
      <c r="V189" s="547">
        <v>0</v>
      </c>
      <c r="W189" s="1264">
        <f t="shared" si="18"/>
        <v>0</v>
      </c>
      <c r="X189" s="547">
        <f t="shared" si="21"/>
        <v>0</v>
      </c>
      <c r="Y189" s="566"/>
      <c r="Z189" s="567"/>
      <c r="AA189" s="989">
        <f t="shared" si="24"/>
        <v>0</v>
      </c>
      <c r="AB189" s="812">
        <f t="shared" si="25"/>
        <v>0</v>
      </c>
    </row>
    <row r="190" spans="1:28" ht="27" hidden="1" customHeight="1">
      <c r="A190" s="531"/>
      <c r="B190" s="531">
        <v>406</v>
      </c>
      <c r="C190" s="529">
        <v>11</v>
      </c>
      <c r="D190" s="530" t="s">
        <v>336</v>
      </c>
      <c r="E190" s="1028" t="s">
        <v>655</v>
      </c>
      <c r="F190" s="1576"/>
      <c r="G190" s="1576"/>
      <c r="H190" s="547"/>
      <c r="I190" s="547"/>
      <c r="J190" s="1760"/>
      <c r="K190" s="547"/>
      <c r="L190" s="547"/>
      <c r="M190" s="1745"/>
      <c r="N190" s="547"/>
      <c r="O190" s="990"/>
      <c r="P190" s="990"/>
      <c r="Q190" s="547"/>
      <c r="R190" s="547"/>
      <c r="S190" s="1745"/>
      <c r="T190" s="547"/>
      <c r="U190" s="989">
        <f t="shared" si="17"/>
        <v>0</v>
      </c>
      <c r="V190" s="547">
        <v>0</v>
      </c>
      <c r="W190" s="1264">
        <f t="shared" si="18"/>
        <v>0</v>
      </c>
      <c r="X190" s="547">
        <f t="shared" si="21"/>
        <v>0</v>
      </c>
      <c r="Y190" s="566"/>
      <c r="Z190" s="567"/>
      <c r="AA190" s="989">
        <f t="shared" si="24"/>
        <v>0</v>
      </c>
      <c r="AB190" s="812">
        <f t="shared" si="25"/>
        <v>0</v>
      </c>
    </row>
    <row r="191" spans="1:28" ht="27" hidden="1" customHeight="1">
      <c r="A191" s="531"/>
      <c r="B191" s="531">
        <v>1017</v>
      </c>
      <c r="C191" s="529">
        <v>17</v>
      </c>
      <c r="D191" s="530" t="s">
        <v>192</v>
      </c>
      <c r="E191" s="1028" t="s">
        <v>25</v>
      </c>
      <c r="F191" s="1580">
        <v>-5363265316</v>
      </c>
      <c r="G191" s="1576"/>
      <c r="H191" s="1775"/>
      <c r="I191" s="547"/>
      <c r="J191" s="1746"/>
      <c r="K191" s="1775"/>
      <c r="L191" s="547"/>
      <c r="M191" s="1745"/>
      <c r="N191" s="547"/>
      <c r="O191" s="990"/>
      <c r="P191" s="990"/>
      <c r="Q191" s="547"/>
      <c r="R191" s="547"/>
      <c r="S191" s="1745"/>
      <c r="T191" s="547"/>
      <c r="U191" s="989">
        <f t="shared" si="17"/>
        <v>-5363265316</v>
      </c>
      <c r="V191" s="547">
        <v>-140380000</v>
      </c>
      <c r="W191" s="1264">
        <f t="shared" si="18"/>
        <v>-5363</v>
      </c>
      <c r="X191" s="547">
        <f t="shared" si="21"/>
        <v>-140</v>
      </c>
      <c r="Y191" s="566"/>
      <c r="Z191" s="567"/>
      <c r="AA191" s="989">
        <f t="shared" si="24"/>
        <v>-5363265316</v>
      </c>
      <c r="AB191" s="812">
        <f t="shared" si="25"/>
        <v>-5363</v>
      </c>
    </row>
    <row r="192" spans="1:28" ht="27" hidden="1" customHeight="1">
      <c r="A192" s="531"/>
      <c r="B192" s="531">
        <v>406</v>
      </c>
      <c r="C192" s="529">
        <v>11</v>
      </c>
      <c r="D192" s="530" t="s">
        <v>345</v>
      </c>
      <c r="E192" s="1028" t="s">
        <v>1331</v>
      </c>
      <c r="F192" s="1576"/>
      <c r="G192" s="1576"/>
      <c r="H192" s="547"/>
      <c r="I192" s="547"/>
      <c r="J192" s="1745"/>
      <c r="K192" s="547"/>
      <c r="L192" s="547"/>
      <c r="M192" s="1745"/>
      <c r="N192" s="547"/>
      <c r="O192" s="990"/>
      <c r="P192" s="990"/>
      <c r="Q192" s="547"/>
      <c r="R192" s="547"/>
      <c r="S192" s="1745"/>
      <c r="T192" s="547"/>
      <c r="U192" s="989">
        <f t="shared" si="17"/>
        <v>0</v>
      </c>
      <c r="V192" s="547">
        <v>0</v>
      </c>
      <c r="W192" s="1264">
        <f t="shared" si="18"/>
        <v>0</v>
      </c>
      <c r="X192" s="547">
        <f t="shared" si="21"/>
        <v>0</v>
      </c>
      <c r="Y192" s="566"/>
      <c r="Z192" s="567"/>
      <c r="AA192" s="989">
        <f t="shared" si="24"/>
        <v>0</v>
      </c>
      <c r="AB192" s="812">
        <f t="shared" si="25"/>
        <v>0</v>
      </c>
    </row>
    <row r="193" spans="1:28" ht="27" hidden="1" customHeight="1">
      <c r="A193" s="531">
        <v>3214</v>
      </c>
      <c r="B193" s="531">
        <v>1015</v>
      </c>
      <c r="C193" s="529">
        <v>17</v>
      </c>
      <c r="D193" s="1575" t="s">
        <v>355</v>
      </c>
      <c r="E193" s="1028" t="s">
        <v>1440</v>
      </c>
      <c r="F193" s="1576"/>
      <c r="G193" s="1576"/>
      <c r="H193" s="547"/>
      <c r="I193" s="547"/>
      <c r="J193" s="1759"/>
      <c r="K193" s="547"/>
      <c r="L193" s="547"/>
      <c r="M193" s="1745"/>
      <c r="N193" s="547"/>
      <c r="O193" s="1759"/>
      <c r="P193" s="990"/>
      <c r="Q193" s="547"/>
      <c r="R193" s="547"/>
      <c r="S193" s="1745"/>
      <c r="T193" s="547"/>
      <c r="U193" s="989">
        <f t="shared" si="17"/>
        <v>0</v>
      </c>
      <c r="V193" s="547">
        <v>0</v>
      </c>
      <c r="W193" s="1264">
        <f t="shared" si="18"/>
        <v>0</v>
      </c>
      <c r="X193" s="547">
        <f t="shared" si="21"/>
        <v>0</v>
      </c>
      <c r="Y193" s="566"/>
      <c r="Z193" s="567"/>
      <c r="AA193" s="989">
        <f t="shared" si="24"/>
        <v>0</v>
      </c>
      <c r="AB193" s="812">
        <f t="shared" si="25"/>
        <v>0</v>
      </c>
    </row>
    <row r="194" spans="1:28" ht="27" hidden="1" customHeight="1">
      <c r="A194" s="531"/>
      <c r="B194" s="531">
        <v>1015</v>
      </c>
      <c r="C194" s="529">
        <v>17</v>
      </c>
      <c r="D194" s="530" t="s">
        <v>357</v>
      </c>
      <c r="E194" s="1028" t="s">
        <v>358</v>
      </c>
      <c r="F194" s="1580">
        <v>-15179402101</v>
      </c>
      <c r="G194" s="1576">
        <v>-33465000</v>
      </c>
      <c r="H194" s="547"/>
      <c r="I194" s="547"/>
      <c r="J194" s="1746"/>
      <c r="K194" s="1775"/>
      <c r="L194" s="547"/>
      <c r="M194" s="1745"/>
      <c r="N194" s="547"/>
      <c r="O194" s="990"/>
      <c r="P194" s="990"/>
      <c r="Q194" s="547"/>
      <c r="R194" s="547"/>
      <c r="S194" s="1745"/>
      <c r="T194" s="547"/>
      <c r="U194" s="989">
        <f t="shared" si="17"/>
        <v>-15212867101</v>
      </c>
      <c r="V194" s="547">
        <v>-8660808689</v>
      </c>
      <c r="W194" s="1264">
        <f t="shared" si="18"/>
        <v>-15213</v>
      </c>
      <c r="X194" s="547">
        <f t="shared" si="21"/>
        <v>-8661</v>
      </c>
      <c r="Y194" s="566"/>
      <c r="Z194" s="567"/>
      <c r="AA194" s="989">
        <f t="shared" si="24"/>
        <v>-15212867101</v>
      </c>
      <c r="AB194" s="812">
        <f t="shared" si="25"/>
        <v>-15213</v>
      </c>
    </row>
    <row r="195" spans="1:28" ht="27" hidden="1" customHeight="1">
      <c r="A195" s="531"/>
      <c r="B195" s="531">
        <v>406</v>
      </c>
      <c r="C195" s="529">
        <v>11</v>
      </c>
      <c r="D195" s="530" t="s">
        <v>347</v>
      </c>
      <c r="E195" s="1028" t="s">
        <v>1059</v>
      </c>
      <c r="F195" s="1576"/>
      <c r="G195" s="1576"/>
      <c r="H195" s="547"/>
      <c r="I195" s="547"/>
      <c r="J195" s="1745"/>
      <c r="K195" s="1775"/>
      <c r="L195" s="547"/>
      <c r="M195" s="1775"/>
      <c r="N195" s="1775"/>
      <c r="O195" s="990"/>
      <c r="P195" s="990"/>
      <c r="Q195" s="547"/>
      <c r="R195" s="547"/>
      <c r="S195" s="1745"/>
      <c r="T195" s="547"/>
      <c r="U195" s="989">
        <f t="shared" si="17"/>
        <v>0</v>
      </c>
      <c r="V195" s="547">
        <v>0</v>
      </c>
      <c r="W195" s="1264">
        <f t="shared" si="18"/>
        <v>0</v>
      </c>
      <c r="X195" s="547">
        <f t="shared" si="21"/>
        <v>0</v>
      </c>
      <c r="Y195" s="566"/>
      <c r="Z195" s="567"/>
      <c r="AA195" s="989">
        <f t="shared" si="24"/>
        <v>0</v>
      </c>
      <c r="AB195" s="812">
        <f t="shared" si="25"/>
        <v>0</v>
      </c>
    </row>
    <row r="196" spans="1:28" ht="27" hidden="1" customHeight="1">
      <c r="A196" s="531"/>
      <c r="B196" s="531">
        <v>406</v>
      </c>
      <c r="C196" s="529">
        <v>11</v>
      </c>
      <c r="D196" s="530" t="s">
        <v>270</v>
      </c>
      <c r="E196" s="1028" t="s">
        <v>271</v>
      </c>
      <c r="F196" s="1576"/>
      <c r="G196" s="1576"/>
      <c r="H196" s="547"/>
      <c r="I196" s="547"/>
      <c r="J196" s="1745"/>
      <c r="K196" s="547"/>
      <c r="L196" s="547"/>
      <c r="M196" s="1745"/>
      <c r="N196" s="547"/>
      <c r="O196" s="990"/>
      <c r="P196" s="990"/>
      <c r="Q196" s="547"/>
      <c r="R196" s="547"/>
      <c r="S196" s="1745"/>
      <c r="T196" s="547"/>
      <c r="U196" s="989">
        <f t="shared" si="17"/>
        <v>0</v>
      </c>
      <c r="V196" s="547">
        <v>0</v>
      </c>
      <c r="W196" s="1264">
        <f t="shared" si="18"/>
        <v>0</v>
      </c>
      <c r="X196" s="547">
        <f t="shared" si="21"/>
        <v>0</v>
      </c>
      <c r="Y196" s="566"/>
      <c r="Z196" s="567"/>
      <c r="AA196" s="989">
        <f t="shared" si="24"/>
        <v>0</v>
      </c>
      <c r="AB196" s="812">
        <f t="shared" si="25"/>
        <v>0</v>
      </c>
    </row>
    <row r="197" spans="1:28" ht="27" hidden="1" customHeight="1">
      <c r="A197" s="1742"/>
      <c r="B197" s="1742">
        <v>406</v>
      </c>
      <c r="C197" s="1743">
        <v>11</v>
      </c>
      <c r="D197" s="1753" t="s">
        <v>1060</v>
      </c>
      <c r="E197" s="1754" t="s">
        <v>1061</v>
      </c>
      <c r="F197" s="1755"/>
      <c r="G197" s="1755"/>
      <c r="H197" s="1775"/>
      <c r="I197" s="1745"/>
      <c r="J197" s="1745"/>
      <c r="K197" s="1745"/>
      <c r="L197" s="1745"/>
      <c r="M197" s="1745"/>
      <c r="N197" s="1745"/>
      <c r="O197" s="1746"/>
      <c r="P197" s="1746"/>
      <c r="Q197" s="1745"/>
      <c r="R197" s="1745"/>
      <c r="S197" s="1745"/>
      <c r="T197" s="1745"/>
      <c r="U197" s="1749">
        <f t="shared" si="17"/>
        <v>0</v>
      </c>
      <c r="V197" s="1745">
        <v>0</v>
      </c>
      <c r="W197" s="1264">
        <f t="shared" si="18"/>
        <v>0</v>
      </c>
      <c r="X197" s="547">
        <f t="shared" si="21"/>
        <v>0</v>
      </c>
      <c r="Y197" s="1747"/>
      <c r="Z197" s="1748"/>
      <c r="AA197" s="1749">
        <f t="shared" si="24"/>
        <v>0</v>
      </c>
      <c r="AB197" s="1750">
        <f t="shared" si="25"/>
        <v>0</v>
      </c>
    </row>
    <row r="198" spans="1:28" ht="27" hidden="1" customHeight="1">
      <c r="A198" s="531"/>
      <c r="B198" s="531">
        <v>1015</v>
      </c>
      <c r="C198" s="529">
        <v>17</v>
      </c>
      <c r="D198" s="530" t="s">
        <v>359</v>
      </c>
      <c r="E198" s="1028" t="s">
        <v>895</v>
      </c>
      <c r="F198" s="1576"/>
      <c r="G198" s="1576"/>
      <c r="H198" s="1775"/>
      <c r="I198" s="547"/>
      <c r="J198" s="1746"/>
      <c r="K198" s="547"/>
      <c r="L198" s="547"/>
      <c r="M198" s="1745"/>
      <c r="N198" s="547"/>
      <c r="O198" s="990"/>
      <c r="P198" s="990"/>
      <c r="Q198" s="547"/>
      <c r="R198" s="547"/>
      <c r="S198" s="1745"/>
      <c r="T198" s="547"/>
      <c r="U198" s="989">
        <f t="shared" si="17"/>
        <v>0</v>
      </c>
      <c r="V198" s="547">
        <v>0</v>
      </c>
      <c r="W198" s="1264">
        <f t="shared" si="18"/>
        <v>0</v>
      </c>
      <c r="X198" s="547">
        <f t="shared" si="21"/>
        <v>0</v>
      </c>
      <c r="Y198" s="566"/>
      <c r="Z198" s="567"/>
      <c r="AA198" s="989">
        <f t="shared" si="24"/>
        <v>0</v>
      </c>
      <c r="AB198" s="812">
        <f t="shared" si="25"/>
        <v>0</v>
      </c>
    </row>
    <row r="199" spans="1:28" ht="27" hidden="1" customHeight="1">
      <c r="A199" s="531"/>
      <c r="B199" s="531">
        <v>1015</v>
      </c>
      <c r="C199" s="529">
        <v>17</v>
      </c>
      <c r="D199" s="530" t="s">
        <v>598</v>
      </c>
      <c r="E199" s="1028" t="s">
        <v>849</v>
      </c>
      <c r="F199" s="547">
        <v>-97583</v>
      </c>
      <c r="G199" s="1576"/>
      <c r="H199" s="547"/>
      <c r="I199" s="547"/>
      <c r="J199" s="1746"/>
      <c r="K199" s="547"/>
      <c r="L199" s="547"/>
      <c r="M199" s="1745"/>
      <c r="N199" s="547"/>
      <c r="O199" s="990"/>
      <c r="P199" s="990"/>
      <c r="Q199" s="547"/>
      <c r="R199" s="547"/>
      <c r="S199" s="1745"/>
      <c r="T199" s="547"/>
      <c r="U199" s="989">
        <f t="shared" ref="U199:U262" si="26">SUM(F199:T199)</f>
        <v>-97583</v>
      </c>
      <c r="V199" s="547">
        <v>-97583</v>
      </c>
      <c r="W199" s="1264">
        <f t="shared" si="18"/>
        <v>0</v>
      </c>
      <c r="X199" s="547">
        <f t="shared" si="21"/>
        <v>0</v>
      </c>
      <c r="Y199" s="566"/>
      <c r="Z199" s="567"/>
      <c r="AA199" s="989">
        <f t="shared" si="24"/>
        <v>-97583</v>
      </c>
      <c r="AB199" s="812">
        <f t="shared" si="25"/>
        <v>0</v>
      </c>
    </row>
    <row r="200" spans="1:28" ht="27" hidden="1" customHeight="1">
      <c r="A200" s="531"/>
      <c r="B200" s="531">
        <v>406</v>
      </c>
      <c r="C200" s="529">
        <v>11</v>
      </c>
      <c r="D200" s="530" t="s">
        <v>272</v>
      </c>
      <c r="E200" s="1028" t="s">
        <v>969</v>
      </c>
      <c r="F200" s="1576"/>
      <c r="G200" s="1576"/>
      <c r="H200" s="1775"/>
      <c r="I200" s="547"/>
      <c r="J200" s="1745"/>
      <c r="K200" s="547"/>
      <c r="L200" s="547"/>
      <c r="M200" s="1745"/>
      <c r="N200" s="547"/>
      <c r="O200" s="990"/>
      <c r="P200" s="990"/>
      <c r="Q200" s="547"/>
      <c r="R200" s="547"/>
      <c r="S200" s="1745"/>
      <c r="T200" s="547"/>
      <c r="U200" s="989">
        <f t="shared" si="26"/>
        <v>0</v>
      </c>
      <c r="V200" s="547">
        <v>0</v>
      </c>
      <c r="W200" s="1264">
        <f t="shared" si="18"/>
        <v>0</v>
      </c>
      <c r="X200" s="547">
        <f t="shared" si="21"/>
        <v>0</v>
      </c>
      <c r="Y200" s="566"/>
      <c r="Z200" s="567"/>
      <c r="AA200" s="989">
        <f t="shared" si="24"/>
        <v>0</v>
      </c>
      <c r="AB200" s="812">
        <f t="shared" si="25"/>
        <v>0</v>
      </c>
    </row>
    <row r="201" spans="1:28" ht="27" hidden="1" customHeight="1">
      <c r="A201" s="531"/>
      <c r="B201" s="531">
        <v>406</v>
      </c>
      <c r="C201" s="529">
        <v>11</v>
      </c>
      <c r="D201" s="530" t="s">
        <v>235</v>
      </c>
      <c r="E201" s="1028" t="s">
        <v>1062</v>
      </c>
      <c r="F201" s="1576"/>
      <c r="G201" s="1576"/>
      <c r="H201" s="547"/>
      <c r="I201" s="547"/>
      <c r="J201" s="1775"/>
      <c r="K201" s="547"/>
      <c r="L201" s="547"/>
      <c r="M201" s="1745"/>
      <c r="N201" s="547"/>
      <c r="O201" s="990"/>
      <c r="P201" s="990"/>
      <c r="Q201" s="547"/>
      <c r="R201" s="547"/>
      <c r="S201" s="1745"/>
      <c r="T201" s="547"/>
      <c r="U201" s="989">
        <f t="shared" si="26"/>
        <v>0</v>
      </c>
      <c r="V201" s="547">
        <v>0</v>
      </c>
      <c r="W201" s="1264">
        <f t="shared" si="18"/>
        <v>0</v>
      </c>
      <c r="X201" s="547">
        <f t="shared" si="21"/>
        <v>0</v>
      </c>
      <c r="Y201" s="566"/>
      <c r="Z201" s="567"/>
      <c r="AA201" s="989">
        <f t="shared" si="24"/>
        <v>0</v>
      </c>
      <c r="AB201" s="812">
        <f t="shared" si="25"/>
        <v>0</v>
      </c>
    </row>
    <row r="202" spans="1:28" ht="27" hidden="1" customHeight="1">
      <c r="A202" s="531"/>
      <c r="B202" s="531">
        <v>1015</v>
      </c>
      <c r="C202" s="529">
        <v>17</v>
      </c>
      <c r="D202" s="530" t="s">
        <v>1261</v>
      </c>
      <c r="E202" s="1028" t="s">
        <v>1256</v>
      </c>
      <c r="F202" s="1576"/>
      <c r="G202" s="1576"/>
      <c r="H202" s="547"/>
      <c r="I202" s="547"/>
      <c r="J202" s="2050"/>
      <c r="K202" s="1745"/>
      <c r="L202" s="2051"/>
      <c r="M202" s="1612"/>
      <c r="N202" s="547"/>
      <c r="O202" s="1759"/>
      <c r="P202" s="990"/>
      <c r="Q202" s="547"/>
      <c r="R202" s="547"/>
      <c r="S202" s="1745"/>
      <c r="T202" s="547"/>
      <c r="U202" s="989">
        <f t="shared" si="26"/>
        <v>0</v>
      </c>
      <c r="V202" s="547">
        <v>0</v>
      </c>
      <c r="W202" s="1264">
        <f t="shared" si="18"/>
        <v>0</v>
      </c>
      <c r="X202" s="547">
        <f t="shared" si="21"/>
        <v>0</v>
      </c>
      <c r="Y202" s="566"/>
      <c r="Z202" s="567"/>
      <c r="AA202" s="989">
        <f t="shared" si="24"/>
        <v>0</v>
      </c>
      <c r="AB202" s="812">
        <f t="shared" si="25"/>
        <v>0</v>
      </c>
    </row>
    <row r="203" spans="1:28" ht="27" hidden="1" customHeight="1">
      <c r="A203" s="531"/>
      <c r="B203" s="531">
        <v>406</v>
      </c>
      <c r="C203" s="529">
        <v>11</v>
      </c>
      <c r="D203" s="530" t="s">
        <v>1264</v>
      </c>
      <c r="E203" s="1028" t="s">
        <v>1064</v>
      </c>
      <c r="F203" s="1576"/>
      <c r="G203" s="1576"/>
      <c r="H203" s="547"/>
      <c r="I203" s="547"/>
      <c r="J203" s="1612"/>
      <c r="K203" s="1745"/>
      <c r="L203" s="2051"/>
      <c r="M203" s="1612"/>
      <c r="N203" s="547"/>
      <c r="O203" s="990"/>
      <c r="P203" s="990"/>
      <c r="Q203" s="547"/>
      <c r="R203" s="547"/>
      <c r="S203" s="1745"/>
      <c r="T203" s="547"/>
      <c r="U203" s="989">
        <f t="shared" si="26"/>
        <v>0</v>
      </c>
      <c r="V203" s="547">
        <v>0</v>
      </c>
      <c r="W203" s="1264">
        <f t="shared" si="18"/>
        <v>0</v>
      </c>
      <c r="X203" s="547">
        <f t="shared" si="21"/>
        <v>0</v>
      </c>
      <c r="Y203" s="566"/>
      <c r="Z203" s="567"/>
      <c r="AA203" s="989">
        <f t="shared" si="24"/>
        <v>0</v>
      </c>
      <c r="AB203" s="812">
        <f t="shared" si="25"/>
        <v>0</v>
      </c>
    </row>
    <row r="204" spans="1:28" ht="27" hidden="1" customHeight="1">
      <c r="A204" s="531"/>
      <c r="B204" s="531">
        <v>1015</v>
      </c>
      <c r="C204" s="529">
        <v>17</v>
      </c>
      <c r="D204" s="530" t="s">
        <v>602</v>
      </c>
      <c r="E204" s="1028" t="s">
        <v>603</v>
      </c>
      <c r="F204" s="1579">
        <v>-1802956324</v>
      </c>
      <c r="G204" s="1583">
        <v>-77801714</v>
      </c>
      <c r="H204" s="547"/>
      <c r="I204" s="547">
        <v>7890000</v>
      </c>
      <c r="J204" s="2050"/>
      <c r="K204" s="1760"/>
      <c r="L204" s="2051"/>
      <c r="M204" s="1612"/>
      <c r="N204" s="547"/>
      <c r="O204" s="990"/>
      <c r="P204" s="990"/>
      <c r="Q204" s="547"/>
      <c r="R204" s="547"/>
      <c r="S204" s="1745"/>
      <c r="T204" s="547"/>
      <c r="U204" s="989">
        <f t="shared" si="26"/>
        <v>-1872868038</v>
      </c>
      <c r="V204" s="547">
        <v>-518978666</v>
      </c>
      <c r="W204" s="1264">
        <f t="shared" si="18"/>
        <v>-1873</v>
      </c>
      <c r="X204" s="547">
        <f t="shared" si="21"/>
        <v>-519</v>
      </c>
      <c r="Y204" s="566"/>
      <c r="Z204" s="567"/>
      <c r="AA204" s="989">
        <f t="shared" si="24"/>
        <v>-1872868038</v>
      </c>
      <c r="AB204" s="812">
        <f t="shared" si="25"/>
        <v>-1873</v>
      </c>
    </row>
    <row r="205" spans="1:28" ht="27" hidden="1" customHeight="1">
      <c r="A205" s="531"/>
      <c r="B205" s="531">
        <v>406</v>
      </c>
      <c r="C205" s="529">
        <v>11</v>
      </c>
      <c r="D205" s="530" t="s">
        <v>274</v>
      </c>
      <c r="E205" s="1028" t="s">
        <v>276</v>
      </c>
      <c r="F205" s="1576"/>
      <c r="G205" s="1576"/>
      <c r="H205" s="547"/>
      <c r="I205" s="547"/>
      <c r="J205" s="1612"/>
      <c r="K205" s="1745"/>
      <c r="L205" s="2051"/>
      <c r="M205" s="1612"/>
      <c r="N205" s="547"/>
      <c r="O205" s="990"/>
      <c r="P205" s="990"/>
      <c r="Q205" s="547"/>
      <c r="R205" s="547"/>
      <c r="S205" s="1745"/>
      <c r="T205" s="547"/>
      <c r="U205" s="989">
        <f t="shared" si="26"/>
        <v>0</v>
      </c>
      <c r="V205" s="547">
        <v>0</v>
      </c>
      <c r="W205" s="1264">
        <f t="shared" si="18"/>
        <v>0</v>
      </c>
      <c r="X205" s="547">
        <f t="shared" si="21"/>
        <v>0</v>
      </c>
      <c r="Y205" s="566"/>
      <c r="Z205" s="567"/>
      <c r="AA205" s="989">
        <f t="shared" si="24"/>
        <v>0</v>
      </c>
      <c r="AB205" s="812">
        <f t="shared" si="25"/>
        <v>0</v>
      </c>
    </row>
    <row r="206" spans="1:28" ht="27" hidden="1" customHeight="1">
      <c r="A206" s="531"/>
      <c r="B206" s="531">
        <v>1008</v>
      </c>
      <c r="C206" s="529">
        <v>17</v>
      </c>
      <c r="D206" s="1575" t="s">
        <v>541</v>
      </c>
      <c r="E206" s="1028" t="s">
        <v>693</v>
      </c>
      <c r="F206" s="1576">
        <v>-733870301349</v>
      </c>
      <c r="G206" s="1583">
        <v>-216372539899</v>
      </c>
      <c r="H206" s="1583">
        <v>-114947904244</v>
      </c>
      <c r="I206" s="547">
        <v>-30335802811</v>
      </c>
      <c r="J206" s="1759"/>
      <c r="K206" s="1745"/>
      <c r="L206" s="1775"/>
      <c r="M206" s="1775"/>
      <c r="N206" s="547"/>
      <c r="O206" s="1759">
        <v>-43041174960</v>
      </c>
      <c r="P206" s="990"/>
      <c r="Q206" s="547"/>
      <c r="R206" s="547"/>
      <c r="S206" s="1745"/>
      <c r="T206" s="547"/>
      <c r="U206" s="989">
        <f t="shared" si="26"/>
        <v>-1138567723263</v>
      </c>
      <c r="V206" s="547">
        <v>-602337089982</v>
      </c>
      <c r="W206" s="1264">
        <f t="shared" si="18"/>
        <v>-1138568</v>
      </c>
      <c r="X206" s="547">
        <f t="shared" si="21"/>
        <v>-602337</v>
      </c>
      <c r="Y206" s="566"/>
      <c r="Z206" s="567"/>
      <c r="AA206" s="989">
        <f t="shared" si="24"/>
        <v>-1138567723263</v>
      </c>
      <c r="AB206" s="812">
        <f t="shared" si="25"/>
        <v>-1138568</v>
      </c>
    </row>
    <row r="207" spans="1:28" ht="27" hidden="1" customHeight="1">
      <c r="A207" s="531"/>
      <c r="B207" s="531">
        <v>406</v>
      </c>
      <c r="C207" s="529">
        <v>11</v>
      </c>
      <c r="D207" s="530" t="s">
        <v>1030</v>
      </c>
      <c r="E207" s="1028" t="s">
        <v>1031</v>
      </c>
      <c r="F207" s="1576"/>
      <c r="G207" s="1576"/>
      <c r="H207" s="547"/>
      <c r="I207" s="547"/>
      <c r="J207" s="1612"/>
      <c r="K207" s="1745"/>
      <c r="L207" s="2051"/>
      <c r="M207" s="1612"/>
      <c r="N207" s="547"/>
      <c r="O207" s="990"/>
      <c r="P207" s="990"/>
      <c r="Q207" s="547"/>
      <c r="R207" s="547"/>
      <c r="S207" s="1745"/>
      <c r="T207" s="547"/>
      <c r="U207" s="989">
        <f t="shared" si="26"/>
        <v>0</v>
      </c>
      <c r="V207" s="547">
        <v>0</v>
      </c>
      <c r="W207" s="1264">
        <f t="shared" si="18"/>
        <v>0</v>
      </c>
      <c r="X207" s="547">
        <f t="shared" si="21"/>
        <v>0</v>
      </c>
      <c r="Y207" s="566"/>
      <c r="Z207" s="567"/>
      <c r="AA207" s="989">
        <f t="shared" si="24"/>
        <v>0</v>
      </c>
      <c r="AB207" s="812">
        <f t="shared" si="25"/>
        <v>0</v>
      </c>
    </row>
    <row r="208" spans="1:28" ht="27" hidden="1" customHeight="1">
      <c r="A208" s="531">
        <v>3214</v>
      </c>
      <c r="B208" s="531">
        <v>1007</v>
      </c>
      <c r="C208" s="529">
        <v>17</v>
      </c>
      <c r="D208" s="1575" t="s">
        <v>541</v>
      </c>
      <c r="E208" s="1028" t="s">
        <v>1626</v>
      </c>
      <c r="F208" s="1580"/>
      <c r="G208" s="1576"/>
      <c r="H208" s="1745"/>
      <c r="I208" s="547"/>
      <c r="J208" s="2050">
        <v>-5441556096183</v>
      </c>
      <c r="K208" s="1745"/>
      <c r="L208" s="2052"/>
      <c r="M208" s="1947"/>
      <c r="N208" s="547">
        <v>5441556094686</v>
      </c>
      <c r="O208" s="1625">
        <v>133</v>
      </c>
      <c r="P208" s="990"/>
      <c r="Q208" s="547"/>
      <c r="R208" s="547"/>
      <c r="S208" s="1745"/>
      <c r="T208" s="547"/>
      <c r="U208" s="989">
        <f t="shared" si="26"/>
        <v>-1364</v>
      </c>
      <c r="V208" s="547">
        <v>0</v>
      </c>
      <c r="W208" s="1264">
        <f t="shared" ref="W208:X273" si="27">ROUND((U208/1000000),0)</f>
        <v>0</v>
      </c>
      <c r="X208" s="547">
        <f t="shared" si="21"/>
        <v>0</v>
      </c>
      <c r="Y208" s="566"/>
      <c r="Z208" s="567"/>
      <c r="AA208" s="989">
        <f t="shared" si="24"/>
        <v>-1364</v>
      </c>
      <c r="AB208" s="812">
        <f t="shared" si="25"/>
        <v>0</v>
      </c>
    </row>
    <row r="209" spans="1:28" ht="27" hidden="1" customHeight="1">
      <c r="A209" s="531"/>
      <c r="B209" s="531">
        <v>406</v>
      </c>
      <c r="C209" s="529">
        <v>11</v>
      </c>
      <c r="D209" s="530" t="s">
        <v>1004</v>
      </c>
      <c r="E209" s="1028" t="s">
        <v>840</v>
      </c>
      <c r="F209" s="1576"/>
      <c r="G209" s="1576"/>
      <c r="H209" s="547"/>
      <c r="I209" s="547"/>
      <c r="J209" s="1612"/>
      <c r="K209" s="1745"/>
      <c r="L209" s="2051"/>
      <c r="M209" s="1612"/>
      <c r="N209" s="547"/>
      <c r="O209" s="990"/>
      <c r="P209" s="990"/>
      <c r="Q209" s="547"/>
      <c r="R209" s="547"/>
      <c r="S209" s="1745"/>
      <c r="T209" s="547"/>
      <c r="U209" s="989">
        <f t="shared" si="26"/>
        <v>0</v>
      </c>
      <c r="V209" s="547">
        <v>0</v>
      </c>
      <c r="W209" s="1264">
        <f t="shared" si="27"/>
        <v>0</v>
      </c>
      <c r="X209" s="547">
        <f t="shared" si="21"/>
        <v>0</v>
      </c>
      <c r="Y209" s="566"/>
      <c r="Z209" s="567"/>
      <c r="AA209" s="989">
        <f t="shared" si="24"/>
        <v>0</v>
      </c>
      <c r="AB209" s="812">
        <f t="shared" si="25"/>
        <v>0</v>
      </c>
    </row>
    <row r="210" spans="1:28" ht="27" hidden="1" customHeight="1">
      <c r="A210" s="531"/>
      <c r="B210" s="531">
        <v>406</v>
      </c>
      <c r="C210" s="529">
        <v>11</v>
      </c>
      <c r="D210" s="530" t="s">
        <v>1067</v>
      </c>
      <c r="E210" s="1028" t="s">
        <v>1068</v>
      </c>
      <c r="F210" s="1576"/>
      <c r="G210" s="1576"/>
      <c r="H210" s="547"/>
      <c r="I210" s="547"/>
      <c r="J210" s="1775"/>
      <c r="K210" s="1745"/>
      <c r="L210" s="2051"/>
      <c r="M210" s="1612"/>
      <c r="N210" s="547"/>
      <c r="O210" s="990"/>
      <c r="P210" s="990"/>
      <c r="Q210" s="547"/>
      <c r="R210" s="547"/>
      <c r="S210" s="1745"/>
      <c r="T210" s="547"/>
      <c r="U210" s="989">
        <f t="shared" si="26"/>
        <v>0</v>
      </c>
      <c r="V210" s="547">
        <v>0</v>
      </c>
      <c r="W210" s="1264">
        <f t="shared" si="27"/>
        <v>0</v>
      </c>
      <c r="X210" s="547">
        <f t="shared" si="21"/>
        <v>0</v>
      </c>
      <c r="Y210" s="566"/>
      <c r="Z210" s="567"/>
      <c r="AA210" s="989">
        <f t="shared" si="24"/>
        <v>0</v>
      </c>
      <c r="AB210" s="812">
        <f t="shared" si="25"/>
        <v>0</v>
      </c>
    </row>
    <row r="211" spans="1:28" ht="27" hidden="1" customHeight="1">
      <c r="A211" s="531"/>
      <c r="B211" s="531">
        <v>406</v>
      </c>
      <c r="C211" s="529">
        <v>11</v>
      </c>
      <c r="D211" s="530" t="s">
        <v>1333</v>
      </c>
      <c r="E211" s="1028" t="s">
        <v>1334</v>
      </c>
      <c r="F211" s="1576"/>
      <c r="G211" s="1576"/>
      <c r="H211" s="547"/>
      <c r="I211" s="547"/>
      <c r="J211" s="1612"/>
      <c r="K211" s="1745"/>
      <c r="L211" s="2051"/>
      <c r="M211" s="1612"/>
      <c r="N211" s="547"/>
      <c r="O211" s="990"/>
      <c r="P211" s="990"/>
      <c r="Q211" s="547"/>
      <c r="R211" s="547"/>
      <c r="S211" s="1745"/>
      <c r="T211" s="547"/>
      <c r="U211" s="989">
        <f t="shared" si="26"/>
        <v>0</v>
      </c>
      <c r="V211" s="547">
        <v>0</v>
      </c>
      <c r="W211" s="1264">
        <f t="shared" si="27"/>
        <v>0</v>
      </c>
      <c r="X211" s="547">
        <f t="shared" si="21"/>
        <v>0</v>
      </c>
      <c r="Y211" s="566"/>
      <c r="Z211" s="567"/>
      <c r="AA211" s="989">
        <f t="shared" si="24"/>
        <v>0</v>
      </c>
      <c r="AB211" s="812">
        <f t="shared" si="25"/>
        <v>0</v>
      </c>
    </row>
    <row r="212" spans="1:28" ht="27" hidden="1" customHeight="1">
      <c r="A212" s="531"/>
      <c r="B212" s="531">
        <v>1018</v>
      </c>
      <c r="C212" s="529">
        <v>17</v>
      </c>
      <c r="D212" s="530" t="s">
        <v>425</v>
      </c>
      <c r="E212" s="1028" t="s">
        <v>426</v>
      </c>
      <c r="F212" s="1576">
        <v>-121584307</v>
      </c>
      <c r="G212" s="1578"/>
      <c r="H212" s="1813"/>
      <c r="I212" s="1745"/>
      <c r="J212" s="1612"/>
      <c r="K212" s="1745"/>
      <c r="L212" s="1775"/>
      <c r="M212" s="1775"/>
      <c r="N212" s="547"/>
      <c r="O212" s="990"/>
      <c r="P212" s="990"/>
      <c r="Q212" s="547"/>
      <c r="R212" s="547"/>
      <c r="S212" s="1745"/>
      <c r="T212" s="547"/>
      <c r="U212" s="1671">
        <f t="shared" si="26"/>
        <v>-121584307</v>
      </c>
      <c r="V212" s="547">
        <v>-77374005</v>
      </c>
      <c r="W212" s="1264">
        <f>ROUND((U212/1000000),0)</f>
        <v>-122</v>
      </c>
      <c r="X212" s="547">
        <f t="shared" si="21"/>
        <v>-77</v>
      </c>
      <c r="Y212" s="566"/>
      <c r="Z212" s="567"/>
      <c r="AA212" s="989">
        <f t="shared" si="24"/>
        <v>-121584307</v>
      </c>
      <c r="AB212" s="812">
        <f t="shared" si="25"/>
        <v>-122</v>
      </c>
    </row>
    <row r="213" spans="1:28" ht="27" customHeight="1">
      <c r="A213" s="1742"/>
      <c r="B213" s="1742">
        <v>1027</v>
      </c>
      <c r="C213" s="1743">
        <v>17</v>
      </c>
      <c r="D213" s="1753" t="s">
        <v>18</v>
      </c>
      <c r="E213" s="1754" t="s">
        <v>2678</v>
      </c>
      <c r="F213" s="1755">
        <v>-18721173785333</v>
      </c>
      <c r="G213" s="1757">
        <v>-2892341760726</v>
      </c>
      <c r="H213" s="1813">
        <v>-30795000</v>
      </c>
      <c r="I213" s="1775">
        <v>1559805261114</v>
      </c>
      <c r="J213" s="1612"/>
      <c r="K213" s="1612"/>
      <c r="L213" s="1745"/>
      <c r="M213" s="1745"/>
      <c r="N213" s="1745"/>
      <c r="O213" s="1746"/>
      <c r="P213" s="1746">
        <v>-187182214000</v>
      </c>
      <c r="Q213" s="1745"/>
      <c r="R213" s="1745"/>
      <c r="S213" s="1745"/>
      <c r="T213" s="3316" t="s">
        <v>2815</v>
      </c>
      <c r="U213" s="989">
        <f t="shared" si="26"/>
        <v>-20240923293945</v>
      </c>
      <c r="V213" s="1745">
        <v>-2484585031896</v>
      </c>
      <c r="W213" s="1264">
        <f t="shared" si="27"/>
        <v>-20240923</v>
      </c>
      <c r="X213" s="547">
        <f t="shared" si="27"/>
        <v>-2484585</v>
      </c>
      <c r="Y213" s="1747"/>
      <c r="Z213" s="1748"/>
      <c r="AA213" s="989">
        <f t="shared" si="24"/>
        <v>-20240923293945</v>
      </c>
      <c r="AB213" s="812">
        <f t="shared" si="25"/>
        <v>-20240923</v>
      </c>
    </row>
    <row r="214" spans="1:28" ht="27" hidden="1" customHeight="1">
      <c r="A214" s="531"/>
      <c r="B214" s="531">
        <v>1028</v>
      </c>
      <c r="C214" s="529">
        <v>17</v>
      </c>
      <c r="D214" s="1575" t="s">
        <v>18</v>
      </c>
      <c r="E214" s="1028" t="s">
        <v>228</v>
      </c>
      <c r="F214" s="1580">
        <v>-1167938068871</v>
      </c>
      <c r="G214" s="1583">
        <v>-997832100079</v>
      </c>
      <c r="H214" s="1583">
        <v>-689129879</v>
      </c>
      <c r="I214" s="1625">
        <v>-88391389462</v>
      </c>
      <c r="J214" s="1947">
        <v>-4863842000</v>
      </c>
      <c r="K214" s="1760"/>
      <c r="L214" s="2052"/>
      <c r="M214" s="1947"/>
      <c r="N214" s="547"/>
      <c r="O214" s="1625"/>
      <c r="P214" s="990">
        <v>187182214000</v>
      </c>
      <c r="Q214" s="547"/>
      <c r="R214" s="547"/>
      <c r="S214" s="1745"/>
      <c r="T214" s="3316" t="s">
        <v>2815</v>
      </c>
      <c r="U214" s="989">
        <f t="shared" si="26"/>
        <v>-2072532316291</v>
      </c>
      <c r="V214" s="547">
        <v>-381532253007</v>
      </c>
      <c r="W214" s="1264">
        <f t="shared" si="27"/>
        <v>-2072532</v>
      </c>
      <c r="X214" s="547">
        <f t="shared" ref="X214:X279" si="28">ROUND((V214/1000000),0)</f>
        <v>-381532</v>
      </c>
      <c r="Y214" s="566"/>
      <c r="Z214" s="567"/>
      <c r="AA214" s="989">
        <f t="shared" ref="AA214:AA238" si="29">U214+Z214-Y214</f>
        <v>-2072532316291</v>
      </c>
      <c r="AB214" s="812">
        <f t="shared" ref="AB214:AB238" si="30">ROUND((AA214/1000000),0)</f>
        <v>-2072532</v>
      </c>
    </row>
    <row r="215" spans="1:28" ht="27" hidden="1" customHeight="1">
      <c r="A215" s="531"/>
      <c r="B215" s="531">
        <v>1011</v>
      </c>
      <c r="C215" s="529">
        <v>17</v>
      </c>
      <c r="D215" s="530" t="s">
        <v>540</v>
      </c>
      <c r="E215" s="1028" t="s">
        <v>229</v>
      </c>
      <c r="F215" s="1580">
        <v>-6486236988</v>
      </c>
      <c r="G215" s="1583">
        <v>86925128</v>
      </c>
      <c r="H215" s="1745"/>
      <c r="I215" s="1745">
        <v>961000000</v>
      </c>
      <c r="J215" s="1746"/>
      <c r="K215" s="1745"/>
      <c r="L215" s="1775"/>
      <c r="M215" s="1775"/>
      <c r="N215" s="547"/>
      <c r="O215" s="1759"/>
      <c r="P215" s="990"/>
      <c r="Q215" s="547"/>
      <c r="R215" s="547"/>
      <c r="S215" s="1745"/>
      <c r="T215" s="547"/>
      <c r="U215" s="989">
        <f t="shared" si="26"/>
        <v>-5438311860</v>
      </c>
      <c r="V215" s="547">
        <v>-130878372</v>
      </c>
      <c r="W215" s="1264">
        <f>ROUND((U215/1000000),0)</f>
        <v>-5438</v>
      </c>
      <c r="X215" s="547">
        <f t="shared" si="28"/>
        <v>-131</v>
      </c>
      <c r="Y215" s="566"/>
      <c r="Z215" s="567"/>
      <c r="AA215" s="989">
        <f t="shared" si="29"/>
        <v>-5438311860</v>
      </c>
      <c r="AB215" s="812">
        <f t="shared" si="30"/>
        <v>-5438</v>
      </c>
    </row>
    <row r="216" spans="1:28" ht="27" hidden="1" customHeight="1">
      <c r="A216" s="531"/>
      <c r="B216" s="531">
        <v>406</v>
      </c>
      <c r="C216" s="529">
        <v>11</v>
      </c>
      <c r="D216" s="530" t="s">
        <v>986</v>
      </c>
      <c r="E216" s="1028" t="s">
        <v>987</v>
      </c>
      <c r="F216" s="1576"/>
      <c r="G216" s="1576"/>
      <c r="H216" s="547"/>
      <c r="I216" s="547"/>
      <c r="J216" s="1745"/>
      <c r="K216" s="1745"/>
      <c r="L216" s="1612"/>
      <c r="M216" s="1612"/>
      <c r="N216" s="547"/>
      <c r="O216" s="990"/>
      <c r="P216" s="990"/>
      <c r="Q216" s="547"/>
      <c r="R216" s="547"/>
      <c r="S216" s="1745"/>
      <c r="T216" s="547"/>
      <c r="U216" s="989">
        <f t="shared" si="26"/>
        <v>0</v>
      </c>
      <c r="V216" s="547">
        <v>0</v>
      </c>
      <c r="W216" s="1264">
        <f t="shared" si="27"/>
        <v>0</v>
      </c>
      <c r="X216" s="547">
        <f t="shared" si="28"/>
        <v>0</v>
      </c>
      <c r="Y216" s="566"/>
      <c r="Z216" s="567"/>
      <c r="AA216" s="989">
        <f t="shared" si="29"/>
        <v>0</v>
      </c>
      <c r="AB216" s="812">
        <f t="shared" si="30"/>
        <v>0</v>
      </c>
    </row>
    <row r="217" spans="1:28" ht="27" hidden="1" customHeight="1">
      <c r="A217" s="531"/>
      <c r="B217" s="531">
        <v>1018</v>
      </c>
      <c r="C217" s="529">
        <v>17</v>
      </c>
      <c r="D217" s="530" t="s">
        <v>1689</v>
      </c>
      <c r="E217" s="1028" t="s">
        <v>1690</v>
      </c>
      <c r="F217" s="1580">
        <v>-52577232230</v>
      </c>
      <c r="G217" s="1576"/>
      <c r="H217" s="2036"/>
      <c r="I217" s="1745"/>
      <c r="J217" s="1746"/>
      <c r="K217" s="1745"/>
      <c r="L217" s="2049"/>
      <c r="M217" s="1745"/>
      <c r="N217" s="1625"/>
      <c r="O217" s="1625"/>
      <c r="P217" s="990"/>
      <c r="Q217" s="547"/>
      <c r="R217" s="547"/>
      <c r="S217" s="1745"/>
      <c r="T217" s="547"/>
      <c r="U217" s="989">
        <f t="shared" si="26"/>
        <v>-52577232230</v>
      </c>
      <c r="V217" s="547">
        <v>1070049638</v>
      </c>
      <c r="W217" s="1264">
        <f t="shared" si="27"/>
        <v>-52577</v>
      </c>
      <c r="X217" s="547">
        <f t="shared" si="28"/>
        <v>1070</v>
      </c>
      <c r="Y217" s="566"/>
      <c r="Z217" s="567"/>
      <c r="AA217" s="989">
        <f t="shared" si="29"/>
        <v>-52577232230</v>
      </c>
      <c r="AB217" s="812">
        <f t="shared" si="30"/>
        <v>-52577</v>
      </c>
    </row>
    <row r="218" spans="1:28" ht="27" hidden="1" customHeight="1">
      <c r="A218" s="531"/>
      <c r="B218" s="531">
        <v>1018</v>
      </c>
      <c r="C218" s="529">
        <v>17</v>
      </c>
      <c r="D218" s="530" t="s">
        <v>241</v>
      </c>
      <c r="E218" s="1028" t="s">
        <v>754</v>
      </c>
      <c r="F218" s="1579">
        <v>-19459379</v>
      </c>
      <c r="G218" s="1576"/>
      <c r="H218" s="547"/>
      <c r="I218" s="547"/>
      <c r="J218" s="1745"/>
      <c r="K218" s="1745"/>
      <c r="L218" s="547"/>
      <c r="M218" s="1775"/>
      <c r="N218" s="1775"/>
      <c r="O218" s="1759"/>
      <c r="P218" s="990"/>
      <c r="Q218" s="547"/>
      <c r="R218" s="547"/>
      <c r="S218" s="1745"/>
      <c r="T218" s="547"/>
      <c r="U218" s="989">
        <f t="shared" si="26"/>
        <v>-19459379</v>
      </c>
      <c r="V218" s="547">
        <v>-19459379</v>
      </c>
      <c r="W218" s="1264">
        <f t="shared" si="27"/>
        <v>-19</v>
      </c>
      <c r="X218" s="547">
        <f t="shared" si="28"/>
        <v>-19</v>
      </c>
      <c r="Y218" s="566"/>
      <c r="Z218" s="567"/>
      <c r="AA218" s="989">
        <f t="shared" si="29"/>
        <v>-19459379</v>
      </c>
      <c r="AB218" s="812">
        <f t="shared" si="30"/>
        <v>-19</v>
      </c>
    </row>
    <row r="219" spans="1:28" ht="27" hidden="1" customHeight="1">
      <c r="A219" s="531"/>
      <c r="B219" s="531">
        <v>1011</v>
      </c>
      <c r="C219" s="529">
        <v>17</v>
      </c>
      <c r="D219" s="530" t="s">
        <v>588</v>
      </c>
      <c r="E219" s="1028" t="s">
        <v>468</v>
      </c>
      <c r="F219" s="1580">
        <v>-26403403409</v>
      </c>
      <c r="G219" s="1576">
        <v>-13679110</v>
      </c>
      <c r="H219" s="547"/>
      <c r="I219" s="547"/>
      <c r="J219" s="1746"/>
      <c r="K219" s="547"/>
      <c r="L219" s="547"/>
      <c r="M219" s="1745"/>
      <c r="N219" s="547"/>
      <c r="O219" s="990">
        <v>-41769501</v>
      </c>
      <c r="P219" s="990"/>
      <c r="Q219" s="547"/>
      <c r="R219" s="547"/>
      <c r="S219" s="1745"/>
      <c r="T219" s="547"/>
      <c r="U219" s="989">
        <f t="shared" si="26"/>
        <v>-26458852020</v>
      </c>
      <c r="V219" s="547">
        <v>-25077432918</v>
      </c>
      <c r="W219" s="1264">
        <f t="shared" si="27"/>
        <v>-26459</v>
      </c>
      <c r="X219" s="547">
        <f t="shared" si="28"/>
        <v>-25077</v>
      </c>
      <c r="Y219" s="566"/>
      <c r="Z219" s="567"/>
      <c r="AA219" s="989">
        <f t="shared" si="29"/>
        <v>-26458852020</v>
      </c>
      <c r="AB219" s="812">
        <f t="shared" si="30"/>
        <v>-26459</v>
      </c>
    </row>
    <row r="220" spans="1:28" ht="27" hidden="1" customHeight="1">
      <c r="A220" s="531"/>
      <c r="B220" s="531">
        <v>1001</v>
      </c>
      <c r="C220" s="529">
        <v>17</v>
      </c>
      <c r="D220" s="530" t="s">
        <v>491</v>
      </c>
      <c r="E220" s="1028" t="s">
        <v>659</v>
      </c>
      <c r="F220" s="1576"/>
      <c r="G220" s="1576"/>
      <c r="H220" s="547">
        <v>-410856996</v>
      </c>
      <c r="I220" s="547"/>
      <c r="J220" s="1745"/>
      <c r="K220" s="547"/>
      <c r="L220" s="547"/>
      <c r="M220" s="1745"/>
      <c r="N220" s="547"/>
      <c r="O220" s="990"/>
      <c r="P220" s="990"/>
      <c r="Q220" s="547"/>
      <c r="R220" s="547"/>
      <c r="S220" s="1745"/>
      <c r="T220" s="547"/>
      <c r="U220" s="989">
        <f t="shared" si="26"/>
        <v>-410856996</v>
      </c>
      <c r="V220" s="547">
        <v>0</v>
      </c>
      <c r="W220" s="1264">
        <f t="shared" si="27"/>
        <v>-411</v>
      </c>
      <c r="X220" s="547">
        <f t="shared" si="28"/>
        <v>0</v>
      </c>
      <c r="Y220" s="566"/>
      <c r="Z220" s="567"/>
      <c r="AA220" s="989">
        <f t="shared" si="29"/>
        <v>-410856996</v>
      </c>
      <c r="AB220" s="812">
        <f t="shared" si="30"/>
        <v>-411</v>
      </c>
    </row>
    <row r="221" spans="1:28" ht="27" hidden="1" customHeight="1">
      <c r="A221" s="531"/>
      <c r="B221" s="531">
        <v>1001</v>
      </c>
      <c r="C221" s="529">
        <v>17</v>
      </c>
      <c r="D221" s="530" t="s">
        <v>1032</v>
      </c>
      <c r="E221" s="1028" t="s">
        <v>2354</v>
      </c>
      <c r="F221" s="1576">
        <v>-2741249241</v>
      </c>
      <c r="G221" s="1576">
        <v>64746000</v>
      </c>
      <c r="H221" s="547"/>
      <c r="I221" s="547"/>
      <c r="J221" s="1745">
        <v>-2639798554</v>
      </c>
      <c r="K221" s="547"/>
      <c r="L221" s="547"/>
      <c r="M221" s="1745"/>
      <c r="N221" s="547"/>
      <c r="O221" s="990"/>
      <c r="P221" s="990"/>
      <c r="Q221" s="547"/>
      <c r="R221" s="547"/>
      <c r="S221" s="1745"/>
      <c r="T221" s="547"/>
      <c r="U221" s="989">
        <f t="shared" si="26"/>
        <v>-5316301795</v>
      </c>
      <c r="V221" s="547">
        <v>258984000</v>
      </c>
      <c r="W221" s="1264">
        <f t="shared" si="27"/>
        <v>-5316</v>
      </c>
      <c r="X221" s="547">
        <f t="shared" si="28"/>
        <v>259</v>
      </c>
      <c r="Y221" s="566"/>
      <c r="Z221" s="567"/>
      <c r="AA221" s="989">
        <f t="shared" si="29"/>
        <v>-5316301795</v>
      </c>
      <c r="AB221" s="812">
        <f t="shared" si="30"/>
        <v>-5316</v>
      </c>
    </row>
    <row r="222" spans="1:28" ht="27" hidden="1" customHeight="1">
      <c r="A222" s="531"/>
      <c r="B222" s="531">
        <v>406</v>
      </c>
      <c r="C222" s="529">
        <v>11</v>
      </c>
      <c r="D222" s="530" t="s">
        <v>842</v>
      </c>
      <c r="E222" s="1028" t="s">
        <v>888</v>
      </c>
      <c r="F222" s="1576"/>
      <c r="G222" s="1576"/>
      <c r="H222" s="547"/>
      <c r="I222" s="547"/>
      <c r="J222" s="1745"/>
      <c r="K222" s="547"/>
      <c r="L222" s="547"/>
      <c r="M222" s="1745"/>
      <c r="N222" s="547"/>
      <c r="O222" s="990"/>
      <c r="P222" s="990"/>
      <c r="Q222" s="547"/>
      <c r="R222" s="547"/>
      <c r="S222" s="1745"/>
      <c r="T222" s="547"/>
      <c r="U222" s="989">
        <f t="shared" si="26"/>
        <v>0</v>
      </c>
      <c r="V222" s="547">
        <v>0</v>
      </c>
      <c r="W222" s="1264">
        <f t="shared" si="27"/>
        <v>0</v>
      </c>
      <c r="X222" s="547">
        <f t="shared" si="28"/>
        <v>0</v>
      </c>
      <c r="Y222" s="566"/>
      <c r="Z222" s="567"/>
      <c r="AA222" s="989">
        <f t="shared" si="29"/>
        <v>0</v>
      </c>
      <c r="AB222" s="812">
        <f t="shared" si="30"/>
        <v>0</v>
      </c>
    </row>
    <row r="223" spans="1:28" ht="27" hidden="1" customHeight="1">
      <c r="A223" s="531"/>
      <c r="B223" s="531">
        <v>406</v>
      </c>
      <c r="C223" s="529">
        <v>11</v>
      </c>
      <c r="D223" s="530" t="s">
        <v>1077</v>
      </c>
      <c r="E223" s="1028" t="s">
        <v>1078</v>
      </c>
      <c r="F223" s="1576"/>
      <c r="G223" s="1576"/>
      <c r="H223" s="547"/>
      <c r="I223" s="547"/>
      <c r="J223" s="1745"/>
      <c r="K223" s="547"/>
      <c r="L223" s="547"/>
      <c r="M223" s="1745"/>
      <c r="N223" s="547"/>
      <c r="O223" s="990"/>
      <c r="P223" s="990"/>
      <c r="Q223" s="547"/>
      <c r="R223" s="547"/>
      <c r="S223" s="1745"/>
      <c r="T223" s="547"/>
      <c r="U223" s="989">
        <f t="shared" si="26"/>
        <v>0</v>
      </c>
      <c r="V223" s="547">
        <v>0</v>
      </c>
      <c r="W223" s="1264">
        <f t="shared" si="27"/>
        <v>0</v>
      </c>
      <c r="X223" s="547">
        <f t="shared" si="28"/>
        <v>0</v>
      </c>
      <c r="Y223" s="566"/>
      <c r="Z223" s="567"/>
      <c r="AA223" s="989">
        <f t="shared" si="29"/>
        <v>0</v>
      </c>
      <c r="AB223" s="812">
        <f t="shared" si="30"/>
        <v>0</v>
      </c>
    </row>
    <row r="224" spans="1:28" ht="27" hidden="1" customHeight="1">
      <c r="A224" s="531"/>
      <c r="B224" s="531">
        <v>406</v>
      </c>
      <c r="C224" s="529">
        <v>11</v>
      </c>
      <c r="D224" s="530" t="s">
        <v>1079</v>
      </c>
      <c r="E224" s="1028" t="s">
        <v>1080</v>
      </c>
      <c r="F224" s="1576">
        <v>343268904</v>
      </c>
      <c r="G224" s="1576">
        <v>68653781</v>
      </c>
      <c r="H224" s="547"/>
      <c r="I224" s="547"/>
      <c r="J224" s="1745"/>
      <c r="K224" s="547"/>
      <c r="L224" s="547"/>
      <c r="M224" s="1745"/>
      <c r="N224" s="547"/>
      <c r="O224" s="990"/>
      <c r="P224" s="990"/>
      <c r="Q224" s="547"/>
      <c r="R224" s="547"/>
      <c r="S224" s="1745"/>
      <c r="T224" s="547"/>
      <c r="U224" s="989">
        <f t="shared" si="26"/>
        <v>411922685</v>
      </c>
      <c r="V224" s="547">
        <v>274615124</v>
      </c>
      <c r="W224" s="1264">
        <f t="shared" si="27"/>
        <v>412</v>
      </c>
      <c r="X224" s="547">
        <f t="shared" si="28"/>
        <v>275</v>
      </c>
      <c r="Y224" s="566"/>
      <c r="Z224" s="567"/>
      <c r="AA224" s="989">
        <f t="shared" si="29"/>
        <v>411922685</v>
      </c>
      <c r="AB224" s="812">
        <f t="shared" si="30"/>
        <v>412</v>
      </c>
    </row>
    <row r="225" spans="1:28" ht="27" hidden="1" customHeight="1">
      <c r="A225" s="531"/>
      <c r="B225" s="531">
        <v>1008</v>
      </c>
      <c r="C225" s="529">
        <v>17</v>
      </c>
      <c r="D225" s="530" t="s">
        <v>186</v>
      </c>
      <c r="E225" s="1028" t="s">
        <v>187</v>
      </c>
      <c r="F225" s="1576">
        <v>-971549605</v>
      </c>
      <c r="G225" s="1583"/>
      <c r="H225" s="547"/>
      <c r="I225" s="547"/>
      <c r="J225" s="1746"/>
      <c r="K225" s="547"/>
      <c r="L225" s="547"/>
      <c r="M225" s="1745"/>
      <c r="N225" s="547"/>
      <c r="O225" s="990"/>
      <c r="P225" s="990"/>
      <c r="Q225" s="547"/>
      <c r="R225" s="547"/>
      <c r="S225" s="1745"/>
      <c r="T225" s="547"/>
      <c r="U225" s="989">
        <f t="shared" si="26"/>
        <v>-971549605</v>
      </c>
      <c r="V225" s="547">
        <v>0</v>
      </c>
      <c r="W225" s="1264">
        <f t="shared" si="27"/>
        <v>-972</v>
      </c>
      <c r="X225" s="547">
        <f t="shared" si="28"/>
        <v>0</v>
      </c>
      <c r="Y225" s="566"/>
      <c r="Z225" s="567"/>
      <c r="AA225" s="989">
        <f t="shared" si="29"/>
        <v>-971549605</v>
      </c>
      <c r="AB225" s="812">
        <f t="shared" si="30"/>
        <v>-972</v>
      </c>
    </row>
    <row r="226" spans="1:28" ht="27" hidden="1" customHeight="1">
      <c r="A226" s="531"/>
      <c r="B226" s="531">
        <v>1008</v>
      </c>
      <c r="C226" s="529">
        <v>17</v>
      </c>
      <c r="D226" s="530" t="s">
        <v>188</v>
      </c>
      <c r="E226" s="1028" t="s">
        <v>748</v>
      </c>
      <c r="F226" s="1580">
        <v>-716226581898</v>
      </c>
      <c r="G226" s="1583">
        <v>-43673887409</v>
      </c>
      <c r="H226" s="1583">
        <v>-13575900</v>
      </c>
      <c r="I226" s="547">
        <v>-3882477902</v>
      </c>
      <c r="J226" s="1746"/>
      <c r="K226" s="547"/>
      <c r="L226" s="547"/>
      <c r="M226" s="1745"/>
      <c r="N226" s="547"/>
      <c r="O226" s="990"/>
      <c r="P226" s="990"/>
      <c r="Q226" s="547"/>
      <c r="R226" s="547"/>
      <c r="S226" s="1745"/>
      <c r="T226" s="547"/>
      <c r="U226" s="989">
        <f t="shared" si="26"/>
        <v>-763796523109</v>
      </c>
      <c r="V226" s="547">
        <v>-616993175663</v>
      </c>
      <c r="W226" s="1264">
        <f t="shared" si="27"/>
        <v>-763797</v>
      </c>
      <c r="X226" s="547">
        <f t="shared" si="28"/>
        <v>-616993</v>
      </c>
      <c r="Y226" s="566"/>
      <c r="Z226" s="567"/>
      <c r="AA226" s="989">
        <f t="shared" si="29"/>
        <v>-763796523109</v>
      </c>
      <c r="AB226" s="812">
        <f t="shared" si="30"/>
        <v>-763797</v>
      </c>
    </row>
    <row r="227" spans="1:28" ht="27" hidden="1" customHeight="1">
      <c r="A227" s="531"/>
      <c r="B227" s="531">
        <v>406</v>
      </c>
      <c r="C227" s="529">
        <v>11</v>
      </c>
      <c r="D227" s="530" t="s">
        <v>1201</v>
      </c>
      <c r="E227" s="1028" t="s">
        <v>1081</v>
      </c>
      <c r="F227" s="1579">
        <v>147676633</v>
      </c>
      <c r="G227" s="1576">
        <v>107038357</v>
      </c>
      <c r="H227" s="547">
        <v>-101318145</v>
      </c>
      <c r="I227" s="547">
        <v>-149140845</v>
      </c>
      <c r="J227" s="1745">
        <v>5388931</v>
      </c>
      <c r="K227" s="547"/>
      <c r="L227" s="547"/>
      <c r="M227" s="1745"/>
      <c r="N227" s="547"/>
      <c r="O227" s="990"/>
      <c r="P227" s="990"/>
      <c r="Q227" s="547"/>
      <c r="R227" s="547"/>
      <c r="S227" s="1745"/>
      <c r="T227" s="547"/>
      <c r="U227" s="1671">
        <f t="shared" si="26"/>
        <v>9644931</v>
      </c>
      <c r="V227" s="547">
        <v>-89835124</v>
      </c>
      <c r="W227" s="1264">
        <f t="shared" si="27"/>
        <v>10</v>
      </c>
      <c r="X227" s="547">
        <f t="shared" si="28"/>
        <v>-90</v>
      </c>
      <c r="Y227" s="566"/>
      <c r="Z227" s="567"/>
      <c r="AA227" s="989">
        <f t="shared" si="29"/>
        <v>9644931</v>
      </c>
      <c r="AB227" s="812">
        <f t="shared" si="30"/>
        <v>10</v>
      </c>
    </row>
    <row r="228" spans="1:28" ht="27" hidden="1" customHeight="1">
      <c r="A228" s="531"/>
      <c r="B228" s="531">
        <v>406</v>
      </c>
      <c r="C228" s="529">
        <v>11</v>
      </c>
      <c r="D228" s="530">
        <v>9298971</v>
      </c>
      <c r="E228" s="1028" t="s">
        <v>1874</v>
      </c>
      <c r="F228" s="1576"/>
      <c r="G228" s="1576"/>
      <c r="H228" s="547"/>
      <c r="I228" s="547"/>
      <c r="J228" s="1745"/>
      <c r="K228" s="547"/>
      <c r="L228" s="547"/>
      <c r="M228" s="1745"/>
      <c r="N228" s="547"/>
      <c r="O228" s="990"/>
      <c r="P228" s="990"/>
      <c r="Q228" s="547"/>
      <c r="R228" s="547"/>
      <c r="S228" s="1745"/>
      <c r="T228" s="547"/>
      <c r="U228" s="989">
        <f t="shared" si="26"/>
        <v>0</v>
      </c>
      <c r="V228" s="547">
        <v>0</v>
      </c>
      <c r="W228" s="1264">
        <f t="shared" si="27"/>
        <v>0</v>
      </c>
      <c r="X228" s="547">
        <f t="shared" si="28"/>
        <v>0</v>
      </c>
      <c r="Y228" s="566"/>
      <c r="Z228" s="567"/>
      <c r="AA228" s="989">
        <f t="shared" si="29"/>
        <v>0</v>
      </c>
      <c r="AB228" s="812">
        <f t="shared" si="30"/>
        <v>0</v>
      </c>
    </row>
    <row r="229" spans="1:28" ht="27" hidden="1" customHeight="1">
      <c r="A229" s="531"/>
      <c r="B229" s="531">
        <v>1018</v>
      </c>
      <c r="C229" s="529">
        <v>17</v>
      </c>
      <c r="D229" s="530" t="s">
        <v>607</v>
      </c>
      <c r="E229" s="1028" t="s">
        <v>606</v>
      </c>
      <c r="F229" s="1576"/>
      <c r="G229" s="1576"/>
      <c r="H229" s="547"/>
      <c r="I229" s="547"/>
      <c r="J229" s="1745"/>
      <c r="K229" s="547"/>
      <c r="L229" s="547"/>
      <c r="M229" s="1745"/>
      <c r="N229" s="547"/>
      <c r="O229" s="990"/>
      <c r="P229" s="990"/>
      <c r="Q229" s="547"/>
      <c r="R229" s="547"/>
      <c r="S229" s="1745"/>
      <c r="T229" s="547"/>
      <c r="U229" s="989">
        <f t="shared" si="26"/>
        <v>0</v>
      </c>
      <c r="V229" s="547">
        <v>0</v>
      </c>
      <c r="W229" s="1264">
        <f t="shared" si="27"/>
        <v>0</v>
      </c>
      <c r="X229" s="547">
        <f t="shared" si="28"/>
        <v>0</v>
      </c>
      <c r="Y229" s="566"/>
      <c r="Z229" s="567"/>
      <c r="AA229" s="989">
        <f t="shared" si="29"/>
        <v>0</v>
      </c>
      <c r="AB229" s="812">
        <f t="shared" si="30"/>
        <v>0</v>
      </c>
    </row>
    <row r="230" spans="1:28" ht="27" hidden="1" customHeight="1">
      <c r="A230" s="531"/>
      <c r="B230" s="531">
        <v>406</v>
      </c>
      <c r="C230" s="529">
        <v>11</v>
      </c>
      <c r="D230" s="530" t="s">
        <v>1106</v>
      </c>
      <c r="E230" s="1028" t="s">
        <v>1337</v>
      </c>
      <c r="F230" s="1576"/>
      <c r="G230" s="1576"/>
      <c r="H230" s="547"/>
      <c r="I230" s="547"/>
      <c r="J230" s="1745"/>
      <c r="K230" s="547"/>
      <c r="L230" s="547"/>
      <c r="M230" s="1745"/>
      <c r="N230" s="547"/>
      <c r="O230" s="990"/>
      <c r="P230" s="990"/>
      <c r="Q230" s="547"/>
      <c r="R230" s="547"/>
      <c r="S230" s="1745"/>
      <c r="T230" s="547"/>
      <c r="U230" s="989">
        <f t="shared" si="26"/>
        <v>0</v>
      </c>
      <c r="V230" s="547">
        <v>0</v>
      </c>
      <c r="W230" s="1264">
        <f t="shared" si="27"/>
        <v>0</v>
      </c>
      <c r="X230" s="547">
        <f t="shared" si="28"/>
        <v>0</v>
      </c>
      <c r="Y230" s="566"/>
      <c r="Z230" s="567"/>
      <c r="AA230" s="989">
        <f t="shared" si="29"/>
        <v>0</v>
      </c>
      <c r="AB230" s="812">
        <f t="shared" si="30"/>
        <v>0</v>
      </c>
    </row>
    <row r="231" spans="1:28" ht="27" hidden="1" customHeight="1">
      <c r="A231" s="531"/>
      <c r="B231" s="531">
        <v>406</v>
      </c>
      <c r="C231" s="529">
        <v>11</v>
      </c>
      <c r="D231" s="530" t="s">
        <v>1208</v>
      </c>
      <c r="E231" s="1028" t="s">
        <v>1164</v>
      </c>
      <c r="F231" s="1576"/>
      <c r="G231" s="1576"/>
      <c r="H231" s="1583"/>
      <c r="I231" s="547"/>
      <c r="J231" s="1745"/>
      <c r="K231" s="547"/>
      <c r="L231" s="547"/>
      <c r="M231" s="1745"/>
      <c r="N231" s="547"/>
      <c r="O231" s="990"/>
      <c r="P231" s="990"/>
      <c r="Q231" s="547"/>
      <c r="R231" s="547"/>
      <c r="S231" s="1745"/>
      <c r="T231" s="547"/>
      <c r="U231" s="989">
        <f t="shared" si="26"/>
        <v>0</v>
      </c>
      <c r="V231" s="547">
        <v>0</v>
      </c>
      <c r="W231" s="1264">
        <f t="shared" si="27"/>
        <v>0</v>
      </c>
      <c r="X231" s="547">
        <f t="shared" si="28"/>
        <v>0</v>
      </c>
      <c r="Y231" s="566"/>
      <c r="Z231" s="567"/>
      <c r="AA231" s="989">
        <f t="shared" si="29"/>
        <v>0</v>
      </c>
      <c r="AB231" s="812">
        <f t="shared" si="30"/>
        <v>0</v>
      </c>
    </row>
    <row r="232" spans="1:28" ht="27" hidden="1" customHeight="1">
      <c r="A232" s="531"/>
      <c r="B232" s="531">
        <v>1018</v>
      </c>
      <c r="C232" s="529">
        <v>17</v>
      </c>
      <c r="D232" s="530" t="s">
        <v>872</v>
      </c>
      <c r="E232" s="1028" t="s">
        <v>826</v>
      </c>
      <c r="F232" s="1576"/>
      <c r="G232" s="1576"/>
      <c r="H232" s="547"/>
      <c r="I232" s="547"/>
      <c r="J232" s="1745"/>
      <c r="K232" s="547"/>
      <c r="L232" s="547"/>
      <c r="M232" s="1745"/>
      <c r="N232" s="547"/>
      <c r="O232" s="990"/>
      <c r="P232" s="990"/>
      <c r="Q232" s="547"/>
      <c r="R232" s="547"/>
      <c r="S232" s="1745"/>
      <c r="T232" s="547"/>
      <c r="U232" s="989">
        <f t="shared" si="26"/>
        <v>0</v>
      </c>
      <c r="V232" s="547">
        <v>0</v>
      </c>
      <c r="W232" s="1264">
        <f t="shared" si="27"/>
        <v>0</v>
      </c>
      <c r="X232" s="547">
        <f t="shared" si="28"/>
        <v>0</v>
      </c>
      <c r="Y232" s="566"/>
      <c r="Z232" s="567"/>
      <c r="AA232" s="989">
        <f t="shared" si="29"/>
        <v>0</v>
      </c>
      <c r="AB232" s="812">
        <f t="shared" si="30"/>
        <v>0</v>
      </c>
    </row>
    <row r="233" spans="1:28" ht="27" hidden="1" customHeight="1">
      <c r="A233" s="531"/>
      <c r="B233" s="531">
        <v>406</v>
      </c>
      <c r="C233" s="529">
        <v>11</v>
      </c>
      <c r="D233" s="530" t="s">
        <v>1255</v>
      </c>
      <c r="E233" s="1028" t="s">
        <v>1256</v>
      </c>
      <c r="F233" s="1576"/>
      <c r="G233" s="1576"/>
      <c r="H233" s="547"/>
      <c r="I233" s="547"/>
      <c r="J233" s="1746"/>
      <c r="K233" s="547"/>
      <c r="L233" s="547"/>
      <c r="M233" s="1745"/>
      <c r="N233" s="547"/>
      <c r="O233" s="990"/>
      <c r="P233" s="990"/>
      <c r="Q233" s="547"/>
      <c r="R233" s="547"/>
      <c r="S233" s="1745"/>
      <c r="T233" s="547"/>
      <c r="U233" s="989">
        <f t="shared" si="26"/>
        <v>0</v>
      </c>
      <c r="V233" s="547">
        <v>0</v>
      </c>
      <c r="W233" s="1264">
        <f t="shared" si="27"/>
        <v>0</v>
      </c>
      <c r="X233" s="547">
        <f t="shared" si="28"/>
        <v>0</v>
      </c>
      <c r="Y233" s="566"/>
      <c r="Z233" s="567"/>
      <c r="AA233" s="989">
        <f t="shared" si="29"/>
        <v>0</v>
      </c>
      <c r="AB233" s="812">
        <f t="shared" si="30"/>
        <v>0</v>
      </c>
    </row>
    <row r="234" spans="1:28" ht="27" hidden="1" customHeight="1">
      <c r="A234" s="531"/>
      <c r="B234" s="531">
        <v>406</v>
      </c>
      <c r="C234" s="529">
        <v>11</v>
      </c>
      <c r="D234" s="530" t="s">
        <v>668</v>
      </c>
      <c r="E234" s="1028" t="s">
        <v>669</v>
      </c>
      <c r="F234" s="1576"/>
      <c r="G234" s="1576"/>
      <c r="H234" s="547"/>
      <c r="I234" s="547"/>
      <c r="J234" s="1746"/>
      <c r="K234" s="547"/>
      <c r="L234" s="547"/>
      <c r="M234" s="1745"/>
      <c r="N234" s="547"/>
      <c r="O234" s="990"/>
      <c r="P234" s="990"/>
      <c r="Q234" s="547"/>
      <c r="R234" s="547"/>
      <c r="S234" s="1745"/>
      <c r="T234" s="547"/>
      <c r="U234" s="989">
        <f t="shared" si="26"/>
        <v>0</v>
      </c>
      <c r="V234" s="547">
        <v>0</v>
      </c>
      <c r="W234" s="1264">
        <f t="shared" si="27"/>
        <v>0</v>
      </c>
      <c r="X234" s="547">
        <f t="shared" si="28"/>
        <v>0</v>
      </c>
      <c r="Y234" s="566"/>
      <c r="Z234" s="567"/>
      <c r="AA234" s="989">
        <f t="shared" si="29"/>
        <v>0</v>
      </c>
      <c r="AB234" s="812">
        <f t="shared" si="30"/>
        <v>0</v>
      </c>
    </row>
    <row r="235" spans="1:28" ht="27" hidden="1" customHeight="1">
      <c r="A235" s="531"/>
      <c r="B235" s="531">
        <v>406</v>
      </c>
      <c r="C235" s="529">
        <v>11</v>
      </c>
      <c r="D235" s="530" t="s">
        <v>19</v>
      </c>
      <c r="E235" s="1028" t="s">
        <v>680</v>
      </c>
      <c r="F235" s="1576"/>
      <c r="G235" s="1576"/>
      <c r="H235" s="547"/>
      <c r="I235" s="547"/>
      <c r="J235" s="1746"/>
      <c r="K235" s="547"/>
      <c r="L235" s="547"/>
      <c r="M235" s="1745"/>
      <c r="N235" s="547"/>
      <c r="O235" s="990"/>
      <c r="P235" s="990"/>
      <c r="Q235" s="547"/>
      <c r="R235" s="547"/>
      <c r="S235" s="1745"/>
      <c r="T235" s="547"/>
      <c r="U235" s="989">
        <f t="shared" si="26"/>
        <v>0</v>
      </c>
      <c r="V235" s="547">
        <v>0</v>
      </c>
      <c r="W235" s="1264">
        <f t="shared" si="27"/>
        <v>0</v>
      </c>
      <c r="X235" s="547">
        <f t="shared" si="28"/>
        <v>0</v>
      </c>
      <c r="Y235" s="566"/>
      <c r="Z235" s="567"/>
      <c r="AA235" s="989">
        <f t="shared" si="29"/>
        <v>0</v>
      </c>
      <c r="AB235" s="812">
        <f t="shared" si="30"/>
        <v>0</v>
      </c>
    </row>
    <row r="236" spans="1:28" ht="27" hidden="1" customHeight="1">
      <c r="A236" s="531"/>
      <c r="B236" s="531">
        <v>406</v>
      </c>
      <c r="C236" s="529">
        <v>11</v>
      </c>
      <c r="D236" s="530" t="s">
        <v>476</v>
      </c>
      <c r="E236" s="1028" t="s">
        <v>1173</v>
      </c>
      <c r="F236" s="1580"/>
      <c r="G236" s="1576"/>
      <c r="H236" s="547"/>
      <c r="I236" s="547"/>
      <c r="J236" s="1745"/>
      <c r="K236" s="547"/>
      <c r="L236" s="547"/>
      <c r="M236" s="1745"/>
      <c r="N236" s="547"/>
      <c r="O236" s="990"/>
      <c r="P236" s="990"/>
      <c r="Q236" s="547"/>
      <c r="R236" s="547"/>
      <c r="S236" s="1745"/>
      <c r="T236" s="547"/>
      <c r="U236" s="1671">
        <f t="shared" si="26"/>
        <v>0</v>
      </c>
      <c r="V236" s="547">
        <v>0</v>
      </c>
      <c r="W236" s="1264">
        <f t="shared" si="27"/>
        <v>0</v>
      </c>
      <c r="X236" s="547">
        <f t="shared" si="28"/>
        <v>0</v>
      </c>
      <c r="Y236" s="566"/>
      <c r="Z236" s="567"/>
      <c r="AA236" s="989">
        <f t="shared" si="29"/>
        <v>0</v>
      </c>
      <c r="AB236" s="812">
        <f t="shared" si="30"/>
        <v>0</v>
      </c>
    </row>
    <row r="237" spans="1:28" ht="27" hidden="1" customHeight="1">
      <c r="A237" s="531"/>
      <c r="B237" s="531">
        <v>405</v>
      </c>
      <c r="C237" s="529">
        <v>11</v>
      </c>
      <c r="D237" s="530" t="s">
        <v>201</v>
      </c>
      <c r="E237" s="1028" t="s">
        <v>1405</v>
      </c>
      <c r="F237" s="1579">
        <v>195752810014</v>
      </c>
      <c r="G237" s="1755"/>
      <c r="H237" s="1745"/>
      <c r="I237" s="1745"/>
      <c r="J237" s="1746"/>
      <c r="K237" s="1774"/>
      <c r="L237" s="1745"/>
      <c r="M237" s="1745"/>
      <c r="N237" s="1745"/>
      <c r="O237" s="1746"/>
      <c r="P237" s="1746">
        <v>-42312000000</v>
      </c>
      <c r="Q237" s="1745"/>
      <c r="R237" s="1745"/>
      <c r="S237" s="1745"/>
      <c r="T237" s="1745"/>
      <c r="U237" s="989">
        <f t="shared" si="26"/>
        <v>153440810014</v>
      </c>
      <c r="V237" s="547">
        <v>158124143346</v>
      </c>
      <c r="W237" s="1264">
        <f t="shared" si="27"/>
        <v>153441</v>
      </c>
      <c r="X237" s="547">
        <f t="shared" si="28"/>
        <v>158124</v>
      </c>
      <c r="Y237" s="566"/>
      <c r="Z237" s="567"/>
      <c r="AA237" s="989">
        <f t="shared" si="29"/>
        <v>153440810014</v>
      </c>
      <c r="AB237" s="812">
        <f t="shared" si="30"/>
        <v>153441</v>
      </c>
    </row>
    <row r="238" spans="1:28" ht="27" hidden="1" customHeight="1">
      <c r="A238" s="531"/>
      <c r="B238" s="531">
        <v>404</v>
      </c>
      <c r="C238" s="529">
        <v>11</v>
      </c>
      <c r="D238" s="530" t="s">
        <v>51</v>
      </c>
      <c r="E238" s="1028" t="s">
        <v>155</v>
      </c>
      <c r="F238" s="1579">
        <v>316411173629</v>
      </c>
      <c r="G238" s="1757">
        <v>-2431273308</v>
      </c>
      <c r="H238" s="1773">
        <v>2870657582</v>
      </c>
      <c r="I238" s="1760">
        <v>25518630444</v>
      </c>
      <c r="J238" s="1760">
        <v>2667019493</v>
      </c>
      <c r="K238" s="1760">
        <v>-4250000</v>
      </c>
      <c r="L238" s="1760"/>
      <c r="M238" s="1760"/>
      <c r="N238" s="1760"/>
      <c r="O238" s="1746"/>
      <c r="P238" s="1746"/>
      <c r="Q238" s="1745"/>
      <c r="R238" s="1745"/>
      <c r="S238" s="1745"/>
      <c r="T238" s="1745"/>
      <c r="U238" s="989">
        <f t="shared" si="26"/>
        <v>345031957840</v>
      </c>
      <c r="V238" s="547">
        <v>205836896646</v>
      </c>
      <c r="W238" s="1264">
        <f t="shared" si="27"/>
        <v>345032</v>
      </c>
      <c r="X238" s="547">
        <f t="shared" si="28"/>
        <v>205837</v>
      </c>
      <c r="Y238" s="566"/>
      <c r="Z238" s="567"/>
      <c r="AA238" s="989">
        <f t="shared" si="29"/>
        <v>345031957840</v>
      </c>
      <c r="AB238" s="812">
        <f t="shared" si="30"/>
        <v>345032</v>
      </c>
    </row>
    <row r="239" spans="1:28" ht="27" hidden="1" customHeight="1">
      <c r="A239" s="531"/>
      <c r="B239" s="531">
        <v>1018</v>
      </c>
      <c r="C239" s="529">
        <v>17</v>
      </c>
      <c r="D239" s="530">
        <v>6503855</v>
      </c>
      <c r="E239" s="1028" t="s">
        <v>221</v>
      </c>
      <c r="F239" s="1576"/>
      <c r="G239" s="1755"/>
      <c r="H239" s="1745"/>
      <c r="I239" s="1745"/>
      <c r="J239" s="1745"/>
      <c r="K239" s="1745"/>
      <c r="L239" s="1745"/>
      <c r="M239" s="1745"/>
      <c r="N239" s="1745"/>
      <c r="O239" s="1746"/>
      <c r="P239" s="1746"/>
      <c r="Q239" s="1745"/>
      <c r="R239" s="1745"/>
      <c r="S239" s="1745"/>
      <c r="T239" s="1745"/>
      <c r="U239" s="989">
        <f t="shared" si="26"/>
        <v>0</v>
      </c>
      <c r="V239" s="547">
        <v>0</v>
      </c>
      <c r="W239" s="1264">
        <f t="shared" si="27"/>
        <v>0</v>
      </c>
      <c r="X239" s="547">
        <f t="shared" si="28"/>
        <v>0</v>
      </c>
      <c r="Y239" s="566"/>
      <c r="Z239" s="567"/>
      <c r="AA239" s="989"/>
      <c r="AB239" s="812"/>
    </row>
    <row r="240" spans="1:28" ht="27" hidden="1" customHeight="1">
      <c r="A240" s="531"/>
      <c r="B240" s="531">
        <v>1010</v>
      </c>
      <c r="C240" s="529">
        <v>17</v>
      </c>
      <c r="D240" s="530" t="s">
        <v>427</v>
      </c>
      <c r="E240" s="1028" t="s">
        <v>774</v>
      </c>
      <c r="F240" s="1580">
        <v>-17009695177</v>
      </c>
      <c r="G240" s="1755"/>
      <c r="H240" s="1745"/>
      <c r="I240" s="1745"/>
      <c r="J240" s="1745"/>
      <c r="K240" s="1760"/>
      <c r="L240" s="1745"/>
      <c r="M240" s="1745"/>
      <c r="N240" s="1745"/>
      <c r="O240" s="1746">
        <v>-10000000</v>
      </c>
      <c r="P240" s="1746"/>
      <c r="Q240" s="1745"/>
      <c r="R240" s="1745"/>
      <c r="S240" s="1745"/>
      <c r="T240" s="1745"/>
      <c r="U240" s="1671">
        <f t="shared" si="26"/>
        <v>-17019695177</v>
      </c>
      <c r="V240" s="547">
        <v>-11116200338</v>
      </c>
      <c r="W240" s="1264">
        <f>ROUND((U240/1000000),0)</f>
        <v>-17020</v>
      </c>
      <c r="X240" s="547">
        <f t="shared" si="28"/>
        <v>-11116</v>
      </c>
      <c r="Y240" s="566"/>
      <c r="Z240" s="567"/>
      <c r="AA240" s="989">
        <f t="shared" ref="AA240:AA273" si="31">U240+Z240-Y240</f>
        <v>-17019695177</v>
      </c>
      <c r="AB240" s="812">
        <f t="shared" ref="AB240:AB273" si="32">ROUND((AA240/1000000),0)</f>
        <v>-17020</v>
      </c>
    </row>
    <row r="241" spans="1:28" ht="27" hidden="1" customHeight="1">
      <c r="A241" s="531"/>
      <c r="B241" s="531">
        <v>403</v>
      </c>
      <c r="C241" s="529">
        <v>11</v>
      </c>
      <c r="D241" s="530" t="s">
        <v>53</v>
      </c>
      <c r="E241" s="1028" t="s">
        <v>756</v>
      </c>
      <c r="F241" s="1576"/>
      <c r="G241" s="1755"/>
      <c r="H241" s="1745"/>
      <c r="I241" s="1745"/>
      <c r="J241" s="1745"/>
      <c r="K241" s="1745"/>
      <c r="L241" s="1745"/>
      <c r="M241" s="1745"/>
      <c r="N241" s="1745"/>
      <c r="O241" s="1746"/>
      <c r="P241" s="1746"/>
      <c r="Q241" s="1745"/>
      <c r="R241" s="1745"/>
      <c r="S241" s="1745"/>
      <c r="T241" s="1745"/>
      <c r="U241" s="989">
        <f t="shared" si="26"/>
        <v>0</v>
      </c>
      <c r="V241" s="547">
        <v>0</v>
      </c>
      <c r="W241" s="1264">
        <f t="shared" si="27"/>
        <v>0</v>
      </c>
      <c r="X241" s="547">
        <f t="shared" si="28"/>
        <v>0</v>
      </c>
      <c r="Y241" s="566"/>
      <c r="Z241" s="567"/>
      <c r="AA241" s="989">
        <f t="shared" si="31"/>
        <v>0</v>
      </c>
      <c r="AB241" s="812">
        <f t="shared" si="32"/>
        <v>0</v>
      </c>
    </row>
    <row r="242" spans="1:28" ht="27" hidden="1" customHeight="1">
      <c r="A242" s="531"/>
      <c r="B242" s="531">
        <v>402</v>
      </c>
      <c r="C242" s="529">
        <v>11</v>
      </c>
      <c r="D242" s="530" t="s">
        <v>48</v>
      </c>
      <c r="E242" s="1028" t="s">
        <v>49</v>
      </c>
      <c r="F242" s="1579"/>
      <c r="G242" s="1755"/>
      <c r="H242" s="1745"/>
      <c r="I242" s="1745"/>
      <c r="J242" s="1745"/>
      <c r="K242" s="1745"/>
      <c r="L242" s="1745"/>
      <c r="M242" s="1745"/>
      <c r="N242" s="1745"/>
      <c r="O242" s="1746"/>
      <c r="P242" s="1746"/>
      <c r="Q242" s="1745"/>
      <c r="R242" s="1745"/>
      <c r="S242" s="1745"/>
      <c r="T242" s="1745"/>
      <c r="U242" s="989">
        <f t="shared" si="26"/>
        <v>0</v>
      </c>
      <c r="V242" s="547">
        <v>0</v>
      </c>
      <c r="W242" s="1264">
        <f t="shared" si="27"/>
        <v>0</v>
      </c>
      <c r="X242" s="547">
        <f t="shared" si="28"/>
        <v>0</v>
      </c>
      <c r="Y242" s="566"/>
      <c r="Z242" s="567"/>
      <c r="AA242" s="989">
        <f t="shared" si="31"/>
        <v>0</v>
      </c>
      <c r="AB242" s="812">
        <f t="shared" si="32"/>
        <v>0</v>
      </c>
    </row>
    <row r="243" spans="1:28" ht="27" hidden="1" customHeight="1">
      <c r="A243" s="531"/>
      <c r="B243" s="531">
        <v>1018</v>
      </c>
      <c r="C243" s="529">
        <v>17</v>
      </c>
      <c r="D243" s="530" t="s">
        <v>828</v>
      </c>
      <c r="E243" s="1028" t="s">
        <v>829</v>
      </c>
      <c r="F243" s="1576"/>
      <c r="G243" s="1755"/>
      <c r="H243" s="1745"/>
      <c r="I243" s="1745"/>
      <c r="J243" s="1745"/>
      <c r="K243" s="1745"/>
      <c r="L243" s="1745"/>
      <c r="M243" s="1745"/>
      <c r="N243" s="1745"/>
      <c r="O243" s="1746"/>
      <c r="P243" s="1746"/>
      <c r="Q243" s="1745"/>
      <c r="R243" s="1745"/>
      <c r="S243" s="1745"/>
      <c r="T243" s="1745"/>
      <c r="U243" s="989">
        <f t="shared" si="26"/>
        <v>0</v>
      </c>
      <c r="V243" s="547">
        <v>0</v>
      </c>
      <c r="W243" s="1264">
        <f t="shared" si="27"/>
        <v>0</v>
      </c>
      <c r="X243" s="547">
        <f t="shared" si="28"/>
        <v>0</v>
      </c>
      <c r="Y243" s="566"/>
      <c r="Z243" s="567"/>
      <c r="AA243" s="989">
        <f t="shared" si="31"/>
        <v>0</v>
      </c>
      <c r="AB243" s="812">
        <f t="shared" si="32"/>
        <v>0</v>
      </c>
    </row>
    <row r="244" spans="1:28" ht="27" hidden="1" customHeight="1">
      <c r="A244" s="1742"/>
      <c r="B244" s="1742">
        <v>1018</v>
      </c>
      <c r="C244" s="1743">
        <v>17</v>
      </c>
      <c r="D244" s="1753" t="s">
        <v>2670</v>
      </c>
      <c r="E244" s="1754" t="s">
        <v>2016</v>
      </c>
      <c r="F244" s="1755">
        <v>-18499997</v>
      </c>
      <c r="G244" s="1755"/>
      <c r="H244" s="1745">
        <v>-1999956</v>
      </c>
      <c r="I244" s="1745"/>
      <c r="J244" s="1745"/>
      <c r="K244" s="1745"/>
      <c r="L244" s="1745"/>
      <c r="M244" s="1745"/>
      <c r="N244" s="1745"/>
      <c r="O244" s="1746">
        <v>-2999998</v>
      </c>
      <c r="P244" s="1746"/>
      <c r="Q244" s="1745"/>
      <c r="R244" s="1745"/>
      <c r="S244" s="1745"/>
      <c r="T244" s="1745"/>
      <c r="U244" s="989">
        <f t="shared" si="26"/>
        <v>-23499951</v>
      </c>
      <c r="V244" s="1745"/>
      <c r="W244" s="1264">
        <f t="shared" si="27"/>
        <v>-23</v>
      </c>
      <c r="X244" s="547">
        <f t="shared" si="28"/>
        <v>0</v>
      </c>
      <c r="Y244" s="1747"/>
      <c r="Z244" s="1748"/>
      <c r="AA244" s="989">
        <f t="shared" si="31"/>
        <v>-23499951</v>
      </c>
      <c r="AB244" s="812">
        <f t="shared" si="32"/>
        <v>-23</v>
      </c>
    </row>
    <row r="245" spans="1:28" ht="27" hidden="1" customHeight="1">
      <c r="A245" s="531"/>
      <c r="B245" s="531">
        <v>1018</v>
      </c>
      <c r="C245" s="529">
        <v>17</v>
      </c>
      <c r="D245" s="530" t="s">
        <v>1419</v>
      </c>
      <c r="E245" s="1028" t="s">
        <v>1263</v>
      </c>
      <c r="F245" s="1580"/>
      <c r="G245" s="1576"/>
      <c r="H245" s="547"/>
      <c r="I245" s="547"/>
      <c r="J245" s="1745"/>
      <c r="K245" s="547"/>
      <c r="L245" s="547"/>
      <c r="M245" s="1745"/>
      <c r="N245" s="547"/>
      <c r="O245" s="990"/>
      <c r="P245" s="990"/>
      <c r="Q245" s="547"/>
      <c r="R245" s="547"/>
      <c r="S245" s="1745"/>
      <c r="T245" s="547"/>
      <c r="U245" s="1671">
        <f t="shared" si="26"/>
        <v>0</v>
      </c>
      <c r="V245" s="547">
        <v>0</v>
      </c>
      <c r="W245" s="1264">
        <f t="shared" si="27"/>
        <v>0</v>
      </c>
      <c r="X245" s="547">
        <f t="shared" si="28"/>
        <v>0</v>
      </c>
      <c r="Y245" s="566"/>
      <c r="Z245" s="567"/>
      <c r="AA245" s="989">
        <f t="shared" si="31"/>
        <v>0</v>
      </c>
      <c r="AB245" s="812">
        <f t="shared" si="32"/>
        <v>0</v>
      </c>
    </row>
    <row r="246" spans="1:28" ht="27" hidden="1" customHeight="1">
      <c r="A246" s="1742"/>
      <c r="B246" s="531">
        <v>1018</v>
      </c>
      <c r="C246" s="1743">
        <v>17</v>
      </c>
      <c r="D246" s="1753" t="s">
        <v>1166</v>
      </c>
      <c r="E246" s="1754" t="s">
        <v>1167</v>
      </c>
      <c r="F246" s="1756"/>
      <c r="G246" s="1755"/>
      <c r="H246" s="1745"/>
      <c r="I246" s="1745"/>
      <c r="J246" s="1745"/>
      <c r="K246" s="1745"/>
      <c r="L246" s="1745"/>
      <c r="M246" s="1745"/>
      <c r="N246" s="1745"/>
      <c r="O246" s="1746"/>
      <c r="P246" s="1746"/>
      <c r="Q246" s="1745"/>
      <c r="R246" s="1745"/>
      <c r="S246" s="1745"/>
      <c r="T246" s="1745"/>
      <c r="U246" s="1948">
        <f t="shared" si="26"/>
        <v>0</v>
      </c>
      <c r="V246" s="1745">
        <v>0</v>
      </c>
      <c r="W246" s="1264">
        <f t="shared" si="27"/>
        <v>0</v>
      </c>
      <c r="X246" s="547">
        <f t="shared" si="28"/>
        <v>0</v>
      </c>
      <c r="Y246" s="1747"/>
      <c r="Z246" s="1748"/>
      <c r="AA246" s="1749">
        <f t="shared" si="31"/>
        <v>0</v>
      </c>
      <c r="AB246" s="1750">
        <f t="shared" si="32"/>
        <v>0</v>
      </c>
    </row>
    <row r="247" spans="1:28" ht="27" hidden="1" customHeight="1">
      <c r="A247" s="531"/>
      <c r="B247" s="531">
        <v>1018</v>
      </c>
      <c r="C247" s="529">
        <v>17</v>
      </c>
      <c r="D247" s="530" t="s">
        <v>1224</v>
      </c>
      <c r="E247" s="1028" t="s">
        <v>1225</v>
      </c>
      <c r="F247" s="1580">
        <v>-1201600000</v>
      </c>
      <c r="G247" s="1757"/>
      <c r="H247" s="1757"/>
      <c r="I247" s="1745">
        <v>1201600000</v>
      </c>
      <c r="J247" s="1745"/>
      <c r="K247" s="1745"/>
      <c r="L247" s="1745"/>
      <c r="M247" s="1745"/>
      <c r="N247" s="1745"/>
      <c r="O247" s="1746"/>
      <c r="P247" s="1746"/>
      <c r="Q247" s="1745"/>
      <c r="R247" s="1745"/>
      <c r="S247" s="1745"/>
      <c r="T247" s="1745"/>
      <c r="U247" s="1671">
        <f t="shared" si="26"/>
        <v>0</v>
      </c>
      <c r="V247" s="547">
        <v>0</v>
      </c>
      <c r="W247" s="1264">
        <f t="shared" si="27"/>
        <v>0</v>
      </c>
      <c r="X247" s="547">
        <f t="shared" si="28"/>
        <v>0</v>
      </c>
      <c r="Y247" s="566"/>
      <c r="Z247" s="567"/>
      <c r="AA247" s="989">
        <f t="shared" si="31"/>
        <v>0</v>
      </c>
      <c r="AB247" s="812">
        <f t="shared" si="32"/>
        <v>0</v>
      </c>
    </row>
    <row r="248" spans="1:28" ht="27" hidden="1" customHeight="1">
      <c r="A248" s="531"/>
      <c r="B248" s="531">
        <v>401</v>
      </c>
      <c r="C248" s="529">
        <v>11</v>
      </c>
      <c r="D248" s="530" t="s">
        <v>824</v>
      </c>
      <c r="E248" s="1028" t="s">
        <v>825</v>
      </c>
      <c r="F248" s="1576"/>
      <c r="G248" s="1755"/>
      <c r="H248" s="1745"/>
      <c r="I248" s="1745"/>
      <c r="J248" s="1745"/>
      <c r="K248" s="1745"/>
      <c r="L248" s="1745"/>
      <c r="M248" s="1745"/>
      <c r="N248" s="1745"/>
      <c r="O248" s="1746"/>
      <c r="P248" s="1746"/>
      <c r="Q248" s="1745"/>
      <c r="R248" s="1745"/>
      <c r="S248" s="1745"/>
      <c r="T248" s="1745"/>
      <c r="U248" s="989">
        <f t="shared" si="26"/>
        <v>0</v>
      </c>
      <c r="V248" s="547">
        <v>0</v>
      </c>
      <c r="W248" s="1264">
        <f t="shared" si="27"/>
        <v>0</v>
      </c>
      <c r="X248" s="547">
        <f t="shared" si="28"/>
        <v>0</v>
      </c>
      <c r="Y248" s="566"/>
      <c r="Z248" s="567"/>
      <c r="AA248" s="989">
        <f t="shared" si="31"/>
        <v>0</v>
      </c>
      <c r="AB248" s="812">
        <f t="shared" si="32"/>
        <v>0</v>
      </c>
    </row>
    <row r="249" spans="1:28" ht="27" hidden="1" customHeight="1">
      <c r="A249" s="531"/>
      <c r="B249" s="531">
        <v>406</v>
      </c>
      <c r="C249" s="529">
        <v>11</v>
      </c>
      <c r="D249" s="530" t="s">
        <v>430</v>
      </c>
      <c r="E249" s="1028" t="s">
        <v>431</v>
      </c>
      <c r="F249" s="1580">
        <v>2478250000</v>
      </c>
      <c r="G249" s="1755"/>
      <c r="H249" s="1745"/>
      <c r="I249" s="1745"/>
      <c r="J249" s="1745"/>
      <c r="K249" s="1745"/>
      <c r="L249" s="1745"/>
      <c r="M249" s="1745"/>
      <c r="N249" s="1745"/>
      <c r="O249" s="1746"/>
      <c r="P249" s="1746"/>
      <c r="Q249" s="1745"/>
      <c r="R249" s="1745"/>
      <c r="S249" s="1745"/>
      <c r="T249" s="1745"/>
      <c r="U249" s="1671">
        <f t="shared" si="26"/>
        <v>2478250000</v>
      </c>
      <c r="V249" s="547">
        <v>0</v>
      </c>
      <c r="W249" s="1264">
        <f t="shared" si="27"/>
        <v>2478</v>
      </c>
      <c r="X249" s="547">
        <f t="shared" si="28"/>
        <v>0</v>
      </c>
      <c r="Y249" s="566"/>
      <c r="Z249" s="567"/>
      <c r="AA249" s="989">
        <f t="shared" si="31"/>
        <v>2478250000</v>
      </c>
      <c r="AB249" s="812">
        <f t="shared" si="32"/>
        <v>2478</v>
      </c>
    </row>
    <row r="250" spans="1:28" ht="27" hidden="1" customHeight="1">
      <c r="A250" s="531"/>
      <c r="B250" s="531">
        <v>406</v>
      </c>
      <c r="C250" s="529">
        <v>11</v>
      </c>
      <c r="D250" s="530" t="s">
        <v>2019</v>
      </c>
      <c r="E250" s="1028" t="s">
        <v>2020</v>
      </c>
      <c r="F250" s="1576">
        <v>613925735</v>
      </c>
      <c r="G250" s="1755"/>
      <c r="H250" s="1745"/>
      <c r="I250" s="1745">
        <v>-222752035</v>
      </c>
      <c r="J250" s="1745">
        <v>-200000000</v>
      </c>
      <c r="K250" s="1745"/>
      <c r="L250" s="1745"/>
      <c r="M250" s="1745"/>
      <c r="N250" s="1745"/>
      <c r="O250" s="1746"/>
      <c r="P250" s="1746"/>
      <c r="Q250" s="1745"/>
      <c r="R250" s="1745"/>
      <c r="S250" s="1745"/>
      <c r="T250" s="1745"/>
      <c r="U250" s="989">
        <f t="shared" si="26"/>
        <v>191173700</v>
      </c>
      <c r="V250" s="547">
        <v>0</v>
      </c>
      <c r="W250" s="1264">
        <f t="shared" si="27"/>
        <v>191</v>
      </c>
      <c r="X250" s="547">
        <f t="shared" si="28"/>
        <v>0</v>
      </c>
      <c r="Y250" s="566"/>
      <c r="Z250" s="567"/>
      <c r="AA250" s="989">
        <f t="shared" si="31"/>
        <v>191173700</v>
      </c>
      <c r="AB250" s="812">
        <f t="shared" si="32"/>
        <v>191</v>
      </c>
    </row>
    <row r="251" spans="1:28" ht="27" hidden="1" customHeight="1">
      <c r="A251" s="531"/>
      <c r="B251" s="531">
        <v>1009</v>
      </c>
      <c r="C251" s="529">
        <v>17</v>
      </c>
      <c r="D251" s="530" t="s">
        <v>472</v>
      </c>
      <c r="E251" s="1028" t="s">
        <v>473</v>
      </c>
      <c r="F251" s="1580">
        <v>-2944770534579</v>
      </c>
      <c r="G251" s="1755"/>
      <c r="H251" s="1745"/>
      <c r="I251" s="1745">
        <v>1201914506975</v>
      </c>
      <c r="J251" s="1745"/>
      <c r="K251" s="1745"/>
      <c r="L251" s="1745"/>
      <c r="M251" s="1745"/>
      <c r="N251" s="1745"/>
      <c r="O251" s="1746">
        <v>-401325052379</v>
      </c>
      <c r="P251" s="1746">
        <v>2002217364978</v>
      </c>
      <c r="Q251" s="1745"/>
      <c r="R251" s="1745"/>
      <c r="S251" s="1745"/>
      <c r="T251" s="1745"/>
      <c r="U251" s="1671">
        <f t="shared" si="26"/>
        <v>-141963715005</v>
      </c>
      <c r="V251" s="547">
        <v>-329849429843</v>
      </c>
      <c r="W251" s="1264">
        <f t="shared" si="27"/>
        <v>-141964</v>
      </c>
      <c r="X251" s="547">
        <f t="shared" si="28"/>
        <v>-329849</v>
      </c>
      <c r="Y251" s="566"/>
      <c r="Z251" s="567"/>
      <c r="AA251" s="989">
        <f t="shared" si="31"/>
        <v>-141963715005</v>
      </c>
      <c r="AB251" s="812">
        <f t="shared" si="32"/>
        <v>-141964</v>
      </c>
    </row>
    <row r="252" spans="1:28" ht="27" hidden="1" customHeight="1">
      <c r="A252" s="531"/>
      <c r="B252" s="531">
        <v>1018</v>
      </c>
      <c r="C252" s="529">
        <v>17</v>
      </c>
      <c r="D252" s="530" t="s">
        <v>698</v>
      </c>
      <c r="E252" s="1028" t="s">
        <v>926</v>
      </c>
      <c r="F252" s="1576"/>
      <c r="G252" s="1755"/>
      <c r="H252" s="1745"/>
      <c r="I252" s="1745"/>
      <c r="J252" s="1745"/>
      <c r="K252" s="1745"/>
      <c r="L252" s="1745"/>
      <c r="M252" s="1745"/>
      <c r="N252" s="1745"/>
      <c r="O252" s="1746"/>
      <c r="P252" s="1746"/>
      <c r="Q252" s="1745"/>
      <c r="R252" s="1745"/>
      <c r="S252" s="1745"/>
      <c r="T252" s="1745"/>
      <c r="U252" s="989">
        <f t="shared" si="26"/>
        <v>0</v>
      </c>
      <c r="V252" s="547">
        <v>0</v>
      </c>
      <c r="W252" s="1264">
        <f t="shared" si="27"/>
        <v>0</v>
      </c>
      <c r="X252" s="547">
        <f t="shared" si="28"/>
        <v>0</v>
      </c>
      <c r="Y252" s="566"/>
      <c r="Z252" s="567"/>
      <c r="AA252" s="989">
        <f t="shared" si="31"/>
        <v>0</v>
      </c>
      <c r="AB252" s="812">
        <f t="shared" si="32"/>
        <v>0</v>
      </c>
    </row>
    <row r="253" spans="1:28" ht="27" hidden="1" customHeight="1">
      <c r="A253" s="531"/>
      <c r="B253" s="531">
        <v>1018</v>
      </c>
      <c r="C253" s="529">
        <v>17</v>
      </c>
      <c r="D253" s="530" t="s">
        <v>830</v>
      </c>
      <c r="E253" s="1028" t="s">
        <v>552</v>
      </c>
      <c r="F253" s="1576"/>
      <c r="G253" s="1755"/>
      <c r="H253" s="1745"/>
      <c r="I253" s="1745"/>
      <c r="J253" s="1745"/>
      <c r="K253" s="1745"/>
      <c r="L253" s="1745"/>
      <c r="M253" s="1745"/>
      <c r="N253" s="1745"/>
      <c r="O253" s="1746"/>
      <c r="P253" s="1746"/>
      <c r="Q253" s="1745"/>
      <c r="R253" s="1745"/>
      <c r="S253" s="1745"/>
      <c r="T253" s="1745"/>
      <c r="U253" s="989">
        <f t="shared" si="26"/>
        <v>0</v>
      </c>
      <c r="V253" s="547">
        <v>0</v>
      </c>
      <c r="W253" s="1264">
        <f t="shared" si="27"/>
        <v>0</v>
      </c>
      <c r="X253" s="547">
        <f t="shared" si="28"/>
        <v>0</v>
      </c>
      <c r="Y253" s="566"/>
      <c r="Z253" s="567"/>
      <c r="AA253" s="989">
        <f t="shared" si="31"/>
        <v>0</v>
      </c>
      <c r="AB253" s="812">
        <f t="shared" si="32"/>
        <v>0</v>
      </c>
    </row>
    <row r="254" spans="1:28" ht="27" hidden="1" customHeight="1">
      <c r="A254" s="531"/>
      <c r="B254" s="531">
        <v>401</v>
      </c>
      <c r="C254" s="529">
        <v>11</v>
      </c>
      <c r="D254" s="530" t="s">
        <v>432</v>
      </c>
      <c r="E254" s="1028" t="s">
        <v>433</v>
      </c>
      <c r="F254" s="1579">
        <v>29281239397</v>
      </c>
      <c r="G254" s="1755">
        <v>8970000000</v>
      </c>
      <c r="H254" s="1757">
        <v>150000000</v>
      </c>
      <c r="I254" s="1745">
        <v>1200000000</v>
      </c>
      <c r="J254" s="1745"/>
      <c r="K254" s="1745"/>
      <c r="L254" s="1745"/>
      <c r="M254" s="1745"/>
      <c r="N254" s="1745">
        <v>-5750000000</v>
      </c>
      <c r="O254" s="1746">
        <v>-600000000</v>
      </c>
      <c r="P254" s="1746"/>
      <c r="Q254" s="1745"/>
      <c r="R254" s="1745"/>
      <c r="S254" s="1745"/>
      <c r="T254" s="1745"/>
      <c r="U254" s="1671">
        <f t="shared" si="26"/>
        <v>33251239397</v>
      </c>
      <c r="V254" s="547">
        <v>2780000000</v>
      </c>
      <c r="W254" s="1264">
        <f t="shared" si="27"/>
        <v>33251</v>
      </c>
      <c r="X254" s="547">
        <f t="shared" si="28"/>
        <v>2780</v>
      </c>
      <c r="Y254" s="566"/>
      <c r="Z254" s="567"/>
      <c r="AA254" s="989">
        <f t="shared" si="31"/>
        <v>33251239397</v>
      </c>
      <c r="AB254" s="812">
        <f t="shared" si="32"/>
        <v>33251</v>
      </c>
    </row>
    <row r="255" spans="1:28" ht="27" hidden="1" customHeight="1">
      <c r="A255" s="531"/>
      <c r="B255" s="531">
        <v>406</v>
      </c>
      <c r="C255" s="529">
        <v>11</v>
      </c>
      <c r="D255" s="530" t="s">
        <v>1169</v>
      </c>
      <c r="E255" s="1028" t="s">
        <v>1170</v>
      </c>
      <c r="F255" s="1576">
        <v>156000000</v>
      </c>
      <c r="G255" s="1755"/>
      <c r="H255" s="1745"/>
      <c r="I255" s="1745">
        <v>-156000000</v>
      </c>
      <c r="J255" s="1745"/>
      <c r="K255" s="1745"/>
      <c r="L255" s="1745"/>
      <c r="M255" s="1745"/>
      <c r="N255" s="1745"/>
      <c r="O255" s="1746"/>
      <c r="P255" s="1746"/>
      <c r="Q255" s="1745"/>
      <c r="R255" s="1745"/>
      <c r="S255" s="1745"/>
      <c r="T255" s="1745"/>
      <c r="U255" s="989">
        <f t="shared" si="26"/>
        <v>0</v>
      </c>
      <c r="V255" s="547">
        <v>156000000</v>
      </c>
      <c r="W255" s="1264">
        <f t="shared" si="27"/>
        <v>0</v>
      </c>
      <c r="X255" s="547">
        <f t="shared" si="28"/>
        <v>156</v>
      </c>
      <c r="Y255" s="566"/>
      <c r="Z255" s="567"/>
      <c r="AA255" s="989">
        <f t="shared" si="31"/>
        <v>0</v>
      </c>
      <c r="AB255" s="812">
        <f t="shared" si="32"/>
        <v>0</v>
      </c>
    </row>
    <row r="256" spans="1:28" ht="27" hidden="1" customHeight="1">
      <c r="A256" s="531"/>
      <c r="B256" s="531">
        <v>401</v>
      </c>
      <c r="C256" s="529">
        <v>11</v>
      </c>
      <c r="D256" s="530" t="s">
        <v>924</v>
      </c>
      <c r="E256" s="1028" t="s">
        <v>925</v>
      </c>
      <c r="F256" s="1576">
        <v>-323870520</v>
      </c>
      <c r="G256" s="1755"/>
      <c r="H256" s="1745"/>
      <c r="I256" s="1745"/>
      <c r="J256" s="1745"/>
      <c r="K256" s="1745"/>
      <c r="L256" s="1745"/>
      <c r="M256" s="1745"/>
      <c r="N256" s="1745">
        <v>361336050</v>
      </c>
      <c r="O256" s="1746">
        <v>33351421</v>
      </c>
      <c r="P256" s="1746"/>
      <c r="Q256" s="1745"/>
      <c r="R256" s="1745"/>
      <c r="S256" s="1745"/>
      <c r="T256" s="1745"/>
      <c r="U256" s="989">
        <f t="shared" si="26"/>
        <v>70816951</v>
      </c>
      <c r="V256" s="547">
        <v>0</v>
      </c>
      <c r="W256" s="1264">
        <f t="shared" si="27"/>
        <v>71</v>
      </c>
      <c r="X256" s="547">
        <f t="shared" si="28"/>
        <v>0</v>
      </c>
      <c r="Y256" s="566"/>
      <c r="Z256" s="567"/>
      <c r="AA256" s="989">
        <f t="shared" si="31"/>
        <v>70816951</v>
      </c>
      <c r="AB256" s="812">
        <f t="shared" si="32"/>
        <v>71</v>
      </c>
    </row>
    <row r="257" spans="1:28" ht="27" hidden="1" customHeight="1">
      <c r="A257" s="531"/>
      <c r="B257" s="531">
        <v>1018</v>
      </c>
      <c r="C257" s="529">
        <v>17</v>
      </c>
      <c r="D257" s="530" t="s">
        <v>1226</v>
      </c>
      <c r="E257" s="1028" t="s">
        <v>1083</v>
      </c>
      <c r="F257" s="1576"/>
      <c r="G257" s="1755"/>
      <c r="H257" s="1745"/>
      <c r="I257" s="1745"/>
      <c r="J257" s="1745"/>
      <c r="K257" s="1745"/>
      <c r="L257" s="1745"/>
      <c r="M257" s="1745"/>
      <c r="N257" s="1745"/>
      <c r="O257" s="1746"/>
      <c r="P257" s="1746"/>
      <c r="Q257" s="1745"/>
      <c r="R257" s="1745"/>
      <c r="S257" s="1745"/>
      <c r="T257" s="1745"/>
      <c r="U257" s="989">
        <f t="shared" si="26"/>
        <v>0</v>
      </c>
      <c r="V257" s="547">
        <v>0</v>
      </c>
      <c r="W257" s="1264">
        <f t="shared" si="27"/>
        <v>0</v>
      </c>
      <c r="X257" s="547">
        <f t="shared" si="28"/>
        <v>0</v>
      </c>
      <c r="Y257" s="566"/>
      <c r="Z257" s="567"/>
      <c r="AA257" s="989">
        <f t="shared" si="31"/>
        <v>0</v>
      </c>
      <c r="AB257" s="812">
        <f t="shared" si="32"/>
        <v>0</v>
      </c>
    </row>
    <row r="258" spans="1:28" ht="27" hidden="1" customHeight="1">
      <c r="A258" s="531"/>
      <c r="B258" s="531">
        <v>406</v>
      </c>
      <c r="C258" s="529">
        <v>11</v>
      </c>
      <c r="D258" s="530" t="s">
        <v>136</v>
      </c>
      <c r="E258" s="1028" t="s">
        <v>700</v>
      </c>
      <c r="F258" s="1580">
        <v>8157158282</v>
      </c>
      <c r="G258" s="1755"/>
      <c r="H258" s="1745"/>
      <c r="I258" s="1745">
        <v>15168551576</v>
      </c>
      <c r="J258" s="1745"/>
      <c r="K258" s="1745"/>
      <c r="L258" s="1745"/>
      <c r="M258" s="1745"/>
      <c r="N258" s="1745"/>
      <c r="O258" s="1746">
        <v>134697243</v>
      </c>
      <c r="P258" s="1746"/>
      <c r="Q258" s="1745"/>
      <c r="R258" s="1745"/>
      <c r="S258" s="1745"/>
      <c r="T258" s="1745"/>
      <c r="U258" s="1671">
        <f t="shared" si="26"/>
        <v>23460407101</v>
      </c>
      <c r="V258" s="547">
        <v>0</v>
      </c>
      <c r="W258" s="1264">
        <f t="shared" si="27"/>
        <v>23460</v>
      </c>
      <c r="X258" s="547">
        <f t="shared" si="28"/>
        <v>0</v>
      </c>
      <c r="Y258" s="566"/>
      <c r="Z258" s="567"/>
      <c r="AA258" s="989">
        <f t="shared" si="31"/>
        <v>23460407101</v>
      </c>
      <c r="AB258" s="812">
        <f t="shared" si="32"/>
        <v>23460</v>
      </c>
    </row>
    <row r="259" spans="1:28" ht="27" hidden="1" customHeight="1">
      <c r="A259" s="531"/>
      <c r="B259" s="531">
        <v>406</v>
      </c>
      <c r="C259" s="529">
        <v>11</v>
      </c>
      <c r="D259" s="530" t="s">
        <v>927</v>
      </c>
      <c r="E259" s="1028" t="s">
        <v>928</v>
      </c>
      <c r="F259" s="1579">
        <v>7210571903460</v>
      </c>
      <c r="G259" s="1757">
        <v>-473324860420</v>
      </c>
      <c r="H259" s="1757"/>
      <c r="I259" s="1745">
        <v>-4509556494411</v>
      </c>
      <c r="J259" s="1757">
        <v>-551981678821</v>
      </c>
      <c r="K259" s="1745"/>
      <c r="L259" s="1760"/>
      <c r="M259" s="1760"/>
      <c r="N259" s="1745">
        <v>204374769843</v>
      </c>
      <c r="O259" s="1746">
        <v>-73930331884</v>
      </c>
      <c r="P259" s="1746">
        <v>-1806153307767</v>
      </c>
      <c r="Q259" s="1745"/>
      <c r="R259" s="1745"/>
      <c r="S259" s="1745"/>
      <c r="T259" s="1745"/>
      <c r="U259" s="1671">
        <f t="shared" si="26"/>
        <v>0</v>
      </c>
      <c r="V259" s="547">
        <v>1686121635276</v>
      </c>
      <c r="W259" s="1264">
        <f t="shared" si="27"/>
        <v>0</v>
      </c>
      <c r="X259" s="547">
        <f t="shared" si="28"/>
        <v>1686122</v>
      </c>
      <c r="Y259" s="566"/>
      <c r="Z259" s="567"/>
      <c r="AA259" s="989">
        <f t="shared" si="31"/>
        <v>0</v>
      </c>
      <c r="AB259" s="812">
        <f t="shared" si="32"/>
        <v>0</v>
      </c>
    </row>
    <row r="260" spans="1:28" ht="27" hidden="1" customHeight="1">
      <c r="A260" s="531"/>
      <c r="B260" s="531">
        <v>1018</v>
      </c>
      <c r="C260" s="529">
        <v>17</v>
      </c>
      <c r="D260" s="530" t="s">
        <v>83</v>
      </c>
      <c r="E260" s="1028" t="s">
        <v>930</v>
      </c>
      <c r="F260" s="1576"/>
      <c r="G260" s="1755"/>
      <c r="H260" s="1745"/>
      <c r="I260" s="1745"/>
      <c r="J260" s="1745"/>
      <c r="K260" s="1745"/>
      <c r="L260" s="1745"/>
      <c r="M260" s="1745"/>
      <c r="N260" s="1745"/>
      <c r="O260" s="1746"/>
      <c r="P260" s="1746"/>
      <c r="Q260" s="1745"/>
      <c r="R260" s="1745"/>
      <c r="S260" s="1745"/>
      <c r="T260" s="1745"/>
      <c r="U260" s="989">
        <f t="shared" si="26"/>
        <v>0</v>
      </c>
      <c r="V260" s="547">
        <v>0</v>
      </c>
      <c r="W260" s="1264">
        <f t="shared" si="27"/>
        <v>0</v>
      </c>
      <c r="X260" s="547">
        <f t="shared" si="28"/>
        <v>0</v>
      </c>
      <c r="Y260" s="566"/>
      <c r="Z260" s="567"/>
      <c r="AA260" s="989">
        <f t="shared" si="31"/>
        <v>0</v>
      </c>
      <c r="AB260" s="812">
        <f t="shared" si="32"/>
        <v>0</v>
      </c>
    </row>
    <row r="261" spans="1:28" ht="27" hidden="1" customHeight="1">
      <c r="A261" s="531"/>
      <c r="B261" s="531">
        <v>401</v>
      </c>
      <c r="C261" s="529">
        <v>11</v>
      </c>
      <c r="D261" s="530">
        <v>6505126</v>
      </c>
      <c r="E261" s="1028" t="s">
        <v>1943</v>
      </c>
      <c r="F261" s="1580"/>
      <c r="G261" s="1755"/>
      <c r="H261" s="1757"/>
      <c r="I261" s="1760"/>
      <c r="J261" s="1745"/>
      <c r="K261" s="1745"/>
      <c r="L261" s="1745"/>
      <c r="M261" s="1745"/>
      <c r="N261" s="1745"/>
      <c r="O261" s="1746"/>
      <c r="P261" s="1746"/>
      <c r="Q261" s="1745"/>
      <c r="R261" s="1745"/>
      <c r="S261" s="1745"/>
      <c r="T261" s="1745"/>
      <c r="U261" s="989">
        <f t="shared" si="26"/>
        <v>0</v>
      </c>
      <c r="V261" s="547">
        <v>0</v>
      </c>
      <c r="W261" s="1264">
        <f t="shared" si="27"/>
        <v>0</v>
      </c>
      <c r="X261" s="547">
        <f t="shared" si="28"/>
        <v>0</v>
      </c>
      <c r="Y261" s="566"/>
      <c r="Z261" s="567"/>
      <c r="AA261" s="989">
        <f t="shared" si="31"/>
        <v>0</v>
      </c>
      <c r="AB261" s="812">
        <f t="shared" si="32"/>
        <v>0</v>
      </c>
    </row>
    <row r="262" spans="1:28" ht="27" hidden="1" customHeight="1">
      <c r="A262" s="531"/>
      <c r="B262" s="531">
        <v>406</v>
      </c>
      <c r="C262" s="529">
        <v>11</v>
      </c>
      <c r="D262" s="530" t="s">
        <v>212</v>
      </c>
      <c r="E262" s="1028" t="s">
        <v>929</v>
      </c>
      <c r="F262" s="1580">
        <v>-6585445996881</v>
      </c>
      <c r="G262" s="1757">
        <v>456730813277</v>
      </c>
      <c r="H262" s="1757"/>
      <c r="I262" s="1745">
        <v>4213763983150</v>
      </c>
      <c r="J262" s="1745">
        <v>446091513402</v>
      </c>
      <c r="K262" s="1745"/>
      <c r="L262" s="1760"/>
      <c r="M262" s="1760"/>
      <c r="N262" s="1745">
        <v>-76115372</v>
      </c>
      <c r="O262" s="1746">
        <v>1265052872413</v>
      </c>
      <c r="P262" s="1746">
        <v>203882930011</v>
      </c>
      <c r="Q262" s="1745"/>
      <c r="R262" s="1745"/>
      <c r="S262" s="1745"/>
      <c r="T262" s="1745"/>
      <c r="U262" s="1671">
        <f t="shared" si="26"/>
        <v>0</v>
      </c>
      <c r="V262" s="547">
        <v>-1541368119397</v>
      </c>
      <c r="W262" s="1264">
        <f t="shared" si="27"/>
        <v>0</v>
      </c>
      <c r="X262" s="547">
        <f t="shared" si="28"/>
        <v>-1541368</v>
      </c>
      <c r="Y262" s="566"/>
      <c r="Z262" s="567"/>
      <c r="AA262" s="989">
        <f t="shared" si="31"/>
        <v>0</v>
      </c>
      <c r="AB262" s="812">
        <f t="shared" si="32"/>
        <v>0</v>
      </c>
    </row>
    <row r="263" spans="1:28" ht="27" hidden="1" customHeight="1">
      <c r="A263" s="531"/>
      <c r="B263" s="531">
        <v>401</v>
      </c>
      <c r="C263" s="529">
        <v>11</v>
      </c>
      <c r="D263" s="530" t="s">
        <v>436</v>
      </c>
      <c r="E263" s="1028" t="s">
        <v>437</v>
      </c>
      <c r="F263" s="1576"/>
      <c r="G263" s="1755"/>
      <c r="H263" s="1745"/>
      <c r="I263" s="1745"/>
      <c r="J263" s="1745"/>
      <c r="K263" s="1745"/>
      <c r="L263" s="1745"/>
      <c r="M263" s="1745"/>
      <c r="N263" s="1745"/>
      <c r="O263" s="1746"/>
      <c r="P263" s="1746"/>
      <c r="Q263" s="1745"/>
      <c r="R263" s="1745"/>
      <c r="S263" s="1745"/>
      <c r="T263" s="1745"/>
      <c r="U263" s="989">
        <f t="shared" ref="U263:U326" si="33">SUM(F263:T263)</f>
        <v>0</v>
      </c>
      <c r="V263" s="547">
        <v>0</v>
      </c>
      <c r="W263" s="1264">
        <f t="shared" si="27"/>
        <v>0</v>
      </c>
      <c r="X263" s="547">
        <f t="shared" si="28"/>
        <v>0</v>
      </c>
      <c r="Y263" s="566"/>
      <c r="Z263" s="567"/>
      <c r="AA263" s="989">
        <f t="shared" si="31"/>
        <v>0</v>
      </c>
      <c r="AB263" s="812">
        <f t="shared" si="32"/>
        <v>0</v>
      </c>
    </row>
    <row r="264" spans="1:28" ht="27" hidden="1" customHeight="1">
      <c r="A264" s="1742"/>
      <c r="B264" s="531">
        <v>1018</v>
      </c>
      <c r="C264" s="1743">
        <v>17</v>
      </c>
      <c r="D264" s="1753" t="s">
        <v>1406</v>
      </c>
      <c r="E264" s="1754" t="s">
        <v>2227</v>
      </c>
      <c r="F264" s="1755"/>
      <c r="G264" s="1755"/>
      <c r="H264" s="1745"/>
      <c r="I264" s="1745"/>
      <c r="J264" s="1745"/>
      <c r="K264" s="1745"/>
      <c r="L264" s="1745"/>
      <c r="M264" s="1745"/>
      <c r="N264" s="1745"/>
      <c r="O264" s="1746"/>
      <c r="P264" s="1746"/>
      <c r="Q264" s="1745"/>
      <c r="R264" s="1745"/>
      <c r="S264" s="1745"/>
      <c r="T264" s="1745"/>
      <c r="U264" s="989">
        <f t="shared" si="33"/>
        <v>0</v>
      </c>
      <c r="V264" s="1745">
        <v>0</v>
      </c>
      <c r="W264" s="1264">
        <f t="shared" si="27"/>
        <v>0</v>
      </c>
      <c r="X264" s="1745"/>
      <c r="Y264" s="1747"/>
      <c r="Z264" s="1748"/>
      <c r="AA264" s="989">
        <f t="shared" si="31"/>
        <v>0</v>
      </c>
      <c r="AB264" s="812">
        <f t="shared" si="32"/>
        <v>0</v>
      </c>
    </row>
    <row r="265" spans="1:28" ht="27" hidden="1" customHeight="1">
      <c r="A265" s="531"/>
      <c r="B265" s="531">
        <v>1018</v>
      </c>
      <c r="C265" s="529">
        <v>17</v>
      </c>
      <c r="D265" s="530" t="s">
        <v>932</v>
      </c>
      <c r="E265" s="1028" t="s">
        <v>935</v>
      </c>
      <c r="F265" s="1576"/>
      <c r="G265" s="1755"/>
      <c r="H265" s="1745"/>
      <c r="I265" s="1745"/>
      <c r="J265" s="1745"/>
      <c r="K265" s="1745"/>
      <c r="L265" s="1745"/>
      <c r="M265" s="1745"/>
      <c r="N265" s="1745"/>
      <c r="O265" s="1746"/>
      <c r="P265" s="1746"/>
      <c r="Q265" s="1745"/>
      <c r="R265" s="1745"/>
      <c r="S265" s="1745"/>
      <c r="T265" s="1745"/>
      <c r="U265" s="989">
        <f t="shared" si="33"/>
        <v>0</v>
      </c>
      <c r="V265" s="547">
        <v>0</v>
      </c>
      <c r="W265" s="1264">
        <f t="shared" si="27"/>
        <v>0</v>
      </c>
      <c r="X265" s="547">
        <f t="shared" si="28"/>
        <v>0</v>
      </c>
      <c r="Y265" s="566"/>
      <c r="Z265" s="567"/>
      <c r="AA265" s="989">
        <f t="shared" si="31"/>
        <v>0</v>
      </c>
      <c r="AB265" s="812">
        <f t="shared" si="32"/>
        <v>0</v>
      </c>
    </row>
    <row r="266" spans="1:28" ht="27" hidden="1" customHeight="1">
      <c r="A266" s="531"/>
      <c r="B266" s="531">
        <v>1018</v>
      </c>
      <c r="C266" s="529">
        <v>17</v>
      </c>
      <c r="D266" s="530" t="s">
        <v>1531</v>
      </c>
      <c r="E266" s="1028" t="s">
        <v>1532</v>
      </c>
      <c r="F266" s="1580">
        <v>-1200000</v>
      </c>
      <c r="G266" s="1755"/>
      <c r="H266" s="1757"/>
      <c r="I266" s="1745">
        <v>1200000</v>
      </c>
      <c r="J266" s="1745"/>
      <c r="K266" s="1745"/>
      <c r="L266" s="1745"/>
      <c r="M266" s="1745"/>
      <c r="N266" s="1745"/>
      <c r="O266" s="1746"/>
      <c r="P266" s="1746"/>
      <c r="Q266" s="1745"/>
      <c r="R266" s="1745"/>
      <c r="S266" s="1745"/>
      <c r="T266" s="1745"/>
      <c r="U266" s="989">
        <f t="shared" si="33"/>
        <v>0</v>
      </c>
      <c r="V266" s="547">
        <v>0</v>
      </c>
      <c r="W266" s="1264">
        <f t="shared" si="27"/>
        <v>0</v>
      </c>
      <c r="X266" s="547">
        <f t="shared" si="28"/>
        <v>0</v>
      </c>
      <c r="Y266" s="566"/>
      <c r="Z266" s="567"/>
      <c r="AA266" s="989">
        <f t="shared" si="31"/>
        <v>0</v>
      </c>
      <c r="AB266" s="812">
        <f t="shared" si="32"/>
        <v>0</v>
      </c>
    </row>
    <row r="267" spans="1:28" ht="27" hidden="1" customHeight="1">
      <c r="A267" s="531"/>
      <c r="B267" s="531">
        <v>440</v>
      </c>
      <c r="C267" s="529">
        <v>11</v>
      </c>
      <c r="D267" s="530" t="s">
        <v>438</v>
      </c>
      <c r="E267" s="1028" t="s">
        <v>176</v>
      </c>
      <c r="F267" s="1580">
        <v>112999243075</v>
      </c>
      <c r="G267" s="1755"/>
      <c r="H267" s="1745"/>
      <c r="I267" s="1745">
        <v>156000000</v>
      </c>
      <c r="J267" s="1745"/>
      <c r="K267" s="1745"/>
      <c r="L267" s="1745"/>
      <c r="M267" s="1745"/>
      <c r="N267" s="1745"/>
      <c r="O267" s="1746">
        <v>-15842924</v>
      </c>
      <c r="P267" s="1746"/>
      <c r="Q267" s="1745"/>
      <c r="R267" s="1745"/>
      <c r="S267" s="1745"/>
      <c r="T267" s="1745"/>
      <c r="U267" s="1671">
        <f t="shared" si="33"/>
        <v>113139400151</v>
      </c>
      <c r="V267" s="547">
        <v>76174191968</v>
      </c>
      <c r="W267" s="1264">
        <f t="shared" si="27"/>
        <v>113139</v>
      </c>
      <c r="X267" s="547">
        <f t="shared" si="28"/>
        <v>76174</v>
      </c>
      <c r="Y267" s="566"/>
      <c r="Z267" s="567"/>
      <c r="AA267" s="989">
        <f t="shared" si="31"/>
        <v>113139400151</v>
      </c>
      <c r="AB267" s="812">
        <f t="shared" si="32"/>
        <v>113139</v>
      </c>
    </row>
    <row r="268" spans="1:28" ht="27" hidden="1" customHeight="1">
      <c r="A268" s="531"/>
      <c r="B268" s="531">
        <v>1018</v>
      </c>
      <c r="C268" s="529">
        <v>17</v>
      </c>
      <c r="D268" s="530" t="s">
        <v>1533</v>
      </c>
      <c r="E268" s="1028" t="s">
        <v>1534</v>
      </c>
      <c r="F268" s="1580">
        <v>-1800000</v>
      </c>
      <c r="G268" s="1755"/>
      <c r="H268" s="1757"/>
      <c r="I268" s="1745">
        <v>1800000</v>
      </c>
      <c r="J268" s="1745"/>
      <c r="K268" s="1745"/>
      <c r="L268" s="1745"/>
      <c r="M268" s="1745"/>
      <c r="N268" s="1745"/>
      <c r="O268" s="1746"/>
      <c r="P268" s="1746"/>
      <c r="Q268" s="1745"/>
      <c r="R268" s="1745"/>
      <c r="S268" s="1745"/>
      <c r="T268" s="1745"/>
      <c r="U268" s="989">
        <f t="shared" si="33"/>
        <v>0</v>
      </c>
      <c r="V268" s="547">
        <v>0</v>
      </c>
      <c r="W268" s="1264">
        <f t="shared" si="27"/>
        <v>0</v>
      </c>
      <c r="X268" s="547">
        <f t="shared" si="28"/>
        <v>0</v>
      </c>
      <c r="Y268" s="566"/>
      <c r="Z268" s="567"/>
      <c r="AA268" s="989">
        <f t="shared" si="31"/>
        <v>0</v>
      </c>
      <c r="AB268" s="812">
        <f t="shared" si="32"/>
        <v>0</v>
      </c>
    </row>
    <row r="269" spans="1:28" ht="27" hidden="1" customHeight="1">
      <c r="A269" s="531"/>
      <c r="B269" s="531">
        <v>401</v>
      </c>
      <c r="C269" s="529">
        <v>11</v>
      </c>
      <c r="D269" s="530" t="s">
        <v>1168</v>
      </c>
      <c r="E269" s="1028" t="s">
        <v>1101</v>
      </c>
      <c r="F269" s="1576"/>
      <c r="G269" s="1755"/>
      <c r="H269" s="1745"/>
      <c r="I269" s="1745"/>
      <c r="J269" s="1745"/>
      <c r="K269" s="1745"/>
      <c r="L269" s="1745"/>
      <c r="M269" s="1745"/>
      <c r="N269" s="1745"/>
      <c r="O269" s="1746"/>
      <c r="P269" s="1746"/>
      <c r="Q269" s="1745"/>
      <c r="R269" s="1745"/>
      <c r="S269" s="1745"/>
      <c r="T269" s="1745"/>
      <c r="U269" s="989">
        <f t="shared" si="33"/>
        <v>0</v>
      </c>
      <c r="V269" s="547">
        <v>0</v>
      </c>
      <c r="W269" s="1264">
        <f t="shared" si="27"/>
        <v>0</v>
      </c>
      <c r="X269" s="547">
        <f t="shared" si="28"/>
        <v>0</v>
      </c>
      <c r="Y269" s="566"/>
      <c r="Z269" s="567"/>
      <c r="AA269" s="989">
        <f t="shared" si="31"/>
        <v>0</v>
      </c>
      <c r="AB269" s="812">
        <f t="shared" si="32"/>
        <v>0</v>
      </c>
    </row>
    <row r="270" spans="1:28" ht="27" hidden="1" customHeight="1">
      <c r="A270" s="531"/>
      <c r="B270" s="531">
        <v>401</v>
      </c>
      <c r="C270" s="529">
        <v>11</v>
      </c>
      <c r="D270" s="530" t="s">
        <v>128</v>
      </c>
      <c r="E270" s="1028" t="s">
        <v>1082</v>
      </c>
      <c r="F270" s="1579"/>
      <c r="G270" s="1755"/>
      <c r="H270" s="1745"/>
      <c r="I270" s="1745"/>
      <c r="J270" s="1745"/>
      <c r="K270" s="1745"/>
      <c r="L270" s="1745"/>
      <c r="M270" s="1745"/>
      <c r="N270" s="1745"/>
      <c r="O270" s="1746"/>
      <c r="P270" s="1746"/>
      <c r="Q270" s="1745"/>
      <c r="R270" s="1745"/>
      <c r="S270" s="1745"/>
      <c r="T270" s="1745"/>
      <c r="U270" s="1671">
        <f t="shared" si="33"/>
        <v>0</v>
      </c>
      <c r="V270" s="547">
        <v>0</v>
      </c>
      <c r="W270" s="1264">
        <f t="shared" si="27"/>
        <v>0</v>
      </c>
      <c r="X270" s="547">
        <f t="shared" si="28"/>
        <v>0</v>
      </c>
      <c r="Y270" s="566"/>
      <c r="Z270" s="567"/>
      <c r="AA270" s="989">
        <f t="shared" si="31"/>
        <v>0</v>
      </c>
      <c r="AB270" s="812">
        <f t="shared" si="32"/>
        <v>0</v>
      </c>
    </row>
    <row r="271" spans="1:28" ht="27" hidden="1" customHeight="1">
      <c r="A271" s="531"/>
      <c r="B271" s="531">
        <v>401</v>
      </c>
      <c r="C271" s="529">
        <v>11</v>
      </c>
      <c r="D271" s="530" t="s">
        <v>1084</v>
      </c>
      <c r="E271" s="1028" t="s">
        <v>1085</v>
      </c>
      <c r="F271" s="1576"/>
      <c r="G271" s="1755"/>
      <c r="H271" s="1745"/>
      <c r="I271" s="1745"/>
      <c r="J271" s="1745"/>
      <c r="K271" s="1745"/>
      <c r="L271" s="1745"/>
      <c r="M271" s="1745"/>
      <c r="N271" s="1745"/>
      <c r="O271" s="1746"/>
      <c r="P271" s="1746"/>
      <c r="Q271" s="1745"/>
      <c r="R271" s="1745"/>
      <c r="S271" s="1745"/>
      <c r="T271" s="1745"/>
      <c r="U271" s="989">
        <f t="shared" si="33"/>
        <v>0</v>
      </c>
      <c r="V271" s="547">
        <v>0</v>
      </c>
      <c r="W271" s="1264">
        <f t="shared" si="27"/>
        <v>0</v>
      </c>
      <c r="X271" s="547">
        <f t="shared" si="28"/>
        <v>0</v>
      </c>
      <c r="Y271" s="566"/>
      <c r="Z271" s="567"/>
      <c r="AA271" s="989">
        <f t="shared" si="31"/>
        <v>0</v>
      </c>
      <c r="AB271" s="812">
        <f t="shared" si="32"/>
        <v>0</v>
      </c>
    </row>
    <row r="272" spans="1:28" ht="27" hidden="1" customHeight="1">
      <c r="A272" s="531"/>
      <c r="B272" s="531">
        <v>1018</v>
      </c>
      <c r="C272" s="529">
        <v>17</v>
      </c>
      <c r="D272" s="530" t="s">
        <v>1227</v>
      </c>
      <c r="E272" s="1028" t="s">
        <v>1228</v>
      </c>
      <c r="F272" s="1576"/>
      <c r="G272" s="1755"/>
      <c r="H272" s="1745"/>
      <c r="I272" s="1745"/>
      <c r="J272" s="1745"/>
      <c r="K272" s="1745"/>
      <c r="L272" s="1745"/>
      <c r="M272" s="1745"/>
      <c r="N272" s="1745"/>
      <c r="O272" s="1746"/>
      <c r="P272" s="1746"/>
      <c r="Q272" s="1745"/>
      <c r="R272" s="1745"/>
      <c r="S272" s="1745"/>
      <c r="T272" s="1745"/>
      <c r="U272" s="989">
        <f t="shared" si="33"/>
        <v>0</v>
      </c>
      <c r="V272" s="547">
        <v>0</v>
      </c>
      <c r="W272" s="1264">
        <f t="shared" si="27"/>
        <v>0</v>
      </c>
      <c r="X272" s="547">
        <f t="shared" si="28"/>
        <v>0</v>
      </c>
      <c r="Y272" s="566"/>
      <c r="Z272" s="567"/>
      <c r="AA272" s="989">
        <f t="shared" si="31"/>
        <v>0</v>
      </c>
      <c r="AB272" s="812">
        <f t="shared" si="32"/>
        <v>0</v>
      </c>
    </row>
    <row r="273" spans="1:28" ht="27" hidden="1" customHeight="1">
      <c r="A273" s="531"/>
      <c r="B273" s="531">
        <v>406</v>
      </c>
      <c r="C273" s="529">
        <v>11</v>
      </c>
      <c r="D273" s="530" t="s">
        <v>84</v>
      </c>
      <c r="E273" s="1028" t="s">
        <v>699</v>
      </c>
      <c r="F273" s="1580">
        <v>-175613879874</v>
      </c>
      <c r="G273" s="1755">
        <v>20516112622</v>
      </c>
      <c r="H273" s="1757">
        <v>155080274530</v>
      </c>
      <c r="I273" s="1745">
        <v>36479808010</v>
      </c>
      <c r="J273" s="1760">
        <v>204958579</v>
      </c>
      <c r="K273" s="1745"/>
      <c r="L273" s="1745"/>
      <c r="M273" s="1745"/>
      <c r="N273" s="1745"/>
      <c r="O273" s="1746">
        <v>-37679310176</v>
      </c>
      <c r="P273" s="1746"/>
      <c r="Q273" s="1745"/>
      <c r="R273" s="1745"/>
      <c r="S273" s="1745"/>
      <c r="T273" s="1745"/>
      <c r="U273" s="1671">
        <f t="shared" si="33"/>
        <v>-1012036309</v>
      </c>
      <c r="V273" s="547">
        <v>-1471932951</v>
      </c>
      <c r="W273" s="1264">
        <f t="shared" si="27"/>
        <v>-1012</v>
      </c>
      <c r="X273" s="547">
        <f t="shared" si="28"/>
        <v>-1472</v>
      </c>
      <c r="Y273" s="566"/>
      <c r="Z273" s="567"/>
      <c r="AA273" s="989">
        <f t="shared" si="31"/>
        <v>-1012036309</v>
      </c>
      <c r="AB273" s="812">
        <f t="shared" si="32"/>
        <v>-1012</v>
      </c>
    </row>
    <row r="274" spans="1:28" ht="27" hidden="1" customHeight="1">
      <c r="A274" s="531"/>
      <c r="B274" s="531">
        <v>1018</v>
      </c>
      <c r="C274" s="529">
        <v>17</v>
      </c>
      <c r="D274" s="530" t="s">
        <v>86</v>
      </c>
      <c r="E274" s="1028" t="s">
        <v>875</v>
      </c>
      <c r="F274" s="1580">
        <v>-817892458</v>
      </c>
      <c r="G274" s="1755"/>
      <c r="H274" s="1745"/>
      <c r="I274" s="1745">
        <v>-239667913</v>
      </c>
      <c r="J274" s="1745"/>
      <c r="K274" s="1745"/>
      <c r="L274" s="1745"/>
      <c r="M274" s="1745"/>
      <c r="N274" s="1745"/>
      <c r="O274" s="1746">
        <v>-118819723</v>
      </c>
      <c r="P274" s="1746"/>
      <c r="Q274" s="1745"/>
      <c r="R274" s="1745"/>
      <c r="S274" s="1745"/>
      <c r="T274" s="1745"/>
      <c r="U274" s="1671">
        <f t="shared" si="33"/>
        <v>-1176380094</v>
      </c>
      <c r="V274" s="547">
        <v>0</v>
      </c>
      <c r="W274" s="1264">
        <f>ROUND((U274/1000000),0)</f>
        <v>-1176</v>
      </c>
      <c r="X274" s="547">
        <f t="shared" si="28"/>
        <v>0</v>
      </c>
      <c r="Y274" s="566"/>
      <c r="Z274" s="567"/>
      <c r="AA274" s="989">
        <f t="shared" ref="AA274:AA305" si="34">U274+Z274-Y274</f>
        <v>-1176380094</v>
      </c>
      <c r="AB274" s="812">
        <f t="shared" ref="AB274:AB305" si="35">ROUND((AA274/1000000),0)</f>
        <v>-1176</v>
      </c>
    </row>
    <row r="275" spans="1:28" ht="27" hidden="1" customHeight="1">
      <c r="A275" s="531"/>
      <c r="B275" s="531">
        <v>1018</v>
      </c>
      <c r="C275" s="529">
        <v>17</v>
      </c>
      <c r="D275" s="530" t="s">
        <v>873</v>
      </c>
      <c r="E275" s="1028" t="s">
        <v>874</v>
      </c>
      <c r="F275" s="1579">
        <v>437952342</v>
      </c>
      <c r="G275" s="1755"/>
      <c r="H275" s="1745"/>
      <c r="I275" s="1745">
        <v>-71065126</v>
      </c>
      <c r="J275" s="1745">
        <v>-366887216</v>
      </c>
      <c r="K275" s="1745"/>
      <c r="L275" s="1745"/>
      <c r="M275" s="1745"/>
      <c r="N275" s="1745"/>
      <c r="O275" s="1746"/>
      <c r="P275" s="1746"/>
      <c r="Q275" s="1745"/>
      <c r="R275" s="1745"/>
      <c r="S275" s="1745"/>
      <c r="T275" s="1745"/>
      <c r="U275" s="1671">
        <f t="shared" si="33"/>
        <v>0</v>
      </c>
      <c r="V275" s="547">
        <v>-5800000</v>
      </c>
      <c r="W275" s="1264">
        <f t="shared" ref="W275:W317" si="36">ROUND((U275/1000000),0)</f>
        <v>0</v>
      </c>
      <c r="X275" s="547">
        <f t="shared" si="28"/>
        <v>-6</v>
      </c>
      <c r="Y275" s="566"/>
      <c r="Z275" s="567"/>
      <c r="AA275" s="989">
        <f t="shared" si="34"/>
        <v>0</v>
      </c>
      <c r="AB275" s="812">
        <f t="shared" si="35"/>
        <v>0</v>
      </c>
    </row>
    <row r="276" spans="1:28" ht="27" hidden="1" customHeight="1">
      <c r="A276" s="531"/>
      <c r="B276" s="531">
        <v>401</v>
      </c>
      <c r="C276" s="529">
        <v>11</v>
      </c>
      <c r="D276" s="530" t="s">
        <v>1171</v>
      </c>
      <c r="E276" s="1028" t="s">
        <v>1172</v>
      </c>
      <c r="F276" s="1579">
        <v>683523848</v>
      </c>
      <c r="G276" s="1757">
        <v>64490328</v>
      </c>
      <c r="H276" s="1757"/>
      <c r="I276" s="1745">
        <v>-578014176</v>
      </c>
      <c r="J276" s="1745">
        <v>-170000000</v>
      </c>
      <c r="K276" s="1745"/>
      <c r="L276" s="1745"/>
      <c r="M276" s="1745"/>
      <c r="N276" s="1745"/>
      <c r="O276" s="1746"/>
      <c r="P276" s="1746"/>
      <c r="Q276" s="1745"/>
      <c r="R276" s="1745"/>
      <c r="S276" s="1745"/>
      <c r="T276" s="1745"/>
      <c r="U276" s="1671">
        <f t="shared" si="33"/>
        <v>0</v>
      </c>
      <c r="V276" s="547">
        <v>279759342</v>
      </c>
      <c r="W276" s="1264">
        <f t="shared" si="36"/>
        <v>0</v>
      </c>
      <c r="X276" s="547">
        <f t="shared" si="28"/>
        <v>280</v>
      </c>
      <c r="Y276" s="566"/>
      <c r="Z276" s="567"/>
      <c r="AA276" s="989">
        <f t="shared" si="34"/>
        <v>0</v>
      </c>
      <c r="AB276" s="812">
        <f t="shared" si="35"/>
        <v>0</v>
      </c>
    </row>
    <row r="277" spans="1:28" ht="27" hidden="1" customHeight="1">
      <c r="A277" s="531"/>
      <c r="B277" s="531">
        <v>401</v>
      </c>
      <c r="C277" s="529">
        <v>11</v>
      </c>
      <c r="D277" s="530" t="s">
        <v>1086</v>
      </c>
      <c r="E277" s="1028" t="s">
        <v>1087</v>
      </c>
      <c r="F277" s="1576"/>
      <c r="G277" s="1755"/>
      <c r="H277" s="1745"/>
      <c r="I277" s="1745"/>
      <c r="J277" s="1745"/>
      <c r="K277" s="1745"/>
      <c r="L277" s="1745"/>
      <c r="M277" s="1745"/>
      <c r="N277" s="1745"/>
      <c r="O277" s="1746"/>
      <c r="P277" s="1746"/>
      <c r="Q277" s="1745"/>
      <c r="R277" s="1745"/>
      <c r="S277" s="1745"/>
      <c r="T277" s="1745"/>
      <c r="U277" s="989">
        <f t="shared" si="33"/>
        <v>0</v>
      </c>
      <c r="V277" s="547">
        <v>0</v>
      </c>
      <c r="W277" s="1264">
        <f t="shared" si="36"/>
        <v>0</v>
      </c>
      <c r="X277" s="547">
        <f t="shared" si="28"/>
        <v>0</v>
      </c>
      <c r="Y277" s="566"/>
      <c r="Z277" s="567"/>
      <c r="AA277" s="989">
        <f t="shared" si="34"/>
        <v>0</v>
      </c>
      <c r="AB277" s="812">
        <f t="shared" si="35"/>
        <v>0</v>
      </c>
    </row>
    <row r="278" spans="1:28" ht="27" hidden="1" customHeight="1">
      <c r="A278" s="531"/>
      <c r="B278" s="531">
        <v>1018</v>
      </c>
      <c r="C278" s="529">
        <v>17</v>
      </c>
      <c r="D278" s="530" t="s">
        <v>89</v>
      </c>
      <c r="E278" s="1028" t="s">
        <v>936</v>
      </c>
      <c r="F278" s="1580"/>
      <c r="G278" s="1755"/>
      <c r="H278" s="1745"/>
      <c r="I278" s="1745"/>
      <c r="J278" s="1745"/>
      <c r="K278" s="1745"/>
      <c r="L278" s="1745"/>
      <c r="M278" s="1745"/>
      <c r="N278" s="1745"/>
      <c r="O278" s="1746"/>
      <c r="P278" s="1746"/>
      <c r="Q278" s="1745"/>
      <c r="R278" s="1745"/>
      <c r="S278" s="1745"/>
      <c r="T278" s="1745"/>
      <c r="U278" s="1671">
        <f t="shared" si="33"/>
        <v>0</v>
      </c>
      <c r="V278" s="547">
        <v>0</v>
      </c>
      <c r="W278" s="1264">
        <f t="shared" si="36"/>
        <v>0</v>
      </c>
      <c r="X278" s="547">
        <f t="shared" si="28"/>
        <v>0</v>
      </c>
      <c r="Y278" s="566"/>
      <c r="Z278" s="567"/>
      <c r="AA278" s="989">
        <f t="shared" si="34"/>
        <v>0</v>
      </c>
      <c r="AB278" s="812">
        <f t="shared" si="35"/>
        <v>0</v>
      </c>
    </row>
    <row r="279" spans="1:28" ht="27" hidden="1" customHeight="1">
      <c r="A279" s="531"/>
      <c r="B279" s="531">
        <v>401</v>
      </c>
      <c r="C279" s="529">
        <v>11</v>
      </c>
      <c r="D279" s="530" t="s">
        <v>1229</v>
      </c>
      <c r="E279" s="1028" t="s">
        <v>1230</v>
      </c>
      <c r="F279" s="1579"/>
      <c r="G279" s="1755"/>
      <c r="H279" s="1745"/>
      <c r="I279" s="1745"/>
      <c r="J279" s="1745"/>
      <c r="K279" s="1745"/>
      <c r="L279" s="1745"/>
      <c r="M279" s="1745"/>
      <c r="N279" s="1745"/>
      <c r="O279" s="1746"/>
      <c r="P279" s="1746"/>
      <c r="Q279" s="1745"/>
      <c r="R279" s="1745"/>
      <c r="S279" s="1745"/>
      <c r="T279" s="1745"/>
      <c r="U279" s="1671">
        <f t="shared" si="33"/>
        <v>0</v>
      </c>
      <c r="V279" s="547">
        <v>0</v>
      </c>
      <c r="W279" s="1264">
        <f t="shared" si="36"/>
        <v>0</v>
      </c>
      <c r="X279" s="547">
        <f t="shared" si="28"/>
        <v>0</v>
      </c>
      <c r="Y279" s="566"/>
      <c r="Z279" s="567"/>
      <c r="AA279" s="989">
        <f t="shared" si="34"/>
        <v>0</v>
      </c>
      <c r="AB279" s="812">
        <f t="shared" si="35"/>
        <v>0</v>
      </c>
    </row>
    <row r="280" spans="1:28" ht="27" hidden="1" customHeight="1">
      <c r="A280" s="531"/>
      <c r="B280" s="531">
        <v>1018</v>
      </c>
      <c r="C280" s="529">
        <v>17</v>
      </c>
      <c r="D280" s="530" t="s">
        <v>1535</v>
      </c>
      <c r="E280" s="1028" t="s">
        <v>1536</v>
      </c>
      <c r="F280" s="1580">
        <v>-46268079</v>
      </c>
      <c r="G280" s="1755"/>
      <c r="H280" s="1745"/>
      <c r="I280" s="1745">
        <v>46268079</v>
      </c>
      <c r="J280" s="1745"/>
      <c r="K280" s="1745"/>
      <c r="L280" s="1745"/>
      <c r="M280" s="1745"/>
      <c r="N280" s="1745"/>
      <c r="O280" s="1746"/>
      <c r="P280" s="1746"/>
      <c r="Q280" s="1745"/>
      <c r="R280" s="1745"/>
      <c r="S280" s="1745"/>
      <c r="T280" s="1745"/>
      <c r="U280" s="1671">
        <f t="shared" si="33"/>
        <v>0</v>
      </c>
      <c r="V280" s="547">
        <v>0</v>
      </c>
      <c r="W280" s="1264">
        <f t="shared" si="36"/>
        <v>0</v>
      </c>
      <c r="X280" s="547">
        <f t="shared" ref="X280:X344" si="37">ROUND((V280/1000000),0)</f>
        <v>0</v>
      </c>
      <c r="Y280" s="566"/>
      <c r="Z280" s="567"/>
      <c r="AA280" s="989">
        <f t="shared" si="34"/>
        <v>0</v>
      </c>
      <c r="AB280" s="812">
        <f t="shared" si="35"/>
        <v>0</v>
      </c>
    </row>
    <row r="281" spans="1:28" ht="27" hidden="1" customHeight="1">
      <c r="A281" s="531"/>
      <c r="B281" s="531">
        <v>401</v>
      </c>
      <c r="C281" s="529">
        <v>11</v>
      </c>
      <c r="D281" s="530" t="s">
        <v>1088</v>
      </c>
      <c r="E281" s="1028" t="s">
        <v>956</v>
      </c>
      <c r="F281" s="1579">
        <v>-398400208118</v>
      </c>
      <c r="G281" s="1578">
        <v>-2445767944</v>
      </c>
      <c r="H281" s="547">
        <v>-908823045</v>
      </c>
      <c r="I281" s="547"/>
      <c r="J281" s="1745">
        <v>401754799107</v>
      </c>
      <c r="K281" s="547">
        <v>-208117607</v>
      </c>
      <c r="L281" s="547">
        <v>-164954761</v>
      </c>
      <c r="M281" s="1745"/>
      <c r="N281" s="547">
        <v>-198931862421</v>
      </c>
      <c r="O281" s="990">
        <v>597726778482</v>
      </c>
      <c r="P281" s="990">
        <v>-398421843693</v>
      </c>
      <c r="Q281" s="547"/>
      <c r="R281" s="547"/>
      <c r="S281" s="1745"/>
      <c r="T281" s="547"/>
      <c r="U281" s="1671">
        <f t="shared" si="33"/>
        <v>0</v>
      </c>
      <c r="V281" s="547">
        <v>1342079640</v>
      </c>
      <c r="W281" s="1264">
        <f t="shared" si="36"/>
        <v>0</v>
      </c>
      <c r="X281" s="547">
        <f t="shared" si="37"/>
        <v>1342</v>
      </c>
      <c r="Y281" s="566"/>
      <c r="Z281" s="567"/>
      <c r="AA281" s="989">
        <f t="shared" si="34"/>
        <v>0</v>
      </c>
      <c r="AB281" s="812">
        <f t="shared" si="35"/>
        <v>0</v>
      </c>
    </row>
    <row r="282" spans="1:28" ht="27" hidden="1" customHeight="1">
      <c r="A282" s="531"/>
      <c r="B282" s="531">
        <v>401</v>
      </c>
      <c r="C282" s="529">
        <v>11</v>
      </c>
      <c r="D282" s="530" t="s">
        <v>2021</v>
      </c>
      <c r="E282" s="1028" t="s">
        <v>2022</v>
      </c>
      <c r="F282" s="1579"/>
      <c r="G282" s="1757"/>
      <c r="H282" s="1757"/>
      <c r="I282" s="1745"/>
      <c r="J282" s="1745"/>
      <c r="K282" s="1745"/>
      <c r="L282" s="1745"/>
      <c r="M282" s="1745"/>
      <c r="N282" s="1745"/>
      <c r="O282" s="1746"/>
      <c r="P282" s="1746"/>
      <c r="Q282" s="1745"/>
      <c r="R282" s="1745"/>
      <c r="S282" s="1745"/>
      <c r="T282" s="1745"/>
      <c r="U282" s="1671">
        <f t="shared" si="33"/>
        <v>0</v>
      </c>
      <c r="V282" s="547">
        <v>0</v>
      </c>
      <c r="W282" s="1264">
        <f t="shared" si="36"/>
        <v>0</v>
      </c>
      <c r="X282" s="547">
        <f t="shared" si="37"/>
        <v>0</v>
      </c>
      <c r="Y282" s="566"/>
      <c r="Z282" s="567"/>
      <c r="AA282" s="989">
        <f t="shared" si="34"/>
        <v>0</v>
      </c>
      <c r="AB282" s="812">
        <f t="shared" si="35"/>
        <v>0</v>
      </c>
    </row>
    <row r="283" spans="1:28" ht="27" hidden="1" customHeight="1">
      <c r="A283" s="531"/>
      <c r="B283" s="531">
        <v>406</v>
      </c>
      <c r="C283" s="529">
        <v>11</v>
      </c>
      <c r="D283" s="530" t="s">
        <v>1327</v>
      </c>
      <c r="E283" s="1028" t="s">
        <v>1326</v>
      </c>
      <c r="F283" s="1580"/>
      <c r="G283" s="1578"/>
      <c r="H283" s="1806"/>
      <c r="I283" s="547"/>
      <c r="J283" s="1745"/>
      <c r="K283" s="547"/>
      <c r="L283" s="547"/>
      <c r="M283" s="1745"/>
      <c r="N283" s="547"/>
      <c r="O283" s="990"/>
      <c r="P283" s="990"/>
      <c r="Q283" s="547"/>
      <c r="R283" s="547"/>
      <c r="S283" s="1745"/>
      <c r="T283" s="547"/>
      <c r="U283" s="1671">
        <f t="shared" si="33"/>
        <v>0</v>
      </c>
      <c r="V283" s="547">
        <v>4997300</v>
      </c>
      <c r="W283" s="1264">
        <f t="shared" si="36"/>
        <v>0</v>
      </c>
      <c r="X283" s="547">
        <f t="shared" si="37"/>
        <v>5</v>
      </c>
      <c r="Y283" s="566"/>
      <c r="Z283" s="567"/>
      <c r="AA283" s="989">
        <f t="shared" si="34"/>
        <v>0</v>
      </c>
      <c r="AB283" s="812">
        <f t="shared" si="35"/>
        <v>0</v>
      </c>
    </row>
    <row r="284" spans="1:28" ht="27" hidden="1" customHeight="1">
      <c r="A284" s="531"/>
      <c r="B284" s="531">
        <v>1018</v>
      </c>
      <c r="C284" s="529">
        <v>17</v>
      </c>
      <c r="D284" s="530" t="s">
        <v>562</v>
      </c>
      <c r="E284" s="1028" t="s">
        <v>705</v>
      </c>
      <c r="F284" s="1579"/>
      <c r="G284" s="1576"/>
      <c r="H284" s="547"/>
      <c r="I284" s="547"/>
      <c r="J284" s="1745"/>
      <c r="K284" s="547"/>
      <c r="L284" s="547"/>
      <c r="M284" s="1745"/>
      <c r="N284" s="547"/>
      <c r="O284" s="990"/>
      <c r="P284" s="990"/>
      <c r="Q284" s="547"/>
      <c r="R284" s="547"/>
      <c r="S284" s="1745"/>
      <c r="T284" s="547"/>
      <c r="U284" s="1671">
        <f t="shared" si="33"/>
        <v>0</v>
      </c>
      <c r="V284" s="547">
        <v>0</v>
      </c>
      <c r="W284" s="1264">
        <f t="shared" si="36"/>
        <v>0</v>
      </c>
      <c r="X284" s="547">
        <f t="shared" si="37"/>
        <v>0</v>
      </c>
      <c r="Y284" s="566"/>
      <c r="Z284" s="567"/>
      <c r="AA284" s="989">
        <f t="shared" si="34"/>
        <v>0</v>
      </c>
      <c r="AB284" s="812">
        <f t="shared" si="35"/>
        <v>0</v>
      </c>
    </row>
    <row r="285" spans="1:28" ht="27" hidden="1" customHeight="1">
      <c r="A285" s="531"/>
      <c r="B285" s="531">
        <v>1018</v>
      </c>
      <c r="C285" s="529">
        <v>17</v>
      </c>
      <c r="D285" s="530" t="s">
        <v>481</v>
      </c>
      <c r="E285" s="1028" t="s">
        <v>1328</v>
      </c>
      <c r="F285" s="1579"/>
      <c r="G285" s="1578"/>
      <c r="H285" s="1775"/>
      <c r="I285" s="547"/>
      <c r="J285" s="1745"/>
      <c r="K285" s="547"/>
      <c r="L285" s="1775"/>
      <c r="M285" s="1775"/>
      <c r="N285" s="547"/>
      <c r="O285" s="990"/>
      <c r="P285" s="990"/>
      <c r="Q285" s="547"/>
      <c r="R285" s="547"/>
      <c r="S285" s="1745"/>
      <c r="T285" s="547"/>
      <c r="U285" s="989">
        <f t="shared" si="33"/>
        <v>0</v>
      </c>
      <c r="V285" s="547">
        <v>0</v>
      </c>
      <c r="W285" s="1264">
        <f t="shared" si="36"/>
        <v>0</v>
      </c>
      <c r="X285" s="547">
        <f t="shared" si="37"/>
        <v>0</v>
      </c>
      <c r="Y285" s="566"/>
      <c r="Z285" s="567"/>
      <c r="AA285" s="989">
        <f t="shared" si="34"/>
        <v>0</v>
      </c>
      <c r="AB285" s="812">
        <f t="shared" si="35"/>
        <v>0</v>
      </c>
    </row>
    <row r="286" spans="1:28" ht="27" hidden="1" customHeight="1">
      <c r="A286" s="531"/>
      <c r="B286" s="531">
        <v>1018</v>
      </c>
      <c r="C286" s="529">
        <v>17</v>
      </c>
      <c r="D286" s="530" t="s">
        <v>3</v>
      </c>
      <c r="E286" s="1028" t="s">
        <v>937</v>
      </c>
      <c r="F286" s="1576"/>
      <c r="G286" s="1576"/>
      <c r="H286" s="547"/>
      <c r="I286" s="547"/>
      <c r="J286" s="1745"/>
      <c r="K286" s="547"/>
      <c r="L286" s="547"/>
      <c r="M286" s="1745"/>
      <c r="N286" s="547"/>
      <c r="O286" s="990"/>
      <c r="P286" s="990"/>
      <c r="Q286" s="547"/>
      <c r="R286" s="547"/>
      <c r="S286" s="1745"/>
      <c r="T286" s="547"/>
      <c r="U286" s="989">
        <f t="shared" si="33"/>
        <v>0</v>
      </c>
      <c r="V286" s="547">
        <v>0</v>
      </c>
      <c r="W286" s="1264">
        <f t="shared" si="36"/>
        <v>0</v>
      </c>
      <c r="X286" s="547">
        <f t="shared" si="37"/>
        <v>0</v>
      </c>
      <c r="Y286" s="566"/>
      <c r="Z286" s="567"/>
      <c r="AA286" s="989">
        <f t="shared" si="34"/>
        <v>0</v>
      </c>
      <c r="AB286" s="812">
        <f t="shared" si="35"/>
        <v>0</v>
      </c>
    </row>
    <row r="287" spans="1:28" ht="27" hidden="1" customHeight="1">
      <c r="A287" s="531"/>
      <c r="B287" s="531">
        <v>1010</v>
      </c>
      <c r="C287" s="529">
        <v>17</v>
      </c>
      <c r="D287" s="530" t="s">
        <v>4</v>
      </c>
      <c r="E287" s="1028" t="s">
        <v>440</v>
      </c>
      <c r="F287" s="1580">
        <v>-1279365572208</v>
      </c>
      <c r="G287" s="1576"/>
      <c r="H287" s="547"/>
      <c r="I287" s="547"/>
      <c r="J287" s="1745"/>
      <c r="K287" s="1625"/>
      <c r="L287" s="1745"/>
      <c r="M287" s="1775"/>
      <c r="N287" s="547"/>
      <c r="O287" s="990"/>
      <c r="P287" s="990"/>
      <c r="Q287" s="547"/>
      <c r="R287" s="547"/>
      <c r="S287" s="1745"/>
      <c r="T287" s="547"/>
      <c r="U287" s="989">
        <f t="shared" si="33"/>
        <v>-1279365572208</v>
      </c>
      <c r="V287" s="547">
        <v>-1050398953305</v>
      </c>
      <c r="W287" s="1264">
        <f>ROUND((U287/1000000),0)</f>
        <v>-1279366</v>
      </c>
      <c r="X287" s="547">
        <f t="shared" si="37"/>
        <v>-1050399</v>
      </c>
      <c r="Y287" s="566"/>
      <c r="Z287" s="567"/>
      <c r="AA287" s="989">
        <f t="shared" si="34"/>
        <v>-1279365572208</v>
      </c>
      <c r="AB287" s="812">
        <f t="shared" si="35"/>
        <v>-1279366</v>
      </c>
    </row>
    <row r="288" spans="1:28" ht="27" hidden="1" customHeight="1">
      <c r="A288" s="531"/>
      <c r="B288" s="531">
        <v>1018</v>
      </c>
      <c r="C288" s="529">
        <v>17</v>
      </c>
      <c r="D288" s="530" t="s">
        <v>5</v>
      </c>
      <c r="E288" s="1028" t="s">
        <v>827</v>
      </c>
      <c r="F288" s="1580"/>
      <c r="G288" s="1578"/>
      <c r="H288" s="547"/>
      <c r="I288" s="547"/>
      <c r="J288" s="1745"/>
      <c r="K288" s="547"/>
      <c r="L288" s="1745"/>
      <c r="M288" s="1775"/>
      <c r="N288" s="547"/>
      <c r="O288" s="990"/>
      <c r="P288" s="990"/>
      <c r="Q288" s="547"/>
      <c r="R288" s="547"/>
      <c r="S288" s="1745"/>
      <c r="T288" s="547"/>
      <c r="U288" s="1671">
        <f t="shared" si="33"/>
        <v>0</v>
      </c>
      <c r="V288" s="547">
        <v>0</v>
      </c>
      <c r="W288" s="1264">
        <f t="shared" si="36"/>
        <v>0</v>
      </c>
      <c r="X288" s="547">
        <f t="shared" si="37"/>
        <v>0</v>
      </c>
      <c r="Y288" s="566"/>
      <c r="Z288" s="567"/>
      <c r="AA288" s="989">
        <f t="shared" si="34"/>
        <v>0</v>
      </c>
      <c r="AB288" s="812">
        <f t="shared" si="35"/>
        <v>0</v>
      </c>
    </row>
    <row r="289" spans="1:28" ht="27" hidden="1" customHeight="1">
      <c r="A289" s="531"/>
      <c r="B289" s="531">
        <v>1018</v>
      </c>
      <c r="C289" s="529">
        <v>17</v>
      </c>
      <c r="D289" s="530" t="s">
        <v>877</v>
      </c>
      <c r="E289" s="1028" t="s">
        <v>878</v>
      </c>
      <c r="F289" s="1580">
        <v>-23274800</v>
      </c>
      <c r="G289" s="1576"/>
      <c r="H289" s="547"/>
      <c r="I289" s="547">
        <v>21513896</v>
      </c>
      <c r="J289" s="1745">
        <v>1100904</v>
      </c>
      <c r="K289" s="547"/>
      <c r="L289" s="547"/>
      <c r="M289" s="1745"/>
      <c r="N289" s="547"/>
      <c r="O289" s="990"/>
      <c r="P289" s="990"/>
      <c r="Q289" s="547"/>
      <c r="R289" s="547"/>
      <c r="S289" s="1745"/>
      <c r="T289" s="547"/>
      <c r="U289" s="989">
        <f t="shared" si="33"/>
        <v>-660000</v>
      </c>
      <c r="V289" s="547">
        <v>-2252288</v>
      </c>
      <c r="W289" s="1264">
        <f t="shared" si="36"/>
        <v>-1</v>
      </c>
      <c r="X289" s="547">
        <f t="shared" si="37"/>
        <v>-2</v>
      </c>
      <c r="Y289" s="566"/>
      <c r="Z289" s="567"/>
      <c r="AA289" s="989">
        <f t="shared" si="34"/>
        <v>-660000</v>
      </c>
      <c r="AB289" s="812">
        <f t="shared" si="35"/>
        <v>-1</v>
      </c>
    </row>
    <row r="290" spans="1:28" ht="27" hidden="1" customHeight="1">
      <c r="A290" s="531"/>
      <c r="B290" s="531">
        <v>1018</v>
      </c>
      <c r="C290" s="529">
        <v>17</v>
      </c>
      <c r="D290" s="530" t="s">
        <v>1233</v>
      </c>
      <c r="E290" s="1028" t="s">
        <v>1234</v>
      </c>
      <c r="F290" s="1579">
        <v>-5234952560</v>
      </c>
      <c r="G290" s="1576"/>
      <c r="H290" s="547"/>
      <c r="I290" s="547"/>
      <c r="J290" s="1745"/>
      <c r="K290" s="547"/>
      <c r="L290" s="547"/>
      <c r="M290" s="1745"/>
      <c r="N290" s="547"/>
      <c r="O290" s="990"/>
      <c r="P290" s="990"/>
      <c r="Q290" s="547"/>
      <c r="R290" s="547"/>
      <c r="S290" s="1745"/>
      <c r="T290" s="547"/>
      <c r="U290" s="989">
        <f t="shared" si="33"/>
        <v>-5234952560</v>
      </c>
      <c r="V290" s="547">
        <v>-539189280</v>
      </c>
      <c r="W290" s="1264">
        <f t="shared" si="36"/>
        <v>-5235</v>
      </c>
      <c r="X290" s="547">
        <f t="shared" si="37"/>
        <v>-539</v>
      </c>
      <c r="Y290" s="566"/>
      <c r="Z290" s="567"/>
      <c r="AA290" s="989">
        <f t="shared" si="34"/>
        <v>-5234952560</v>
      </c>
      <c r="AB290" s="812">
        <f t="shared" si="35"/>
        <v>-5235</v>
      </c>
    </row>
    <row r="291" spans="1:28" ht="27" hidden="1" customHeight="1">
      <c r="A291" s="531"/>
      <c r="B291" s="531">
        <v>1018</v>
      </c>
      <c r="C291" s="529">
        <v>17</v>
      </c>
      <c r="D291" s="530" t="s">
        <v>832</v>
      </c>
      <c r="E291" s="1028" t="s">
        <v>833</v>
      </c>
      <c r="F291" s="1576"/>
      <c r="G291" s="1576"/>
      <c r="H291" s="547"/>
      <c r="I291" s="547"/>
      <c r="J291" s="1745"/>
      <c r="K291" s="547"/>
      <c r="L291" s="1775"/>
      <c r="M291" s="1775"/>
      <c r="N291" s="547"/>
      <c r="O291" s="990"/>
      <c r="P291" s="990"/>
      <c r="Q291" s="547"/>
      <c r="R291" s="547"/>
      <c r="S291" s="1745"/>
      <c r="T291" s="547"/>
      <c r="U291" s="989">
        <f t="shared" si="33"/>
        <v>0</v>
      </c>
      <c r="V291" s="547">
        <v>0</v>
      </c>
      <c r="W291" s="1264">
        <f t="shared" si="36"/>
        <v>0</v>
      </c>
      <c r="X291" s="547">
        <f t="shared" si="37"/>
        <v>0</v>
      </c>
      <c r="Y291" s="566"/>
      <c r="Z291" s="567"/>
      <c r="AA291" s="989">
        <f t="shared" si="34"/>
        <v>0</v>
      </c>
      <c r="AB291" s="812">
        <f t="shared" si="35"/>
        <v>0</v>
      </c>
    </row>
    <row r="292" spans="1:28" ht="27" hidden="1" customHeight="1">
      <c r="A292" s="531"/>
      <c r="B292" s="531">
        <v>1018</v>
      </c>
      <c r="C292" s="529">
        <v>17</v>
      </c>
      <c r="D292" s="530" t="s">
        <v>8</v>
      </c>
      <c r="E292" s="1028" t="s">
        <v>203</v>
      </c>
      <c r="F292" s="1580">
        <v>-56061293253</v>
      </c>
      <c r="G292" s="1578">
        <v>-1604896766</v>
      </c>
      <c r="H292" s="1806">
        <v>-19207908</v>
      </c>
      <c r="I292" s="547">
        <v>-2877954</v>
      </c>
      <c r="J292" s="1745"/>
      <c r="K292" s="547"/>
      <c r="L292" s="1811"/>
      <c r="M292" s="1811"/>
      <c r="N292" s="547"/>
      <c r="O292" s="990"/>
      <c r="P292" s="990"/>
      <c r="Q292" s="547"/>
      <c r="R292" s="547"/>
      <c r="S292" s="1745"/>
      <c r="T292" s="547"/>
      <c r="U292" s="1671">
        <f t="shared" si="33"/>
        <v>-57688275881</v>
      </c>
      <c r="V292" s="547">
        <v>-11409575635</v>
      </c>
      <c r="W292" s="1264">
        <f>ROUND((U292/1000000),0)</f>
        <v>-57688</v>
      </c>
      <c r="X292" s="547">
        <f t="shared" si="37"/>
        <v>-11410</v>
      </c>
      <c r="Y292" s="566"/>
      <c r="Z292" s="567"/>
      <c r="AA292" s="989">
        <f t="shared" si="34"/>
        <v>-57688275881</v>
      </c>
      <c r="AB292" s="812">
        <f t="shared" si="35"/>
        <v>-57688</v>
      </c>
    </row>
    <row r="293" spans="1:28" ht="27" hidden="1" customHeight="1">
      <c r="A293" s="531"/>
      <c r="B293" s="531">
        <v>406</v>
      </c>
      <c r="C293" s="529">
        <v>11</v>
      </c>
      <c r="D293" s="530" t="s">
        <v>11</v>
      </c>
      <c r="E293" s="1028" t="s">
        <v>551</v>
      </c>
      <c r="F293" s="1580">
        <v>2244886973</v>
      </c>
      <c r="G293" s="1578">
        <v>-1168368477</v>
      </c>
      <c r="H293" s="1580"/>
      <c r="I293" s="547">
        <v>1119698600</v>
      </c>
      <c r="J293" s="1745"/>
      <c r="K293" s="547"/>
      <c r="L293" s="547"/>
      <c r="M293" s="1745"/>
      <c r="N293" s="547"/>
      <c r="O293" s="990"/>
      <c r="P293" s="990"/>
      <c r="Q293" s="547"/>
      <c r="R293" s="547"/>
      <c r="S293" s="1745"/>
      <c r="T293" s="547"/>
      <c r="U293" s="1671">
        <f t="shared" si="33"/>
        <v>2196217096</v>
      </c>
      <c r="V293" s="547">
        <v>-92836025</v>
      </c>
      <c r="W293" s="1264">
        <f t="shared" si="36"/>
        <v>2196</v>
      </c>
      <c r="X293" s="547">
        <f t="shared" si="37"/>
        <v>-93</v>
      </c>
      <c r="Y293" s="566"/>
      <c r="Z293" s="567"/>
      <c r="AA293" s="989">
        <f t="shared" si="34"/>
        <v>2196217096</v>
      </c>
      <c r="AB293" s="812">
        <f t="shared" si="35"/>
        <v>2196</v>
      </c>
    </row>
    <row r="294" spans="1:28" ht="27" hidden="1" customHeight="1">
      <c r="A294" s="531"/>
      <c r="B294" s="531">
        <v>401</v>
      </c>
      <c r="C294" s="529">
        <v>11</v>
      </c>
      <c r="D294" s="530" t="s">
        <v>1537</v>
      </c>
      <c r="E294" s="1028" t="s">
        <v>956</v>
      </c>
      <c r="F294" s="1580"/>
      <c r="G294" s="1576"/>
      <c r="H294" s="547"/>
      <c r="I294" s="547"/>
      <c r="J294" s="1745"/>
      <c r="K294" s="547"/>
      <c r="L294" s="547"/>
      <c r="M294" s="1745"/>
      <c r="N294" s="547"/>
      <c r="O294" s="990"/>
      <c r="P294" s="990"/>
      <c r="Q294" s="547"/>
      <c r="R294" s="547"/>
      <c r="S294" s="1745"/>
      <c r="T294" s="547"/>
      <c r="U294" s="1671">
        <f t="shared" si="33"/>
        <v>0</v>
      </c>
      <c r="V294" s="547">
        <v>0</v>
      </c>
      <c r="W294" s="1264">
        <f t="shared" si="36"/>
        <v>0</v>
      </c>
      <c r="X294" s="547">
        <f t="shared" si="37"/>
        <v>0</v>
      </c>
      <c r="Y294" s="566"/>
      <c r="Z294" s="567"/>
      <c r="AA294" s="989">
        <f t="shared" si="34"/>
        <v>0</v>
      </c>
      <c r="AB294" s="812">
        <f t="shared" si="35"/>
        <v>0</v>
      </c>
    </row>
    <row r="295" spans="1:28" ht="27" hidden="1" customHeight="1">
      <c r="A295" s="531"/>
      <c r="B295" s="531">
        <v>401</v>
      </c>
      <c r="C295" s="529">
        <v>11</v>
      </c>
      <c r="D295" s="530" t="s">
        <v>92</v>
      </c>
      <c r="E295" s="1028" t="s">
        <v>1758</v>
      </c>
      <c r="F295" s="1579"/>
      <c r="G295" s="1576"/>
      <c r="H295" s="547"/>
      <c r="I295" s="547"/>
      <c r="J295" s="1745"/>
      <c r="K295" s="547"/>
      <c r="L295" s="547"/>
      <c r="M295" s="1745"/>
      <c r="N295" s="547"/>
      <c r="O295" s="990"/>
      <c r="P295" s="990"/>
      <c r="Q295" s="547"/>
      <c r="R295" s="547"/>
      <c r="S295" s="1745"/>
      <c r="T295" s="547"/>
      <c r="U295" s="1671">
        <f t="shared" si="33"/>
        <v>0</v>
      </c>
      <c r="V295" s="547">
        <v>0</v>
      </c>
      <c r="W295" s="1264">
        <f t="shared" si="36"/>
        <v>0</v>
      </c>
      <c r="X295" s="547">
        <f t="shared" si="37"/>
        <v>0</v>
      </c>
      <c r="Y295" s="566"/>
      <c r="Z295" s="567"/>
      <c r="AA295" s="989">
        <f t="shared" si="34"/>
        <v>0</v>
      </c>
      <c r="AB295" s="812">
        <f t="shared" si="35"/>
        <v>0</v>
      </c>
    </row>
    <row r="296" spans="1:28" ht="27" hidden="1" customHeight="1">
      <c r="A296" s="531"/>
      <c r="B296" s="531">
        <v>1018</v>
      </c>
      <c r="C296" s="529">
        <v>17</v>
      </c>
      <c r="D296" s="530" t="s">
        <v>12</v>
      </c>
      <c r="E296" s="1028" t="s">
        <v>13</v>
      </c>
      <c r="F296" s="1580">
        <v>-334192227</v>
      </c>
      <c r="G296" s="1576">
        <v>-563187036</v>
      </c>
      <c r="H296" s="1945"/>
      <c r="I296" s="547">
        <v>-507773718</v>
      </c>
      <c r="J296" s="1745"/>
      <c r="K296" s="547"/>
      <c r="L296" s="547"/>
      <c r="M296" s="1745"/>
      <c r="N296" s="547"/>
      <c r="O296" s="990"/>
      <c r="P296" s="990"/>
      <c r="Q296" s="547"/>
      <c r="R296" s="547"/>
      <c r="S296" s="1745"/>
      <c r="T296" s="547"/>
      <c r="U296" s="1671">
        <f t="shared" si="33"/>
        <v>-1405152981</v>
      </c>
      <c r="V296" s="547">
        <v>-1441517430</v>
      </c>
      <c r="W296" s="1264">
        <f>ROUND((U296/1000000),0)</f>
        <v>-1405</v>
      </c>
      <c r="X296" s="547">
        <f t="shared" si="37"/>
        <v>-1442</v>
      </c>
      <c r="Y296" s="566"/>
      <c r="Z296" s="567"/>
      <c r="AA296" s="989">
        <f t="shared" si="34"/>
        <v>-1405152981</v>
      </c>
      <c r="AB296" s="812">
        <f t="shared" si="35"/>
        <v>-1405</v>
      </c>
    </row>
    <row r="297" spans="1:28" ht="27" hidden="1" customHeight="1">
      <c r="A297" s="531"/>
      <c r="B297" s="531">
        <v>1018</v>
      </c>
      <c r="C297" s="529">
        <v>17</v>
      </c>
      <c r="D297" s="530" t="s">
        <v>1090</v>
      </c>
      <c r="E297" s="1028" t="s">
        <v>1091</v>
      </c>
      <c r="F297" s="1576"/>
      <c r="G297" s="1576"/>
      <c r="H297" s="1580"/>
      <c r="I297" s="547"/>
      <c r="J297" s="1745"/>
      <c r="K297" s="547"/>
      <c r="L297" s="547">
        <v>-205771590</v>
      </c>
      <c r="M297" s="1745"/>
      <c r="N297" s="547"/>
      <c r="O297" s="990"/>
      <c r="P297" s="990"/>
      <c r="Q297" s="547"/>
      <c r="R297" s="547"/>
      <c r="S297" s="1745"/>
      <c r="T297" s="547"/>
      <c r="U297" s="989">
        <f t="shared" si="33"/>
        <v>-205771590</v>
      </c>
      <c r="V297" s="547">
        <v>0</v>
      </c>
      <c r="W297" s="1264">
        <f t="shared" si="36"/>
        <v>-206</v>
      </c>
      <c r="X297" s="547">
        <f t="shared" si="37"/>
        <v>0</v>
      </c>
      <c r="Y297" s="566"/>
      <c r="Z297" s="567"/>
      <c r="AA297" s="989">
        <f t="shared" si="34"/>
        <v>-205771590</v>
      </c>
      <c r="AB297" s="812">
        <f t="shared" si="35"/>
        <v>-206</v>
      </c>
    </row>
    <row r="298" spans="1:28" ht="27" hidden="1" customHeight="1">
      <c r="A298" s="531"/>
      <c r="B298" s="531">
        <v>1018</v>
      </c>
      <c r="C298" s="529">
        <v>17</v>
      </c>
      <c r="D298" s="530" t="s">
        <v>15</v>
      </c>
      <c r="E298" s="1028" t="s">
        <v>552</v>
      </c>
      <c r="F298" s="1580"/>
      <c r="G298" s="1576"/>
      <c r="H298" s="1580"/>
      <c r="I298" s="547"/>
      <c r="J298" s="1745"/>
      <c r="K298" s="547"/>
      <c r="L298" s="547"/>
      <c r="M298" s="1745"/>
      <c r="N298" s="547"/>
      <c r="O298" s="990"/>
      <c r="P298" s="990"/>
      <c r="Q298" s="547"/>
      <c r="R298" s="547"/>
      <c r="S298" s="1745"/>
      <c r="T298" s="547"/>
      <c r="U298" s="1671">
        <f t="shared" si="33"/>
        <v>0</v>
      </c>
      <c r="V298" s="547">
        <v>0</v>
      </c>
      <c r="W298" s="1264">
        <f t="shared" si="36"/>
        <v>0</v>
      </c>
      <c r="X298" s="547">
        <f t="shared" si="37"/>
        <v>0</v>
      </c>
      <c r="Y298" s="566"/>
      <c r="Z298" s="567"/>
      <c r="AA298" s="989">
        <f t="shared" si="34"/>
        <v>0</v>
      </c>
      <c r="AB298" s="812">
        <f t="shared" si="35"/>
        <v>0</v>
      </c>
    </row>
    <row r="299" spans="1:28" ht="27" hidden="1" customHeight="1">
      <c r="A299" s="531"/>
      <c r="B299" s="531">
        <v>1018</v>
      </c>
      <c r="C299" s="529">
        <v>17</v>
      </c>
      <c r="D299" s="530" t="s">
        <v>743</v>
      </c>
      <c r="E299" s="1028" t="s">
        <v>1092</v>
      </c>
      <c r="F299" s="1580">
        <v>-579642597</v>
      </c>
      <c r="G299" s="1578">
        <v>418944417</v>
      </c>
      <c r="H299" s="1580"/>
      <c r="I299" s="547">
        <v>164724318</v>
      </c>
      <c r="J299" s="1745">
        <v>-4026138</v>
      </c>
      <c r="K299" s="547"/>
      <c r="L299" s="547"/>
      <c r="M299" s="1745"/>
      <c r="N299" s="547"/>
      <c r="O299" s="990"/>
      <c r="P299" s="990"/>
      <c r="Q299" s="547"/>
      <c r="R299" s="547"/>
      <c r="S299" s="1745"/>
      <c r="T299" s="547"/>
      <c r="U299" s="989">
        <f t="shared" si="33"/>
        <v>0</v>
      </c>
      <c r="V299" s="547">
        <v>0</v>
      </c>
      <c r="W299" s="1264">
        <f t="shared" si="36"/>
        <v>0</v>
      </c>
      <c r="X299" s="547">
        <f t="shared" si="37"/>
        <v>0</v>
      </c>
      <c r="Y299" s="566"/>
      <c r="Z299" s="567"/>
      <c r="AA299" s="989">
        <f t="shared" si="34"/>
        <v>0</v>
      </c>
      <c r="AB299" s="812">
        <f t="shared" si="35"/>
        <v>0</v>
      </c>
    </row>
    <row r="300" spans="1:28" ht="27" hidden="1" customHeight="1">
      <c r="A300" s="531"/>
      <c r="B300" s="531">
        <v>1018</v>
      </c>
      <c r="C300" s="529">
        <v>17</v>
      </c>
      <c r="D300" s="530" t="s">
        <v>940</v>
      </c>
      <c r="E300" s="1028" t="s">
        <v>941</v>
      </c>
      <c r="F300" s="1576"/>
      <c r="G300" s="1576"/>
      <c r="H300" s="1580"/>
      <c r="I300" s="547"/>
      <c r="J300" s="1745"/>
      <c r="K300" s="547"/>
      <c r="L300" s="547"/>
      <c r="M300" s="1745"/>
      <c r="N300" s="547"/>
      <c r="O300" s="990"/>
      <c r="P300" s="990"/>
      <c r="Q300" s="547"/>
      <c r="R300" s="547"/>
      <c r="S300" s="1745"/>
      <c r="T300" s="547"/>
      <c r="U300" s="989">
        <f t="shared" si="33"/>
        <v>0</v>
      </c>
      <c r="V300" s="547">
        <v>0</v>
      </c>
      <c r="W300" s="1264">
        <f t="shared" si="36"/>
        <v>0</v>
      </c>
      <c r="X300" s="547">
        <f t="shared" si="37"/>
        <v>0</v>
      </c>
      <c r="Y300" s="566"/>
      <c r="Z300" s="567"/>
      <c r="AA300" s="989">
        <f t="shared" si="34"/>
        <v>0</v>
      </c>
      <c r="AB300" s="812">
        <f t="shared" si="35"/>
        <v>0</v>
      </c>
    </row>
    <row r="301" spans="1:28" ht="27" hidden="1" customHeight="1">
      <c r="A301" s="531"/>
      <c r="B301" s="531">
        <v>1018</v>
      </c>
      <c r="C301" s="529">
        <v>17</v>
      </c>
      <c r="D301" s="530" t="s">
        <v>40</v>
      </c>
      <c r="E301" s="1028" t="s">
        <v>41</v>
      </c>
      <c r="F301" s="1576"/>
      <c r="G301" s="1576"/>
      <c r="H301" s="1580"/>
      <c r="I301" s="547"/>
      <c r="J301" s="1745"/>
      <c r="K301" s="547"/>
      <c r="L301" s="547"/>
      <c r="M301" s="1745"/>
      <c r="N301" s="547"/>
      <c r="O301" s="990"/>
      <c r="P301" s="990"/>
      <c r="Q301" s="547"/>
      <c r="R301" s="547"/>
      <c r="S301" s="1745"/>
      <c r="T301" s="547"/>
      <c r="U301" s="989">
        <f t="shared" si="33"/>
        <v>0</v>
      </c>
      <c r="V301" s="547">
        <v>0</v>
      </c>
      <c r="W301" s="1264">
        <f t="shared" si="36"/>
        <v>0</v>
      </c>
      <c r="X301" s="547">
        <f t="shared" si="37"/>
        <v>0</v>
      </c>
      <c r="Y301" s="566"/>
      <c r="Z301" s="567"/>
      <c r="AA301" s="989">
        <f t="shared" si="34"/>
        <v>0</v>
      </c>
      <c r="AB301" s="812">
        <f t="shared" si="35"/>
        <v>0</v>
      </c>
    </row>
    <row r="302" spans="1:28" ht="27" hidden="1" customHeight="1">
      <c r="A302" s="531"/>
      <c r="B302" s="531">
        <v>1018</v>
      </c>
      <c r="C302" s="529">
        <v>17</v>
      </c>
      <c r="D302" s="530" t="s">
        <v>1093</v>
      </c>
      <c r="E302" s="1028" t="s">
        <v>1094</v>
      </c>
      <c r="F302" s="1580">
        <v>-66598712</v>
      </c>
      <c r="G302" s="1578">
        <v>670800</v>
      </c>
      <c r="H302" s="1580"/>
      <c r="I302" s="547">
        <v>65927912</v>
      </c>
      <c r="J302" s="1745"/>
      <c r="K302" s="547"/>
      <c r="L302" s="1625"/>
      <c r="M302" s="1760"/>
      <c r="N302" s="547"/>
      <c r="O302" s="990"/>
      <c r="P302" s="990"/>
      <c r="Q302" s="547"/>
      <c r="R302" s="547"/>
      <c r="S302" s="1745"/>
      <c r="T302" s="547"/>
      <c r="U302" s="1671">
        <f t="shared" si="33"/>
        <v>0</v>
      </c>
      <c r="V302" s="547">
        <v>0</v>
      </c>
      <c r="W302" s="1264">
        <f t="shared" si="36"/>
        <v>0</v>
      </c>
      <c r="X302" s="547">
        <f t="shared" si="37"/>
        <v>0</v>
      </c>
      <c r="Y302" s="566"/>
      <c r="Z302" s="567"/>
      <c r="AA302" s="989">
        <f t="shared" si="34"/>
        <v>0</v>
      </c>
      <c r="AB302" s="812">
        <f t="shared" si="35"/>
        <v>0</v>
      </c>
    </row>
    <row r="303" spans="1:28" ht="27" hidden="1" customHeight="1">
      <c r="A303" s="531"/>
      <c r="B303" s="531">
        <v>1018</v>
      </c>
      <c r="C303" s="529">
        <v>17</v>
      </c>
      <c r="D303" s="530" t="s">
        <v>1095</v>
      </c>
      <c r="E303" s="1028" t="s">
        <v>1096</v>
      </c>
      <c r="F303" s="1580"/>
      <c r="G303" s="1576"/>
      <c r="H303" s="1580"/>
      <c r="I303" s="1808"/>
      <c r="J303" s="1745"/>
      <c r="K303" s="547"/>
      <c r="L303" s="1625"/>
      <c r="M303" s="1760"/>
      <c r="N303" s="547"/>
      <c r="O303" s="990"/>
      <c r="P303" s="990"/>
      <c r="Q303" s="547"/>
      <c r="R303" s="547"/>
      <c r="S303" s="1745"/>
      <c r="T303" s="547"/>
      <c r="U303" s="989">
        <f t="shared" si="33"/>
        <v>0</v>
      </c>
      <c r="V303" s="547">
        <v>0</v>
      </c>
      <c r="W303" s="1264">
        <f t="shared" si="36"/>
        <v>0</v>
      </c>
      <c r="X303" s="547">
        <f t="shared" si="37"/>
        <v>0</v>
      </c>
      <c r="Y303" s="566"/>
      <c r="Z303" s="567"/>
      <c r="AA303" s="989">
        <f t="shared" si="34"/>
        <v>0</v>
      </c>
      <c r="AB303" s="812">
        <f t="shared" si="35"/>
        <v>0</v>
      </c>
    </row>
    <row r="304" spans="1:28" ht="27" hidden="1" customHeight="1">
      <c r="A304" s="531"/>
      <c r="B304" s="531">
        <v>1018</v>
      </c>
      <c r="C304" s="529">
        <v>17</v>
      </c>
      <c r="D304" s="530" t="s">
        <v>853</v>
      </c>
      <c r="E304" s="1028" t="s">
        <v>1097</v>
      </c>
      <c r="F304" s="1580">
        <v>-76216965</v>
      </c>
      <c r="G304" s="1578">
        <v>46209600</v>
      </c>
      <c r="H304" s="1580"/>
      <c r="I304" s="547">
        <v>30007365</v>
      </c>
      <c r="J304" s="1745"/>
      <c r="K304" s="547"/>
      <c r="L304" s="1625"/>
      <c r="M304" s="1760"/>
      <c r="N304" s="547"/>
      <c r="O304" s="990"/>
      <c r="P304" s="990"/>
      <c r="Q304" s="547"/>
      <c r="R304" s="547"/>
      <c r="S304" s="1745"/>
      <c r="T304" s="547"/>
      <c r="U304" s="989">
        <f t="shared" si="33"/>
        <v>0</v>
      </c>
      <c r="V304" s="547">
        <v>0</v>
      </c>
      <c r="W304" s="1264">
        <f t="shared" si="36"/>
        <v>0</v>
      </c>
      <c r="X304" s="547">
        <f t="shared" si="37"/>
        <v>0</v>
      </c>
      <c r="Y304" s="566"/>
      <c r="Z304" s="567"/>
      <c r="AA304" s="989">
        <f t="shared" si="34"/>
        <v>0</v>
      </c>
      <c r="AB304" s="812">
        <f t="shared" si="35"/>
        <v>0</v>
      </c>
    </row>
    <row r="305" spans="1:28" ht="27" hidden="1" customHeight="1">
      <c r="A305" s="531"/>
      <c r="B305" s="531">
        <v>1018</v>
      </c>
      <c r="C305" s="529">
        <v>17</v>
      </c>
      <c r="D305" s="530" t="s">
        <v>2018</v>
      </c>
      <c r="E305" s="1028" t="s">
        <v>2016</v>
      </c>
      <c r="F305" s="1576">
        <v>-1348370475</v>
      </c>
      <c r="G305" s="1576"/>
      <c r="H305" s="547"/>
      <c r="I305" s="547"/>
      <c r="J305" s="1745"/>
      <c r="K305" s="547"/>
      <c r="L305" s="547"/>
      <c r="M305" s="1745"/>
      <c r="N305" s="547"/>
      <c r="O305" s="990"/>
      <c r="P305" s="990"/>
      <c r="Q305" s="547"/>
      <c r="R305" s="547"/>
      <c r="S305" s="1745"/>
      <c r="T305" s="547"/>
      <c r="U305" s="989">
        <f t="shared" si="33"/>
        <v>-1348370475</v>
      </c>
      <c r="V305" s="547">
        <v>-120000</v>
      </c>
      <c r="W305" s="1264">
        <f t="shared" si="36"/>
        <v>-1348</v>
      </c>
      <c r="X305" s="547">
        <f t="shared" si="37"/>
        <v>0</v>
      </c>
      <c r="Y305" s="566"/>
      <c r="Z305" s="567"/>
      <c r="AA305" s="989">
        <f t="shared" si="34"/>
        <v>-1348370475</v>
      </c>
      <c r="AB305" s="812">
        <f t="shared" si="35"/>
        <v>-1348</v>
      </c>
    </row>
    <row r="306" spans="1:28" ht="27" hidden="1" customHeight="1">
      <c r="A306" s="531"/>
      <c r="B306" s="531">
        <v>1018</v>
      </c>
      <c r="C306" s="529">
        <v>17</v>
      </c>
      <c r="D306" s="530" t="s">
        <v>1099</v>
      </c>
      <c r="E306" s="1028" t="s">
        <v>1083</v>
      </c>
      <c r="F306" s="1580"/>
      <c r="G306" s="1576"/>
      <c r="H306" s="547"/>
      <c r="I306" s="1808"/>
      <c r="J306" s="1745"/>
      <c r="K306" s="547"/>
      <c r="L306" s="547"/>
      <c r="M306" s="1745"/>
      <c r="N306" s="547"/>
      <c r="O306" s="990"/>
      <c r="P306" s="990"/>
      <c r="Q306" s="547"/>
      <c r="R306" s="547"/>
      <c r="S306" s="1745"/>
      <c r="T306" s="547"/>
      <c r="U306" s="989">
        <f t="shared" si="33"/>
        <v>0</v>
      </c>
      <c r="V306" s="547">
        <v>0</v>
      </c>
      <c r="W306" s="1264">
        <f t="shared" si="36"/>
        <v>0</v>
      </c>
      <c r="X306" s="547">
        <f t="shared" si="37"/>
        <v>0</v>
      </c>
      <c r="Y306" s="566"/>
      <c r="Z306" s="567"/>
      <c r="AA306" s="989">
        <f t="shared" ref="AA306:AA338" si="38">U306+Z306-Y306</f>
        <v>0</v>
      </c>
      <c r="AB306" s="812">
        <f t="shared" ref="AB306:AB338" si="39">ROUND((AA306/1000000),0)</f>
        <v>0</v>
      </c>
    </row>
    <row r="307" spans="1:28" ht="27" hidden="1" customHeight="1">
      <c r="A307" s="531"/>
      <c r="B307" s="531">
        <v>1018</v>
      </c>
      <c r="C307" s="529">
        <v>17</v>
      </c>
      <c r="D307" s="530" t="s">
        <v>1100</v>
      </c>
      <c r="E307" s="1028" t="s">
        <v>1102</v>
      </c>
      <c r="F307" s="1580">
        <v>-2403026027</v>
      </c>
      <c r="G307" s="1576"/>
      <c r="H307" s="1806"/>
      <c r="I307" s="547">
        <v>2403026027</v>
      </c>
      <c r="J307" s="1745"/>
      <c r="K307" s="547"/>
      <c r="L307" s="547"/>
      <c r="M307" s="1745"/>
      <c r="N307" s="547"/>
      <c r="O307" s="990"/>
      <c r="P307" s="990"/>
      <c r="Q307" s="547"/>
      <c r="R307" s="547"/>
      <c r="S307" s="1745"/>
      <c r="T307" s="547"/>
      <c r="U307" s="989">
        <f t="shared" si="33"/>
        <v>0</v>
      </c>
      <c r="V307" s="547">
        <v>0</v>
      </c>
      <c r="W307" s="1264">
        <f t="shared" si="36"/>
        <v>0</v>
      </c>
      <c r="X307" s="547">
        <f t="shared" si="37"/>
        <v>0</v>
      </c>
      <c r="Y307" s="566"/>
      <c r="Z307" s="567"/>
      <c r="AA307" s="989">
        <f t="shared" si="38"/>
        <v>0</v>
      </c>
      <c r="AB307" s="812">
        <f t="shared" si="39"/>
        <v>0</v>
      </c>
    </row>
    <row r="308" spans="1:28" ht="27" hidden="1" customHeight="1">
      <c r="A308" s="531"/>
      <c r="B308" s="531">
        <v>1018</v>
      </c>
      <c r="C308" s="529">
        <v>17</v>
      </c>
      <c r="D308" s="530" t="s">
        <v>44</v>
      </c>
      <c r="E308" s="1028" t="s">
        <v>897</v>
      </c>
      <c r="F308" s="1576"/>
      <c r="G308" s="1576"/>
      <c r="H308" s="547"/>
      <c r="I308" s="1775"/>
      <c r="J308" s="1745"/>
      <c r="K308" s="547"/>
      <c r="L308" s="547"/>
      <c r="M308" s="1745"/>
      <c r="N308" s="547"/>
      <c r="O308" s="990"/>
      <c r="P308" s="990"/>
      <c r="Q308" s="547"/>
      <c r="R308" s="547"/>
      <c r="S308" s="1745"/>
      <c r="T308" s="547"/>
      <c r="U308" s="989">
        <f t="shared" si="33"/>
        <v>0</v>
      </c>
      <c r="V308" s="547">
        <v>0</v>
      </c>
      <c r="W308" s="1264">
        <f t="shared" si="36"/>
        <v>0</v>
      </c>
      <c r="X308" s="547">
        <f t="shared" si="37"/>
        <v>0</v>
      </c>
      <c r="Y308" s="566"/>
      <c r="Z308" s="567"/>
      <c r="AA308" s="989">
        <f t="shared" si="38"/>
        <v>0</v>
      </c>
      <c r="AB308" s="812">
        <f t="shared" si="39"/>
        <v>0</v>
      </c>
    </row>
    <row r="309" spans="1:28" ht="27" hidden="1" customHeight="1">
      <c r="A309" s="531"/>
      <c r="B309" s="531">
        <v>1018</v>
      </c>
      <c r="C309" s="529">
        <v>17</v>
      </c>
      <c r="D309" s="530" t="s">
        <v>949</v>
      </c>
      <c r="E309" s="1028" t="s">
        <v>950</v>
      </c>
      <c r="F309" s="1580">
        <v>-23904503093610</v>
      </c>
      <c r="G309" s="1578"/>
      <c r="H309" s="1806"/>
      <c r="I309" s="1745">
        <v>6773399464069</v>
      </c>
      <c r="J309" s="1760">
        <v>17131103629541</v>
      </c>
      <c r="K309" s="547"/>
      <c r="L309" s="1625"/>
      <c r="M309" s="1760"/>
      <c r="N309" s="547"/>
      <c r="O309" s="990"/>
      <c r="P309" s="990"/>
      <c r="Q309" s="547"/>
      <c r="R309" s="547"/>
      <c r="S309" s="1745"/>
      <c r="T309" s="547"/>
      <c r="U309" s="989">
        <f t="shared" si="33"/>
        <v>0</v>
      </c>
      <c r="V309" s="547">
        <v>0</v>
      </c>
      <c r="W309" s="1264">
        <f t="shared" si="36"/>
        <v>0</v>
      </c>
      <c r="X309" s="547">
        <f t="shared" si="37"/>
        <v>0</v>
      </c>
      <c r="Y309" s="566"/>
      <c r="Z309" s="567"/>
      <c r="AA309" s="989">
        <f t="shared" si="38"/>
        <v>0</v>
      </c>
      <c r="AB309" s="812">
        <f t="shared" si="39"/>
        <v>0</v>
      </c>
    </row>
    <row r="310" spans="1:28" ht="27" hidden="1" customHeight="1">
      <c r="A310" s="531" t="s">
        <v>1709</v>
      </c>
      <c r="B310" s="531">
        <v>1018</v>
      </c>
      <c r="C310" s="529">
        <v>17</v>
      </c>
      <c r="D310" s="1575" t="s">
        <v>47</v>
      </c>
      <c r="E310" s="1028" t="s">
        <v>1469</v>
      </c>
      <c r="F310" s="1580">
        <v>-5335727111423</v>
      </c>
      <c r="G310" s="1576">
        <v>1411731930</v>
      </c>
      <c r="H310" s="547">
        <v>6084615005128</v>
      </c>
      <c r="I310" s="1745">
        <v>-655494923041</v>
      </c>
      <c r="J310" s="1745">
        <v>-140937800000</v>
      </c>
      <c r="K310" s="547"/>
      <c r="L310" s="1625"/>
      <c r="M310" s="1760"/>
      <c r="N310" s="547"/>
      <c r="O310" s="990"/>
      <c r="P310" s="990"/>
      <c r="Q310" s="547"/>
      <c r="R310" s="547"/>
      <c r="S310" s="1745"/>
      <c r="T310" s="547"/>
      <c r="U310" s="1671">
        <f t="shared" si="33"/>
        <v>-46133097406</v>
      </c>
      <c r="V310" s="547">
        <v>-64524891407</v>
      </c>
      <c r="W310" s="1264">
        <f t="shared" si="36"/>
        <v>-46133</v>
      </c>
      <c r="X310" s="547">
        <f t="shared" si="37"/>
        <v>-64525</v>
      </c>
      <c r="Y310" s="566"/>
      <c r="Z310" s="567"/>
      <c r="AA310" s="989">
        <f t="shared" si="38"/>
        <v>-46133097406</v>
      </c>
      <c r="AB310" s="812">
        <f t="shared" si="39"/>
        <v>-46133</v>
      </c>
    </row>
    <row r="311" spans="1:28" ht="27" hidden="1" customHeight="1">
      <c r="A311" s="531"/>
      <c r="B311" s="531">
        <v>401</v>
      </c>
      <c r="C311" s="529">
        <v>11</v>
      </c>
      <c r="D311" s="530" t="s">
        <v>564</v>
      </c>
      <c r="E311" s="1028" t="s">
        <v>704</v>
      </c>
      <c r="F311" s="1579"/>
      <c r="G311" s="1576"/>
      <c r="H311" s="547"/>
      <c r="I311" s="547"/>
      <c r="J311" s="1745"/>
      <c r="K311" s="547"/>
      <c r="L311" s="547"/>
      <c r="M311" s="1745"/>
      <c r="N311" s="547"/>
      <c r="O311" s="990"/>
      <c r="P311" s="990"/>
      <c r="Q311" s="547"/>
      <c r="R311" s="547"/>
      <c r="S311" s="1745"/>
      <c r="T311" s="547"/>
      <c r="U311" s="1671">
        <f t="shared" si="33"/>
        <v>0</v>
      </c>
      <c r="V311" s="547">
        <v>58502000</v>
      </c>
      <c r="W311" s="1264">
        <f t="shared" si="36"/>
        <v>0</v>
      </c>
      <c r="X311" s="547">
        <f t="shared" si="37"/>
        <v>59</v>
      </c>
      <c r="Y311" s="566"/>
      <c r="Z311" s="567"/>
      <c r="AA311" s="989">
        <f t="shared" si="38"/>
        <v>0</v>
      </c>
      <c r="AB311" s="812">
        <f t="shared" si="39"/>
        <v>0</v>
      </c>
    </row>
    <row r="312" spans="1:28" ht="27" hidden="1" customHeight="1">
      <c r="A312" s="531"/>
      <c r="B312" s="531">
        <v>1018</v>
      </c>
      <c r="C312" s="529">
        <v>17</v>
      </c>
      <c r="D312" s="1575" t="s">
        <v>47</v>
      </c>
      <c r="E312" s="1028" t="s">
        <v>555</v>
      </c>
      <c r="F312" s="1576"/>
      <c r="G312" s="1576"/>
      <c r="H312" s="547"/>
      <c r="I312" s="547"/>
      <c r="J312" s="1745"/>
      <c r="K312" s="547"/>
      <c r="L312" s="547"/>
      <c r="M312" s="1745"/>
      <c r="N312" s="547"/>
      <c r="O312" s="990"/>
      <c r="P312" s="990"/>
      <c r="Q312" s="547"/>
      <c r="R312" s="547"/>
      <c r="S312" s="1745"/>
      <c r="T312" s="547"/>
      <c r="U312" s="989">
        <f t="shared" si="33"/>
        <v>0</v>
      </c>
      <c r="V312" s="547">
        <v>0</v>
      </c>
      <c r="W312" s="1264">
        <f t="shared" si="36"/>
        <v>0</v>
      </c>
      <c r="X312" s="547">
        <f t="shared" si="37"/>
        <v>0</v>
      </c>
      <c r="Y312" s="566"/>
      <c r="Z312" s="567"/>
      <c r="AA312" s="989">
        <f t="shared" si="38"/>
        <v>0</v>
      </c>
      <c r="AB312" s="812">
        <f t="shared" si="39"/>
        <v>0</v>
      </c>
    </row>
    <row r="313" spans="1:28" ht="27" hidden="1" customHeight="1">
      <c r="A313" s="531"/>
      <c r="B313" s="531">
        <v>1018</v>
      </c>
      <c r="C313" s="529">
        <v>17</v>
      </c>
      <c r="D313" s="530" t="s">
        <v>954</v>
      </c>
      <c r="E313" s="1028" t="s">
        <v>955</v>
      </c>
      <c r="F313" s="1580">
        <v>-7741604763</v>
      </c>
      <c r="G313" s="1578">
        <v>2666396373</v>
      </c>
      <c r="H313" s="1806"/>
      <c r="I313" s="547">
        <v>4912317457</v>
      </c>
      <c r="J313" s="1745">
        <v>162890933</v>
      </c>
      <c r="K313" s="547"/>
      <c r="L313" s="1625"/>
      <c r="M313" s="1760"/>
      <c r="N313" s="547"/>
      <c r="O313" s="990"/>
      <c r="P313" s="990"/>
      <c r="Q313" s="547"/>
      <c r="R313" s="547"/>
      <c r="S313" s="1745"/>
      <c r="T313" s="547"/>
      <c r="U313" s="989">
        <f t="shared" si="33"/>
        <v>0</v>
      </c>
      <c r="V313" s="547">
        <v>0</v>
      </c>
      <c r="W313" s="1264">
        <f t="shared" si="36"/>
        <v>0</v>
      </c>
      <c r="X313" s="547">
        <f t="shared" si="37"/>
        <v>0</v>
      </c>
      <c r="Y313" s="566"/>
      <c r="Z313" s="567"/>
      <c r="AA313" s="989">
        <f t="shared" si="38"/>
        <v>0</v>
      </c>
      <c r="AB313" s="812">
        <f t="shared" si="39"/>
        <v>0</v>
      </c>
    </row>
    <row r="314" spans="1:28" ht="27" hidden="1" customHeight="1">
      <c r="A314" s="531"/>
      <c r="B314" s="531">
        <v>1018</v>
      </c>
      <c r="C314" s="529">
        <v>17</v>
      </c>
      <c r="D314" s="530" t="s">
        <v>1103</v>
      </c>
      <c r="E314" s="1028" t="s">
        <v>1104</v>
      </c>
      <c r="F314" s="1580"/>
      <c r="G314" s="1578"/>
      <c r="H314" s="547"/>
      <c r="I314" s="547"/>
      <c r="J314" s="1745"/>
      <c r="K314" s="547"/>
      <c r="L314" s="547"/>
      <c r="M314" s="1745"/>
      <c r="N314" s="547"/>
      <c r="O314" s="990"/>
      <c r="P314" s="990"/>
      <c r="Q314" s="547"/>
      <c r="R314" s="547"/>
      <c r="S314" s="1745"/>
      <c r="T314" s="547"/>
      <c r="U314" s="989">
        <f t="shared" si="33"/>
        <v>0</v>
      </c>
      <c r="V314" s="547">
        <v>0</v>
      </c>
      <c r="W314" s="1264">
        <f t="shared" si="36"/>
        <v>0</v>
      </c>
      <c r="X314" s="547">
        <f t="shared" si="37"/>
        <v>0</v>
      </c>
      <c r="Y314" s="566"/>
      <c r="Z314" s="567"/>
      <c r="AA314" s="989">
        <f t="shared" si="38"/>
        <v>0</v>
      </c>
      <c r="AB314" s="812">
        <f t="shared" si="39"/>
        <v>0</v>
      </c>
    </row>
    <row r="315" spans="1:28" ht="27" hidden="1" customHeight="1">
      <c r="A315" s="531"/>
      <c r="B315" s="531">
        <v>1018</v>
      </c>
      <c r="C315" s="529">
        <v>17</v>
      </c>
      <c r="D315" s="530" t="s">
        <v>56</v>
      </c>
      <c r="E315" s="1028" t="s">
        <v>597</v>
      </c>
      <c r="F315" s="1576"/>
      <c r="G315" s="1576"/>
      <c r="H315" s="547"/>
      <c r="I315" s="547"/>
      <c r="J315" s="1745"/>
      <c r="K315" s="547"/>
      <c r="L315" s="547"/>
      <c r="M315" s="1745"/>
      <c r="N315" s="547"/>
      <c r="O315" s="990"/>
      <c r="P315" s="990"/>
      <c r="Q315" s="547"/>
      <c r="R315" s="547"/>
      <c r="S315" s="1745"/>
      <c r="T315" s="547"/>
      <c r="U315" s="989">
        <f t="shared" si="33"/>
        <v>0</v>
      </c>
      <c r="V315" s="547">
        <v>0</v>
      </c>
      <c r="W315" s="1264">
        <f t="shared" si="36"/>
        <v>0</v>
      </c>
      <c r="X315" s="547">
        <f t="shared" si="37"/>
        <v>0</v>
      </c>
      <c r="Y315" s="566"/>
      <c r="Z315" s="567"/>
      <c r="AA315" s="989">
        <f t="shared" si="38"/>
        <v>0</v>
      </c>
      <c r="AB315" s="812">
        <f t="shared" si="39"/>
        <v>0</v>
      </c>
    </row>
    <row r="316" spans="1:28" ht="27" hidden="1" customHeight="1">
      <c r="A316" s="531"/>
      <c r="B316" s="531">
        <v>1008</v>
      </c>
      <c r="C316" s="529">
        <v>17</v>
      </c>
      <c r="D316" s="530" t="s">
        <v>511</v>
      </c>
      <c r="E316" s="1028" t="s">
        <v>512</v>
      </c>
      <c r="F316" s="1576"/>
      <c r="G316" s="1576"/>
      <c r="H316" s="547"/>
      <c r="I316" s="547"/>
      <c r="J316" s="1746"/>
      <c r="K316" s="547"/>
      <c r="L316" s="547"/>
      <c r="M316" s="1745"/>
      <c r="N316" s="547"/>
      <c r="O316" s="990"/>
      <c r="P316" s="990"/>
      <c r="Q316" s="547"/>
      <c r="R316" s="547"/>
      <c r="S316" s="1745"/>
      <c r="T316" s="547"/>
      <c r="U316" s="989">
        <f t="shared" si="33"/>
        <v>0</v>
      </c>
      <c r="V316" s="547">
        <v>0</v>
      </c>
      <c r="W316" s="1264">
        <f t="shared" si="36"/>
        <v>0</v>
      </c>
      <c r="X316" s="547">
        <f t="shared" si="37"/>
        <v>0</v>
      </c>
      <c r="Y316" s="566"/>
      <c r="Z316" s="567"/>
      <c r="AA316" s="989">
        <f t="shared" si="38"/>
        <v>0</v>
      </c>
      <c r="AB316" s="812">
        <f t="shared" si="39"/>
        <v>0</v>
      </c>
    </row>
    <row r="317" spans="1:28" ht="27" hidden="1" customHeight="1">
      <c r="A317" s="531"/>
      <c r="B317" s="531">
        <v>401</v>
      </c>
      <c r="C317" s="529">
        <v>11</v>
      </c>
      <c r="D317" s="530" t="s">
        <v>184</v>
      </c>
      <c r="E317" s="1028" t="s">
        <v>831</v>
      </c>
      <c r="F317" s="1576"/>
      <c r="G317" s="1576"/>
      <c r="H317" s="547"/>
      <c r="I317" s="547"/>
      <c r="J317" s="1745"/>
      <c r="K317" s="547"/>
      <c r="L317" s="547"/>
      <c r="M317" s="1745"/>
      <c r="N317" s="547"/>
      <c r="O317" s="990"/>
      <c r="P317" s="990"/>
      <c r="Q317" s="547"/>
      <c r="R317" s="547"/>
      <c r="S317" s="1745"/>
      <c r="T317" s="547"/>
      <c r="U317" s="989">
        <f t="shared" si="33"/>
        <v>0</v>
      </c>
      <c r="V317" s="547">
        <v>0</v>
      </c>
      <c r="W317" s="1264">
        <f t="shared" si="36"/>
        <v>0</v>
      </c>
      <c r="X317" s="547">
        <f t="shared" si="37"/>
        <v>0</v>
      </c>
      <c r="Y317" s="566"/>
      <c r="Z317" s="567"/>
      <c r="AA317" s="989">
        <f t="shared" si="38"/>
        <v>0</v>
      </c>
      <c r="AB317" s="812">
        <f t="shared" si="39"/>
        <v>0</v>
      </c>
    </row>
    <row r="318" spans="1:28" ht="27" hidden="1" customHeight="1">
      <c r="A318" s="531"/>
      <c r="B318" s="531">
        <v>401</v>
      </c>
      <c r="C318" s="529">
        <v>11</v>
      </c>
      <c r="D318" s="530" t="s">
        <v>479</v>
      </c>
      <c r="E318" s="1028" t="s">
        <v>701</v>
      </c>
      <c r="F318" s="1579">
        <v>127500000</v>
      </c>
      <c r="G318" s="1576"/>
      <c r="H318" s="547"/>
      <c r="I318" s="547"/>
      <c r="J318" s="1745"/>
      <c r="K318" s="547"/>
      <c r="L318" s="547"/>
      <c r="M318" s="1745"/>
      <c r="N318" s="547"/>
      <c r="O318" s="990"/>
      <c r="P318" s="990"/>
      <c r="Q318" s="547"/>
      <c r="R318" s="547"/>
      <c r="S318" s="1745"/>
      <c r="T318" s="547"/>
      <c r="U318" s="1671">
        <f t="shared" si="33"/>
        <v>127500000</v>
      </c>
      <c r="V318" s="547">
        <v>217500000</v>
      </c>
      <c r="W318" s="1264">
        <f>ROUND((U318/1000000),0)</f>
        <v>128</v>
      </c>
      <c r="X318" s="547">
        <f t="shared" si="37"/>
        <v>218</v>
      </c>
      <c r="Y318" s="566"/>
      <c r="Z318" s="567"/>
      <c r="AA318" s="989">
        <f t="shared" si="38"/>
        <v>127500000</v>
      </c>
      <c r="AB318" s="812">
        <f t="shared" si="39"/>
        <v>128</v>
      </c>
    </row>
    <row r="319" spans="1:28" ht="27" hidden="1" customHeight="1">
      <c r="A319" s="531"/>
      <c r="B319" s="531">
        <v>1008</v>
      </c>
      <c r="C319" s="529">
        <v>17</v>
      </c>
      <c r="D319" s="530">
        <v>90006721</v>
      </c>
      <c r="E319" s="1028" t="s">
        <v>1763</v>
      </c>
      <c r="F319" s="1576"/>
      <c r="G319" s="1576"/>
      <c r="H319" s="547"/>
      <c r="I319" s="547"/>
      <c r="J319" s="1745"/>
      <c r="K319" s="547"/>
      <c r="L319" s="1775"/>
      <c r="M319" s="1775"/>
      <c r="N319" s="547"/>
      <c r="O319" s="1759"/>
      <c r="P319" s="990"/>
      <c r="Q319" s="547"/>
      <c r="R319" s="547"/>
      <c r="S319" s="1745"/>
      <c r="T319" s="547"/>
      <c r="U319" s="989">
        <f t="shared" si="33"/>
        <v>0</v>
      </c>
      <c r="V319" s="547">
        <v>0</v>
      </c>
      <c r="W319" s="1264">
        <f t="shared" ref="W319:W359" si="40">ROUND((U319/1000000),0)</f>
        <v>0</v>
      </c>
      <c r="X319" s="547">
        <f t="shared" si="37"/>
        <v>0</v>
      </c>
      <c r="Y319" s="566"/>
      <c r="Z319" s="567"/>
      <c r="AA319" s="989">
        <f t="shared" si="38"/>
        <v>0</v>
      </c>
      <c r="AB319" s="812">
        <f t="shared" si="39"/>
        <v>0</v>
      </c>
    </row>
    <row r="320" spans="1:28" ht="27" hidden="1" customHeight="1">
      <c r="A320" s="531"/>
      <c r="B320" s="531">
        <v>1008</v>
      </c>
      <c r="C320" s="529">
        <v>17</v>
      </c>
      <c r="D320" s="1575" t="s">
        <v>513</v>
      </c>
      <c r="E320" s="1028" t="s">
        <v>279</v>
      </c>
      <c r="F320" s="1580">
        <v>-387575617996</v>
      </c>
      <c r="G320" s="1583">
        <v>-5675393670</v>
      </c>
      <c r="H320" s="1583"/>
      <c r="I320" s="547">
        <v>-1186912785</v>
      </c>
      <c r="J320" s="1746"/>
      <c r="K320" s="547"/>
      <c r="L320" s="547"/>
      <c r="M320" s="1745"/>
      <c r="N320" s="547"/>
      <c r="O320" s="990"/>
      <c r="P320" s="990"/>
      <c r="Q320" s="547"/>
      <c r="R320" s="547"/>
      <c r="S320" s="1745"/>
      <c r="T320" s="547"/>
      <c r="U320" s="989">
        <f t="shared" si="33"/>
        <v>-394437924451</v>
      </c>
      <c r="V320" s="547">
        <v>-284590696945</v>
      </c>
      <c r="W320" s="1264">
        <f t="shared" si="40"/>
        <v>-394438</v>
      </c>
      <c r="X320" s="547">
        <f t="shared" si="37"/>
        <v>-284591</v>
      </c>
      <c r="Y320" s="566"/>
      <c r="Z320" s="567"/>
      <c r="AA320" s="989">
        <f t="shared" si="38"/>
        <v>-394437924451</v>
      </c>
      <c r="AB320" s="812">
        <f t="shared" si="39"/>
        <v>-394438</v>
      </c>
    </row>
    <row r="321" spans="1:28" ht="27" hidden="1" customHeight="1">
      <c r="A321" s="531">
        <v>3214</v>
      </c>
      <c r="B321" s="531">
        <v>1007</v>
      </c>
      <c r="C321" s="529">
        <v>17</v>
      </c>
      <c r="D321" s="1575" t="s">
        <v>513</v>
      </c>
      <c r="E321" s="1028" t="s">
        <v>1443</v>
      </c>
      <c r="F321" s="1576"/>
      <c r="G321" s="1576"/>
      <c r="H321" s="547"/>
      <c r="I321" s="547"/>
      <c r="J321" s="1746">
        <v>-4893349731488</v>
      </c>
      <c r="K321" s="547"/>
      <c r="L321" s="1625"/>
      <c r="M321" s="1760"/>
      <c r="N321" s="547">
        <v>4375144857092</v>
      </c>
      <c r="O321" s="990">
        <v>46170420687</v>
      </c>
      <c r="P321" s="990"/>
      <c r="Q321" s="547"/>
      <c r="R321" s="547"/>
      <c r="S321" s="1745"/>
      <c r="T321" s="547"/>
      <c r="U321" s="989">
        <f t="shared" si="33"/>
        <v>-472034453709</v>
      </c>
      <c r="V321" s="547">
        <v>-1939524140814</v>
      </c>
      <c r="W321" s="1264">
        <f t="shared" si="40"/>
        <v>-472034</v>
      </c>
      <c r="X321" s="547">
        <f t="shared" si="37"/>
        <v>-1939524</v>
      </c>
      <c r="Y321" s="566"/>
      <c r="Z321" s="567"/>
      <c r="AA321" s="989">
        <f t="shared" si="38"/>
        <v>-472034453709</v>
      </c>
      <c r="AB321" s="812">
        <f t="shared" si="39"/>
        <v>-472034</v>
      </c>
    </row>
    <row r="322" spans="1:28" ht="27" hidden="1" customHeight="1">
      <c r="A322" s="531"/>
      <c r="B322" s="531">
        <v>1008</v>
      </c>
      <c r="C322" s="529">
        <v>17</v>
      </c>
      <c r="D322" s="1575" t="s">
        <v>543</v>
      </c>
      <c r="E322" s="1028" t="s">
        <v>544</v>
      </c>
      <c r="F322" s="1580">
        <v>-813158465469</v>
      </c>
      <c r="G322" s="1583">
        <v>-10216519334</v>
      </c>
      <c r="H322" s="1583"/>
      <c r="I322" s="1811">
        <v>-259716031</v>
      </c>
      <c r="J322" s="1746"/>
      <c r="K322" s="1775"/>
      <c r="L322" s="547"/>
      <c r="M322" s="1745"/>
      <c r="N322" s="547"/>
      <c r="O322" s="990">
        <v>-25543462619</v>
      </c>
      <c r="P322" s="990"/>
      <c r="Q322" s="547"/>
      <c r="R322" s="547"/>
      <c r="S322" s="1745"/>
      <c r="T322" s="547"/>
      <c r="U322" s="989">
        <f t="shared" si="33"/>
        <v>-849178163453</v>
      </c>
      <c r="V322" s="547">
        <v>-663132674155</v>
      </c>
      <c r="W322" s="1264">
        <f t="shared" si="40"/>
        <v>-849178</v>
      </c>
      <c r="X322" s="547">
        <f t="shared" si="37"/>
        <v>-663133</v>
      </c>
      <c r="Y322" s="566"/>
      <c r="Z322" s="567"/>
      <c r="AA322" s="989">
        <f t="shared" si="38"/>
        <v>-849178163453</v>
      </c>
      <c r="AB322" s="812">
        <f t="shared" si="39"/>
        <v>-849178</v>
      </c>
    </row>
    <row r="323" spans="1:28" ht="27" hidden="1" customHeight="1">
      <c r="A323" s="531">
        <v>3214</v>
      </c>
      <c r="B323" s="531">
        <v>1007</v>
      </c>
      <c r="C323" s="529">
        <v>17</v>
      </c>
      <c r="D323" s="1575" t="s">
        <v>543</v>
      </c>
      <c r="E323" s="1028" t="s">
        <v>1442</v>
      </c>
      <c r="F323" s="1576"/>
      <c r="G323" s="1576"/>
      <c r="H323" s="547"/>
      <c r="I323" s="547"/>
      <c r="J323" s="1746">
        <v>-5343560682139</v>
      </c>
      <c r="K323" s="547"/>
      <c r="L323" s="1625"/>
      <c r="M323" s="1760"/>
      <c r="N323" s="547">
        <v>4738162947037</v>
      </c>
      <c r="O323" s="1625">
        <v>53939029704</v>
      </c>
      <c r="P323" s="990"/>
      <c r="Q323" s="547"/>
      <c r="R323" s="547"/>
      <c r="S323" s="1745"/>
      <c r="T323" s="547"/>
      <c r="U323" s="989">
        <f t="shared" si="33"/>
        <v>-551458705398</v>
      </c>
      <c r="V323" s="547">
        <v>-2020411007157</v>
      </c>
      <c r="W323" s="1264">
        <f t="shared" si="40"/>
        <v>-551459</v>
      </c>
      <c r="X323" s="547">
        <f t="shared" si="37"/>
        <v>-2020411</v>
      </c>
      <c r="Y323" s="566"/>
      <c r="Z323" s="567"/>
      <c r="AA323" s="989">
        <f t="shared" si="38"/>
        <v>-551458705398</v>
      </c>
      <c r="AB323" s="812">
        <f t="shared" si="39"/>
        <v>-551459</v>
      </c>
    </row>
    <row r="324" spans="1:28" ht="27" hidden="1" customHeight="1">
      <c r="A324" s="531"/>
      <c r="B324" s="531">
        <v>1008</v>
      </c>
      <c r="C324" s="529">
        <v>17</v>
      </c>
      <c r="D324" s="530" t="s">
        <v>545</v>
      </c>
      <c r="E324" s="1028" t="s">
        <v>510</v>
      </c>
      <c r="F324" s="1580"/>
      <c r="G324" s="1583"/>
      <c r="H324" s="1807"/>
      <c r="I324" s="547"/>
      <c r="J324" s="1746"/>
      <c r="K324" s="547"/>
      <c r="L324" s="547"/>
      <c r="M324" s="1745"/>
      <c r="N324" s="547"/>
      <c r="O324" s="990"/>
      <c r="P324" s="990"/>
      <c r="Q324" s="547"/>
      <c r="R324" s="547"/>
      <c r="S324" s="1745"/>
      <c r="T324" s="547"/>
      <c r="U324" s="989">
        <f t="shared" si="33"/>
        <v>0</v>
      </c>
      <c r="V324" s="547">
        <v>0</v>
      </c>
      <c r="W324" s="1264">
        <f t="shared" si="40"/>
        <v>0</v>
      </c>
      <c r="X324" s="547">
        <f t="shared" si="37"/>
        <v>0</v>
      </c>
      <c r="Y324" s="566"/>
      <c r="Z324" s="567"/>
      <c r="AA324" s="989">
        <f t="shared" si="38"/>
        <v>0</v>
      </c>
      <c r="AB324" s="812">
        <f t="shared" si="39"/>
        <v>0</v>
      </c>
    </row>
    <row r="325" spans="1:28" ht="27" hidden="1" customHeight="1">
      <c r="A325" s="1742">
        <v>3214</v>
      </c>
      <c r="B325" s="1742">
        <v>1007</v>
      </c>
      <c r="C325" s="1743">
        <v>17</v>
      </c>
      <c r="D325" s="1753" t="s">
        <v>2426</v>
      </c>
      <c r="E325" s="1754" t="s">
        <v>2427</v>
      </c>
      <c r="F325" s="1744"/>
      <c r="G325" s="1758"/>
      <c r="H325" s="2036"/>
      <c r="I325" s="1775"/>
      <c r="J325" s="1746">
        <v>-677734396856</v>
      </c>
      <c r="K325" s="1745"/>
      <c r="L325" s="1745"/>
      <c r="M325" s="1745"/>
      <c r="N325" s="1745">
        <v>677734396856</v>
      </c>
      <c r="O325" s="1746"/>
      <c r="P325" s="1746"/>
      <c r="Q325" s="1745"/>
      <c r="R325" s="1745"/>
      <c r="S325" s="1745"/>
      <c r="T325" s="1745"/>
      <c r="U325" s="989">
        <f t="shared" si="33"/>
        <v>0</v>
      </c>
      <c r="V325" s="1745"/>
      <c r="W325" s="1264">
        <f t="shared" si="40"/>
        <v>0</v>
      </c>
      <c r="X325" s="547">
        <f t="shared" si="37"/>
        <v>0</v>
      </c>
      <c r="Y325" s="1747"/>
      <c r="Z325" s="1748"/>
      <c r="AA325" s="989">
        <f t="shared" si="38"/>
        <v>0</v>
      </c>
      <c r="AB325" s="812">
        <f t="shared" si="39"/>
        <v>0</v>
      </c>
    </row>
    <row r="326" spans="1:28" ht="27" hidden="1" customHeight="1">
      <c r="A326" s="531">
        <v>3214</v>
      </c>
      <c r="B326" s="531">
        <v>1007</v>
      </c>
      <c r="C326" s="529">
        <v>17</v>
      </c>
      <c r="D326" s="530" t="s">
        <v>1706</v>
      </c>
      <c r="E326" s="1028" t="s">
        <v>1707</v>
      </c>
      <c r="F326" s="1576"/>
      <c r="G326" s="1576"/>
      <c r="H326" s="547"/>
      <c r="I326" s="1775"/>
      <c r="J326" s="1746"/>
      <c r="K326" s="547"/>
      <c r="L326" s="1625"/>
      <c r="M326" s="1760"/>
      <c r="N326" s="547"/>
      <c r="O326" s="990"/>
      <c r="P326" s="990"/>
      <c r="Q326" s="547"/>
      <c r="R326" s="547"/>
      <c r="S326" s="1745"/>
      <c r="T326" s="547"/>
      <c r="U326" s="989">
        <f t="shared" si="33"/>
        <v>0</v>
      </c>
      <c r="V326" s="547">
        <v>-509888217416</v>
      </c>
      <c r="W326" s="1264">
        <f t="shared" si="40"/>
        <v>0</v>
      </c>
      <c r="X326" s="547">
        <f t="shared" si="37"/>
        <v>-509888</v>
      </c>
      <c r="Y326" s="566"/>
      <c r="Z326" s="567"/>
      <c r="AA326" s="989">
        <f t="shared" si="38"/>
        <v>0</v>
      </c>
      <c r="AB326" s="812">
        <f t="shared" si="39"/>
        <v>0</v>
      </c>
    </row>
    <row r="327" spans="1:28" ht="27" hidden="1" customHeight="1">
      <c r="A327" s="531"/>
      <c r="B327" s="531">
        <v>501</v>
      </c>
      <c r="C327" s="529">
        <v>13</v>
      </c>
      <c r="D327" s="530" t="s">
        <v>449</v>
      </c>
      <c r="E327" s="1028" t="s">
        <v>1609</v>
      </c>
      <c r="F327" s="1576"/>
      <c r="G327" s="1576"/>
      <c r="H327" s="547"/>
      <c r="I327" s="547"/>
      <c r="J327" s="1745"/>
      <c r="K327" s="547"/>
      <c r="L327" s="547"/>
      <c r="M327" s="1745"/>
      <c r="N327" s="547"/>
      <c r="O327" s="990"/>
      <c r="P327" s="990"/>
      <c r="Q327" s="547"/>
      <c r="R327" s="547"/>
      <c r="S327" s="1745"/>
      <c r="T327" s="547"/>
      <c r="U327" s="989">
        <f t="shared" ref="U327:U390" si="41">SUM(F327:T327)</f>
        <v>0</v>
      </c>
      <c r="V327" s="547">
        <v>0</v>
      </c>
      <c r="W327" s="1264">
        <f t="shared" si="40"/>
        <v>0</v>
      </c>
      <c r="X327" s="547">
        <f t="shared" si="37"/>
        <v>0</v>
      </c>
      <c r="Y327" s="566"/>
      <c r="Z327" s="567"/>
      <c r="AA327" s="989">
        <f t="shared" si="38"/>
        <v>0</v>
      </c>
      <c r="AB327" s="812">
        <f t="shared" si="39"/>
        <v>0</v>
      </c>
    </row>
    <row r="328" spans="1:28" ht="27" hidden="1" customHeight="1">
      <c r="A328" s="531"/>
      <c r="B328" s="531">
        <v>1008</v>
      </c>
      <c r="C328" s="529">
        <v>17</v>
      </c>
      <c r="D328" s="1575" t="s">
        <v>499</v>
      </c>
      <c r="E328" s="1028" t="s">
        <v>694</v>
      </c>
      <c r="F328" s="1580">
        <v>-14377838062</v>
      </c>
      <c r="G328" s="1576">
        <v>-350000000</v>
      </c>
      <c r="H328" s="547"/>
      <c r="I328" s="547"/>
      <c r="J328" s="1746"/>
      <c r="K328" s="547"/>
      <c r="L328" s="547"/>
      <c r="M328" s="1745"/>
      <c r="N328" s="547"/>
      <c r="O328" s="990"/>
      <c r="P328" s="990"/>
      <c r="Q328" s="547"/>
      <c r="R328" s="547"/>
      <c r="S328" s="1745"/>
      <c r="T328" s="547"/>
      <c r="U328" s="989">
        <f t="shared" si="41"/>
        <v>-14727838062</v>
      </c>
      <c r="V328" s="547">
        <v>-14528583013</v>
      </c>
      <c r="W328" s="1264">
        <f t="shared" si="40"/>
        <v>-14728</v>
      </c>
      <c r="X328" s="547">
        <f t="shared" si="37"/>
        <v>-14529</v>
      </c>
      <c r="Y328" s="566"/>
      <c r="Z328" s="567"/>
      <c r="AA328" s="989">
        <f t="shared" si="38"/>
        <v>-14727838062</v>
      </c>
      <c r="AB328" s="812">
        <f t="shared" si="39"/>
        <v>-14728</v>
      </c>
    </row>
    <row r="329" spans="1:28" ht="27" hidden="1" customHeight="1">
      <c r="A329" s="531"/>
      <c r="B329" s="531">
        <v>501</v>
      </c>
      <c r="C329" s="529">
        <v>13</v>
      </c>
      <c r="D329" s="530" t="s">
        <v>452</v>
      </c>
      <c r="E329" s="1028" t="s">
        <v>1610</v>
      </c>
      <c r="F329" s="1579"/>
      <c r="G329" s="1576"/>
      <c r="H329" s="547"/>
      <c r="I329" s="547"/>
      <c r="J329" s="1745"/>
      <c r="K329" s="547"/>
      <c r="L329" s="547"/>
      <c r="M329" s="1745"/>
      <c r="N329" s="547"/>
      <c r="O329" s="990"/>
      <c r="P329" s="990"/>
      <c r="Q329" s="547"/>
      <c r="R329" s="547"/>
      <c r="S329" s="1745"/>
      <c r="T329" s="547"/>
      <c r="U329" s="989">
        <f t="shared" si="41"/>
        <v>0</v>
      </c>
      <c r="V329" s="547">
        <v>0</v>
      </c>
      <c r="W329" s="1264">
        <f t="shared" si="40"/>
        <v>0</v>
      </c>
      <c r="X329" s="547">
        <f t="shared" si="37"/>
        <v>0</v>
      </c>
      <c r="Y329" s="566"/>
      <c r="Z329" s="567"/>
      <c r="AA329" s="989">
        <f t="shared" si="38"/>
        <v>0</v>
      </c>
      <c r="AB329" s="812">
        <f t="shared" si="39"/>
        <v>0</v>
      </c>
    </row>
    <row r="330" spans="1:28" ht="27" hidden="1" customHeight="1">
      <c r="A330" s="531"/>
      <c r="B330" s="531">
        <v>908</v>
      </c>
      <c r="C330" s="529">
        <v>8</v>
      </c>
      <c r="D330" s="530" t="s">
        <v>454</v>
      </c>
      <c r="E330" s="1028" t="s">
        <v>1012</v>
      </c>
      <c r="F330" s="1576"/>
      <c r="G330" s="1576"/>
      <c r="H330" s="547"/>
      <c r="I330" s="547"/>
      <c r="J330" s="1745"/>
      <c r="K330" s="547"/>
      <c r="L330" s="547"/>
      <c r="M330" s="1745"/>
      <c r="N330" s="547"/>
      <c r="O330" s="990"/>
      <c r="P330" s="990"/>
      <c r="Q330" s="547"/>
      <c r="R330" s="547"/>
      <c r="S330" s="1745"/>
      <c r="T330" s="547"/>
      <c r="U330" s="989">
        <f t="shared" si="41"/>
        <v>0</v>
      </c>
      <c r="V330" s="547">
        <v>0</v>
      </c>
      <c r="W330" s="1264">
        <f t="shared" si="40"/>
        <v>0</v>
      </c>
      <c r="X330" s="547">
        <f t="shared" si="37"/>
        <v>0</v>
      </c>
      <c r="Y330" s="566"/>
      <c r="Z330" s="567"/>
      <c r="AA330" s="989">
        <f t="shared" si="38"/>
        <v>0</v>
      </c>
      <c r="AB330" s="812">
        <f t="shared" si="39"/>
        <v>0</v>
      </c>
    </row>
    <row r="331" spans="1:28" ht="27" hidden="1" customHeight="1">
      <c r="A331" s="531"/>
      <c r="B331" s="531">
        <v>501</v>
      </c>
      <c r="C331" s="529">
        <v>13</v>
      </c>
      <c r="D331" s="530" t="s">
        <v>460</v>
      </c>
      <c r="E331" s="1028" t="s">
        <v>757</v>
      </c>
      <c r="F331" s="1579">
        <v>5344437313739</v>
      </c>
      <c r="G331" s="1576">
        <v>-114478281891</v>
      </c>
      <c r="H331" s="547"/>
      <c r="I331" s="547"/>
      <c r="J331" s="1760"/>
      <c r="K331" s="1760"/>
      <c r="L331" s="547"/>
      <c r="M331" s="1745"/>
      <c r="N331" s="1745"/>
      <c r="O331" s="990"/>
      <c r="P331" s="990"/>
      <c r="Q331" s="547"/>
      <c r="R331" s="547"/>
      <c r="S331" s="1745"/>
      <c r="T331" s="547"/>
      <c r="U331" s="989">
        <f t="shared" si="41"/>
        <v>5229959031848</v>
      </c>
      <c r="V331" s="547">
        <v>4016670049132</v>
      </c>
      <c r="W331" s="1264">
        <f t="shared" si="40"/>
        <v>5229959</v>
      </c>
      <c r="X331" s="547">
        <f t="shared" si="37"/>
        <v>4016670</v>
      </c>
      <c r="Y331" s="566"/>
      <c r="Z331" s="567"/>
      <c r="AA331" s="989">
        <f t="shared" si="38"/>
        <v>5229959031848</v>
      </c>
      <c r="AB331" s="812">
        <f t="shared" si="39"/>
        <v>5229959</v>
      </c>
    </row>
    <row r="332" spans="1:28" ht="27" hidden="1" customHeight="1">
      <c r="A332" s="531"/>
      <c r="B332" s="531">
        <v>501</v>
      </c>
      <c r="C332" s="529">
        <v>13</v>
      </c>
      <c r="D332" s="530" t="s">
        <v>460</v>
      </c>
      <c r="E332" s="1028" t="s">
        <v>758</v>
      </c>
      <c r="F332" s="1576"/>
      <c r="G332" s="1576"/>
      <c r="H332" s="547"/>
      <c r="I332" s="547"/>
      <c r="J332" s="1745"/>
      <c r="K332" s="547"/>
      <c r="L332" s="547"/>
      <c r="M332" s="1745"/>
      <c r="N332" s="547"/>
      <c r="O332" s="990"/>
      <c r="P332" s="990"/>
      <c r="Q332" s="547"/>
      <c r="R332" s="547"/>
      <c r="S332" s="1745"/>
      <c r="T332" s="547"/>
      <c r="U332" s="989">
        <f t="shared" si="41"/>
        <v>0</v>
      </c>
      <c r="V332" s="547">
        <v>0</v>
      </c>
      <c r="W332" s="1264">
        <f t="shared" si="40"/>
        <v>0</v>
      </c>
      <c r="X332" s="547">
        <f t="shared" si="37"/>
        <v>0</v>
      </c>
      <c r="Y332" s="566"/>
      <c r="Z332" s="567"/>
      <c r="AA332" s="989">
        <f t="shared" si="38"/>
        <v>0</v>
      </c>
      <c r="AB332" s="812">
        <f t="shared" si="39"/>
        <v>0</v>
      </c>
    </row>
    <row r="333" spans="1:28" ht="27" hidden="1" customHeight="1">
      <c r="A333" s="531"/>
      <c r="B333" s="531">
        <v>503</v>
      </c>
      <c r="C333" s="529">
        <v>13</v>
      </c>
      <c r="D333" s="530" t="s">
        <v>460</v>
      </c>
      <c r="E333" s="1028" t="s">
        <v>759</v>
      </c>
      <c r="F333" s="1579"/>
      <c r="G333" s="1576"/>
      <c r="H333" s="547"/>
      <c r="I333" s="547"/>
      <c r="J333" s="1745"/>
      <c r="K333" s="547"/>
      <c r="L333" s="547"/>
      <c r="M333" s="1745"/>
      <c r="N333" s="547"/>
      <c r="O333" s="990"/>
      <c r="P333" s="990"/>
      <c r="Q333" s="547"/>
      <c r="R333" s="547"/>
      <c r="S333" s="1745"/>
      <c r="T333" s="547"/>
      <c r="U333" s="989">
        <f t="shared" si="41"/>
        <v>0</v>
      </c>
      <c r="V333" s="547">
        <v>0</v>
      </c>
      <c r="W333" s="1264">
        <f t="shared" si="40"/>
        <v>0</v>
      </c>
      <c r="X333" s="547">
        <f t="shared" si="37"/>
        <v>0</v>
      </c>
      <c r="Y333" s="566"/>
      <c r="Z333" s="567"/>
      <c r="AA333" s="989">
        <f t="shared" si="38"/>
        <v>0</v>
      </c>
      <c r="AB333" s="812">
        <f t="shared" si="39"/>
        <v>0</v>
      </c>
    </row>
    <row r="334" spans="1:28" ht="27" hidden="1" customHeight="1">
      <c r="A334" s="531"/>
      <c r="B334" s="531">
        <v>908</v>
      </c>
      <c r="C334" s="529">
        <v>8</v>
      </c>
      <c r="D334" s="530" t="s">
        <v>462</v>
      </c>
      <c r="E334" s="1028" t="s">
        <v>463</v>
      </c>
      <c r="F334" s="1579">
        <v>483514826410</v>
      </c>
      <c r="G334" s="1576"/>
      <c r="H334" s="547"/>
      <c r="I334" s="547"/>
      <c r="J334" s="1760">
        <v>-450828981308</v>
      </c>
      <c r="K334" s="547"/>
      <c r="L334" s="547"/>
      <c r="M334" s="1745"/>
      <c r="N334" s="547"/>
      <c r="O334" s="990">
        <f>240000000000</f>
        <v>240000000000</v>
      </c>
      <c r="P334" s="990">
        <v>1107289285691</v>
      </c>
      <c r="Q334" s="547"/>
      <c r="R334" s="547"/>
      <c r="S334" s="1745"/>
      <c r="T334" s="547"/>
      <c r="U334" s="989">
        <f t="shared" si="41"/>
        <v>1379975130793</v>
      </c>
      <c r="V334" s="547">
        <v>692986353099</v>
      </c>
      <c r="W334" s="1264">
        <f t="shared" si="40"/>
        <v>1379975</v>
      </c>
      <c r="X334" s="547">
        <f t="shared" si="37"/>
        <v>692986</v>
      </c>
      <c r="Y334" s="566"/>
      <c r="Z334" s="567"/>
      <c r="AA334" s="989">
        <f t="shared" si="38"/>
        <v>1379975130793</v>
      </c>
      <c r="AB334" s="812">
        <f t="shared" si="39"/>
        <v>1379975</v>
      </c>
    </row>
    <row r="335" spans="1:28" ht="27" hidden="1" customHeight="1">
      <c r="A335" s="531"/>
      <c r="B335" s="531">
        <v>501</v>
      </c>
      <c r="C335" s="529">
        <v>13</v>
      </c>
      <c r="D335" s="530" t="s">
        <v>163</v>
      </c>
      <c r="E335" s="1028" t="s">
        <v>1558</v>
      </c>
      <c r="F335" s="1580">
        <v>1363200</v>
      </c>
      <c r="G335" s="1576"/>
      <c r="H335" s="547"/>
      <c r="I335" s="547"/>
      <c r="J335" s="1745"/>
      <c r="K335" s="547"/>
      <c r="L335" s="547"/>
      <c r="M335" s="1745"/>
      <c r="N335" s="547"/>
      <c r="O335" s="990"/>
      <c r="P335" s="990"/>
      <c r="Q335" s="547"/>
      <c r="R335" s="547"/>
      <c r="S335" s="1745"/>
      <c r="T335" s="547"/>
      <c r="U335" s="989">
        <f t="shared" si="41"/>
        <v>1363200</v>
      </c>
      <c r="V335" s="547">
        <v>1363200</v>
      </c>
      <c r="W335" s="1264">
        <f t="shared" si="40"/>
        <v>1</v>
      </c>
      <c r="X335" s="547">
        <f t="shared" si="37"/>
        <v>1</v>
      </c>
      <c r="Y335" s="566"/>
      <c r="Z335" s="567"/>
      <c r="AA335" s="989">
        <f t="shared" si="38"/>
        <v>1363200</v>
      </c>
      <c r="AB335" s="812">
        <f t="shared" si="39"/>
        <v>1</v>
      </c>
    </row>
    <row r="336" spans="1:28" ht="27" hidden="1" customHeight="1">
      <c r="A336" s="531"/>
      <c r="B336" s="531">
        <v>501</v>
      </c>
      <c r="C336" s="529">
        <v>13</v>
      </c>
      <c r="D336" s="530" t="s">
        <v>165</v>
      </c>
      <c r="E336" s="1028" t="s">
        <v>1559</v>
      </c>
      <c r="F336" s="1579">
        <v>284692845135</v>
      </c>
      <c r="G336" s="1576">
        <v>82730805110</v>
      </c>
      <c r="H336" s="547"/>
      <c r="I336" s="547"/>
      <c r="J336" s="1745"/>
      <c r="K336" s="547"/>
      <c r="L336" s="547"/>
      <c r="M336" s="1745"/>
      <c r="N336" s="547"/>
      <c r="O336" s="990"/>
      <c r="P336" s="990"/>
      <c r="Q336" s="547"/>
      <c r="R336" s="547"/>
      <c r="S336" s="1745"/>
      <c r="T336" s="547"/>
      <c r="U336" s="989">
        <f t="shared" si="41"/>
        <v>367423650245</v>
      </c>
      <c r="V336" s="547">
        <v>364714630150</v>
      </c>
      <c r="W336" s="1264">
        <f t="shared" si="40"/>
        <v>367424</v>
      </c>
      <c r="X336" s="547">
        <f t="shared" si="37"/>
        <v>364715</v>
      </c>
      <c r="Y336" s="566"/>
      <c r="Z336" s="567"/>
      <c r="AA336" s="989">
        <f t="shared" si="38"/>
        <v>367423650245</v>
      </c>
      <c r="AB336" s="812">
        <f t="shared" si="39"/>
        <v>367424</v>
      </c>
    </row>
    <row r="337" spans="1:28" ht="27" hidden="1" customHeight="1">
      <c r="A337" s="531"/>
      <c r="B337" s="531">
        <v>501</v>
      </c>
      <c r="C337" s="529">
        <v>13</v>
      </c>
      <c r="D337" s="530" t="s">
        <v>1557</v>
      </c>
      <c r="E337" s="1028" t="s">
        <v>1560</v>
      </c>
      <c r="F337" s="1576">
        <v>2167865358</v>
      </c>
      <c r="G337" s="1576"/>
      <c r="H337" s="547"/>
      <c r="I337" s="547"/>
      <c r="J337" s="1745"/>
      <c r="K337" s="547"/>
      <c r="L337" s="547"/>
      <c r="M337" s="1745"/>
      <c r="N337" s="547"/>
      <c r="O337" s="990"/>
      <c r="P337" s="990"/>
      <c r="Q337" s="547"/>
      <c r="R337" s="547"/>
      <c r="S337" s="1745"/>
      <c r="T337" s="547"/>
      <c r="U337" s="989">
        <f t="shared" si="41"/>
        <v>2167865358</v>
      </c>
      <c r="V337" s="547">
        <v>0</v>
      </c>
      <c r="W337" s="1264">
        <f t="shared" si="40"/>
        <v>2168</v>
      </c>
      <c r="X337" s="547">
        <f t="shared" si="37"/>
        <v>0</v>
      </c>
      <c r="Y337" s="566"/>
      <c r="Z337" s="567"/>
      <c r="AA337" s="989">
        <f t="shared" si="38"/>
        <v>2167865358</v>
      </c>
      <c r="AB337" s="812">
        <f t="shared" si="39"/>
        <v>2168</v>
      </c>
    </row>
    <row r="338" spans="1:28" ht="27" hidden="1" customHeight="1">
      <c r="A338" s="531">
        <v>3214</v>
      </c>
      <c r="B338" s="531">
        <v>1007</v>
      </c>
      <c r="C338" s="529">
        <v>17</v>
      </c>
      <c r="D338" s="1575" t="s">
        <v>499</v>
      </c>
      <c r="E338" s="1028" t="s">
        <v>1444</v>
      </c>
      <c r="F338" s="1576"/>
      <c r="G338" s="1576"/>
      <c r="H338" s="547"/>
      <c r="I338" s="1775"/>
      <c r="J338" s="1746">
        <v>-7946110209</v>
      </c>
      <c r="K338" s="547"/>
      <c r="L338" s="547"/>
      <c r="M338" s="1745"/>
      <c r="N338" s="547">
        <v>6407178116</v>
      </c>
      <c r="O338" s="990">
        <v>137113998</v>
      </c>
      <c r="P338" s="990"/>
      <c r="Q338" s="547"/>
      <c r="R338" s="547"/>
      <c r="S338" s="1745"/>
      <c r="T338" s="547"/>
      <c r="U338" s="989">
        <f t="shared" si="41"/>
        <v>-1401818095</v>
      </c>
      <c r="V338" s="547">
        <v>-7661341034</v>
      </c>
      <c r="W338" s="1264">
        <f t="shared" si="40"/>
        <v>-1402</v>
      </c>
      <c r="X338" s="547">
        <f t="shared" si="37"/>
        <v>-7661</v>
      </c>
      <c r="Y338" s="566"/>
      <c r="Z338" s="567"/>
      <c r="AA338" s="989">
        <f t="shared" si="38"/>
        <v>-1401818095</v>
      </c>
      <c r="AB338" s="812">
        <f t="shared" si="39"/>
        <v>-1402</v>
      </c>
    </row>
    <row r="339" spans="1:28" ht="27" hidden="1" customHeight="1">
      <c r="A339" s="531"/>
      <c r="B339" s="531">
        <v>501</v>
      </c>
      <c r="C339" s="529">
        <v>13</v>
      </c>
      <c r="D339" s="530" t="s">
        <v>1006</v>
      </c>
      <c r="E339" s="1028" t="s">
        <v>1007</v>
      </c>
      <c r="F339" s="1580">
        <v>-80</v>
      </c>
      <c r="G339" s="1576">
        <v>-4</v>
      </c>
      <c r="H339" s="547"/>
      <c r="I339" s="547"/>
      <c r="J339" s="1745">
        <v>84</v>
      </c>
      <c r="K339" s="1811"/>
      <c r="L339" s="547"/>
      <c r="M339" s="1745"/>
      <c r="N339" s="547"/>
      <c r="O339" s="990"/>
      <c r="P339" s="990"/>
      <c r="Q339" s="547"/>
      <c r="R339" s="547"/>
      <c r="S339" s="1745"/>
      <c r="T339" s="547"/>
      <c r="U339" s="989">
        <f t="shared" si="41"/>
        <v>0</v>
      </c>
      <c r="V339" s="547">
        <v>0</v>
      </c>
      <c r="W339" s="1264">
        <f t="shared" si="40"/>
        <v>0</v>
      </c>
      <c r="X339" s="547">
        <f t="shared" si="37"/>
        <v>0</v>
      </c>
      <c r="Y339" s="566"/>
      <c r="Z339" s="567"/>
      <c r="AA339" s="989">
        <f t="shared" ref="AA339:AA370" si="42">U339+Z339-Y339</f>
        <v>0</v>
      </c>
      <c r="AB339" s="812">
        <f t="shared" ref="AB339:AB370" si="43">ROUND((AA339/1000000),0)</f>
        <v>0</v>
      </c>
    </row>
    <row r="340" spans="1:28" ht="27" hidden="1" customHeight="1">
      <c r="A340" s="531"/>
      <c r="B340" s="531">
        <v>501</v>
      </c>
      <c r="C340" s="529">
        <v>13</v>
      </c>
      <c r="D340" s="530" t="s">
        <v>167</v>
      </c>
      <c r="E340" s="1028" t="s">
        <v>1026</v>
      </c>
      <c r="F340" s="1576"/>
      <c r="G340" s="1576"/>
      <c r="H340" s="547"/>
      <c r="I340" s="547"/>
      <c r="J340" s="1745"/>
      <c r="K340" s="547"/>
      <c r="L340" s="547"/>
      <c r="M340" s="1745"/>
      <c r="N340" s="547"/>
      <c r="O340" s="990"/>
      <c r="P340" s="990"/>
      <c r="Q340" s="547"/>
      <c r="R340" s="547"/>
      <c r="S340" s="1745"/>
      <c r="T340" s="547"/>
      <c r="U340" s="989">
        <f t="shared" si="41"/>
        <v>0</v>
      </c>
      <c r="V340" s="547">
        <v>0</v>
      </c>
      <c r="W340" s="1264">
        <f t="shared" si="40"/>
        <v>0</v>
      </c>
      <c r="X340" s="547">
        <f t="shared" si="37"/>
        <v>0</v>
      </c>
      <c r="Y340" s="566"/>
      <c r="Z340" s="567"/>
      <c r="AA340" s="989">
        <f t="shared" si="42"/>
        <v>0</v>
      </c>
      <c r="AB340" s="812">
        <f t="shared" si="43"/>
        <v>0</v>
      </c>
    </row>
    <row r="341" spans="1:28" ht="27" hidden="1" customHeight="1">
      <c r="A341" s="531"/>
      <c r="B341" s="531">
        <v>501</v>
      </c>
      <c r="C341" s="529">
        <v>13</v>
      </c>
      <c r="D341" s="530" t="s">
        <v>1008</v>
      </c>
      <c r="E341" s="1028" t="s">
        <v>1007</v>
      </c>
      <c r="F341" s="1579">
        <v>11969169875</v>
      </c>
      <c r="G341" s="1576"/>
      <c r="H341" s="547"/>
      <c r="I341" s="547"/>
      <c r="J341" s="1745">
        <v>-11969169875</v>
      </c>
      <c r="K341" s="1586"/>
      <c r="L341" s="547"/>
      <c r="M341" s="1745"/>
      <c r="N341" s="547"/>
      <c r="O341" s="990"/>
      <c r="P341" s="990"/>
      <c r="Q341" s="547"/>
      <c r="R341" s="547"/>
      <c r="S341" s="1745"/>
      <c r="T341" s="547"/>
      <c r="U341" s="989">
        <f t="shared" si="41"/>
        <v>0</v>
      </c>
      <c r="V341" s="547">
        <v>0</v>
      </c>
      <c r="W341" s="1264">
        <f t="shared" si="40"/>
        <v>0</v>
      </c>
      <c r="X341" s="547">
        <f t="shared" si="37"/>
        <v>0</v>
      </c>
      <c r="Y341" s="566"/>
      <c r="Z341" s="567"/>
      <c r="AA341" s="989">
        <f t="shared" si="42"/>
        <v>0</v>
      </c>
      <c r="AB341" s="812">
        <f t="shared" si="43"/>
        <v>0</v>
      </c>
    </row>
    <row r="342" spans="1:28" ht="27" hidden="1" customHeight="1">
      <c r="A342" s="531"/>
      <c r="B342" s="531">
        <v>501</v>
      </c>
      <c r="C342" s="529">
        <v>13</v>
      </c>
      <c r="D342" s="530" t="s">
        <v>1023</v>
      </c>
      <c r="E342" s="1028" t="s">
        <v>1024</v>
      </c>
      <c r="F342" s="1576">
        <v>557962</v>
      </c>
      <c r="G342" s="1576"/>
      <c r="H342" s="547"/>
      <c r="I342" s="547"/>
      <c r="J342" s="1745">
        <v>-557962</v>
      </c>
      <c r="K342" s="547"/>
      <c r="L342" s="547"/>
      <c r="M342" s="1745"/>
      <c r="N342" s="547"/>
      <c r="O342" s="990"/>
      <c r="P342" s="990"/>
      <c r="Q342" s="547"/>
      <c r="R342" s="547"/>
      <c r="S342" s="1745"/>
      <c r="T342" s="547"/>
      <c r="U342" s="989">
        <f t="shared" si="41"/>
        <v>0</v>
      </c>
      <c r="V342" s="547">
        <v>0</v>
      </c>
      <c r="W342" s="1264">
        <f t="shared" si="40"/>
        <v>0</v>
      </c>
      <c r="X342" s="547">
        <f t="shared" si="37"/>
        <v>0</v>
      </c>
      <c r="Y342" s="566"/>
      <c r="Z342" s="567"/>
      <c r="AA342" s="989">
        <f t="shared" si="42"/>
        <v>0</v>
      </c>
      <c r="AB342" s="812">
        <f t="shared" si="43"/>
        <v>0</v>
      </c>
    </row>
    <row r="343" spans="1:28" ht="27" hidden="1" customHeight="1">
      <c r="A343" s="531"/>
      <c r="B343" s="531">
        <v>501</v>
      </c>
      <c r="C343" s="529">
        <v>13</v>
      </c>
      <c r="D343" s="530" t="s">
        <v>282</v>
      </c>
      <c r="E343" s="1028" t="s">
        <v>283</v>
      </c>
      <c r="F343" s="1576"/>
      <c r="G343" s="1576"/>
      <c r="H343" s="547"/>
      <c r="I343" s="547"/>
      <c r="J343" s="1745"/>
      <c r="K343" s="547"/>
      <c r="L343" s="547"/>
      <c r="M343" s="1745"/>
      <c r="N343" s="547"/>
      <c r="O343" s="990"/>
      <c r="P343" s="990"/>
      <c r="Q343" s="547"/>
      <c r="R343" s="547"/>
      <c r="S343" s="1745"/>
      <c r="T343" s="547"/>
      <c r="U343" s="989">
        <f t="shared" si="41"/>
        <v>0</v>
      </c>
      <c r="V343" s="547">
        <v>0</v>
      </c>
      <c r="W343" s="1264">
        <f t="shared" si="40"/>
        <v>0</v>
      </c>
      <c r="X343" s="547">
        <f t="shared" si="37"/>
        <v>0</v>
      </c>
      <c r="Y343" s="566"/>
      <c r="Z343" s="567"/>
      <c r="AA343" s="989">
        <f t="shared" si="42"/>
        <v>0</v>
      </c>
      <c r="AB343" s="812">
        <f t="shared" si="43"/>
        <v>0</v>
      </c>
    </row>
    <row r="344" spans="1:28" ht="27" hidden="1" customHeight="1">
      <c r="A344" s="531"/>
      <c r="B344" s="531">
        <v>501</v>
      </c>
      <c r="C344" s="529">
        <v>13</v>
      </c>
      <c r="D344" s="530" t="s">
        <v>76</v>
      </c>
      <c r="E344" s="1028" t="s">
        <v>77</v>
      </c>
      <c r="F344" s="1576">
        <v>-2172399</v>
      </c>
      <c r="G344" s="1576"/>
      <c r="H344" s="547"/>
      <c r="I344" s="547"/>
      <c r="J344" s="1745"/>
      <c r="K344" s="547"/>
      <c r="L344" s="547"/>
      <c r="M344" s="1745"/>
      <c r="N344" s="547"/>
      <c r="O344" s="990"/>
      <c r="P344" s="990"/>
      <c r="Q344" s="547"/>
      <c r="R344" s="547"/>
      <c r="S344" s="1745"/>
      <c r="T344" s="547"/>
      <c r="U344" s="989">
        <f t="shared" si="41"/>
        <v>-2172399</v>
      </c>
      <c r="V344" s="547">
        <v>-2172399</v>
      </c>
      <c r="W344" s="1264">
        <f t="shared" si="40"/>
        <v>-2</v>
      </c>
      <c r="X344" s="547">
        <f t="shared" si="37"/>
        <v>-2</v>
      </c>
      <c r="Y344" s="566"/>
      <c r="Z344" s="567"/>
      <c r="AA344" s="989">
        <f t="shared" si="42"/>
        <v>-2172399</v>
      </c>
      <c r="AB344" s="812">
        <f t="shared" si="43"/>
        <v>-2</v>
      </c>
    </row>
    <row r="345" spans="1:28" ht="27" hidden="1" customHeight="1">
      <c r="A345" s="531"/>
      <c r="B345" s="531">
        <v>501</v>
      </c>
      <c r="C345" s="529">
        <v>13</v>
      </c>
      <c r="D345" s="530" t="s">
        <v>1688</v>
      </c>
      <c r="E345" s="1028" t="s">
        <v>77</v>
      </c>
      <c r="F345" s="1576"/>
      <c r="G345" s="1576"/>
      <c r="H345" s="547"/>
      <c r="I345" s="547"/>
      <c r="J345" s="1745"/>
      <c r="K345" s="547"/>
      <c r="L345" s="547"/>
      <c r="M345" s="1745"/>
      <c r="N345" s="547"/>
      <c r="O345" s="990"/>
      <c r="P345" s="990"/>
      <c r="Q345" s="547"/>
      <c r="R345" s="547"/>
      <c r="S345" s="1745"/>
      <c r="T345" s="547"/>
      <c r="U345" s="989">
        <f t="shared" si="41"/>
        <v>0</v>
      </c>
      <c r="V345" s="547">
        <v>0</v>
      </c>
      <c r="W345" s="1264">
        <f t="shared" si="40"/>
        <v>0</v>
      </c>
      <c r="X345" s="547">
        <f t="shared" ref="X345:X408" si="44">ROUND((V345/1000000),0)</f>
        <v>0</v>
      </c>
      <c r="Y345" s="566"/>
      <c r="Z345" s="567"/>
      <c r="AA345" s="989">
        <f t="shared" si="42"/>
        <v>0</v>
      </c>
      <c r="AB345" s="812">
        <f t="shared" si="43"/>
        <v>0</v>
      </c>
    </row>
    <row r="346" spans="1:28" ht="27" hidden="1" customHeight="1">
      <c r="A346" s="531"/>
      <c r="B346" s="531">
        <v>1008</v>
      </c>
      <c r="C346" s="529">
        <v>17</v>
      </c>
      <c r="D346" s="530" t="s">
        <v>505</v>
      </c>
      <c r="E346" s="1028" t="s">
        <v>506</v>
      </c>
      <c r="F346" s="1580">
        <v>-754924498123</v>
      </c>
      <c r="G346" s="1583">
        <v>-59448939417</v>
      </c>
      <c r="H346" s="1583">
        <v>-27151800</v>
      </c>
      <c r="I346" s="547">
        <v>-5792759233</v>
      </c>
      <c r="J346" s="1746"/>
      <c r="K346" s="547"/>
      <c r="L346" s="547"/>
      <c r="M346" s="1745"/>
      <c r="N346" s="547"/>
      <c r="O346" s="990"/>
      <c r="P346" s="990"/>
      <c r="Q346" s="547"/>
      <c r="R346" s="547"/>
      <c r="S346" s="1745"/>
      <c r="T346" s="547"/>
      <c r="U346" s="989">
        <f t="shared" si="41"/>
        <v>-820193348573</v>
      </c>
      <c r="V346" s="547">
        <v>-489851385448</v>
      </c>
      <c r="W346" s="1264">
        <f t="shared" si="40"/>
        <v>-820193</v>
      </c>
      <c r="X346" s="547">
        <f t="shared" si="44"/>
        <v>-489851</v>
      </c>
      <c r="Y346" s="566"/>
      <c r="Z346" s="567"/>
      <c r="AA346" s="989">
        <f t="shared" si="42"/>
        <v>-820193348573</v>
      </c>
      <c r="AB346" s="812">
        <f t="shared" si="43"/>
        <v>-820193</v>
      </c>
    </row>
    <row r="347" spans="1:28" ht="27" hidden="1" customHeight="1">
      <c r="A347" s="531"/>
      <c r="B347" s="531">
        <v>501</v>
      </c>
      <c r="C347" s="529">
        <v>13</v>
      </c>
      <c r="D347" s="530" t="s">
        <v>1561</v>
      </c>
      <c r="E347" s="1028" t="s">
        <v>1562</v>
      </c>
      <c r="F347" s="1576"/>
      <c r="G347" s="1576"/>
      <c r="H347" s="547"/>
      <c r="I347" s="547"/>
      <c r="J347" s="1745"/>
      <c r="K347" s="547"/>
      <c r="L347" s="547"/>
      <c r="M347" s="1745"/>
      <c r="N347" s="547"/>
      <c r="O347" s="990"/>
      <c r="P347" s="990"/>
      <c r="Q347" s="547"/>
      <c r="R347" s="547"/>
      <c r="S347" s="1745"/>
      <c r="T347" s="547"/>
      <c r="U347" s="989">
        <f t="shared" si="41"/>
        <v>0</v>
      </c>
      <c r="V347" s="547">
        <v>0</v>
      </c>
      <c r="W347" s="1264">
        <f t="shared" si="40"/>
        <v>0</v>
      </c>
      <c r="X347" s="547">
        <f t="shared" si="44"/>
        <v>0</v>
      </c>
      <c r="Y347" s="566"/>
      <c r="Z347" s="567"/>
      <c r="AA347" s="989">
        <f t="shared" si="42"/>
        <v>0</v>
      </c>
      <c r="AB347" s="812">
        <f t="shared" si="43"/>
        <v>0</v>
      </c>
    </row>
    <row r="348" spans="1:28" ht="27" hidden="1" customHeight="1">
      <c r="A348" s="531"/>
      <c r="B348" s="531">
        <v>501</v>
      </c>
      <c r="C348" s="529">
        <v>13</v>
      </c>
      <c r="D348" s="530" t="s">
        <v>594</v>
      </c>
      <c r="E348" s="1028" t="s">
        <v>314</v>
      </c>
      <c r="F348" s="1576"/>
      <c r="G348" s="1576"/>
      <c r="H348" s="547"/>
      <c r="I348" s="547"/>
      <c r="J348" s="1745"/>
      <c r="K348" s="547"/>
      <c r="L348" s="547"/>
      <c r="M348" s="1745"/>
      <c r="N348" s="547"/>
      <c r="O348" s="990"/>
      <c r="P348" s="990"/>
      <c r="Q348" s="547"/>
      <c r="R348" s="547"/>
      <c r="S348" s="1745"/>
      <c r="T348" s="547"/>
      <c r="U348" s="989">
        <f t="shared" si="41"/>
        <v>0</v>
      </c>
      <c r="V348" s="547">
        <v>0</v>
      </c>
      <c r="W348" s="1264">
        <f t="shared" si="40"/>
        <v>0</v>
      </c>
      <c r="X348" s="547">
        <f t="shared" si="44"/>
        <v>0</v>
      </c>
      <c r="Y348" s="566"/>
      <c r="Z348" s="567"/>
      <c r="AA348" s="989">
        <f t="shared" si="42"/>
        <v>0</v>
      </c>
      <c r="AB348" s="812">
        <f t="shared" si="43"/>
        <v>0</v>
      </c>
    </row>
    <row r="349" spans="1:28" ht="27" hidden="1" customHeight="1">
      <c r="A349" s="531"/>
      <c r="B349" s="531">
        <v>906</v>
      </c>
      <c r="C349" s="529">
        <v>8</v>
      </c>
      <c r="D349" s="530" t="s">
        <v>1563</v>
      </c>
      <c r="E349" s="1028" t="s">
        <v>1564</v>
      </c>
      <c r="F349" s="1576"/>
      <c r="G349" s="1576"/>
      <c r="H349" s="547"/>
      <c r="I349" s="547"/>
      <c r="J349" s="1745"/>
      <c r="K349" s="547"/>
      <c r="L349" s="547"/>
      <c r="M349" s="1745"/>
      <c r="N349" s="547"/>
      <c r="O349" s="990"/>
      <c r="P349" s="990"/>
      <c r="Q349" s="547"/>
      <c r="R349" s="547"/>
      <c r="S349" s="1745"/>
      <c r="T349" s="547"/>
      <c r="U349" s="989">
        <f t="shared" si="41"/>
        <v>0</v>
      </c>
      <c r="V349" s="547">
        <v>0</v>
      </c>
      <c r="W349" s="1264">
        <f t="shared" si="40"/>
        <v>0</v>
      </c>
      <c r="X349" s="547">
        <f t="shared" si="44"/>
        <v>0</v>
      </c>
      <c r="Y349" s="566"/>
      <c r="Z349" s="567"/>
      <c r="AA349" s="989">
        <f t="shared" si="42"/>
        <v>0</v>
      </c>
      <c r="AB349" s="812">
        <f t="shared" si="43"/>
        <v>0</v>
      </c>
    </row>
    <row r="350" spans="1:28" ht="27" hidden="1" customHeight="1">
      <c r="A350" s="531"/>
      <c r="B350" s="531"/>
      <c r="C350" s="529">
        <v>13</v>
      </c>
      <c r="D350" s="530" t="s">
        <v>595</v>
      </c>
      <c r="E350" s="1028" t="s">
        <v>315</v>
      </c>
      <c r="F350" s="1576"/>
      <c r="G350" s="1576"/>
      <c r="H350" s="547"/>
      <c r="I350" s="547"/>
      <c r="J350" s="1745"/>
      <c r="K350" s="547"/>
      <c r="L350" s="547"/>
      <c r="M350" s="1745"/>
      <c r="N350" s="547"/>
      <c r="O350" s="990"/>
      <c r="P350" s="990"/>
      <c r="Q350" s="547"/>
      <c r="R350" s="547"/>
      <c r="S350" s="1745"/>
      <c r="T350" s="547"/>
      <c r="U350" s="989">
        <f t="shared" si="41"/>
        <v>0</v>
      </c>
      <c r="V350" s="547">
        <v>0</v>
      </c>
      <c r="W350" s="1264">
        <f t="shared" si="40"/>
        <v>0</v>
      </c>
      <c r="X350" s="547">
        <f t="shared" si="44"/>
        <v>0</v>
      </c>
      <c r="Y350" s="566"/>
      <c r="Z350" s="567"/>
      <c r="AA350" s="989">
        <f t="shared" si="42"/>
        <v>0</v>
      </c>
      <c r="AB350" s="812">
        <f t="shared" si="43"/>
        <v>0</v>
      </c>
    </row>
    <row r="351" spans="1:28" ht="27" hidden="1" customHeight="1">
      <c r="A351" s="531"/>
      <c r="B351" s="531">
        <v>1008</v>
      </c>
      <c r="C351" s="529">
        <v>17</v>
      </c>
      <c r="D351" s="530" t="s">
        <v>507</v>
      </c>
      <c r="E351" s="1028" t="s">
        <v>185</v>
      </c>
      <c r="F351" s="1580"/>
      <c r="G351" s="1583"/>
      <c r="H351" s="1807"/>
      <c r="I351" s="547"/>
      <c r="J351" s="1746"/>
      <c r="K351" s="1775"/>
      <c r="L351" s="547"/>
      <c r="M351" s="1745"/>
      <c r="N351" s="547"/>
      <c r="O351" s="990"/>
      <c r="P351" s="990"/>
      <c r="Q351" s="547"/>
      <c r="R351" s="547"/>
      <c r="S351" s="1745"/>
      <c r="T351" s="547"/>
      <c r="U351" s="989">
        <f t="shared" si="41"/>
        <v>0</v>
      </c>
      <c r="V351" s="547">
        <v>0</v>
      </c>
      <c r="W351" s="1264">
        <f t="shared" si="40"/>
        <v>0</v>
      </c>
      <c r="X351" s="547">
        <f t="shared" si="44"/>
        <v>0</v>
      </c>
      <c r="Y351" s="566"/>
      <c r="Z351" s="567"/>
      <c r="AA351" s="989">
        <f t="shared" si="42"/>
        <v>0</v>
      </c>
      <c r="AB351" s="812">
        <f t="shared" si="43"/>
        <v>0</v>
      </c>
    </row>
    <row r="352" spans="1:28" ht="27" hidden="1" customHeight="1">
      <c r="A352" s="531"/>
      <c r="B352" s="531">
        <v>501</v>
      </c>
      <c r="C352" s="529">
        <v>13</v>
      </c>
      <c r="D352" s="530" t="s">
        <v>333</v>
      </c>
      <c r="E352" s="1028" t="s">
        <v>334</v>
      </c>
      <c r="F352" s="1576"/>
      <c r="G352" s="1576"/>
      <c r="H352" s="547"/>
      <c r="I352" s="547"/>
      <c r="J352" s="1745"/>
      <c r="K352" s="547"/>
      <c r="L352" s="547"/>
      <c r="M352" s="1745"/>
      <c r="N352" s="547"/>
      <c r="O352" s="990"/>
      <c r="P352" s="990"/>
      <c r="Q352" s="547"/>
      <c r="R352" s="547"/>
      <c r="S352" s="1745"/>
      <c r="T352" s="547"/>
      <c r="U352" s="989">
        <f t="shared" si="41"/>
        <v>0</v>
      </c>
      <c r="V352" s="547">
        <v>0</v>
      </c>
      <c r="W352" s="1264">
        <f t="shared" si="40"/>
        <v>0</v>
      </c>
      <c r="X352" s="547">
        <f t="shared" si="44"/>
        <v>0</v>
      </c>
      <c r="Y352" s="566"/>
      <c r="Z352" s="567"/>
      <c r="AA352" s="989">
        <f t="shared" si="42"/>
        <v>0</v>
      </c>
      <c r="AB352" s="812">
        <f t="shared" si="43"/>
        <v>0</v>
      </c>
    </row>
    <row r="353" spans="1:28" ht="27" hidden="1" customHeight="1">
      <c r="A353" s="531"/>
      <c r="B353" s="531">
        <v>501</v>
      </c>
      <c r="C353" s="529">
        <v>13</v>
      </c>
      <c r="D353" s="530" t="s">
        <v>901</v>
      </c>
      <c r="E353" s="1028" t="s">
        <v>1029</v>
      </c>
      <c r="F353" s="1579">
        <v>0</v>
      </c>
      <c r="G353" s="1576"/>
      <c r="H353" s="547"/>
      <c r="I353" s="547"/>
      <c r="J353" s="1745"/>
      <c r="K353" s="1760"/>
      <c r="L353" s="547"/>
      <c r="M353" s="1745"/>
      <c r="N353" s="547"/>
      <c r="O353" s="990"/>
      <c r="P353" s="990"/>
      <c r="Q353" s="547"/>
      <c r="R353" s="547"/>
      <c r="S353" s="1745"/>
      <c r="T353" s="547"/>
      <c r="U353" s="989">
        <f t="shared" si="41"/>
        <v>0</v>
      </c>
      <c r="V353" s="547">
        <v>-115200000</v>
      </c>
      <c r="W353" s="1264">
        <f t="shared" si="40"/>
        <v>0</v>
      </c>
      <c r="X353" s="547">
        <f t="shared" si="44"/>
        <v>-115</v>
      </c>
      <c r="Y353" s="566"/>
      <c r="Z353" s="567"/>
      <c r="AA353" s="989">
        <f t="shared" si="42"/>
        <v>0</v>
      </c>
      <c r="AB353" s="812">
        <f t="shared" si="43"/>
        <v>0</v>
      </c>
    </row>
    <row r="354" spans="1:28" ht="27" hidden="1" customHeight="1">
      <c r="A354" s="531"/>
      <c r="B354" s="531"/>
      <c r="C354" s="529">
        <v>8</v>
      </c>
      <c r="D354" s="530" t="s">
        <v>902</v>
      </c>
      <c r="E354" s="1028" t="s">
        <v>911</v>
      </c>
      <c r="F354" s="1580"/>
      <c r="G354" s="1576"/>
      <c r="H354" s="547"/>
      <c r="I354" s="547"/>
      <c r="J354" s="1745"/>
      <c r="K354" s="1760"/>
      <c r="L354" s="547"/>
      <c r="M354" s="1745"/>
      <c r="N354" s="547"/>
      <c r="O354" s="990"/>
      <c r="P354" s="990"/>
      <c r="Q354" s="547"/>
      <c r="R354" s="547"/>
      <c r="S354" s="1745"/>
      <c r="T354" s="547"/>
      <c r="U354" s="989">
        <f t="shared" si="41"/>
        <v>0</v>
      </c>
      <c r="V354" s="547">
        <v>0</v>
      </c>
      <c r="W354" s="1264">
        <f t="shared" si="40"/>
        <v>0</v>
      </c>
      <c r="X354" s="547">
        <f t="shared" si="44"/>
        <v>0</v>
      </c>
      <c r="Y354" s="566"/>
      <c r="Z354" s="567"/>
      <c r="AA354" s="989">
        <f t="shared" si="42"/>
        <v>0</v>
      </c>
      <c r="AB354" s="812">
        <f t="shared" si="43"/>
        <v>0</v>
      </c>
    </row>
    <row r="355" spans="1:28" ht="27" hidden="1" customHeight="1">
      <c r="A355" s="531"/>
      <c r="B355" s="531">
        <v>501</v>
      </c>
      <c r="C355" s="529">
        <v>13</v>
      </c>
      <c r="D355" s="1575" t="s">
        <v>596</v>
      </c>
      <c r="E355" s="1028" t="s">
        <v>761</v>
      </c>
      <c r="F355" s="1579">
        <v>2719848457</v>
      </c>
      <c r="G355" s="1578"/>
      <c r="H355" s="547"/>
      <c r="I355" s="1811"/>
      <c r="J355" s="1745"/>
      <c r="K355" s="547"/>
      <c r="L355" s="547"/>
      <c r="M355" s="1745"/>
      <c r="N355" s="547"/>
      <c r="O355" s="990"/>
      <c r="P355" s="990"/>
      <c r="Q355" s="547"/>
      <c r="R355" s="547"/>
      <c r="S355" s="1745"/>
      <c r="T355" s="547"/>
      <c r="U355" s="989">
        <f t="shared" si="41"/>
        <v>2719848457</v>
      </c>
      <c r="V355" s="547">
        <v>3979378810</v>
      </c>
      <c r="W355" s="1264">
        <f t="shared" si="40"/>
        <v>2720</v>
      </c>
      <c r="X355" s="547">
        <f t="shared" si="44"/>
        <v>3979</v>
      </c>
      <c r="Y355" s="566"/>
      <c r="Z355" s="567"/>
      <c r="AA355" s="989">
        <f t="shared" si="42"/>
        <v>2719848457</v>
      </c>
      <c r="AB355" s="812">
        <f t="shared" si="43"/>
        <v>2720</v>
      </c>
    </row>
    <row r="356" spans="1:28" ht="27" hidden="1" customHeight="1">
      <c r="A356" s="531">
        <v>3214</v>
      </c>
      <c r="B356" s="531">
        <v>907</v>
      </c>
      <c r="C356" s="529">
        <v>8</v>
      </c>
      <c r="D356" s="1575" t="s">
        <v>596</v>
      </c>
      <c r="E356" s="1028" t="s">
        <v>1436</v>
      </c>
      <c r="F356" s="1576"/>
      <c r="G356" s="1576"/>
      <c r="H356" s="547"/>
      <c r="I356" s="547"/>
      <c r="J356" s="1745"/>
      <c r="K356" s="547"/>
      <c r="L356" s="547"/>
      <c r="M356" s="1745"/>
      <c r="N356" s="547"/>
      <c r="O356" s="990"/>
      <c r="P356" s="990"/>
      <c r="Q356" s="547"/>
      <c r="R356" s="547"/>
      <c r="S356" s="1745"/>
      <c r="T356" s="547"/>
      <c r="U356" s="989">
        <f t="shared" si="41"/>
        <v>0</v>
      </c>
      <c r="V356" s="547">
        <v>0</v>
      </c>
      <c r="W356" s="1264">
        <f t="shared" si="40"/>
        <v>0</v>
      </c>
      <c r="X356" s="547">
        <f t="shared" si="44"/>
        <v>0</v>
      </c>
      <c r="Y356" s="566"/>
      <c r="Z356" s="567"/>
      <c r="AA356" s="989">
        <f t="shared" si="42"/>
        <v>0</v>
      </c>
      <c r="AB356" s="812">
        <f t="shared" si="43"/>
        <v>0</v>
      </c>
    </row>
    <row r="357" spans="1:28" ht="27" hidden="1" customHeight="1">
      <c r="A357" s="531"/>
      <c r="B357" s="531">
        <v>607</v>
      </c>
      <c r="C357" s="529">
        <v>12</v>
      </c>
      <c r="D357" s="530" t="s">
        <v>1375</v>
      </c>
      <c r="E357" s="1028" t="s">
        <v>1382</v>
      </c>
      <c r="F357" s="1576"/>
      <c r="G357" s="1576"/>
      <c r="H357" s="547"/>
      <c r="I357" s="547"/>
      <c r="J357" s="1745"/>
      <c r="K357" s="547"/>
      <c r="L357" s="547"/>
      <c r="M357" s="1745"/>
      <c r="N357" s="547"/>
      <c r="O357" s="990"/>
      <c r="P357" s="990"/>
      <c r="Q357" s="547"/>
      <c r="R357" s="547"/>
      <c r="S357" s="1745"/>
      <c r="T357" s="547"/>
      <c r="U357" s="989">
        <f t="shared" si="41"/>
        <v>0</v>
      </c>
      <c r="V357" s="547">
        <v>0</v>
      </c>
      <c r="W357" s="1264">
        <f t="shared" si="40"/>
        <v>0</v>
      </c>
      <c r="X357" s="547">
        <f t="shared" si="44"/>
        <v>0</v>
      </c>
      <c r="Y357" s="566"/>
      <c r="Z357" s="567"/>
      <c r="AA357" s="989">
        <f t="shared" si="42"/>
        <v>0</v>
      </c>
      <c r="AB357" s="812">
        <f t="shared" si="43"/>
        <v>0</v>
      </c>
    </row>
    <row r="358" spans="1:28" ht="27" hidden="1" customHeight="1">
      <c r="A358" s="531"/>
      <c r="B358" s="531">
        <v>607</v>
      </c>
      <c r="C358" s="529">
        <v>12</v>
      </c>
      <c r="D358" s="530" t="s">
        <v>319</v>
      </c>
      <c r="E358" s="1028" t="s">
        <v>1034</v>
      </c>
      <c r="F358" s="1576"/>
      <c r="G358" s="1576"/>
      <c r="H358" s="547"/>
      <c r="I358" s="547"/>
      <c r="J358" s="1745"/>
      <c r="K358" s="547"/>
      <c r="L358" s="547"/>
      <c r="M358" s="1745"/>
      <c r="N358" s="547"/>
      <c r="O358" s="990"/>
      <c r="P358" s="990"/>
      <c r="Q358" s="547"/>
      <c r="R358" s="547"/>
      <c r="S358" s="1745"/>
      <c r="T358" s="547"/>
      <c r="U358" s="989">
        <f t="shared" si="41"/>
        <v>0</v>
      </c>
      <c r="V358" s="547">
        <v>0</v>
      </c>
      <c r="W358" s="1264">
        <f t="shared" si="40"/>
        <v>0</v>
      </c>
      <c r="X358" s="547">
        <f t="shared" si="44"/>
        <v>0</v>
      </c>
      <c r="Y358" s="566"/>
      <c r="Z358" s="567"/>
      <c r="AA358" s="989">
        <f t="shared" si="42"/>
        <v>0</v>
      </c>
      <c r="AB358" s="812">
        <f t="shared" si="43"/>
        <v>0</v>
      </c>
    </row>
    <row r="359" spans="1:28" ht="27" hidden="1" customHeight="1">
      <c r="A359" s="531"/>
      <c r="B359" s="531">
        <v>607</v>
      </c>
      <c r="C359" s="529">
        <v>12</v>
      </c>
      <c r="D359" s="530" t="s">
        <v>321</v>
      </c>
      <c r="E359" s="1028" t="s">
        <v>1615</v>
      </c>
      <c r="F359" s="1579">
        <v>40320738240</v>
      </c>
      <c r="G359" s="1765">
        <v>-38742438240</v>
      </c>
      <c r="H359" s="547"/>
      <c r="I359" s="1811"/>
      <c r="J359" s="1763"/>
      <c r="K359" s="1763"/>
      <c r="L359" s="1763"/>
      <c r="M359" s="1763"/>
      <c r="N359" s="1763"/>
      <c r="O359" s="1764"/>
      <c r="P359" s="1764"/>
      <c r="Q359" s="1763"/>
      <c r="R359" s="1763"/>
      <c r="S359" s="1763"/>
      <c r="T359" s="1763"/>
      <c r="U359" s="989">
        <f t="shared" si="41"/>
        <v>1578300000</v>
      </c>
      <c r="V359" s="547">
        <v>109781276924</v>
      </c>
      <c r="W359" s="1264">
        <f t="shared" si="40"/>
        <v>1578</v>
      </c>
      <c r="X359" s="547">
        <f t="shared" si="44"/>
        <v>109781</v>
      </c>
      <c r="Y359" s="566"/>
      <c r="Z359" s="567"/>
      <c r="AA359" s="989">
        <f t="shared" si="42"/>
        <v>1578300000</v>
      </c>
      <c r="AB359" s="812">
        <f t="shared" si="43"/>
        <v>1578</v>
      </c>
    </row>
    <row r="360" spans="1:28" ht="27" hidden="1" customHeight="1">
      <c r="A360" s="531">
        <v>6587</v>
      </c>
      <c r="B360" s="531">
        <v>907</v>
      </c>
      <c r="C360" s="529">
        <v>8</v>
      </c>
      <c r="D360" s="530" t="s">
        <v>323</v>
      </c>
      <c r="E360" s="1028" t="s">
        <v>1036</v>
      </c>
      <c r="F360" s="1579"/>
      <c r="G360" s="1757"/>
      <c r="H360" s="547"/>
      <c r="I360" s="1745"/>
      <c r="J360" s="1760"/>
      <c r="K360" s="1745"/>
      <c r="L360" s="1745"/>
      <c r="M360" s="1745"/>
      <c r="N360" s="1745"/>
      <c r="O360" s="1746"/>
      <c r="P360" s="1746"/>
      <c r="Q360" s="1745"/>
      <c r="R360" s="1745"/>
      <c r="S360" s="1745"/>
      <c r="T360" s="1745"/>
      <c r="U360" s="989">
        <f t="shared" si="41"/>
        <v>0</v>
      </c>
      <c r="V360" s="547">
        <v>28954252232</v>
      </c>
      <c r="W360" s="1264">
        <f>ROUND((U360/1000000),0)</f>
        <v>0</v>
      </c>
      <c r="X360" s="547">
        <f t="shared" si="44"/>
        <v>28954</v>
      </c>
      <c r="Y360" s="566"/>
      <c r="Z360" s="567"/>
      <c r="AA360" s="989">
        <f t="shared" si="42"/>
        <v>0</v>
      </c>
      <c r="AB360" s="812">
        <f t="shared" si="43"/>
        <v>0</v>
      </c>
    </row>
    <row r="361" spans="1:28" ht="27" hidden="1" customHeight="1">
      <c r="A361" s="531">
        <v>6587</v>
      </c>
      <c r="B361" s="531">
        <v>907</v>
      </c>
      <c r="C361" s="529">
        <v>8</v>
      </c>
      <c r="D361" s="530" t="s">
        <v>325</v>
      </c>
      <c r="E361" s="1028" t="s">
        <v>1037</v>
      </c>
      <c r="F361" s="1579">
        <v>608353191096</v>
      </c>
      <c r="G361" s="1770"/>
      <c r="H361" s="547"/>
      <c r="I361" s="1768"/>
      <c r="J361" s="1760">
        <v>-508091060177</v>
      </c>
      <c r="K361" s="1768"/>
      <c r="L361" s="1768"/>
      <c r="M361" s="1768"/>
      <c r="N361" s="1768"/>
      <c r="O361" s="1769">
        <v>-31677493340</v>
      </c>
      <c r="P361" s="1769"/>
      <c r="Q361" s="1768"/>
      <c r="R361" s="1768"/>
      <c r="S361" s="1768"/>
      <c r="T361" s="1768"/>
      <c r="U361" s="989">
        <f t="shared" si="41"/>
        <v>68584637579</v>
      </c>
      <c r="V361" s="547">
        <v>365145522984</v>
      </c>
      <c r="W361" s="1264">
        <f t="shared" ref="W361:W368" si="45">ROUND((U361/1000000),0)</f>
        <v>68585</v>
      </c>
      <c r="X361" s="547">
        <f t="shared" si="44"/>
        <v>365146</v>
      </c>
      <c r="Y361" s="566"/>
      <c r="Z361" s="567"/>
      <c r="AA361" s="989">
        <f t="shared" si="42"/>
        <v>68584637579</v>
      </c>
      <c r="AB361" s="812">
        <f t="shared" si="43"/>
        <v>68585</v>
      </c>
    </row>
    <row r="362" spans="1:28" ht="27" hidden="1" customHeight="1">
      <c r="A362" s="531"/>
      <c r="B362" s="531">
        <v>906</v>
      </c>
      <c r="C362" s="529">
        <v>8</v>
      </c>
      <c r="D362" s="530" t="s">
        <v>750</v>
      </c>
      <c r="E362" s="1028" t="s">
        <v>751</v>
      </c>
      <c r="F362" s="1576"/>
      <c r="G362" s="1576"/>
      <c r="H362" s="1583"/>
      <c r="I362" s="547"/>
      <c r="J362" s="1745"/>
      <c r="K362" s="547"/>
      <c r="L362" s="547"/>
      <c r="M362" s="1745"/>
      <c r="N362" s="547"/>
      <c r="O362" s="990"/>
      <c r="P362" s="990"/>
      <c r="Q362" s="547"/>
      <c r="R362" s="547"/>
      <c r="S362" s="1745"/>
      <c r="T362" s="547"/>
      <c r="U362" s="989">
        <f t="shared" si="41"/>
        <v>0</v>
      </c>
      <c r="V362" s="547">
        <v>0</v>
      </c>
      <c r="W362" s="1264">
        <f t="shared" si="45"/>
        <v>0</v>
      </c>
      <c r="X362" s="547">
        <f t="shared" si="44"/>
        <v>0</v>
      </c>
      <c r="Y362" s="566"/>
      <c r="Z362" s="567"/>
      <c r="AA362" s="989">
        <f t="shared" si="42"/>
        <v>0</v>
      </c>
      <c r="AB362" s="812">
        <f t="shared" si="43"/>
        <v>0</v>
      </c>
    </row>
    <row r="363" spans="1:28" ht="27" hidden="1" customHeight="1">
      <c r="A363" s="531"/>
      <c r="B363" s="531">
        <v>907</v>
      </c>
      <c r="C363" s="529">
        <v>8</v>
      </c>
      <c r="D363" s="530" t="s">
        <v>750</v>
      </c>
      <c r="E363" s="1028" t="s">
        <v>751</v>
      </c>
      <c r="F363" s="1576"/>
      <c r="G363" s="1576"/>
      <c r="H363" s="1583"/>
      <c r="I363" s="547"/>
      <c r="J363" s="1745"/>
      <c r="K363" s="547"/>
      <c r="L363" s="547"/>
      <c r="M363" s="1745"/>
      <c r="N363" s="547"/>
      <c r="O363" s="990"/>
      <c r="P363" s="990"/>
      <c r="Q363" s="547"/>
      <c r="R363" s="547"/>
      <c r="S363" s="1745"/>
      <c r="T363" s="547"/>
      <c r="U363" s="989">
        <f t="shared" si="41"/>
        <v>0</v>
      </c>
      <c r="V363" s="547">
        <v>0</v>
      </c>
      <c r="W363" s="1264">
        <f t="shared" si="45"/>
        <v>0</v>
      </c>
      <c r="X363" s="547">
        <f t="shared" si="44"/>
        <v>0</v>
      </c>
      <c r="Y363" s="566"/>
      <c r="Z363" s="567"/>
      <c r="AA363" s="989">
        <f t="shared" si="42"/>
        <v>0</v>
      </c>
      <c r="AB363" s="812">
        <f t="shared" si="43"/>
        <v>0</v>
      </c>
    </row>
    <row r="364" spans="1:28" ht="27" hidden="1" customHeight="1">
      <c r="A364" s="531"/>
      <c r="B364" s="531">
        <v>601</v>
      </c>
      <c r="C364" s="529">
        <v>12</v>
      </c>
      <c r="D364" s="530" t="s">
        <v>749</v>
      </c>
      <c r="E364" s="1028" t="s">
        <v>751</v>
      </c>
      <c r="F364" s="1576"/>
      <c r="G364" s="1576"/>
      <c r="H364" s="1583"/>
      <c r="I364" s="547"/>
      <c r="J364" s="1745"/>
      <c r="K364" s="547"/>
      <c r="L364" s="547"/>
      <c r="M364" s="1745"/>
      <c r="N364" s="547"/>
      <c r="O364" s="990"/>
      <c r="P364" s="990"/>
      <c r="Q364" s="547"/>
      <c r="R364" s="547"/>
      <c r="S364" s="1745"/>
      <c r="T364" s="547"/>
      <c r="U364" s="989">
        <f t="shared" si="41"/>
        <v>0</v>
      </c>
      <c r="V364" s="547">
        <v>0</v>
      </c>
      <c r="W364" s="1264">
        <f t="shared" si="45"/>
        <v>0</v>
      </c>
      <c r="X364" s="547">
        <f t="shared" si="44"/>
        <v>0</v>
      </c>
      <c r="Y364" s="566"/>
      <c r="Z364" s="567"/>
      <c r="AA364" s="989">
        <f t="shared" si="42"/>
        <v>0</v>
      </c>
      <c r="AB364" s="812">
        <f t="shared" si="43"/>
        <v>0</v>
      </c>
    </row>
    <row r="365" spans="1:28" ht="27" hidden="1" customHeight="1">
      <c r="A365" s="531"/>
      <c r="B365" s="531">
        <v>302</v>
      </c>
      <c r="C365" s="529">
        <v>14</v>
      </c>
      <c r="D365" s="530" t="s">
        <v>749</v>
      </c>
      <c r="E365" s="1028" t="s">
        <v>751</v>
      </c>
      <c r="F365" s="1576"/>
      <c r="G365" s="1762"/>
      <c r="H365" s="1766"/>
      <c r="I365" s="1763"/>
      <c r="J365" s="1763"/>
      <c r="K365" s="1763"/>
      <c r="L365" s="1763"/>
      <c r="M365" s="1763"/>
      <c r="N365" s="1763"/>
      <c r="O365" s="1764"/>
      <c r="P365" s="1764"/>
      <c r="Q365" s="1763"/>
      <c r="R365" s="1763"/>
      <c r="S365" s="1763"/>
      <c r="T365" s="1763"/>
      <c r="U365" s="989">
        <f t="shared" si="41"/>
        <v>0</v>
      </c>
      <c r="V365" s="547">
        <v>0</v>
      </c>
      <c r="W365" s="1264">
        <f t="shared" si="45"/>
        <v>0</v>
      </c>
      <c r="X365" s="547">
        <f t="shared" si="44"/>
        <v>0</v>
      </c>
      <c r="Y365" s="566"/>
      <c r="Z365" s="567"/>
      <c r="AA365" s="989">
        <f t="shared" si="42"/>
        <v>0</v>
      </c>
      <c r="AB365" s="812">
        <f t="shared" si="43"/>
        <v>0</v>
      </c>
    </row>
    <row r="366" spans="1:28" ht="27" hidden="1" customHeight="1">
      <c r="A366" s="531"/>
      <c r="B366" s="531"/>
      <c r="C366" s="529">
        <v>15</v>
      </c>
      <c r="D366" s="530" t="s">
        <v>327</v>
      </c>
      <c r="E366" s="1028" t="s">
        <v>328</v>
      </c>
      <c r="F366" s="1580">
        <v>-14161930500000</v>
      </c>
      <c r="G366" s="1755">
        <v>-22500000</v>
      </c>
      <c r="H366" s="1758"/>
      <c r="I366" s="1745"/>
      <c r="J366" s="1745"/>
      <c r="K366" s="1745"/>
      <c r="L366" s="1745"/>
      <c r="M366" s="1745"/>
      <c r="N366" s="1745"/>
      <c r="O366" s="1746"/>
      <c r="P366" s="1746"/>
      <c r="Q366" s="1745"/>
      <c r="R366" s="1745"/>
      <c r="S366" s="1745"/>
      <c r="T366" s="1745"/>
      <c r="U366" s="989">
        <f t="shared" si="41"/>
        <v>-14161953000000</v>
      </c>
      <c r="V366" s="547">
        <v>-12000000000000</v>
      </c>
      <c r="W366" s="1264">
        <f t="shared" si="45"/>
        <v>-14161953</v>
      </c>
      <c r="X366" s="547">
        <f t="shared" si="44"/>
        <v>-12000000</v>
      </c>
      <c r="Y366" s="566"/>
      <c r="Z366" s="567"/>
      <c r="AA366" s="989">
        <f t="shared" si="42"/>
        <v>-14161953000000</v>
      </c>
      <c r="AB366" s="812">
        <f t="shared" si="43"/>
        <v>-14161953</v>
      </c>
    </row>
    <row r="367" spans="1:28" ht="27" hidden="1" customHeight="1">
      <c r="A367" s="531"/>
      <c r="B367" s="531">
        <v>401</v>
      </c>
      <c r="C367" s="529">
        <v>11</v>
      </c>
      <c r="D367" s="530" t="s">
        <v>480</v>
      </c>
      <c r="E367" s="1028" t="s">
        <v>702</v>
      </c>
      <c r="F367" s="1576"/>
      <c r="G367" s="1755"/>
      <c r="H367" s="1745"/>
      <c r="I367" s="1745"/>
      <c r="J367" s="1745"/>
      <c r="K367" s="1745"/>
      <c r="L367" s="1745"/>
      <c r="M367" s="1745"/>
      <c r="N367" s="1745"/>
      <c r="O367" s="1746"/>
      <c r="P367" s="1746"/>
      <c r="Q367" s="1745"/>
      <c r="R367" s="1745"/>
      <c r="S367" s="1745"/>
      <c r="T367" s="1745"/>
      <c r="U367" s="989">
        <f t="shared" si="41"/>
        <v>0</v>
      </c>
      <c r="V367" s="547">
        <v>0</v>
      </c>
      <c r="W367" s="1264">
        <f t="shared" si="45"/>
        <v>0</v>
      </c>
      <c r="X367" s="547">
        <f t="shared" si="44"/>
        <v>0</v>
      </c>
      <c r="Y367" s="566"/>
      <c r="Z367" s="567"/>
      <c r="AA367" s="989">
        <f t="shared" si="42"/>
        <v>0</v>
      </c>
      <c r="AB367" s="812">
        <f t="shared" si="43"/>
        <v>0</v>
      </c>
    </row>
    <row r="368" spans="1:28" ht="27" hidden="1" customHeight="1">
      <c r="A368" s="531"/>
      <c r="B368" s="531">
        <v>1401</v>
      </c>
      <c r="C368" s="529">
        <v>16</v>
      </c>
      <c r="D368" s="530" t="s">
        <v>329</v>
      </c>
      <c r="E368" s="1028" t="s">
        <v>330</v>
      </c>
      <c r="F368" s="1580">
        <v>-1000000</v>
      </c>
      <c r="G368" s="1755"/>
      <c r="H368" s="1758"/>
      <c r="I368" s="1745"/>
      <c r="J368" s="1745"/>
      <c r="K368" s="1745"/>
      <c r="L368" s="1745"/>
      <c r="M368" s="1745"/>
      <c r="N368" s="1745"/>
      <c r="O368" s="1746"/>
      <c r="P368" s="1746"/>
      <c r="Q368" s="1745"/>
      <c r="R368" s="1745"/>
      <c r="S368" s="1745"/>
      <c r="T368" s="1745"/>
      <c r="U368" s="989">
        <f t="shared" si="41"/>
        <v>-1000000</v>
      </c>
      <c r="V368" s="547">
        <v>-1000000</v>
      </c>
      <c r="W368" s="1264">
        <f t="shared" si="45"/>
        <v>-1</v>
      </c>
      <c r="X368" s="547">
        <f t="shared" si="44"/>
        <v>-1</v>
      </c>
      <c r="Y368" s="566"/>
      <c r="Z368" s="567"/>
      <c r="AA368" s="989">
        <f t="shared" si="42"/>
        <v>-1000000</v>
      </c>
      <c r="AB368" s="812">
        <f t="shared" si="43"/>
        <v>-1</v>
      </c>
    </row>
    <row r="369" spans="1:28" ht="27" hidden="1" customHeight="1">
      <c r="A369" s="531"/>
      <c r="B369" s="531">
        <v>1402</v>
      </c>
      <c r="C369" s="529">
        <v>16</v>
      </c>
      <c r="D369" s="530" t="s">
        <v>331</v>
      </c>
      <c r="E369" s="1028" t="s">
        <v>332</v>
      </c>
      <c r="F369" s="1580">
        <v>-2735500000</v>
      </c>
      <c r="G369" s="1755"/>
      <c r="H369" s="1758"/>
      <c r="I369" s="1745"/>
      <c r="J369" s="1745"/>
      <c r="K369" s="1745"/>
      <c r="L369" s="1745"/>
      <c r="M369" s="1745"/>
      <c r="N369" s="1745"/>
      <c r="O369" s="1746"/>
      <c r="P369" s="1746"/>
      <c r="Q369" s="1745"/>
      <c r="R369" s="1745"/>
      <c r="S369" s="1745"/>
      <c r="T369" s="1745"/>
      <c r="U369" s="989">
        <f t="shared" si="41"/>
        <v>-2735500000</v>
      </c>
      <c r="V369" s="547">
        <v>-2735500000</v>
      </c>
      <c r="W369" s="1264">
        <f>ROUND((U369/1000000),0)</f>
        <v>-2736</v>
      </c>
      <c r="X369" s="547">
        <f t="shared" si="44"/>
        <v>-2736</v>
      </c>
      <c r="Y369" s="566"/>
      <c r="Z369" s="567"/>
      <c r="AA369" s="989">
        <f t="shared" si="42"/>
        <v>-2735500000</v>
      </c>
      <c r="AB369" s="812">
        <f t="shared" si="43"/>
        <v>-2736</v>
      </c>
    </row>
    <row r="370" spans="1:28" ht="27" hidden="1" customHeight="1">
      <c r="A370" s="531"/>
      <c r="B370" s="531">
        <v>401</v>
      </c>
      <c r="C370" s="529">
        <v>11</v>
      </c>
      <c r="D370" s="530" t="s">
        <v>220</v>
      </c>
      <c r="E370" s="1028" t="s">
        <v>703</v>
      </c>
      <c r="F370" s="1576">
        <v>5958797690</v>
      </c>
      <c r="G370" s="1755"/>
      <c r="H370" s="1745"/>
      <c r="I370" s="1745"/>
      <c r="J370" s="1745"/>
      <c r="K370" s="1745"/>
      <c r="L370" s="1745"/>
      <c r="M370" s="1745"/>
      <c r="N370" s="1745"/>
      <c r="O370" s="1746"/>
      <c r="P370" s="1746"/>
      <c r="Q370" s="1745"/>
      <c r="R370" s="1745"/>
      <c r="S370" s="1745"/>
      <c r="T370" s="1745"/>
      <c r="U370" s="989">
        <f t="shared" si="41"/>
        <v>5958797690</v>
      </c>
      <c r="V370" s="547">
        <v>14662389893</v>
      </c>
      <c r="W370" s="1264">
        <f t="shared" ref="W370:W382" si="46">ROUND((U370/1000000),0)</f>
        <v>5959</v>
      </c>
      <c r="X370" s="547">
        <f t="shared" si="44"/>
        <v>14662</v>
      </c>
      <c r="Y370" s="566"/>
      <c r="Z370" s="567"/>
      <c r="AA370" s="989">
        <f t="shared" si="42"/>
        <v>5958797690</v>
      </c>
      <c r="AB370" s="812">
        <f t="shared" si="43"/>
        <v>5959</v>
      </c>
    </row>
    <row r="371" spans="1:28" ht="27" hidden="1" customHeight="1">
      <c r="A371" s="531"/>
      <c r="B371" s="531">
        <v>901</v>
      </c>
      <c r="C371" s="529">
        <v>8</v>
      </c>
      <c r="D371" s="530" t="s">
        <v>112</v>
      </c>
      <c r="E371" s="1028" t="s">
        <v>113</v>
      </c>
      <c r="F371" s="547">
        <v>2847587130988</v>
      </c>
      <c r="G371" s="1755"/>
      <c r="H371" s="1758"/>
      <c r="I371" s="1745"/>
      <c r="J371" s="1745"/>
      <c r="K371" s="1745"/>
      <c r="L371" s="1745"/>
      <c r="M371" s="1745"/>
      <c r="N371" s="1745"/>
      <c r="O371" s="1760"/>
      <c r="P371" s="1746"/>
      <c r="Q371" s="1745"/>
      <c r="R371" s="1745"/>
      <c r="S371" s="1745"/>
      <c r="T371" s="1745"/>
      <c r="U371" s="989">
        <f t="shared" si="41"/>
        <v>2847587130988</v>
      </c>
      <c r="V371" s="547">
        <v>2438621679732</v>
      </c>
      <c r="W371" s="1264">
        <f t="shared" si="46"/>
        <v>2847587</v>
      </c>
      <c r="X371" s="547">
        <f t="shared" si="44"/>
        <v>2438622</v>
      </c>
      <c r="Y371" s="566"/>
      <c r="Z371" s="567"/>
      <c r="AA371" s="989">
        <f t="shared" ref="AA371:AA373" si="47">U371+Z371-Y371</f>
        <v>2847587130988</v>
      </c>
      <c r="AB371" s="812">
        <f t="shared" ref="AB371:AB373" si="48">ROUND((AA371/1000000),0)</f>
        <v>2847587</v>
      </c>
    </row>
    <row r="372" spans="1:28" ht="22.5" hidden="1" customHeight="1">
      <c r="A372" s="531"/>
      <c r="B372" s="531">
        <v>901</v>
      </c>
      <c r="C372" s="529">
        <v>8</v>
      </c>
      <c r="D372" s="530" t="s">
        <v>1015</v>
      </c>
      <c r="E372" s="1028" t="s">
        <v>1766</v>
      </c>
      <c r="F372" s="1576">
        <v>1921492542</v>
      </c>
      <c r="G372" s="1755"/>
      <c r="H372" s="1758">
        <v>135580000</v>
      </c>
      <c r="I372" s="1760">
        <v>-135580000</v>
      </c>
      <c r="J372" s="552"/>
      <c r="K372" s="1745"/>
      <c r="L372" s="552"/>
      <c r="M372" s="552"/>
      <c r="N372" s="552"/>
      <c r="O372" s="1811"/>
      <c r="P372" s="1772"/>
      <c r="Q372" s="552"/>
      <c r="R372" s="552"/>
      <c r="S372" s="552"/>
      <c r="T372" s="1745"/>
      <c r="U372" s="989">
        <f t="shared" si="41"/>
        <v>1921492542</v>
      </c>
      <c r="V372" s="547">
        <v>408965451256</v>
      </c>
      <c r="W372" s="1264">
        <f>ROUND((U372/1000000),0)</f>
        <v>1921</v>
      </c>
      <c r="X372" s="547">
        <f t="shared" si="44"/>
        <v>408965</v>
      </c>
      <c r="Y372" s="566"/>
      <c r="Z372" s="567"/>
      <c r="AA372" s="989">
        <f t="shared" si="47"/>
        <v>1921492542</v>
      </c>
      <c r="AB372" s="812">
        <f t="shared" si="48"/>
        <v>1921</v>
      </c>
    </row>
    <row r="373" spans="1:28" ht="27" hidden="1" customHeight="1">
      <c r="A373" s="531"/>
      <c r="B373" s="531">
        <v>902</v>
      </c>
      <c r="C373" s="529">
        <v>8</v>
      </c>
      <c r="D373" s="530" t="s">
        <v>114</v>
      </c>
      <c r="E373" s="1028" t="s">
        <v>920</v>
      </c>
      <c r="F373" s="547">
        <v>47005153400754</v>
      </c>
      <c r="G373" s="1758"/>
      <c r="H373" s="1758"/>
      <c r="I373" s="1745"/>
      <c r="J373" s="1760"/>
      <c r="K373" s="1760"/>
      <c r="L373" s="1745"/>
      <c r="M373" s="1745"/>
      <c r="N373" s="1745"/>
      <c r="O373" s="1760"/>
      <c r="P373" s="1746"/>
      <c r="Q373" s="1745"/>
      <c r="R373" s="1745"/>
      <c r="S373" s="1745"/>
      <c r="T373" s="1745"/>
      <c r="U373" s="989">
        <f t="shared" si="41"/>
        <v>47005153400754</v>
      </c>
      <c r="V373" s="547">
        <v>36378336383571</v>
      </c>
      <c r="W373" s="1264">
        <f>ROUND((U373/1000000),0)+1</f>
        <v>47005154</v>
      </c>
      <c r="X373" s="547">
        <f t="shared" si="44"/>
        <v>36378336</v>
      </c>
      <c r="Y373" s="566"/>
      <c r="Z373" s="567"/>
      <c r="AA373" s="989">
        <f t="shared" si="47"/>
        <v>47005153400754</v>
      </c>
      <c r="AB373" s="812">
        <f t="shared" si="48"/>
        <v>47005153</v>
      </c>
    </row>
    <row r="374" spans="1:28" ht="27.75" hidden="1" customHeight="1">
      <c r="A374" s="531"/>
      <c r="B374" s="531">
        <v>902</v>
      </c>
      <c r="C374" s="529">
        <v>8</v>
      </c>
      <c r="D374" s="530" t="s">
        <v>2031</v>
      </c>
      <c r="E374" s="1028" t="s">
        <v>1791</v>
      </c>
      <c r="F374" s="1579">
        <v>2570131264251</v>
      </c>
      <c r="G374" s="1758">
        <v>24391384022</v>
      </c>
      <c r="H374" s="1758">
        <v>-68736633288</v>
      </c>
      <c r="I374" s="1760"/>
      <c r="J374" s="552"/>
      <c r="K374" s="1811"/>
      <c r="L374" s="1811"/>
      <c r="M374" s="1811"/>
      <c r="N374" s="1811"/>
      <c r="O374" s="1811"/>
      <c r="P374" s="1772"/>
      <c r="Q374" s="552"/>
      <c r="R374" s="552"/>
      <c r="S374" s="552"/>
      <c r="T374" s="552"/>
      <c r="U374" s="989">
        <f t="shared" si="41"/>
        <v>2525786014985</v>
      </c>
      <c r="V374" s="547">
        <v>10626817017183</v>
      </c>
      <c r="W374" s="1264">
        <f t="shared" si="46"/>
        <v>2525786</v>
      </c>
      <c r="X374" s="547">
        <f t="shared" si="44"/>
        <v>10626817</v>
      </c>
      <c r="Y374" s="566"/>
      <c r="Z374" s="567"/>
      <c r="AA374" s="989"/>
      <c r="AB374" s="812"/>
    </row>
    <row r="375" spans="1:28" ht="27" hidden="1" customHeight="1">
      <c r="A375" s="531"/>
      <c r="B375" s="531">
        <v>902</v>
      </c>
      <c r="C375" s="529">
        <v>8</v>
      </c>
      <c r="D375" s="530" t="s">
        <v>1624</v>
      </c>
      <c r="E375" s="1028" t="s">
        <v>2222</v>
      </c>
      <c r="F375" s="1580">
        <v>-802663093</v>
      </c>
      <c r="G375" s="1755"/>
      <c r="H375" s="1758"/>
      <c r="I375" s="1745"/>
      <c r="J375" s="1745"/>
      <c r="K375" s="1745"/>
      <c r="L375" s="1745"/>
      <c r="M375" s="1745"/>
      <c r="N375" s="1745"/>
      <c r="O375" s="1760"/>
      <c r="P375" s="1746"/>
      <c r="Q375" s="1745"/>
      <c r="R375" s="1745"/>
      <c r="S375" s="1745"/>
      <c r="T375" s="1745"/>
      <c r="U375" s="989">
        <f t="shared" si="41"/>
        <v>-802663093</v>
      </c>
      <c r="V375" s="547">
        <v>0</v>
      </c>
      <c r="W375" s="1264">
        <f t="shared" si="46"/>
        <v>-803</v>
      </c>
      <c r="X375" s="547">
        <f t="shared" si="44"/>
        <v>0</v>
      </c>
      <c r="Y375" s="566"/>
      <c r="Z375" s="567"/>
      <c r="AA375" s="989">
        <f t="shared" ref="AA375:AA406" si="49">U375+Z375-Y375</f>
        <v>-802663093</v>
      </c>
      <c r="AB375" s="812">
        <f t="shared" ref="AB375:AB406" si="50">ROUND((AA375/1000000),0)</f>
        <v>-803</v>
      </c>
    </row>
    <row r="376" spans="1:28" ht="27" hidden="1" customHeight="1">
      <c r="A376" s="531"/>
      <c r="B376" s="531"/>
      <c r="C376" s="529">
        <v>9</v>
      </c>
      <c r="D376" s="530" t="s">
        <v>667</v>
      </c>
      <c r="E376" s="1028" t="s">
        <v>666</v>
      </c>
      <c r="F376" s="547">
        <v>8557763010</v>
      </c>
      <c r="G376" s="1755"/>
      <c r="H376" s="1758"/>
      <c r="I376" s="1745"/>
      <c r="J376" s="1745"/>
      <c r="K376" s="1745"/>
      <c r="L376" s="1745"/>
      <c r="M376" s="1745"/>
      <c r="N376" s="1745"/>
      <c r="O376" s="1746"/>
      <c r="P376" s="1746"/>
      <c r="Q376" s="1745"/>
      <c r="R376" s="1745"/>
      <c r="S376" s="1745"/>
      <c r="T376" s="1745"/>
      <c r="U376" s="989">
        <f t="shared" si="41"/>
        <v>8557763010</v>
      </c>
      <c r="V376" s="547">
        <v>8557763010</v>
      </c>
      <c r="W376" s="1264">
        <f t="shared" si="46"/>
        <v>8558</v>
      </c>
      <c r="X376" s="547">
        <f t="shared" si="44"/>
        <v>8558</v>
      </c>
      <c r="Y376" s="566"/>
      <c r="Z376" s="567"/>
      <c r="AA376" s="989">
        <f t="shared" si="49"/>
        <v>8557763010</v>
      </c>
      <c r="AB376" s="812">
        <f t="shared" si="50"/>
        <v>8558</v>
      </c>
    </row>
    <row r="377" spans="1:28" ht="27" hidden="1" customHeight="1">
      <c r="A377" s="531"/>
      <c r="B377" s="531">
        <v>903</v>
      </c>
      <c r="C377" s="529">
        <v>8</v>
      </c>
      <c r="D377" s="530" t="s">
        <v>105</v>
      </c>
      <c r="E377" s="1028" t="s">
        <v>913</v>
      </c>
      <c r="F377" s="547">
        <v>3230599474276</v>
      </c>
      <c r="G377" s="1755"/>
      <c r="H377" s="1758"/>
      <c r="I377" s="1746"/>
      <c r="J377" s="1746"/>
      <c r="K377" s="1746"/>
      <c r="L377" s="1746"/>
      <c r="M377" s="1746"/>
      <c r="N377" s="1746"/>
      <c r="O377" s="1760"/>
      <c r="P377" s="1746"/>
      <c r="Q377" s="1746"/>
      <c r="R377" s="1745"/>
      <c r="S377" s="1745"/>
      <c r="T377" s="1745"/>
      <c r="U377" s="989">
        <f t="shared" si="41"/>
        <v>3230599474276</v>
      </c>
      <c r="V377" s="547">
        <v>2828528053461</v>
      </c>
      <c r="W377" s="1264">
        <f t="shared" si="46"/>
        <v>3230599</v>
      </c>
      <c r="X377" s="547">
        <f t="shared" si="44"/>
        <v>2828528</v>
      </c>
      <c r="Y377" s="566"/>
      <c r="Z377" s="567"/>
      <c r="AA377" s="989">
        <f t="shared" si="49"/>
        <v>3230599474276</v>
      </c>
      <c r="AB377" s="812">
        <f t="shared" si="50"/>
        <v>3230599</v>
      </c>
    </row>
    <row r="378" spans="1:28" ht="24.75" hidden="1" customHeight="1">
      <c r="A378" s="531"/>
      <c r="B378" s="531">
        <v>903</v>
      </c>
      <c r="C378" s="529">
        <v>8</v>
      </c>
      <c r="D378" s="530" t="s">
        <v>1107</v>
      </c>
      <c r="E378" s="1028" t="s">
        <v>1108</v>
      </c>
      <c r="F378" s="1579">
        <v>480904751861</v>
      </c>
      <c r="G378" s="1758">
        <v>129338038228</v>
      </c>
      <c r="H378" s="1758">
        <v>1639129425</v>
      </c>
      <c r="I378" s="1746"/>
      <c r="J378" s="1761"/>
      <c r="K378" s="1746"/>
      <c r="L378" s="1746"/>
      <c r="M378" s="1746"/>
      <c r="N378" s="1760"/>
      <c r="O378" s="1760"/>
      <c r="P378" s="1746"/>
      <c r="Q378" s="1746"/>
      <c r="R378" s="1745"/>
      <c r="S378" s="1745"/>
      <c r="T378" s="1745"/>
      <c r="U378" s="989">
        <f t="shared" si="41"/>
        <v>611881919514</v>
      </c>
      <c r="V378" s="547">
        <v>404686893931</v>
      </c>
      <c r="W378" s="1264">
        <f t="shared" si="46"/>
        <v>611882</v>
      </c>
      <c r="X378" s="547">
        <f t="shared" si="44"/>
        <v>404687</v>
      </c>
      <c r="Y378" s="566"/>
      <c r="Z378" s="567"/>
      <c r="AA378" s="989">
        <f t="shared" si="49"/>
        <v>611881919514</v>
      </c>
      <c r="AB378" s="812">
        <f t="shared" si="50"/>
        <v>611882</v>
      </c>
    </row>
    <row r="379" spans="1:28" ht="27" hidden="1" customHeight="1">
      <c r="A379" s="531"/>
      <c r="B379" s="531">
        <v>903</v>
      </c>
      <c r="C379" s="529">
        <v>8</v>
      </c>
      <c r="D379" s="530" t="s">
        <v>1109</v>
      </c>
      <c r="E379" s="1028" t="s">
        <v>1110</v>
      </c>
      <c r="F379" s="1580">
        <v>-4745675136</v>
      </c>
      <c r="G379" s="1758">
        <v>-927145000</v>
      </c>
      <c r="H379" s="1758"/>
      <c r="I379" s="1746">
        <v>66251377</v>
      </c>
      <c r="J379" s="1761"/>
      <c r="K379" s="1746"/>
      <c r="L379" s="1746"/>
      <c r="M379" s="1746"/>
      <c r="N379" s="1760"/>
      <c r="O379" s="1760"/>
      <c r="P379" s="1746"/>
      <c r="Q379" s="1746"/>
      <c r="R379" s="1745"/>
      <c r="S379" s="1745"/>
      <c r="T379" s="1745"/>
      <c r="U379" s="989">
        <f t="shared" si="41"/>
        <v>-5606568759</v>
      </c>
      <c r="V379" s="547">
        <v>-2615473116</v>
      </c>
      <c r="W379" s="1264">
        <f t="shared" si="46"/>
        <v>-5607</v>
      </c>
      <c r="X379" s="547">
        <f t="shared" si="44"/>
        <v>-2615</v>
      </c>
      <c r="Y379" s="566"/>
      <c r="Z379" s="567"/>
      <c r="AA379" s="989">
        <f t="shared" si="49"/>
        <v>-5606568759</v>
      </c>
      <c r="AB379" s="812">
        <f t="shared" si="50"/>
        <v>-5607</v>
      </c>
    </row>
    <row r="380" spans="1:28" ht="27" hidden="1" customHeight="1">
      <c r="A380" s="531"/>
      <c r="B380" s="531">
        <v>903</v>
      </c>
      <c r="C380" s="529">
        <v>8</v>
      </c>
      <c r="D380" s="530" t="s">
        <v>1571</v>
      </c>
      <c r="E380" s="1028" t="s">
        <v>1111</v>
      </c>
      <c r="F380" s="1576"/>
      <c r="G380" s="1755"/>
      <c r="H380" s="1758"/>
      <c r="I380" s="1746"/>
      <c r="J380" s="1746"/>
      <c r="K380" s="1746"/>
      <c r="L380" s="1746"/>
      <c r="M380" s="1746"/>
      <c r="N380" s="1746"/>
      <c r="O380" s="1746"/>
      <c r="P380" s="1746"/>
      <c r="Q380" s="1746"/>
      <c r="R380" s="1745"/>
      <c r="S380" s="1745"/>
      <c r="T380" s="1745"/>
      <c r="U380" s="989">
        <f t="shared" si="41"/>
        <v>0</v>
      </c>
      <c r="V380" s="547">
        <v>0</v>
      </c>
      <c r="W380" s="1264">
        <f t="shared" si="46"/>
        <v>0</v>
      </c>
      <c r="X380" s="547">
        <f t="shared" si="44"/>
        <v>0</v>
      </c>
      <c r="Y380" s="566"/>
      <c r="Z380" s="567"/>
      <c r="AA380" s="989">
        <f t="shared" si="49"/>
        <v>0</v>
      </c>
      <c r="AB380" s="812">
        <f t="shared" si="50"/>
        <v>0</v>
      </c>
    </row>
    <row r="381" spans="1:28" ht="27" hidden="1" customHeight="1">
      <c r="A381" s="531"/>
      <c r="B381" s="531">
        <v>902</v>
      </c>
      <c r="C381" s="529">
        <v>8</v>
      </c>
      <c r="D381" s="530" t="s">
        <v>2023</v>
      </c>
      <c r="E381" s="1028" t="s">
        <v>2013</v>
      </c>
      <c r="F381" s="547"/>
      <c r="G381" s="1755"/>
      <c r="H381" s="1768"/>
      <c r="I381" s="1768"/>
      <c r="J381" s="1768"/>
      <c r="K381" s="1778"/>
      <c r="L381" s="1779"/>
      <c r="M381" s="1779"/>
      <c r="N381" s="1768"/>
      <c r="O381" s="1768"/>
      <c r="P381" s="560"/>
      <c r="Q381" s="560"/>
      <c r="R381" s="560"/>
      <c r="S381" s="560"/>
      <c r="T381" s="560"/>
      <c r="U381" s="989">
        <f t="shared" si="41"/>
        <v>0</v>
      </c>
      <c r="V381" s="560"/>
      <c r="W381" s="1264">
        <f t="shared" si="46"/>
        <v>0</v>
      </c>
      <c r="X381" s="547">
        <f t="shared" si="44"/>
        <v>0</v>
      </c>
      <c r="Y381" s="566"/>
      <c r="Z381" s="567"/>
      <c r="AA381" s="989">
        <f t="shared" si="49"/>
        <v>0</v>
      </c>
      <c r="AB381" s="812">
        <f t="shared" si="50"/>
        <v>0</v>
      </c>
    </row>
    <row r="382" spans="1:28" ht="27" hidden="1" customHeight="1">
      <c r="A382" s="531"/>
      <c r="B382" s="531">
        <v>902</v>
      </c>
      <c r="C382" s="529">
        <v>8</v>
      </c>
      <c r="D382" s="530" t="s">
        <v>2030</v>
      </c>
      <c r="E382" s="1028" t="s">
        <v>1756</v>
      </c>
      <c r="F382" s="1576">
        <v>11238607700</v>
      </c>
      <c r="G382" s="1762">
        <v>-11238607700</v>
      </c>
      <c r="H382" s="1766"/>
      <c r="I382" s="1763"/>
      <c r="J382" s="1745"/>
      <c r="K382" s="1745"/>
      <c r="L382" s="1763"/>
      <c r="M382" s="1763"/>
      <c r="N382" s="1763"/>
      <c r="O382" s="1764"/>
      <c r="P382" s="1764"/>
      <c r="Q382" s="1763"/>
      <c r="R382" s="1763"/>
      <c r="S382" s="1763"/>
      <c r="T382" s="1763"/>
      <c r="U382" s="989">
        <f t="shared" si="41"/>
        <v>0</v>
      </c>
      <c r="V382" s="547">
        <v>0</v>
      </c>
      <c r="W382" s="1264">
        <f t="shared" si="46"/>
        <v>0</v>
      </c>
      <c r="X382" s="547">
        <f t="shared" si="44"/>
        <v>0</v>
      </c>
      <c r="Y382" s="566"/>
      <c r="Z382" s="567"/>
      <c r="AA382" s="989">
        <f t="shared" si="49"/>
        <v>0</v>
      </c>
      <c r="AB382" s="812">
        <f t="shared" si="50"/>
        <v>0</v>
      </c>
    </row>
    <row r="383" spans="1:28" ht="24.75" hidden="1" customHeight="1">
      <c r="A383" s="531"/>
      <c r="B383" s="531">
        <v>905</v>
      </c>
      <c r="C383" s="529">
        <v>8</v>
      </c>
      <c r="D383" s="530" t="s">
        <v>107</v>
      </c>
      <c r="E383" s="1028" t="s">
        <v>917</v>
      </c>
      <c r="F383" s="1579">
        <v>1075413124829</v>
      </c>
      <c r="G383" s="1755"/>
      <c r="H383" s="1758"/>
      <c r="I383" s="1746"/>
      <c r="J383" s="1746"/>
      <c r="K383" s="1746"/>
      <c r="L383" s="1746"/>
      <c r="M383" s="1746"/>
      <c r="N383" s="1746"/>
      <c r="O383" s="1760"/>
      <c r="P383" s="1746"/>
      <c r="Q383" s="1746"/>
      <c r="R383" s="1745"/>
      <c r="S383" s="1745"/>
      <c r="T383" s="1745"/>
      <c r="U383" s="989">
        <f t="shared" si="41"/>
        <v>1075413124829</v>
      </c>
      <c r="V383" s="547">
        <v>1002475500053</v>
      </c>
      <c r="W383" s="1264">
        <f>ROUND((U383/1000000),0)</f>
        <v>1075413</v>
      </c>
      <c r="X383" s="547">
        <f t="shared" si="44"/>
        <v>1002476</v>
      </c>
      <c r="Y383" s="566"/>
      <c r="Z383" s="567"/>
      <c r="AA383" s="989">
        <f t="shared" si="49"/>
        <v>1075413124829</v>
      </c>
      <c r="AB383" s="812">
        <f t="shared" si="50"/>
        <v>1075413</v>
      </c>
    </row>
    <row r="384" spans="1:28" ht="27" hidden="1" customHeight="1">
      <c r="A384" s="531"/>
      <c r="B384" s="531">
        <v>905</v>
      </c>
      <c r="C384" s="529">
        <v>8</v>
      </c>
      <c r="D384" s="530" t="s">
        <v>1112</v>
      </c>
      <c r="E384" s="1028" t="s">
        <v>1113</v>
      </c>
      <c r="F384" s="1579">
        <v>39936424997</v>
      </c>
      <c r="G384" s="1758">
        <v>509275463100</v>
      </c>
      <c r="H384" s="1758"/>
      <c r="I384" s="1746"/>
      <c r="J384" s="1761"/>
      <c r="K384" s="1746"/>
      <c r="L384" s="1746"/>
      <c r="M384" s="1746"/>
      <c r="N384" s="1760"/>
      <c r="O384" s="1760"/>
      <c r="P384" s="1746"/>
      <c r="Q384" s="1746"/>
      <c r="R384" s="1745"/>
      <c r="S384" s="1745"/>
      <c r="T384" s="1745"/>
      <c r="U384" s="989">
        <f t="shared" si="41"/>
        <v>549211888097</v>
      </c>
      <c r="V384" s="547">
        <v>73996850590</v>
      </c>
      <c r="W384" s="1264">
        <f t="shared" ref="W384:W415" si="51">ROUND((U384/1000000),0)</f>
        <v>549212</v>
      </c>
      <c r="X384" s="547">
        <f t="shared" si="44"/>
        <v>73997</v>
      </c>
      <c r="Y384" s="566"/>
      <c r="Z384" s="567"/>
      <c r="AA384" s="989">
        <f t="shared" si="49"/>
        <v>549211888097</v>
      </c>
      <c r="AB384" s="812">
        <f t="shared" si="50"/>
        <v>549212</v>
      </c>
    </row>
    <row r="385" spans="1:28" ht="27" hidden="1" customHeight="1">
      <c r="A385" s="531"/>
      <c r="B385" s="531">
        <v>905</v>
      </c>
      <c r="C385" s="529">
        <v>8</v>
      </c>
      <c r="D385" s="530" t="s">
        <v>1115</v>
      </c>
      <c r="E385" s="1028" t="s">
        <v>1114</v>
      </c>
      <c r="F385" s="1580">
        <v>-4104004443</v>
      </c>
      <c r="G385" s="1758"/>
      <c r="H385" s="1758"/>
      <c r="I385" s="1746">
        <v>8400000</v>
      </c>
      <c r="J385" s="1761"/>
      <c r="K385" s="1746"/>
      <c r="L385" s="1746"/>
      <c r="M385" s="1746"/>
      <c r="N385" s="1746"/>
      <c r="O385" s="1760"/>
      <c r="P385" s="1746"/>
      <c r="Q385" s="1746"/>
      <c r="R385" s="1745"/>
      <c r="S385" s="1745"/>
      <c r="T385" s="1745"/>
      <c r="U385" s="989">
        <f t="shared" si="41"/>
        <v>-4095604443</v>
      </c>
      <c r="V385" s="547">
        <v>-1059225814</v>
      </c>
      <c r="W385" s="1264">
        <f t="shared" si="51"/>
        <v>-4096</v>
      </c>
      <c r="X385" s="547">
        <f t="shared" si="44"/>
        <v>-1059</v>
      </c>
      <c r="Y385" s="566"/>
      <c r="Z385" s="567"/>
      <c r="AA385" s="989">
        <f t="shared" si="49"/>
        <v>-4095604443</v>
      </c>
      <c r="AB385" s="812">
        <f t="shared" si="50"/>
        <v>-4096</v>
      </c>
    </row>
    <row r="386" spans="1:28" ht="27" hidden="1" customHeight="1">
      <c r="A386" s="531"/>
      <c r="B386" s="531"/>
      <c r="C386" s="529">
        <v>8</v>
      </c>
      <c r="D386" s="530" t="s">
        <v>1017</v>
      </c>
      <c r="E386" s="1028" t="s">
        <v>1018</v>
      </c>
      <c r="F386" s="1576"/>
      <c r="G386" s="1755"/>
      <c r="H386" s="1758"/>
      <c r="I386" s="1746"/>
      <c r="J386" s="1746"/>
      <c r="K386" s="1746"/>
      <c r="L386" s="1746"/>
      <c r="M386" s="1746"/>
      <c r="N386" s="1746"/>
      <c r="O386" s="1746"/>
      <c r="P386" s="1746"/>
      <c r="Q386" s="1746"/>
      <c r="R386" s="1745"/>
      <c r="S386" s="1745"/>
      <c r="T386" s="1745"/>
      <c r="U386" s="989">
        <f t="shared" si="41"/>
        <v>0</v>
      </c>
      <c r="V386" s="547">
        <v>0</v>
      </c>
      <c r="W386" s="1264">
        <f t="shared" si="51"/>
        <v>0</v>
      </c>
      <c r="X386" s="547">
        <f t="shared" si="44"/>
        <v>0</v>
      </c>
      <c r="Y386" s="566"/>
      <c r="Z386" s="567"/>
      <c r="AA386" s="989">
        <f t="shared" si="49"/>
        <v>0</v>
      </c>
      <c r="AB386" s="812">
        <f t="shared" si="50"/>
        <v>0</v>
      </c>
    </row>
    <row r="387" spans="1:28" ht="27" hidden="1" customHeight="1">
      <c r="A387" s="531"/>
      <c r="B387" s="531">
        <v>902</v>
      </c>
      <c r="C387" s="529">
        <v>8</v>
      </c>
      <c r="D387" s="530" t="s">
        <v>1197</v>
      </c>
      <c r="E387" s="1028" t="s">
        <v>1198</v>
      </c>
      <c r="F387" s="1576">
        <v>-54768750</v>
      </c>
      <c r="G387" s="1755"/>
      <c r="H387" s="1758"/>
      <c r="I387" s="1746"/>
      <c r="J387" s="1746"/>
      <c r="K387" s="1746"/>
      <c r="L387" s="1746"/>
      <c r="M387" s="1746"/>
      <c r="N387" s="1746"/>
      <c r="O387" s="1746"/>
      <c r="P387" s="1746"/>
      <c r="Q387" s="1746"/>
      <c r="R387" s="1745"/>
      <c r="S387" s="1745"/>
      <c r="T387" s="1745"/>
      <c r="U387" s="989">
        <f t="shared" si="41"/>
        <v>-54768750</v>
      </c>
      <c r="V387" s="547">
        <v>0</v>
      </c>
      <c r="W387" s="1264">
        <f t="shared" si="51"/>
        <v>-55</v>
      </c>
      <c r="X387" s="547">
        <f t="shared" si="44"/>
        <v>0</v>
      </c>
      <c r="Y387" s="566"/>
      <c r="Z387" s="567"/>
      <c r="AA387" s="989">
        <f t="shared" si="49"/>
        <v>-54768750</v>
      </c>
      <c r="AB387" s="812">
        <f t="shared" si="50"/>
        <v>-55</v>
      </c>
    </row>
    <row r="388" spans="1:28" ht="27" hidden="1" customHeight="1">
      <c r="A388" s="531"/>
      <c r="B388" s="531">
        <v>904</v>
      </c>
      <c r="C388" s="529">
        <v>8</v>
      </c>
      <c r="D388" s="530" t="s">
        <v>149</v>
      </c>
      <c r="E388" s="1028" t="s">
        <v>915</v>
      </c>
      <c r="F388" s="547">
        <v>886182689748</v>
      </c>
      <c r="G388" s="1755"/>
      <c r="H388" s="1758"/>
      <c r="I388" s="1746">
        <v>97720000</v>
      </c>
      <c r="J388" s="1746">
        <v>-97720000</v>
      </c>
      <c r="K388" s="1746"/>
      <c r="L388" s="1746"/>
      <c r="M388" s="1746"/>
      <c r="N388" s="1746"/>
      <c r="O388" s="1760"/>
      <c r="P388" s="1746"/>
      <c r="Q388" s="1746"/>
      <c r="R388" s="1745"/>
      <c r="S388" s="1745"/>
      <c r="T388" s="1745"/>
      <c r="U388" s="989">
        <f t="shared" si="41"/>
        <v>886182689748</v>
      </c>
      <c r="V388" s="547">
        <v>723966288310</v>
      </c>
      <c r="W388" s="1264">
        <f t="shared" si="51"/>
        <v>886183</v>
      </c>
      <c r="X388" s="547">
        <f t="shared" si="44"/>
        <v>723966</v>
      </c>
      <c r="Y388" s="566"/>
      <c r="Z388" s="567"/>
      <c r="AA388" s="989">
        <f t="shared" si="49"/>
        <v>886182689748</v>
      </c>
      <c r="AB388" s="812">
        <f t="shared" si="50"/>
        <v>886183</v>
      </c>
    </row>
    <row r="389" spans="1:28" ht="27" hidden="1" customHeight="1">
      <c r="A389" s="531"/>
      <c r="B389" s="531">
        <v>904</v>
      </c>
      <c r="C389" s="529">
        <v>8</v>
      </c>
      <c r="D389" s="530" t="s">
        <v>1116</v>
      </c>
      <c r="E389" s="1028" t="s">
        <v>1119</v>
      </c>
      <c r="F389" s="1579">
        <v>423717871931</v>
      </c>
      <c r="G389" s="1758">
        <v>52385718848</v>
      </c>
      <c r="H389" s="1758"/>
      <c r="I389" s="1746"/>
      <c r="J389" s="1761"/>
      <c r="K389" s="1746"/>
      <c r="L389" s="1746"/>
      <c r="M389" s="1746"/>
      <c r="N389" s="1760"/>
      <c r="O389" s="1760"/>
      <c r="P389" s="1746"/>
      <c r="Q389" s="1746"/>
      <c r="R389" s="1745"/>
      <c r="S389" s="1745"/>
      <c r="T389" s="1745"/>
      <c r="U389" s="989">
        <f t="shared" si="41"/>
        <v>476103590779</v>
      </c>
      <c r="V389" s="547">
        <v>163976902117</v>
      </c>
      <c r="W389" s="1264">
        <f t="shared" si="51"/>
        <v>476104</v>
      </c>
      <c r="X389" s="547">
        <f t="shared" si="44"/>
        <v>163977</v>
      </c>
      <c r="Y389" s="566"/>
      <c r="Z389" s="567"/>
      <c r="AA389" s="989">
        <f t="shared" si="49"/>
        <v>476103590779</v>
      </c>
      <c r="AB389" s="812">
        <f t="shared" si="50"/>
        <v>476104</v>
      </c>
    </row>
    <row r="390" spans="1:28" ht="27" hidden="1" customHeight="1">
      <c r="A390" s="531"/>
      <c r="B390" s="531">
        <v>904</v>
      </c>
      <c r="C390" s="529">
        <v>8</v>
      </c>
      <c r="D390" s="530" t="s">
        <v>1117</v>
      </c>
      <c r="E390" s="1028" t="s">
        <v>1120</v>
      </c>
      <c r="F390" s="1580">
        <v>-2541438864</v>
      </c>
      <c r="G390" s="1758">
        <v>-350266103</v>
      </c>
      <c r="H390" s="1758"/>
      <c r="I390" s="1746"/>
      <c r="J390" s="1761">
        <v>97720000</v>
      </c>
      <c r="K390" s="1746"/>
      <c r="L390" s="1746"/>
      <c r="M390" s="1746"/>
      <c r="N390" s="1746"/>
      <c r="O390" s="1760"/>
      <c r="P390" s="1746"/>
      <c r="Q390" s="1746"/>
      <c r="R390" s="1745"/>
      <c r="S390" s="1745"/>
      <c r="T390" s="1745"/>
      <c r="U390" s="989">
        <f t="shared" si="41"/>
        <v>-2793984967</v>
      </c>
      <c r="V390" s="547">
        <v>-1760500679</v>
      </c>
      <c r="W390" s="1264">
        <f t="shared" si="51"/>
        <v>-2794</v>
      </c>
      <c r="X390" s="547">
        <f t="shared" si="44"/>
        <v>-1761</v>
      </c>
      <c r="Y390" s="566"/>
      <c r="Z390" s="567"/>
      <c r="AA390" s="989">
        <f t="shared" si="49"/>
        <v>-2793984967</v>
      </c>
      <c r="AB390" s="812">
        <f t="shared" si="50"/>
        <v>-2794</v>
      </c>
    </row>
    <row r="391" spans="1:28" ht="27" hidden="1" customHeight="1">
      <c r="A391" s="531"/>
      <c r="B391" s="531">
        <v>904</v>
      </c>
      <c r="C391" s="529">
        <v>8</v>
      </c>
      <c r="D391" s="530" t="s">
        <v>1118</v>
      </c>
      <c r="E391" s="1028" t="s">
        <v>1121</v>
      </c>
      <c r="F391" s="1576"/>
      <c r="G391" s="1755"/>
      <c r="H391" s="1758"/>
      <c r="I391" s="1746"/>
      <c r="J391" s="1746"/>
      <c r="K391" s="1746"/>
      <c r="L391" s="1746"/>
      <c r="M391" s="1746"/>
      <c r="N391" s="1746"/>
      <c r="O391" s="1746"/>
      <c r="P391" s="1746"/>
      <c r="Q391" s="1746"/>
      <c r="R391" s="1745"/>
      <c r="S391" s="1745"/>
      <c r="T391" s="1745"/>
      <c r="U391" s="989">
        <f t="shared" ref="U391:U456" si="52">SUM(F391:T391)</f>
        <v>0</v>
      </c>
      <c r="V391" s="547">
        <v>0</v>
      </c>
      <c r="W391" s="1264">
        <f t="shared" si="51"/>
        <v>0</v>
      </c>
      <c r="X391" s="547">
        <f t="shared" si="44"/>
        <v>0</v>
      </c>
      <c r="Y391" s="566"/>
      <c r="Z391" s="567"/>
      <c r="AA391" s="989">
        <f t="shared" si="49"/>
        <v>0</v>
      </c>
      <c r="AB391" s="812">
        <f t="shared" si="50"/>
        <v>0</v>
      </c>
    </row>
    <row r="392" spans="1:28" ht="27" hidden="1" customHeight="1">
      <c r="A392" s="531"/>
      <c r="B392" s="531">
        <v>903</v>
      </c>
      <c r="C392" s="529">
        <v>8</v>
      </c>
      <c r="D392" s="530" t="s">
        <v>1019</v>
      </c>
      <c r="E392" s="1028" t="s">
        <v>1020</v>
      </c>
      <c r="F392" s="1579">
        <v>557365789675</v>
      </c>
      <c r="G392" s="1758">
        <v>-624463293536</v>
      </c>
      <c r="H392" s="1758">
        <v>66961923861</v>
      </c>
      <c r="I392" s="1760">
        <v>135580000</v>
      </c>
      <c r="J392" s="1761"/>
      <c r="K392" s="1760"/>
      <c r="L392" s="1746"/>
      <c r="M392" s="1746"/>
      <c r="N392" s="1746"/>
      <c r="O392" s="1760"/>
      <c r="P392" s="1746"/>
      <c r="Q392" s="1746"/>
      <c r="R392" s="1745"/>
      <c r="S392" s="1745"/>
      <c r="T392" s="1745"/>
      <c r="U392" s="989">
        <f t="shared" si="52"/>
        <v>0</v>
      </c>
      <c r="V392" s="547">
        <v>0</v>
      </c>
      <c r="W392" s="1264">
        <f t="shared" si="51"/>
        <v>0</v>
      </c>
      <c r="X392" s="547">
        <f t="shared" si="44"/>
        <v>0</v>
      </c>
      <c r="Y392" s="566"/>
      <c r="Z392" s="567"/>
      <c r="AA392" s="989">
        <f t="shared" si="49"/>
        <v>0</v>
      </c>
      <c r="AB392" s="812">
        <f t="shared" si="50"/>
        <v>0</v>
      </c>
    </row>
    <row r="393" spans="1:28" ht="27" hidden="1" customHeight="1">
      <c r="A393" s="531"/>
      <c r="B393" s="531">
        <v>902</v>
      </c>
      <c r="C393" s="529">
        <v>8</v>
      </c>
      <c r="D393" s="530" t="s">
        <v>1009</v>
      </c>
      <c r="E393" s="1028" t="s">
        <v>1010</v>
      </c>
      <c r="F393" s="1580">
        <v>-2168745333965</v>
      </c>
      <c r="G393" s="1758">
        <v>8581795799</v>
      </c>
      <c r="H393" s="1758">
        <v>-214187624</v>
      </c>
      <c r="I393" s="1746">
        <v>11740476168</v>
      </c>
      <c r="J393" s="1761"/>
      <c r="K393" s="1746"/>
      <c r="L393" s="1746"/>
      <c r="M393" s="1746"/>
      <c r="N393" s="1746"/>
      <c r="O393" s="1760"/>
      <c r="P393" s="1746"/>
      <c r="Q393" s="1746"/>
      <c r="R393" s="1745"/>
      <c r="S393" s="1745"/>
      <c r="T393" s="1745"/>
      <c r="U393" s="989">
        <f t="shared" si="52"/>
        <v>-2148637249622</v>
      </c>
      <c r="V393" s="547">
        <v>-1961305194038</v>
      </c>
      <c r="W393" s="1264">
        <f t="shared" si="51"/>
        <v>-2148637</v>
      </c>
      <c r="X393" s="547">
        <f t="shared" si="44"/>
        <v>-1961305</v>
      </c>
      <c r="Y393" s="566"/>
      <c r="Z393" s="567"/>
      <c r="AA393" s="989">
        <f t="shared" si="49"/>
        <v>-2148637249622</v>
      </c>
      <c r="AB393" s="812">
        <f t="shared" si="50"/>
        <v>-2148637</v>
      </c>
    </row>
    <row r="394" spans="1:28" ht="27" hidden="1" customHeight="1">
      <c r="A394" s="531"/>
      <c r="B394" s="531">
        <v>902</v>
      </c>
      <c r="C394" s="529">
        <v>8</v>
      </c>
      <c r="D394" s="530" t="s">
        <v>1625</v>
      </c>
      <c r="E394" s="1028" t="s">
        <v>2033</v>
      </c>
      <c r="F394" s="1579">
        <v>778859637</v>
      </c>
      <c r="G394" s="1755"/>
      <c r="H394" s="1758"/>
      <c r="I394" s="1746"/>
      <c r="J394" s="1746"/>
      <c r="K394" s="1746"/>
      <c r="L394" s="1746"/>
      <c r="M394" s="1746"/>
      <c r="N394" s="1746"/>
      <c r="O394" s="1760"/>
      <c r="P394" s="1746"/>
      <c r="Q394" s="1746"/>
      <c r="R394" s="1745"/>
      <c r="S394" s="1745"/>
      <c r="T394" s="1745"/>
      <c r="U394" s="989">
        <f t="shared" si="52"/>
        <v>778859637</v>
      </c>
      <c r="V394" s="547">
        <v>0</v>
      </c>
      <c r="W394" s="1264">
        <f t="shared" si="51"/>
        <v>779</v>
      </c>
      <c r="X394" s="547">
        <f t="shared" si="44"/>
        <v>0</v>
      </c>
      <c r="Y394" s="566"/>
      <c r="Z394" s="567"/>
      <c r="AA394" s="989">
        <f t="shared" si="49"/>
        <v>778859637</v>
      </c>
      <c r="AB394" s="812">
        <f t="shared" si="50"/>
        <v>779</v>
      </c>
    </row>
    <row r="395" spans="1:28" ht="27" hidden="1" customHeight="1">
      <c r="A395" s="531"/>
      <c r="B395" s="531">
        <v>903</v>
      </c>
      <c r="C395" s="529">
        <v>8</v>
      </c>
      <c r="D395" s="530" t="s">
        <v>1250</v>
      </c>
      <c r="E395" s="1028" t="s">
        <v>2034</v>
      </c>
      <c r="F395" s="1580">
        <v>-3065148</v>
      </c>
      <c r="G395" s="1755"/>
      <c r="H395" s="1758"/>
      <c r="I395" s="1746"/>
      <c r="J395" s="1746"/>
      <c r="K395" s="1746"/>
      <c r="L395" s="1746"/>
      <c r="M395" s="1746"/>
      <c r="N395" s="1746"/>
      <c r="O395" s="1760"/>
      <c r="P395" s="1746"/>
      <c r="Q395" s="1746"/>
      <c r="R395" s="1745"/>
      <c r="S395" s="1745"/>
      <c r="T395" s="1745"/>
      <c r="U395" s="989">
        <f t="shared" si="52"/>
        <v>-3065148</v>
      </c>
      <c r="V395" s="547">
        <v>-3065148</v>
      </c>
      <c r="W395" s="1264">
        <f t="shared" si="51"/>
        <v>-3</v>
      </c>
      <c r="X395" s="547">
        <f t="shared" si="44"/>
        <v>-3</v>
      </c>
      <c r="Y395" s="566"/>
      <c r="Z395" s="567"/>
      <c r="AA395" s="989">
        <f t="shared" si="49"/>
        <v>-3065148</v>
      </c>
      <c r="AB395" s="812">
        <f t="shared" si="50"/>
        <v>-3</v>
      </c>
    </row>
    <row r="396" spans="1:28" ht="27" hidden="1" customHeight="1">
      <c r="A396" s="531"/>
      <c r="B396" s="531">
        <v>902</v>
      </c>
      <c r="C396" s="529">
        <v>8</v>
      </c>
      <c r="D396" s="530" t="s">
        <v>1122</v>
      </c>
      <c r="E396" s="1028" t="s">
        <v>1123</v>
      </c>
      <c r="F396" s="1580">
        <v>-75001730868</v>
      </c>
      <c r="G396" s="1755">
        <v>-5950607</v>
      </c>
      <c r="H396" s="1758"/>
      <c r="I396" s="1745"/>
      <c r="J396" s="1746"/>
      <c r="K396" s="1745"/>
      <c r="L396" s="1745"/>
      <c r="M396" s="1745"/>
      <c r="N396" s="1745"/>
      <c r="O396" s="1760"/>
      <c r="P396" s="1746"/>
      <c r="Q396" s="1745"/>
      <c r="R396" s="1745"/>
      <c r="S396" s="1745"/>
      <c r="T396" s="1745"/>
      <c r="U396" s="989">
        <f t="shared" si="52"/>
        <v>-75007681475</v>
      </c>
      <c r="V396" s="547">
        <v>-90830726034</v>
      </c>
      <c r="W396" s="1264">
        <f t="shared" si="51"/>
        <v>-75008</v>
      </c>
      <c r="X396" s="547">
        <f t="shared" si="44"/>
        <v>-90831</v>
      </c>
      <c r="Y396" s="566"/>
      <c r="Z396" s="567"/>
      <c r="AA396" s="989">
        <f t="shared" si="49"/>
        <v>-75007681475</v>
      </c>
      <c r="AB396" s="812">
        <f t="shared" si="50"/>
        <v>-75008</v>
      </c>
    </row>
    <row r="397" spans="1:28" ht="27" hidden="1" customHeight="1">
      <c r="A397" s="531"/>
      <c r="B397" s="531"/>
      <c r="C397" s="529">
        <v>8</v>
      </c>
      <c r="D397" s="530" t="s">
        <v>1251</v>
      </c>
      <c r="E397" s="1028" t="s">
        <v>1252</v>
      </c>
      <c r="F397" s="1576"/>
      <c r="G397" s="1755"/>
      <c r="H397" s="1758"/>
      <c r="I397" s="1745"/>
      <c r="J397" s="1746"/>
      <c r="K397" s="1745"/>
      <c r="L397" s="1745"/>
      <c r="M397" s="1745"/>
      <c r="N397" s="1745"/>
      <c r="O397" s="1746"/>
      <c r="P397" s="1746"/>
      <c r="Q397" s="1745"/>
      <c r="R397" s="1745"/>
      <c r="S397" s="1745"/>
      <c r="T397" s="1745"/>
      <c r="U397" s="989">
        <f t="shared" si="52"/>
        <v>0</v>
      </c>
      <c r="V397" s="547">
        <v>0</v>
      </c>
      <c r="W397" s="1264">
        <f t="shared" si="51"/>
        <v>0</v>
      </c>
      <c r="X397" s="547">
        <f t="shared" si="44"/>
        <v>0</v>
      </c>
      <c r="Y397" s="566"/>
      <c r="Z397" s="567"/>
      <c r="AA397" s="989">
        <f t="shared" si="49"/>
        <v>0</v>
      </c>
      <c r="AB397" s="812">
        <f t="shared" si="50"/>
        <v>0</v>
      </c>
    </row>
    <row r="398" spans="1:28" ht="27" hidden="1" customHeight="1">
      <c r="A398" s="531"/>
      <c r="B398" s="531">
        <v>902</v>
      </c>
      <c r="C398" s="529">
        <v>8</v>
      </c>
      <c r="D398" s="530" t="s">
        <v>1124</v>
      </c>
      <c r="E398" s="1028" t="s">
        <v>1125</v>
      </c>
      <c r="F398" s="1580">
        <v>-113817269743</v>
      </c>
      <c r="G398" s="1758">
        <v>-5152723759</v>
      </c>
      <c r="H398" s="1758"/>
      <c r="I398" s="1745"/>
      <c r="J398" s="1761"/>
      <c r="K398" s="1745"/>
      <c r="L398" s="1745"/>
      <c r="M398" s="1745"/>
      <c r="N398" s="1745"/>
      <c r="O398" s="1760"/>
      <c r="P398" s="1746"/>
      <c r="Q398" s="1745"/>
      <c r="R398" s="1745"/>
      <c r="S398" s="1745"/>
      <c r="T398" s="1745"/>
      <c r="U398" s="989">
        <f t="shared" si="52"/>
        <v>-118969993502</v>
      </c>
      <c r="V398" s="547">
        <v>-40017953076</v>
      </c>
      <c r="W398" s="1264">
        <f t="shared" si="51"/>
        <v>-118970</v>
      </c>
      <c r="X398" s="547">
        <f t="shared" si="44"/>
        <v>-40018</v>
      </c>
      <c r="Y398" s="566"/>
      <c r="Z398" s="567"/>
      <c r="AA398" s="989">
        <f t="shared" si="49"/>
        <v>-118969993502</v>
      </c>
      <c r="AB398" s="812">
        <f t="shared" si="50"/>
        <v>-118970</v>
      </c>
    </row>
    <row r="399" spans="1:28" ht="27" hidden="1" customHeight="1">
      <c r="A399" s="531"/>
      <c r="B399" s="531">
        <v>902</v>
      </c>
      <c r="C399" s="529">
        <v>8</v>
      </c>
      <c r="D399" s="530" t="s">
        <v>1199</v>
      </c>
      <c r="E399" s="1028" t="s">
        <v>1200</v>
      </c>
      <c r="F399" s="1576">
        <v>-32059898</v>
      </c>
      <c r="G399" s="1755">
        <v>78508757</v>
      </c>
      <c r="H399" s="1758"/>
      <c r="I399" s="1745"/>
      <c r="J399" s="1746"/>
      <c r="K399" s="1745"/>
      <c r="L399" s="1745"/>
      <c r="M399" s="1745"/>
      <c r="N399" s="1745"/>
      <c r="O399" s="1746"/>
      <c r="P399" s="1746"/>
      <c r="Q399" s="1745"/>
      <c r="R399" s="1745"/>
      <c r="S399" s="1745"/>
      <c r="T399" s="1745"/>
      <c r="U399" s="989">
        <f t="shared" si="52"/>
        <v>46448859</v>
      </c>
      <c r="V399" s="547">
        <v>0</v>
      </c>
      <c r="W399" s="1264">
        <f t="shared" si="51"/>
        <v>46</v>
      </c>
      <c r="X399" s="547">
        <f t="shared" si="44"/>
        <v>0</v>
      </c>
      <c r="Y399" s="566"/>
      <c r="Z399" s="567"/>
      <c r="AA399" s="989">
        <f t="shared" si="49"/>
        <v>46448859</v>
      </c>
      <c r="AB399" s="812">
        <f t="shared" si="50"/>
        <v>46</v>
      </c>
    </row>
    <row r="400" spans="1:28" ht="27" hidden="1" customHeight="1">
      <c r="A400" s="531"/>
      <c r="B400" s="531">
        <v>902</v>
      </c>
      <c r="C400" s="529">
        <v>8</v>
      </c>
      <c r="D400" s="530" t="s">
        <v>151</v>
      </c>
      <c r="E400" s="1028" t="s">
        <v>914</v>
      </c>
      <c r="F400" s="547">
        <v>-29664955338875</v>
      </c>
      <c r="G400" s="1755"/>
      <c r="H400" s="1758"/>
      <c r="I400" s="1745"/>
      <c r="J400" s="1746"/>
      <c r="K400" s="1745"/>
      <c r="L400" s="1745"/>
      <c r="M400" s="1745"/>
      <c r="N400" s="1745"/>
      <c r="O400" s="1760"/>
      <c r="P400" s="1746"/>
      <c r="Q400" s="1745"/>
      <c r="R400" s="1745"/>
      <c r="S400" s="1745"/>
      <c r="T400" s="1745"/>
      <c r="U400" s="989">
        <f t="shared" si="52"/>
        <v>-29664955338875</v>
      </c>
      <c r="V400" s="547">
        <v>-27546112354352</v>
      </c>
      <c r="W400" s="1264">
        <f t="shared" si="51"/>
        <v>-29664955</v>
      </c>
      <c r="X400" s="547">
        <f t="shared" si="44"/>
        <v>-27546112</v>
      </c>
      <c r="Y400" s="566"/>
      <c r="Z400" s="567"/>
      <c r="AA400" s="989">
        <f t="shared" si="49"/>
        <v>-29664955338875</v>
      </c>
      <c r="AB400" s="812">
        <f t="shared" si="50"/>
        <v>-29664955</v>
      </c>
    </row>
    <row r="401" spans="1:28" ht="27" hidden="1" customHeight="1">
      <c r="A401" s="531"/>
      <c r="B401" s="531"/>
      <c r="C401" s="529">
        <v>8</v>
      </c>
      <c r="D401" s="530" t="s">
        <v>1253</v>
      </c>
      <c r="E401" s="1028" t="s">
        <v>1254</v>
      </c>
      <c r="F401" s="1576"/>
      <c r="G401" s="1755"/>
      <c r="H401" s="1758"/>
      <c r="I401" s="1745"/>
      <c r="J401" s="1746"/>
      <c r="K401" s="1745"/>
      <c r="L401" s="1745"/>
      <c r="M401" s="1745"/>
      <c r="N401" s="1745"/>
      <c r="O401" s="1746"/>
      <c r="P401" s="1746"/>
      <c r="Q401" s="1745"/>
      <c r="R401" s="1745"/>
      <c r="S401" s="1745"/>
      <c r="T401" s="1745"/>
      <c r="U401" s="989">
        <f t="shared" si="52"/>
        <v>0</v>
      </c>
      <c r="V401" s="547">
        <v>0</v>
      </c>
      <c r="W401" s="1264">
        <f t="shared" si="51"/>
        <v>0</v>
      </c>
      <c r="X401" s="547">
        <f t="shared" si="44"/>
        <v>0</v>
      </c>
      <c r="Y401" s="566"/>
      <c r="Z401" s="567"/>
      <c r="AA401" s="989">
        <f t="shared" si="49"/>
        <v>0</v>
      </c>
      <c r="AB401" s="812">
        <f t="shared" si="50"/>
        <v>0</v>
      </c>
    </row>
    <row r="402" spans="1:28" ht="27" hidden="1" customHeight="1">
      <c r="A402" s="531"/>
      <c r="B402" s="531">
        <v>902</v>
      </c>
      <c r="C402" s="529">
        <v>8</v>
      </c>
      <c r="D402" s="530" t="s">
        <v>1126</v>
      </c>
      <c r="E402" s="1028" t="s">
        <v>1127</v>
      </c>
      <c r="F402" s="1580">
        <v>-25050759722</v>
      </c>
      <c r="G402" s="1755">
        <v>-2727954220</v>
      </c>
      <c r="H402" s="1758"/>
      <c r="I402" s="1745"/>
      <c r="J402" s="1746"/>
      <c r="K402" s="1745"/>
      <c r="L402" s="1745"/>
      <c r="M402" s="1745"/>
      <c r="N402" s="1745"/>
      <c r="O402" s="1760"/>
      <c r="P402" s="1746"/>
      <c r="Q402" s="1745"/>
      <c r="R402" s="1745"/>
      <c r="S402" s="1745"/>
      <c r="T402" s="1745"/>
      <c r="U402" s="989">
        <f t="shared" si="52"/>
        <v>-27778713942</v>
      </c>
      <c r="V402" s="547">
        <v>-23999041496</v>
      </c>
      <c r="W402" s="1264">
        <f t="shared" si="51"/>
        <v>-27779</v>
      </c>
      <c r="X402" s="547">
        <f t="shared" si="44"/>
        <v>-23999</v>
      </c>
      <c r="Y402" s="566"/>
      <c r="Z402" s="567"/>
      <c r="AA402" s="989">
        <f t="shared" si="49"/>
        <v>-27778713942</v>
      </c>
      <c r="AB402" s="812">
        <f t="shared" si="50"/>
        <v>-27779</v>
      </c>
    </row>
    <row r="403" spans="1:28" ht="27" hidden="1" customHeight="1">
      <c r="A403" s="531"/>
      <c r="B403" s="531">
        <v>903</v>
      </c>
      <c r="C403" s="529">
        <v>8</v>
      </c>
      <c r="D403" s="530" t="s">
        <v>509</v>
      </c>
      <c r="E403" s="1028" t="s">
        <v>921</v>
      </c>
      <c r="F403" s="1580">
        <v>-1723095323351</v>
      </c>
      <c r="G403" s="1755"/>
      <c r="H403" s="1758"/>
      <c r="I403" s="1745"/>
      <c r="J403" s="1746"/>
      <c r="K403" s="1745"/>
      <c r="L403" s="1745"/>
      <c r="M403" s="1745"/>
      <c r="N403" s="1745"/>
      <c r="O403" s="1760"/>
      <c r="P403" s="1746"/>
      <c r="Q403" s="1745"/>
      <c r="R403" s="1745"/>
      <c r="S403" s="1745"/>
      <c r="T403" s="1745"/>
      <c r="U403" s="989">
        <f t="shared" si="52"/>
        <v>-1723095323351</v>
      </c>
      <c r="V403" s="547">
        <v>-1362258165542</v>
      </c>
      <c r="W403" s="1264">
        <f t="shared" si="51"/>
        <v>-1723095</v>
      </c>
      <c r="X403" s="547">
        <f t="shared" si="44"/>
        <v>-1362258</v>
      </c>
      <c r="Y403" s="566"/>
      <c r="Z403" s="567"/>
      <c r="AA403" s="989">
        <f t="shared" si="49"/>
        <v>-1723095323351</v>
      </c>
      <c r="AB403" s="812">
        <f t="shared" si="50"/>
        <v>-1723095</v>
      </c>
    </row>
    <row r="404" spans="1:28" ht="27" hidden="1" customHeight="1">
      <c r="A404" s="531"/>
      <c r="B404" s="531">
        <v>903</v>
      </c>
      <c r="C404" s="529">
        <v>8</v>
      </c>
      <c r="D404" s="530" t="s">
        <v>1128</v>
      </c>
      <c r="E404" s="1028" t="s">
        <v>1133</v>
      </c>
      <c r="F404" s="1580">
        <v>-346896168043</v>
      </c>
      <c r="G404" s="1758">
        <v>-18188093951</v>
      </c>
      <c r="H404" s="1758"/>
      <c r="I404" s="1745">
        <v>-1702688</v>
      </c>
      <c r="J404" s="1761"/>
      <c r="K404" s="1745"/>
      <c r="L404" s="1745"/>
      <c r="M404" s="1745"/>
      <c r="N404" s="1745"/>
      <c r="O404" s="1760"/>
      <c r="P404" s="1746"/>
      <c r="Q404" s="1745"/>
      <c r="R404" s="1745"/>
      <c r="S404" s="1745"/>
      <c r="T404" s="1745"/>
      <c r="U404" s="989">
        <f t="shared" si="52"/>
        <v>-365085964682</v>
      </c>
      <c r="V404" s="547">
        <v>-363281485322</v>
      </c>
      <c r="W404" s="1264">
        <f t="shared" si="51"/>
        <v>-365086</v>
      </c>
      <c r="X404" s="547">
        <f t="shared" si="44"/>
        <v>-363281</v>
      </c>
      <c r="Y404" s="566"/>
      <c r="Z404" s="567"/>
      <c r="AA404" s="989">
        <f t="shared" si="49"/>
        <v>-365085964682</v>
      </c>
      <c r="AB404" s="812">
        <f t="shared" si="50"/>
        <v>-365086</v>
      </c>
    </row>
    <row r="405" spans="1:28" ht="27" hidden="1" customHeight="1">
      <c r="A405" s="531"/>
      <c r="B405" s="531">
        <v>903</v>
      </c>
      <c r="C405" s="529">
        <v>8</v>
      </c>
      <c r="D405" s="530" t="s">
        <v>1129</v>
      </c>
      <c r="E405" s="1028" t="s">
        <v>1131</v>
      </c>
      <c r="F405" s="1738">
        <v>3816488921</v>
      </c>
      <c r="G405" s="1758">
        <v>867593425</v>
      </c>
      <c r="H405" s="1758"/>
      <c r="I405" s="1745">
        <v>-37267895</v>
      </c>
      <c r="J405" s="1761"/>
      <c r="K405" s="1745"/>
      <c r="L405" s="1745"/>
      <c r="M405" s="1745"/>
      <c r="N405" s="1760"/>
      <c r="O405" s="1760"/>
      <c r="P405" s="1746"/>
      <c r="Q405" s="1745"/>
      <c r="R405" s="1745"/>
      <c r="S405" s="1745"/>
      <c r="T405" s="1745"/>
      <c r="U405" s="989">
        <f t="shared" si="52"/>
        <v>4646814451</v>
      </c>
      <c r="V405" s="547">
        <v>2444327513</v>
      </c>
      <c r="W405" s="1264">
        <f t="shared" si="51"/>
        <v>4647</v>
      </c>
      <c r="X405" s="547">
        <f t="shared" si="44"/>
        <v>2444</v>
      </c>
      <c r="Y405" s="566"/>
      <c r="Z405" s="567"/>
      <c r="AA405" s="989">
        <f t="shared" si="49"/>
        <v>4646814451</v>
      </c>
      <c r="AB405" s="812">
        <f t="shared" si="50"/>
        <v>4647</v>
      </c>
    </row>
    <row r="406" spans="1:28" ht="27" hidden="1" customHeight="1">
      <c r="A406" s="531"/>
      <c r="B406" s="531"/>
      <c r="C406" s="529">
        <v>8</v>
      </c>
      <c r="D406" s="530" t="s">
        <v>1130</v>
      </c>
      <c r="E406" s="1028" t="s">
        <v>1132</v>
      </c>
      <c r="F406" s="1576"/>
      <c r="G406" s="1755"/>
      <c r="H406" s="1758"/>
      <c r="I406" s="1745"/>
      <c r="J406" s="1746"/>
      <c r="K406" s="1745"/>
      <c r="L406" s="1745"/>
      <c r="M406" s="1745"/>
      <c r="N406" s="1745"/>
      <c r="O406" s="1746"/>
      <c r="P406" s="1746"/>
      <c r="Q406" s="1745"/>
      <c r="R406" s="1745"/>
      <c r="S406" s="1745"/>
      <c r="T406" s="1745"/>
      <c r="U406" s="989">
        <f t="shared" si="52"/>
        <v>0</v>
      </c>
      <c r="V406" s="547">
        <v>0</v>
      </c>
      <c r="W406" s="1264">
        <f t="shared" si="51"/>
        <v>0</v>
      </c>
      <c r="X406" s="547">
        <f t="shared" si="44"/>
        <v>0</v>
      </c>
      <c r="Y406" s="566"/>
      <c r="Z406" s="567"/>
      <c r="AA406" s="989">
        <f t="shared" si="49"/>
        <v>0</v>
      </c>
      <c r="AB406" s="812">
        <f t="shared" si="50"/>
        <v>0</v>
      </c>
    </row>
    <row r="407" spans="1:28" ht="27" hidden="1" customHeight="1">
      <c r="A407" s="531"/>
      <c r="B407" s="531">
        <v>905</v>
      </c>
      <c r="C407" s="529">
        <v>8</v>
      </c>
      <c r="D407" s="530" t="s">
        <v>287</v>
      </c>
      <c r="E407" s="1028" t="s">
        <v>918</v>
      </c>
      <c r="F407" s="1738">
        <v>-844328662493</v>
      </c>
      <c r="G407" s="1755"/>
      <c r="H407" s="1758"/>
      <c r="I407" s="1745"/>
      <c r="J407" s="1746"/>
      <c r="K407" s="1745"/>
      <c r="L407" s="1745"/>
      <c r="M407" s="1745"/>
      <c r="N407" s="1745"/>
      <c r="O407" s="1760"/>
      <c r="P407" s="1746"/>
      <c r="Q407" s="1745"/>
      <c r="R407" s="1745"/>
      <c r="S407" s="1745"/>
      <c r="T407" s="1745"/>
      <c r="U407" s="989">
        <f t="shared" si="52"/>
        <v>-844328662493</v>
      </c>
      <c r="V407" s="547">
        <v>-682463064314</v>
      </c>
      <c r="W407" s="1264">
        <f t="shared" si="51"/>
        <v>-844329</v>
      </c>
      <c r="X407" s="547">
        <f t="shared" si="44"/>
        <v>-682463</v>
      </c>
      <c r="Y407" s="566"/>
      <c r="Z407" s="567"/>
      <c r="AA407" s="989">
        <f t="shared" ref="AA407:AA440" si="53">U407+Z407-Y407</f>
        <v>-844328662493</v>
      </c>
      <c r="AB407" s="812">
        <f t="shared" ref="AB407:AB440" si="54">ROUND((AA407/1000000),0)</f>
        <v>-844329</v>
      </c>
    </row>
    <row r="408" spans="1:28" ht="27" hidden="1" customHeight="1">
      <c r="A408" s="531"/>
      <c r="B408" s="531">
        <v>905</v>
      </c>
      <c r="C408" s="529">
        <v>8</v>
      </c>
      <c r="D408" s="530" t="s">
        <v>1134</v>
      </c>
      <c r="E408" s="1028" t="s">
        <v>1136</v>
      </c>
      <c r="F408" s="1576">
        <v>-82104950068</v>
      </c>
      <c r="G408" s="1758">
        <v>-24736840320</v>
      </c>
      <c r="H408" s="1758"/>
      <c r="I408" s="1745"/>
      <c r="J408" s="1761"/>
      <c r="K408" s="1745"/>
      <c r="L408" s="1745"/>
      <c r="M408" s="1745"/>
      <c r="N408" s="1745"/>
      <c r="O408" s="1760"/>
      <c r="P408" s="1746"/>
      <c r="Q408" s="1745"/>
      <c r="R408" s="1745"/>
      <c r="S408" s="1745"/>
      <c r="T408" s="1745"/>
      <c r="U408" s="989">
        <f t="shared" si="52"/>
        <v>-106841790388</v>
      </c>
      <c r="V408" s="547">
        <v>-162924823993</v>
      </c>
      <c r="W408" s="1264">
        <f t="shared" si="51"/>
        <v>-106842</v>
      </c>
      <c r="X408" s="547">
        <f t="shared" si="44"/>
        <v>-162925</v>
      </c>
      <c r="Y408" s="566"/>
      <c r="Z408" s="567"/>
      <c r="AA408" s="989">
        <f t="shared" si="53"/>
        <v>-106841790388</v>
      </c>
      <c r="AB408" s="812">
        <f t="shared" si="54"/>
        <v>-106842</v>
      </c>
    </row>
    <row r="409" spans="1:28" ht="27" hidden="1" customHeight="1">
      <c r="A409" s="531"/>
      <c r="B409" s="531">
        <v>905</v>
      </c>
      <c r="C409" s="529">
        <v>8</v>
      </c>
      <c r="D409" s="530" t="s">
        <v>1135</v>
      </c>
      <c r="E409" s="1028" t="s">
        <v>1137</v>
      </c>
      <c r="F409" s="1738">
        <v>4104004440</v>
      </c>
      <c r="G409" s="1758"/>
      <c r="H409" s="1758"/>
      <c r="I409" s="1745">
        <v>-8400000</v>
      </c>
      <c r="J409" s="1761"/>
      <c r="K409" s="1745"/>
      <c r="L409" s="1745"/>
      <c r="M409" s="1745"/>
      <c r="N409" s="1745"/>
      <c r="O409" s="1760"/>
      <c r="P409" s="1746"/>
      <c r="Q409" s="1745"/>
      <c r="R409" s="1745"/>
      <c r="S409" s="1745"/>
      <c r="T409" s="1745"/>
      <c r="U409" s="989">
        <f t="shared" si="52"/>
        <v>4095604440</v>
      </c>
      <c r="V409" s="547">
        <v>1059225814</v>
      </c>
      <c r="W409" s="1264">
        <f t="shared" si="51"/>
        <v>4096</v>
      </c>
      <c r="X409" s="547">
        <f t="shared" ref="X409:X475" si="55">ROUND((V409/1000000),0)</f>
        <v>1059</v>
      </c>
      <c r="Y409" s="566"/>
      <c r="Z409" s="567"/>
      <c r="AA409" s="989">
        <f t="shared" si="53"/>
        <v>4095604440</v>
      </c>
      <c r="AB409" s="812">
        <f t="shared" si="54"/>
        <v>4096</v>
      </c>
    </row>
    <row r="410" spans="1:28" ht="27" hidden="1" customHeight="1">
      <c r="A410" s="531"/>
      <c r="B410" s="531"/>
      <c r="C410" s="529">
        <v>8</v>
      </c>
      <c r="D410" s="530" t="s">
        <v>1021</v>
      </c>
      <c r="E410" s="1028" t="s">
        <v>1022</v>
      </c>
      <c r="F410" s="1576"/>
      <c r="G410" s="1755"/>
      <c r="H410" s="1758"/>
      <c r="I410" s="1745"/>
      <c r="J410" s="1746"/>
      <c r="K410" s="1745"/>
      <c r="L410" s="1745"/>
      <c r="M410" s="1745"/>
      <c r="N410" s="1745"/>
      <c r="O410" s="1746"/>
      <c r="P410" s="1746"/>
      <c r="Q410" s="1745"/>
      <c r="R410" s="1745"/>
      <c r="S410" s="1745"/>
      <c r="T410" s="1745"/>
      <c r="U410" s="989">
        <f t="shared" si="52"/>
        <v>0</v>
      </c>
      <c r="V410" s="547">
        <v>0</v>
      </c>
      <c r="W410" s="1264">
        <f t="shared" si="51"/>
        <v>0</v>
      </c>
      <c r="X410" s="547">
        <f t="shared" si="55"/>
        <v>0</v>
      </c>
      <c r="Y410" s="566"/>
      <c r="Z410" s="567"/>
      <c r="AA410" s="989">
        <f t="shared" si="53"/>
        <v>0</v>
      </c>
      <c r="AB410" s="812">
        <f t="shared" si="54"/>
        <v>0</v>
      </c>
    </row>
    <row r="411" spans="1:28" ht="27" hidden="1" customHeight="1">
      <c r="A411" s="531"/>
      <c r="B411" s="531">
        <v>904</v>
      </c>
      <c r="C411" s="529">
        <v>8</v>
      </c>
      <c r="D411" s="530" t="s">
        <v>289</v>
      </c>
      <c r="E411" s="1028" t="s">
        <v>916</v>
      </c>
      <c r="F411" s="547">
        <v>-524683222178</v>
      </c>
      <c r="G411" s="1755"/>
      <c r="H411" s="1758"/>
      <c r="I411" s="1745"/>
      <c r="J411" s="1746"/>
      <c r="K411" s="1745"/>
      <c r="L411" s="1745"/>
      <c r="M411" s="1745"/>
      <c r="N411" s="1745"/>
      <c r="O411" s="1760"/>
      <c r="P411" s="1746"/>
      <c r="Q411" s="1745"/>
      <c r="R411" s="1745"/>
      <c r="S411" s="1745"/>
      <c r="T411" s="1745"/>
      <c r="U411" s="989">
        <f t="shared" si="52"/>
        <v>-524683222178</v>
      </c>
      <c r="V411" s="547">
        <v>-431179887348</v>
      </c>
      <c r="W411" s="1264">
        <f>ROUND((U411/1000000),0)</f>
        <v>-524683</v>
      </c>
      <c r="X411" s="547">
        <f t="shared" si="55"/>
        <v>-431180</v>
      </c>
      <c r="Y411" s="566"/>
      <c r="Z411" s="567"/>
      <c r="AA411" s="989">
        <f t="shared" si="53"/>
        <v>-524683222178</v>
      </c>
      <c r="AB411" s="812">
        <f t="shared" si="54"/>
        <v>-524683</v>
      </c>
    </row>
    <row r="412" spans="1:28" ht="27" hidden="1" customHeight="1">
      <c r="A412" s="531"/>
      <c r="B412" s="531">
        <v>904</v>
      </c>
      <c r="C412" s="529">
        <v>8</v>
      </c>
      <c r="D412" s="530" t="s">
        <v>1138</v>
      </c>
      <c r="E412" s="1028" t="s">
        <v>1141</v>
      </c>
      <c r="F412" s="2037">
        <v>-134392110780</v>
      </c>
      <c r="G412" s="1758">
        <v>-1108705136</v>
      </c>
      <c r="H412" s="1758"/>
      <c r="I412" s="1745">
        <v>-41114538</v>
      </c>
      <c r="J412" s="1761"/>
      <c r="K412" s="1760"/>
      <c r="L412" s="1745"/>
      <c r="M412" s="1745"/>
      <c r="N412" s="1745"/>
      <c r="O412" s="1760"/>
      <c r="P412" s="1746"/>
      <c r="Q412" s="1745"/>
      <c r="R412" s="1745"/>
      <c r="S412" s="1745"/>
      <c r="T412" s="1745"/>
      <c r="U412" s="989">
        <f t="shared" si="52"/>
        <v>-135541930454</v>
      </c>
      <c r="V412" s="547">
        <v>-95227531963</v>
      </c>
      <c r="W412" s="1264">
        <f t="shared" si="51"/>
        <v>-135542</v>
      </c>
      <c r="X412" s="547">
        <f t="shared" si="55"/>
        <v>-95228</v>
      </c>
      <c r="Y412" s="566"/>
      <c r="Z412" s="567"/>
      <c r="AA412" s="989">
        <f t="shared" si="53"/>
        <v>-135541930454</v>
      </c>
      <c r="AB412" s="812">
        <f t="shared" si="54"/>
        <v>-135542</v>
      </c>
    </row>
    <row r="413" spans="1:28" ht="27" hidden="1" customHeight="1">
      <c r="A413" s="531"/>
      <c r="B413" s="531">
        <v>904</v>
      </c>
      <c r="C413" s="529">
        <v>8</v>
      </c>
      <c r="D413" s="530" t="s">
        <v>1139</v>
      </c>
      <c r="E413" s="1028" t="s">
        <v>1142</v>
      </c>
      <c r="F413" s="2037">
        <v>2251290676</v>
      </c>
      <c r="G413" s="1758">
        <v>349969135</v>
      </c>
      <c r="H413" s="1758"/>
      <c r="I413" s="1745">
        <v>-97198970</v>
      </c>
      <c r="J413" s="1761"/>
      <c r="K413" s="1760"/>
      <c r="L413" s="1745"/>
      <c r="M413" s="1745"/>
      <c r="N413" s="1745"/>
      <c r="O413" s="1760"/>
      <c r="P413" s="1746"/>
      <c r="Q413" s="1745"/>
      <c r="R413" s="1745"/>
      <c r="S413" s="1745"/>
      <c r="T413" s="1745"/>
      <c r="U413" s="989">
        <f t="shared" si="52"/>
        <v>2504060841</v>
      </c>
      <c r="V413" s="547">
        <v>1724197133</v>
      </c>
      <c r="W413" s="1264">
        <f t="shared" si="51"/>
        <v>2504</v>
      </c>
      <c r="X413" s="547">
        <f t="shared" si="55"/>
        <v>1724</v>
      </c>
      <c r="Y413" s="566"/>
      <c r="Z413" s="567"/>
      <c r="AA413" s="989">
        <f t="shared" si="53"/>
        <v>2504060841</v>
      </c>
      <c r="AB413" s="812">
        <f t="shared" si="54"/>
        <v>2504</v>
      </c>
    </row>
    <row r="414" spans="1:28" ht="27" hidden="1" customHeight="1">
      <c r="A414" s="531"/>
      <c r="B414" s="531">
        <v>904</v>
      </c>
      <c r="C414" s="529">
        <v>8</v>
      </c>
      <c r="D414" s="530" t="s">
        <v>1140</v>
      </c>
      <c r="E414" s="1028" t="s">
        <v>1143</v>
      </c>
      <c r="F414" s="1576"/>
      <c r="G414" s="1755"/>
      <c r="H414" s="1758"/>
      <c r="I414" s="1745"/>
      <c r="J414" s="1746"/>
      <c r="K414" s="1745"/>
      <c r="L414" s="1745"/>
      <c r="M414" s="1745"/>
      <c r="N414" s="1745"/>
      <c r="O414" s="1746"/>
      <c r="P414" s="1746"/>
      <c r="Q414" s="1745"/>
      <c r="R414" s="1745"/>
      <c r="S414" s="1745"/>
      <c r="T414" s="1745"/>
      <c r="U414" s="989">
        <f t="shared" si="52"/>
        <v>0</v>
      </c>
      <c r="V414" s="547">
        <v>0</v>
      </c>
      <c r="W414" s="1264">
        <f t="shared" si="51"/>
        <v>0</v>
      </c>
      <c r="X414" s="547">
        <f t="shared" si="55"/>
        <v>0</v>
      </c>
      <c r="Y414" s="566"/>
      <c r="Z414" s="567"/>
      <c r="AA414" s="989">
        <f t="shared" si="53"/>
        <v>0</v>
      </c>
      <c r="AB414" s="812">
        <f t="shared" si="54"/>
        <v>0</v>
      </c>
    </row>
    <row r="415" spans="1:28" ht="27" hidden="1" customHeight="1">
      <c r="A415" s="531"/>
      <c r="B415" s="531">
        <v>902</v>
      </c>
      <c r="C415" s="529">
        <v>8</v>
      </c>
      <c r="D415" s="530" t="s">
        <v>1144</v>
      </c>
      <c r="E415" s="1028" t="s">
        <v>2035</v>
      </c>
      <c r="F415" s="2037">
        <v>-544120755</v>
      </c>
      <c r="G415" s="1755"/>
      <c r="H415" s="1758"/>
      <c r="I415" s="1745"/>
      <c r="J415" s="1746"/>
      <c r="K415" s="1745"/>
      <c r="L415" s="1745"/>
      <c r="M415" s="1745"/>
      <c r="N415" s="1745"/>
      <c r="O415" s="1760"/>
      <c r="P415" s="1746"/>
      <c r="Q415" s="1745"/>
      <c r="R415" s="1745"/>
      <c r="S415" s="1745"/>
      <c r="T415" s="1745"/>
      <c r="U415" s="989">
        <f t="shared" si="52"/>
        <v>-544120755</v>
      </c>
      <c r="V415" s="547">
        <v>-1875524779</v>
      </c>
      <c r="W415" s="1264">
        <f t="shared" si="51"/>
        <v>-544</v>
      </c>
      <c r="X415" s="547">
        <f t="shared" si="55"/>
        <v>-1876</v>
      </c>
      <c r="Y415" s="566"/>
      <c r="Z415" s="567"/>
      <c r="AA415" s="989">
        <f t="shared" si="53"/>
        <v>-544120755</v>
      </c>
      <c r="AB415" s="812">
        <f t="shared" si="54"/>
        <v>-544</v>
      </c>
    </row>
    <row r="416" spans="1:28" ht="27" hidden="1" customHeight="1">
      <c r="A416" s="531"/>
      <c r="B416" s="531">
        <v>902</v>
      </c>
      <c r="C416" s="529">
        <v>8</v>
      </c>
      <c r="D416" s="530" t="s">
        <v>1145</v>
      </c>
      <c r="E416" s="1028" t="s">
        <v>2036</v>
      </c>
      <c r="F416" s="2037">
        <v>-531415831</v>
      </c>
      <c r="G416" s="1755"/>
      <c r="H416" s="1758"/>
      <c r="I416" s="1745"/>
      <c r="J416" s="1746"/>
      <c r="K416" s="1745"/>
      <c r="L416" s="1745"/>
      <c r="M416" s="1745"/>
      <c r="N416" s="1745"/>
      <c r="O416" s="1760"/>
      <c r="P416" s="1746"/>
      <c r="Q416" s="1745"/>
      <c r="R416" s="1745"/>
      <c r="S416" s="1745"/>
      <c r="T416" s="1745"/>
      <c r="U416" s="989">
        <f t="shared" si="52"/>
        <v>-531415831</v>
      </c>
      <c r="V416" s="547">
        <v>-811479952</v>
      </c>
      <c r="W416" s="1264">
        <f t="shared" ref="W416:W448" si="56">ROUND((U416/1000000),0)</f>
        <v>-531</v>
      </c>
      <c r="X416" s="547">
        <f t="shared" si="55"/>
        <v>-811</v>
      </c>
      <c r="Y416" s="566"/>
      <c r="Z416" s="567"/>
      <c r="AA416" s="989">
        <f t="shared" si="53"/>
        <v>-531415831</v>
      </c>
      <c r="AB416" s="812">
        <f t="shared" si="54"/>
        <v>-531</v>
      </c>
    </row>
    <row r="417" spans="1:28" ht="27" hidden="1" customHeight="1">
      <c r="A417" s="531">
        <v>6587</v>
      </c>
      <c r="B417" s="531">
        <v>906</v>
      </c>
      <c r="C417" s="529">
        <v>8</v>
      </c>
      <c r="D417" s="530" t="s">
        <v>770</v>
      </c>
      <c r="E417" s="1028" t="s">
        <v>772</v>
      </c>
      <c r="F417" s="2037">
        <v>20964648518910</v>
      </c>
      <c r="G417" s="1758">
        <v>257345783380</v>
      </c>
      <c r="H417" s="1758">
        <v>123869398068</v>
      </c>
      <c r="I417" s="1760">
        <v>39217471637</v>
      </c>
      <c r="J417" s="1760">
        <v>36369113885783</v>
      </c>
      <c r="K417" s="1760"/>
      <c r="L417" s="1760"/>
      <c r="M417" s="1760"/>
      <c r="N417" s="1745"/>
      <c r="O417" s="1746"/>
      <c r="P417" s="1746"/>
      <c r="Q417" s="1745"/>
      <c r="R417" s="1745"/>
      <c r="S417" s="1745"/>
      <c r="T417" s="1745"/>
      <c r="U417" s="989">
        <f t="shared" si="52"/>
        <v>57754195057778</v>
      </c>
      <c r="V417" s="547">
        <v>43875527990122</v>
      </c>
      <c r="W417" s="1264">
        <f t="shared" si="56"/>
        <v>57754195</v>
      </c>
      <c r="X417" s="547">
        <f t="shared" si="55"/>
        <v>43875528</v>
      </c>
      <c r="Y417" s="566"/>
      <c r="Z417" s="567"/>
      <c r="AA417" s="989">
        <f t="shared" si="53"/>
        <v>57754195057778</v>
      </c>
      <c r="AB417" s="812">
        <f t="shared" si="54"/>
        <v>57754195</v>
      </c>
    </row>
    <row r="418" spans="1:28" ht="27" hidden="1" customHeight="1">
      <c r="A418" s="1742">
        <v>3214</v>
      </c>
      <c r="B418" s="1742">
        <v>906</v>
      </c>
      <c r="C418" s="1743">
        <v>8</v>
      </c>
      <c r="D418" s="1753" t="s">
        <v>770</v>
      </c>
      <c r="E418" s="1754" t="s">
        <v>2729</v>
      </c>
      <c r="F418" s="2037"/>
      <c r="G418" s="1758"/>
      <c r="H418" s="1758"/>
      <c r="I418" s="1760"/>
      <c r="J418" s="1760"/>
      <c r="K418" s="1760"/>
      <c r="L418" s="1760"/>
      <c r="M418" s="1760"/>
      <c r="N418" s="1745">
        <v>1075856877827</v>
      </c>
      <c r="O418" s="1746">
        <v>-359595302830</v>
      </c>
      <c r="P418" s="1746"/>
      <c r="Q418" s="1745"/>
      <c r="R418" s="1745"/>
      <c r="S418" s="1745"/>
      <c r="T418" s="1745"/>
      <c r="U418" s="989">
        <f t="shared" si="52"/>
        <v>716261574997</v>
      </c>
      <c r="V418" s="1745"/>
      <c r="W418" s="1264">
        <f t="shared" si="56"/>
        <v>716262</v>
      </c>
      <c r="X418" s="547">
        <f t="shared" si="55"/>
        <v>0</v>
      </c>
      <c r="Y418" s="1747"/>
      <c r="Z418" s="1748"/>
      <c r="AA418" s="989">
        <f t="shared" si="53"/>
        <v>716261574997</v>
      </c>
      <c r="AB418" s="812">
        <f t="shared" si="54"/>
        <v>716262</v>
      </c>
    </row>
    <row r="419" spans="1:28" ht="27" hidden="1" customHeight="1">
      <c r="A419" s="531"/>
      <c r="B419" s="531">
        <v>903</v>
      </c>
      <c r="C419" s="529">
        <v>8</v>
      </c>
      <c r="D419" s="530" t="s">
        <v>1013</v>
      </c>
      <c r="E419" s="1028" t="s">
        <v>1014</v>
      </c>
      <c r="F419" s="2037">
        <v>92966136300</v>
      </c>
      <c r="G419" s="1758">
        <v>-92966136300</v>
      </c>
      <c r="H419" s="1758"/>
      <c r="I419" s="1760"/>
      <c r="J419" s="1760"/>
      <c r="K419" s="1760"/>
      <c r="L419" s="1745"/>
      <c r="M419" s="1745"/>
      <c r="N419" s="1745"/>
      <c r="O419" s="1760"/>
      <c r="P419" s="1746"/>
      <c r="Q419" s="1745"/>
      <c r="R419" s="1745"/>
      <c r="S419" s="1745"/>
      <c r="T419" s="1745"/>
      <c r="U419" s="989">
        <f t="shared" si="52"/>
        <v>0</v>
      </c>
      <c r="V419" s="547">
        <v>0</v>
      </c>
      <c r="W419" s="1264">
        <f t="shared" si="56"/>
        <v>0</v>
      </c>
      <c r="X419" s="547">
        <f t="shared" si="55"/>
        <v>0</v>
      </c>
      <c r="Y419" s="566"/>
      <c r="Z419" s="567"/>
      <c r="AA419" s="989">
        <f t="shared" si="53"/>
        <v>0</v>
      </c>
      <c r="AB419" s="812">
        <f t="shared" si="54"/>
        <v>0</v>
      </c>
    </row>
    <row r="420" spans="1:28" ht="27" hidden="1" customHeight="1">
      <c r="A420" s="531">
        <v>3214</v>
      </c>
      <c r="B420" s="531">
        <v>906</v>
      </c>
      <c r="C420" s="529">
        <v>8</v>
      </c>
      <c r="D420" s="530" t="s">
        <v>771</v>
      </c>
      <c r="E420" s="1028" t="s">
        <v>773</v>
      </c>
      <c r="F420" s="1576"/>
      <c r="G420" s="1755"/>
      <c r="H420" s="1758"/>
      <c r="I420" s="1745"/>
      <c r="J420" s="1746"/>
      <c r="K420" s="1745"/>
      <c r="M420" s="1745"/>
      <c r="N420" s="1745"/>
      <c r="P420" s="1746"/>
      <c r="Q420" s="1745"/>
      <c r="R420" s="1745"/>
      <c r="S420" s="1745"/>
      <c r="T420" s="1745"/>
      <c r="U420" s="989">
        <f t="shared" si="52"/>
        <v>0</v>
      </c>
      <c r="V420" s="547">
        <v>0</v>
      </c>
      <c r="W420" s="1264">
        <f t="shared" si="56"/>
        <v>0</v>
      </c>
      <c r="X420" s="547">
        <f t="shared" si="55"/>
        <v>0</v>
      </c>
      <c r="Y420" s="566"/>
      <c r="Z420" s="567"/>
      <c r="AA420" s="989">
        <f t="shared" si="53"/>
        <v>0</v>
      </c>
      <c r="AB420" s="812">
        <f t="shared" si="54"/>
        <v>0</v>
      </c>
    </row>
    <row r="421" spans="1:28" ht="27" hidden="1" customHeight="1">
      <c r="A421" s="531"/>
      <c r="B421" s="531"/>
      <c r="C421" s="529">
        <v>10</v>
      </c>
      <c r="D421" s="530" t="s">
        <v>291</v>
      </c>
      <c r="E421" s="1028" t="s">
        <v>495</v>
      </c>
      <c r="F421" s="2037">
        <v>47500000</v>
      </c>
      <c r="G421" s="1755"/>
      <c r="H421" s="1758"/>
      <c r="I421" s="1745"/>
      <c r="J421" s="1746"/>
      <c r="K421" s="1745"/>
      <c r="L421" s="1745"/>
      <c r="M421" s="1745"/>
      <c r="N421" s="1745"/>
      <c r="O421" s="1746"/>
      <c r="P421" s="1746"/>
      <c r="Q421" s="1745"/>
      <c r="R421" s="1745"/>
      <c r="S421" s="1745"/>
      <c r="T421" s="1745"/>
      <c r="U421" s="989">
        <f t="shared" si="52"/>
        <v>47500000</v>
      </c>
      <c r="V421" s="547">
        <v>47500000</v>
      </c>
      <c r="W421" s="1264">
        <f t="shared" si="56"/>
        <v>48</v>
      </c>
      <c r="X421" s="547">
        <f t="shared" si="55"/>
        <v>48</v>
      </c>
      <c r="Y421" s="566"/>
      <c r="Z421" s="567"/>
      <c r="AA421" s="989">
        <f t="shared" si="53"/>
        <v>47500000</v>
      </c>
      <c r="AB421" s="812">
        <f t="shared" si="54"/>
        <v>48</v>
      </c>
    </row>
    <row r="422" spans="1:28" ht="27" hidden="1" customHeight="1">
      <c r="A422" s="531"/>
      <c r="B422" s="531">
        <v>401</v>
      </c>
      <c r="C422" s="529">
        <v>11</v>
      </c>
      <c r="D422" s="1575" t="s">
        <v>483</v>
      </c>
      <c r="E422" s="1028" t="s">
        <v>1158</v>
      </c>
      <c r="F422" s="1755"/>
      <c r="G422" s="1755"/>
      <c r="H422" s="1745"/>
      <c r="I422" s="1745"/>
      <c r="J422" s="1745"/>
      <c r="K422" s="1745"/>
      <c r="L422" s="1745"/>
      <c r="M422" s="1745"/>
      <c r="N422" s="1745"/>
      <c r="O422" s="1746"/>
      <c r="P422" s="1746"/>
      <c r="Q422" s="1745"/>
      <c r="R422" s="1745"/>
      <c r="S422" s="1745"/>
      <c r="T422" s="1745"/>
      <c r="U422" s="989">
        <f t="shared" si="52"/>
        <v>0</v>
      </c>
      <c r="V422" s="547">
        <v>0</v>
      </c>
      <c r="W422" s="1264">
        <f t="shared" si="56"/>
        <v>0</v>
      </c>
      <c r="X422" s="547">
        <f t="shared" si="55"/>
        <v>0</v>
      </c>
      <c r="Y422" s="566"/>
      <c r="Z422" s="567"/>
      <c r="AA422" s="989">
        <f t="shared" si="53"/>
        <v>0</v>
      </c>
      <c r="AB422" s="812">
        <f t="shared" si="54"/>
        <v>0</v>
      </c>
    </row>
    <row r="423" spans="1:28" ht="27" hidden="1" customHeight="1">
      <c r="A423" s="531"/>
      <c r="B423" s="531">
        <v>401</v>
      </c>
      <c r="C423" s="529">
        <v>11</v>
      </c>
      <c r="D423" s="530" t="s">
        <v>0</v>
      </c>
      <c r="E423" s="1028" t="s">
        <v>1089</v>
      </c>
      <c r="F423" s="1579"/>
      <c r="G423" s="1755"/>
      <c r="H423" s="1773"/>
      <c r="I423" s="1745"/>
      <c r="J423" s="1745"/>
      <c r="K423" s="1760"/>
      <c r="L423" s="1745">
        <v>55676400</v>
      </c>
      <c r="M423" s="1745"/>
      <c r="N423" s="1745"/>
      <c r="O423" s="1746"/>
      <c r="P423" s="1746"/>
      <c r="Q423" s="1745"/>
      <c r="R423" s="1745"/>
      <c r="S423" s="1745"/>
      <c r="T423" s="1745"/>
      <c r="U423" s="989">
        <f t="shared" si="52"/>
        <v>55676400</v>
      </c>
      <c r="V423" s="547">
        <v>0</v>
      </c>
      <c r="W423" s="1264">
        <f t="shared" si="56"/>
        <v>56</v>
      </c>
      <c r="X423" s="547">
        <f t="shared" si="55"/>
        <v>0</v>
      </c>
      <c r="Y423" s="566"/>
      <c r="Z423" s="567"/>
      <c r="AA423" s="989">
        <f t="shared" si="53"/>
        <v>55676400</v>
      </c>
      <c r="AB423" s="812">
        <f t="shared" si="54"/>
        <v>56</v>
      </c>
    </row>
    <row r="424" spans="1:28" ht="27" hidden="1" customHeight="1">
      <c r="A424" s="531"/>
      <c r="B424" s="531">
        <v>1008</v>
      </c>
      <c r="C424" s="529">
        <v>17</v>
      </c>
      <c r="D424" s="1575" t="s">
        <v>190</v>
      </c>
      <c r="E424" s="1028" t="s">
        <v>191</v>
      </c>
      <c r="F424" s="1580">
        <v>-24879694704</v>
      </c>
      <c r="G424" s="1758">
        <v>350000000</v>
      </c>
      <c r="H424" s="1745"/>
      <c r="I424" s="1745"/>
      <c r="J424" s="1746"/>
      <c r="K424" s="1745"/>
      <c r="L424" s="1745"/>
      <c r="M424" s="1745"/>
      <c r="N424" s="1745"/>
      <c r="O424" s="1746"/>
      <c r="P424" s="1746"/>
      <c r="Q424" s="1745"/>
      <c r="R424" s="1745"/>
      <c r="S424" s="1745"/>
      <c r="T424" s="1745"/>
      <c r="U424" s="989">
        <f t="shared" si="52"/>
        <v>-24529694704</v>
      </c>
      <c r="V424" s="547">
        <v>-21865967601</v>
      </c>
      <c r="W424" s="1264">
        <f t="shared" si="56"/>
        <v>-24530</v>
      </c>
      <c r="X424" s="547">
        <f t="shared" si="55"/>
        <v>-21866</v>
      </c>
      <c r="Y424" s="566"/>
      <c r="Z424" s="567"/>
      <c r="AA424" s="989">
        <f t="shared" si="53"/>
        <v>-24529694704</v>
      </c>
      <c r="AB424" s="812">
        <f t="shared" si="54"/>
        <v>-24530</v>
      </c>
    </row>
    <row r="425" spans="1:28" ht="27" hidden="1" customHeight="1">
      <c r="A425" s="531"/>
      <c r="B425" s="531">
        <v>501</v>
      </c>
      <c r="C425" s="529">
        <v>13</v>
      </c>
      <c r="D425" s="530" t="s">
        <v>145</v>
      </c>
      <c r="E425" s="1028" t="s">
        <v>760</v>
      </c>
      <c r="F425" s="1576"/>
      <c r="G425" s="1755"/>
      <c r="H425" s="1758"/>
      <c r="I425" s="1745"/>
      <c r="J425" s="1746"/>
      <c r="K425" s="1745"/>
      <c r="L425" s="1745"/>
      <c r="M425" s="1745"/>
      <c r="N425" s="1745"/>
      <c r="O425" s="1746"/>
      <c r="P425" s="1746"/>
      <c r="Q425" s="1745"/>
      <c r="R425" s="1745"/>
      <c r="S425" s="1745"/>
      <c r="T425" s="1745"/>
      <c r="U425" s="989">
        <f t="shared" si="52"/>
        <v>0</v>
      </c>
      <c r="V425" s="547">
        <v>0</v>
      </c>
      <c r="W425" s="1264">
        <f t="shared" si="56"/>
        <v>0</v>
      </c>
      <c r="X425" s="547">
        <f t="shared" si="55"/>
        <v>0</v>
      </c>
      <c r="Y425" s="566"/>
      <c r="Z425" s="567"/>
      <c r="AA425" s="989">
        <f t="shared" si="53"/>
        <v>0</v>
      </c>
      <c r="AB425" s="812">
        <f t="shared" si="54"/>
        <v>0</v>
      </c>
    </row>
    <row r="426" spans="1:28" ht="27" hidden="1" customHeight="1">
      <c r="A426" s="531"/>
      <c r="B426" s="531">
        <v>504</v>
      </c>
      <c r="C426" s="529">
        <v>13</v>
      </c>
      <c r="D426" s="530" t="s">
        <v>119</v>
      </c>
      <c r="E426" s="1028" t="s">
        <v>1148</v>
      </c>
      <c r="F426" s="1739">
        <v>13711980000</v>
      </c>
      <c r="G426" s="1755"/>
      <c r="H426" s="1758"/>
      <c r="I426" s="1745">
        <v>-1032781500</v>
      </c>
      <c r="J426" s="1746"/>
      <c r="K426" s="1745"/>
      <c r="L426" s="1745"/>
      <c r="M426" s="1745"/>
      <c r="N426" s="1745"/>
      <c r="O426" s="1746"/>
      <c r="P426" s="1746"/>
      <c r="Q426" s="1745"/>
      <c r="R426" s="1745"/>
      <c r="S426" s="1745"/>
      <c r="T426" s="1745"/>
      <c r="U426" s="989">
        <f t="shared" si="52"/>
        <v>12679198500</v>
      </c>
      <c r="V426" s="547">
        <v>13711980000</v>
      </c>
      <c r="W426" s="1264">
        <f t="shared" si="56"/>
        <v>12679</v>
      </c>
      <c r="X426" s="547">
        <f t="shared" si="55"/>
        <v>13712</v>
      </c>
      <c r="Y426" s="566"/>
      <c r="Z426" s="567"/>
      <c r="AA426" s="989">
        <f t="shared" si="53"/>
        <v>12679198500</v>
      </c>
      <c r="AB426" s="812">
        <f t="shared" si="54"/>
        <v>12679</v>
      </c>
    </row>
    <row r="427" spans="1:28" ht="27" hidden="1" customHeight="1">
      <c r="A427" s="531">
        <v>3214</v>
      </c>
      <c r="B427" s="531">
        <v>1007</v>
      </c>
      <c r="C427" s="529">
        <v>17</v>
      </c>
      <c r="D427" s="1575">
        <v>90006852</v>
      </c>
      <c r="E427" s="1028" t="s">
        <v>191</v>
      </c>
      <c r="F427" s="1755"/>
      <c r="G427" s="1755"/>
      <c r="H427" s="1745"/>
      <c r="I427" s="1745"/>
      <c r="J427" s="1745"/>
      <c r="K427" s="1745"/>
      <c r="L427" s="1745"/>
      <c r="M427" s="1745"/>
      <c r="N427" s="1745"/>
      <c r="O427" s="1746"/>
      <c r="P427" s="1746"/>
      <c r="Q427" s="1745"/>
      <c r="R427" s="1745"/>
      <c r="S427" s="1745"/>
      <c r="T427" s="1745"/>
      <c r="U427" s="989">
        <f t="shared" si="52"/>
        <v>0</v>
      </c>
      <c r="V427" s="547">
        <v>0</v>
      </c>
      <c r="W427" s="1264">
        <f t="shared" si="56"/>
        <v>0</v>
      </c>
      <c r="X427" s="547">
        <f t="shared" si="55"/>
        <v>0</v>
      </c>
      <c r="Y427" s="566"/>
      <c r="Z427" s="567"/>
      <c r="AA427" s="989">
        <f t="shared" si="53"/>
        <v>0</v>
      </c>
      <c r="AB427" s="812">
        <f t="shared" si="54"/>
        <v>0</v>
      </c>
    </row>
    <row r="428" spans="1:28" ht="27" hidden="1" customHeight="1">
      <c r="A428" s="531"/>
      <c r="B428" s="531">
        <v>505</v>
      </c>
      <c r="C428" s="529">
        <v>13</v>
      </c>
      <c r="D428" s="530" t="s">
        <v>123</v>
      </c>
      <c r="E428" s="1028" t="s">
        <v>124</v>
      </c>
      <c r="F428" s="1580">
        <v>7738108516</v>
      </c>
      <c r="G428" s="1758">
        <v>-4708157228</v>
      </c>
      <c r="H428" s="1758"/>
      <c r="I428" s="1745"/>
      <c r="J428" s="1746"/>
      <c r="K428" s="1745"/>
      <c r="L428" s="1745"/>
      <c r="M428" s="1745"/>
      <c r="N428" s="1745"/>
      <c r="O428" s="1746"/>
      <c r="P428" s="1746"/>
      <c r="Q428" s="1745"/>
      <c r="R428" s="1745"/>
      <c r="S428" s="1745"/>
      <c r="T428" s="1745"/>
      <c r="U428" s="989">
        <f t="shared" si="52"/>
        <v>3029951288</v>
      </c>
      <c r="V428" s="547">
        <v>87053247687</v>
      </c>
      <c r="W428" s="1264">
        <f t="shared" si="56"/>
        <v>3030</v>
      </c>
      <c r="X428" s="547">
        <f t="shared" si="55"/>
        <v>87053</v>
      </c>
      <c r="Y428" s="566"/>
      <c r="Z428" s="567"/>
      <c r="AA428" s="989">
        <f t="shared" si="53"/>
        <v>3029951288</v>
      </c>
      <c r="AB428" s="812">
        <f t="shared" si="54"/>
        <v>3030</v>
      </c>
    </row>
    <row r="429" spans="1:28" ht="27" hidden="1" customHeight="1">
      <c r="A429" s="531"/>
      <c r="B429" s="531">
        <v>501</v>
      </c>
      <c r="C429" s="529">
        <v>13</v>
      </c>
      <c r="D429" s="530">
        <v>90004883</v>
      </c>
      <c r="E429" s="1028" t="s">
        <v>1767</v>
      </c>
      <c r="F429" s="1576"/>
      <c r="G429" s="1755"/>
      <c r="H429" s="1758"/>
      <c r="I429" s="552"/>
      <c r="J429" s="1745"/>
      <c r="K429" s="1745"/>
      <c r="L429" s="552"/>
      <c r="M429" s="552"/>
      <c r="N429" s="552"/>
      <c r="O429" s="1772"/>
      <c r="P429" s="1772"/>
      <c r="Q429" s="552"/>
      <c r="R429" s="552"/>
      <c r="S429" s="552"/>
      <c r="T429" s="552"/>
      <c r="U429" s="989">
        <f t="shared" si="52"/>
        <v>0</v>
      </c>
      <c r="V429" s="547">
        <v>0</v>
      </c>
      <c r="W429" s="1264">
        <f t="shared" si="56"/>
        <v>0</v>
      </c>
      <c r="X429" s="547">
        <f t="shared" si="55"/>
        <v>0</v>
      </c>
      <c r="Y429" s="566"/>
      <c r="Z429" s="567"/>
      <c r="AA429" s="989">
        <f t="shared" si="53"/>
        <v>0</v>
      </c>
      <c r="AB429" s="812">
        <f t="shared" si="54"/>
        <v>0</v>
      </c>
    </row>
    <row r="430" spans="1:28" ht="27" hidden="1" customHeight="1">
      <c r="A430" s="531"/>
      <c r="B430" s="531"/>
      <c r="C430" s="529">
        <v>9</v>
      </c>
      <c r="D430" s="530" t="s">
        <v>125</v>
      </c>
      <c r="E430" s="1028" t="s">
        <v>2014</v>
      </c>
      <c r="F430" s="1579">
        <v>75875839674</v>
      </c>
      <c r="G430" s="1755"/>
      <c r="H430" s="1758"/>
      <c r="I430" s="1760"/>
      <c r="J430" s="1746"/>
      <c r="K430" s="1745"/>
      <c r="L430" s="1745"/>
      <c r="M430" s="1745"/>
      <c r="N430" s="1745"/>
      <c r="O430" s="1746"/>
      <c r="P430" s="1746"/>
      <c r="Q430" s="1745"/>
      <c r="R430" s="1745"/>
      <c r="S430" s="1745"/>
      <c r="T430" s="1745"/>
      <c r="U430" s="989">
        <f t="shared" si="52"/>
        <v>75875839674</v>
      </c>
      <c r="V430" s="547">
        <v>74683308674</v>
      </c>
      <c r="W430" s="1264">
        <f t="shared" si="56"/>
        <v>75876</v>
      </c>
      <c r="X430" s="547">
        <f t="shared" si="55"/>
        <v>74683</v>
      </c>
      <c r="Y430" s="566"/>
      <c r="Z430" s="567"/>
      <c r="AA430" s="989">
        <f t="shared" si="53"/>
        <v>75875839674</v>
      </c>
      <c r="AB430" s="812">
        <f t="shared" si="54"/>
        <v>75876</v>
      </c>
    </row>
    <row r="431" spans="1:28" ht="27" hidden="1" customHeight="1">
      <c r="A431" s="531"/>
      <c r="B431" s="531">
        <v>401</v>
      </c>
      <c r="C431" s="529">
        <v>11</v>
      </c>
      <c r="D431" s="530" t="s">
        <v>224</v>
      </c>
      <c r="E431" s="1028" t="s">
        <v>474</v>
      </c>
      <c r="F431" s="1580">
        <v>81596308</v>
      </c>
      <c r="G431" s="1757"/>
      <c r="H431" s="1745">
        <v>-4381664</v>
      </c>
      <c r="I431" s="1745">
        <v>-1143610</v>
      </c>
      <c r="J431" s="1745"/>
      <c r="K431" s="1745"/>
      <c r="L431" s="1745"/>
      <c r="M431" s="1745"/>
      <c r="N431" s="1745"/>
      <c r="O431" s="1746"/>
      <c r="P431" s="1746"/>
      <c r="Q431" s="1745"/>
      <c r="R431" s="1745"/>
      <c r="S431" s="1745"/>
      <c r="T431" s="1745"/>
      <c r="U431" s="1671">
        <f t="shared" si="52"/>
        <v>76071034</v>
      </c>
      <c r="V431" s="547">
        <v>93545188</v>
      </c>
      <c r="W431" s="1264">
        <f t="shared" si="56"/>
        <v>76</v>
      </c>
      <c r="X431" s="547">
        <f t="shared" si="55"/>
        <v>94</v>
      </c>
      <c r="Y431" s="566"/>
      <c r="Z431" s="567"/>
      <c r="AA431" s="989">
        <f t="shared" si="53"/>
        <v>76071034</v>
      </c>
      <c r="AB431" s="812">
        <f t="shared" si="54"/>
        <v>76</v>
      </c>
    </row>
    <row r="432" spans="1:28" ht="27" hidden="1" customHeight="1">
      <c r="A432" s="531"/>
      <c r="B432" s="531">
        <v>606</v>
      </c>
      <c r="C432" s="529">
        <v>12</v>
      </c>
      <c r="D432" s="530" t="s">
        <v>848</v>
      </c>
      <c r="E432" s="1028" t="s">
        <v>919</v>
      </c>
      <c r="F432" s="1579">
        <v>65929598323</v>
      </c>
      <c r="G432" s="1755"/>
      <c r="H432" s="1758"/>
      <c r="I432" s="1745">
        <v>-196391535</v>
      </c>
      <c r="J432" s="1746"/>
      <c r="K432" s="1745"/>
      <c r="L432" s="1745"/>
      <c r="M432" s="1745"/>
      <c r="N432" s="1745"/>
      <c r="O432" s="1746"/>
      <c r="P432" s="1746"/>
      <c r="Q432" s="1745"/>
      <c r="R432" s="1745"/>
      <c r="S432" s="1745"/>
      <c r="T432" s="1745"/>
      <c r="U432" s="989">
        <f t="shared" si="52"/>
        <v>65733206788</v>
      </c>
      <c r="V432" s="547">
        <v>53395068219</v>
      </c>
      <c r="W432" s="1264">
        <f>ROUND((U432/1000000),0)</f>
        <v>65733</v>
      </c>
      <c r="X432" s="547">
        <f t="shared" si="55"/>
        <v>53395</v>
      </c>
      <c r="Y432" s="566"/>
      <c r="Z432" s="567"/>
      <c r="AA432" s="989">
        <f t="shared" si="53"/>
        <v>65733206788</v>
      </c>
      <c r="AB432" s="812">
        <f t="shared" si="54"/>
        <v>65733</v>
      </c>
    </row>
    <row r="433" spans="1:28" ht="27" hidden="1" customHeight="1">
      <c r="A433" s="531"/>
      <c r="B433" s="531">
        <v>604</v>
      </c>
      <c r="C433" s="529">
        <v>12</v>
      </c>
      <c r="D433" s="530" t="s">
        <v>69</v>
      </c>
      <c r="E433" s="1028" t="s">
        <v>70</v>
      </c>
      <c r="F433" s="1579">
        <v>63554256</v>
      </c>
      <c r="G433" s="1755"/>
      <c r="H433" s="1758"/>
      <c r="I433" s="1745"/>
      <c r="J433" s="1746"/>
      <c r="K433" s="1745"/>
      <c r="L433" s="1745"/>
      <c r="M433" s="1745"/>
      <c r="N433" s="1745"/>
      <c r="O433" s="1746"/>
      <c r="P433" s="1746"/>
      <c r="Q433" s="1745"/>
      <c r="R433" s="1745"/>
      <c r="S433" s="1745"/>
      <c r="T433" s="1745"/>
      <c r="U433" s="989">
        <f t="shared" si="52"/>
        <v>63554256</v>
      </c>
      <c r="V433" s="547">
        <v>107553356</v>
      </c>
      <c r="W433" s="1264">
        <f t="shared" si="56"/>
        <v>64</v>
      </c>
      <c r="X433" s="547">
        <f t="shared" si="55"/>
        <v>108</v>
      </c>
      <c r="Y433" s="566"/>
      <c r="Z433" s="567"/>
      <c r="AA433" s="989">
        <f t="shared" si="53"/>
        <v>63554256</v>
      </c>
      <c r="AB433" s="812">
        <f t="shared" si="54"/>
        <v>64</v>
      </c>
    </row>
    <row r="434" spans="1:28" ht="27" hidden="1" customHeight="1">
      <c r="A434" s="531"/>
      <c r="B434" s="531">
        <v>413</v>
      </c>
      <c r="C434" s="529">
        <v>11</v>
      </c>
      <c r="D434" s="530" t="s">
        <v>1231</v>
      </c>
      <c r="E434" s="1028" t="s">
        <v>1232</v>
      </c>
      <c r="F434" s="1579">
        <v>461870000000</v>
      </c>
      <c r="G434" s="1755"/>
      <c r="H434" s="1745"/>
      <c r="I434" s="1745"/>
      <c r="J434" s="1745"/>
      <c r="K434" s="1745"/>
      <c r="L434" s="1745"/>
      <c r="M434" s="1745"/>
      <c r="N434" s="1745"/>
      <c r="O434" s="1746"/>
      <c r="P434" s="1746"/>
      <c r="Q434" s="1745"/>
      <c r="R434" s="1745"/>
      <c r="S434" s="1745"/>
      <c r="T434" s="1745">
        <v>-429886000000</v>
      </c>
      <c r="U434" s="1671">
        <f t="shared" si="52"/>
        <v>31984000000</v>
      </c>
      <c r="V434" s="547">
        <v>228120000000</v>
      </c>
      <c r="W434" s="1264">
        <f t="shared" si="56"/>
        <v>31984</v>
      </c>
      <c r="X434" s="547">
        <f t="shared" si="55"/>
        <v>228120</v>
      </c>
      <c r="Y434" s="566"/>
      <c r="Z434" s="567"/>
      <c r="AA434" s="989">
        <f t="shared" si="53"/>
        <v>31984000000</v>
      </c>
      <c r="AB434" s="812">
        <f t="shared" si="54"/>
        <v>31984</v>
      </c>
    </row>
    <row r="435" spans="1:28" ht="27" hidden="1" customHeight="1">
      <c r="A435" s="1742"/>
      <c r="B435" s="1742">
        <v>420</v>
      </c>
      <c r="C435" s="1743">
        <v>11</v>
      </c>
      <c r="D435" s="1753" t="s">
        <v>1231</v>
      </c>
      <c r="E435" s="1754" t="s">
        <v>2740</v>
      </c>
      <c r="F435" s="1756"/>
      <c r="G435" s="1755"/>
      <c r="H435" s="1745"/>
      <c r="I435" s="1745"/>
      <c r="J435" s="1745"/>
      <c r="K435" s="1745"/>
      <c r="L435" s="1745"/>
      <c r="M435" s="1745"/>
      <c r="N435" s="1745"/>
      <c r="O435" s="1746"/>
      <c r="P435" s="1746"/>
      <c r="Q435" s="1745"/>
      <c r="R435" s="1745"/>
      <c r="S435" s="1745"/>
      <c r="T435" s="1745">
        <v>429886000000</v>
      </c>
      <c r="U435" s="1671">
        <f t="shared" si="52"/>
        <v>429886000000</v>
      </c>
      <c r="V435" s="1745"/>
      <c r="W435" s="1264">
        <f t="shared" si="56"/>
        <v>429886</v>
      </c>
      <c r="X435" s="1745"/>
      <c r="Y435" s="1747"/>
      <c r="Z435" s="1748"/>
      <c r="AA435" s="989">
        <f t="shared" si="53"/>
        <v>429886000000</v>
      </c>
      <c r="AB435" s="812">
        <f t="shared" si="54"/>
        <v>429886</v>
      </c>
    </row>
    <row r="436" spans="1:28" ht="27" hidden="1" customHeight="1">
      <c r="A436" s="531"/>
      <c r="B436" s="531">
        <v>907</v>
      </c>
      <c r="C436" s="529">
        <v>8</v>
      </c>
      <c r="D436" s="1575" t="s">
        <v>71</v>
      </c>
      <c r="E436" s="1028" t="s">
        <v>72</v>
      </c>
      <c r="F436" s="1579">
        <v>2403615050729</v>
      </c>
      <c r="G436" s="1758">
        <v>-2055470025741</v>
      </c>
      <c r="H436" s="1758">
        <v>-2499927835</v>
      </c>
      <c r="I436" s="1760"/>
      <c r="J436" s="1746"/>
      <c r="K436" s="1745"/>
      <c r="L436" s="1760"/>
      <c r="M436" s="1760"/>
      <c r="N436" s="1745"/>
      <c r="O436" s="1746"/>
      <c r="P436" s="1746"/>
      <c r="Q436" s="1745"/>
      <c r="R436" s="1745"/>
      <c r="S436" s="1745"/>
      <c r="T436" s="1745"/>
      <c r="U436" s="989">
        <f t="shared" si="52"/>
        <v>345645097153</v>
      </c>
      <c r="V436" s="547">
        <v>246549949942</v>
      </c>
      <c r="W436" s="1264">
        <f t="shared" si="56"/>
        <v>345645</v>
      </c>
      <c r="X436" s="547">
        <f t="shared" si="55"/>
        <v>246550</v>
      </c>
      <c r="Y436" s="566"/>
      <c r="Z436" s="567"/>
      <c r="AA436" s="989">
        <f t="shared" si="53"/>
        <v>345645097153</v>
      </c>
      <c r="AB436" s="812">
        <f t="shared" si="54"/>
        <v>345645</v>
      </c>
    </row>
    <row r="437" spans="1:28" ht="27" hidden="1" customHeight="1">
      <c r="A437" s="531">
        <v>3214</v>
      </c>
      <c r="B437" s="531">
        <v>907</v>
      </c>
      <c r="C437" s="529">
        <v>8</v>
      </c>
      <c r="D437" s="1575" t="s">
        <v>71</v>
      </c>
      <c r="E437" s="1028" t="s">
        <v>1437</v>
      </c>
      <c r="F437" s="1576"/>
      <c r="G437" s="1755"/>
      <c r="H437" s="1758"/>
      <c r="I437" s="1745"/>
      <c r="J437" s="1746">
        <v>11090254736758</v>
      </c>
      <c r="K437" s="1745"/>
      <c r="L437" s="1760"/>
      <c r="M437" s="1760"/>
      <c r="N437" s="1745">
        <v>-10442583075659</v>
      </c>
      <c r="O437" s="1760">
        <v>-72189712757</v>
      </c>
      <c r="P437" s="1746"/>
      <c r="Q437" s="1745"/>
      <c r="R437" s="1745"/>
      <c r="S437" s="1745"/>
      <c r="T437" s="1745"/>
      <c r="U437" s="989">
        <f t="shared" si="52"/>
        <v>575481948342</v>
      </c>
      <c r="V437" s="547">
        <v>1682738204862</v>
      </c>
      <c r="W437" s="1264">
        <f t="shared" si="56"/>
        <v>575482</v>
      </c>
      <c r="X437" s="547">
        <f t="shared" si="55"/>
        <v>1682738</v>
      </c>
      <c r="Y437" s="566"/>
      <c r="Z437" s="567"/>
      <c r="AA437" s="989">
        <f t="shared" si="53"/>
        <v>575481948342</v>
      </c>
      <c r="AB437" s="812">
        <f t="shared" si="54"/>
        <v>575482</v>
      </c>
    </row>
    <row r="438" spans="1:28" ht="27" hidden="1" customHeight="1">
      <c r="A438" s="531">
        <v>6589</v>
      </c>
      <c r="B438" s="531">
        <v>907</v>
      </c>
      <c r="C438" s="529">
        <v>8</v>
      </c>
      <c r="D438" s="1575" t="s">
        <v>71</v>
      </c>
      <c r="E438" s="1028" t="s">
        <v>2693</v>
      </c>
      <c r="F438" s="1576"/>
      <c r="G438" s="1755"/>
      <c r="H438" s="1745"/>
      <c r="I438" s="1745"/>
      <c r="J438" s="1746">
        <v>-269236198662</v>
      </c>
      <c r="K438" s="1745"/>
      <c r="L438" s="1745"/>
      <c r="M438" s="1745"/>
      <c r="N438" s="1745"/>
      <c r="O438" s="1746"/>
      <c r="P438" s="1746"/>
      <c r="Q438" s="1745"/>
      <c r="R438" s="1745"/>
      <c r="S438" s="1745"/>
      <c r="T438" s="1745"/>
      <c r="U438" s="989">
        <f t="shared" si="52"/>
        <v>-269236198662</v>
      </c>
      <c r="V438" s="547">
        <v>0</v>
      </c>
      <c r="W438" s="1264">
        <f t="shared" si="56"/>
        <v>-269236</v>
      </c>
      <c r="X438" s="547">
        <f t="shared" si="55"/>
        <v>0</v>
      </c>
      <c r="Y438" s="566"/>
      <c r="Z438" s="567"/>
      <c r="AA438" s="989">
        <f t="shared" si="53"/>
        <v>-269236198662</v>
      </c>
      <c r="AB438" s="812">
        <f t="shared" si="54"/>
        <v>-269236</v>
      </c>
    </row>
    <row r="439" spans="1:28" ht="27" hidden="1" customHeight="1">
      <c r="A439" s="531"/>
      <c r="B439" s="531">
        <v>401</v>
      </c>
      <c r="C439" s="529">
        <v>11</v>
      </c>
      <c r="D439" s="530" t="s">
        <v>1565</v>
      </c>
      <c r="E439" s="1028" t="s">
        <v>1566</v>
      </c>
      <c r="F439" s="1576"/>
      <c r="G439" s="1755"/>
      <c r="H439" s="1745"/>
      <c r="I439" s="1745"/>
      <c r="J439" s="1745"/>
      <c r="K439" s="1745"/>
      <c r="L439" s="1745"/>
      <c r="M439" s="1745"/>
      <c r="N439" s="1745"/>
      <c r="O439" s="1746"/>
      <c r="P439" s="1746"/>
      <c r="Q439" s="1745"/>
      <c r="R439" s="1745"/>
      <c r="S439" s="1745"/>
      <c r="T439" s="1745"/>
      <c r="U439" s="989">
        <f t="shared" si="52"/>
        <v>0</v>
      </c>
      <c r="V439" s="547">
        <v>0</v>
      </c>
      <c r="W439" s="1264">
        <f t="shared" si="56"/>
        <v>0</v>
      </c>
      <c r="X439" s="547">
        <f t="shared" si="55"/>
        <v>0</v>
      </c>
      <c r="Y439" s="566"/>
      <c r="Z439" s="567"/>
      <c r="AA439" s="989">
        <f t="shared" si="53"/>
        <v>0</v>
      </c>
      <c r="AB439" s="812">
        <f t="shared" si="54"/>
        <v>0</v>
      </c>
    </row>
    <row r="440" spans="1:28" ht="27" hidden="1" customHeight="1">
      <c r="A440" s="531"/>
      <c r="B440" s="531">
        <v>602</v>
      </c>
      <c r="C440" s="529">
        <v>12</v>
      </c>
      <c r="D440" s="530" t="s">
        <v>1152</v>
      </c>
      <c r="E440" s="1028" t="s">
        <v>1153</v>
      </c>
      <c r="F440" s="1579">
        <v>216814003005</v>
      </c>
      <c r="G440" s="1758"/>
      <c r="H440" s="1745"/>
      <c r="I440" s="1745"/>
      <c r="J440" s="1746"/>
      <c r="K440" s="1760"/>
      <c r="L440" s="1745"/>
      <c r="M440" s="1745"/>
      <c r="N440" s="1745"/>
      <c r="O440" s="1746"/>
      <c r="P440" s="1746"/>
      <c r="Q440" s="1745"/>
      <c r="R440" s="1745"/>
      <c r="S440" s="1745"/>
      <c r="T440" s="1745"/>
      <c r="U440" s="989">
        <f t="shared" si="52"/>
        <v>216814003005</v>
      </c>
      <c r="V440" s="547">
        <v>145000003005</v>
      </c>
      <c r="W440" s="1264">
        <f t="shared" si="56"/>
        <v>216814</v>
      </c>
      <c r="X440" s="547">
        <f t="shared" si="55"/>
        <v>145000</v>
      </c>
      <c r="Y440" s="566"/>
      <c r="Z440" s="567"/>
      <c r="AA440" s="989">
        <f t="shared" si="53"/>
        <v>216814003005</v>
      </c>
      <c r="AB440" s="812">
        <f t="shared" si="54"/>
        <v>216814</v>
      </c>
    </row>
    <row r="441" spans="1:28" ht="27" hidden="1" customHeight="1">
      <c r="A441" s="531"/>
      <c r="B441" s="531">
        <v>401</v>
      </c>
      <c r="C441" s="529">
        <v>11</v>
      </c>
      <c r="D441" s="530" t="s">
        <v>2</v>
      </c>
      <c r="E441" s="1028" t="s">
        <v>876</v>
      </c>
      <c r="F441" s="1579">
        <v>40668860828</v>
      </c>
      <c r="G441" s="1757">
        <v>120888512</v>
      </c>
      <c r="H441" s="1773"/>
      <c r="I441" s="1745">
        <v>191666644</v>
      </c>
      <c r="J441" s="1745"/>
      <c r="K441" s="1745"/>
      <c r="L441" s="1745"/>
      <c r="M441" s="1745"/>
      <c r="N441" s="1745"/>
      <c r="O441" s="1746"/>
      <c r="P441" s="1746"/>
      <c r="Q441" s="1745"/>
      <c r="R441" s="1745"/>
      <c r="S441" s="1745"/>
      <c r="T441" s="1745"/>
      <c r="U441" s="1671">
        <f t="shared" si="52"/>
        <v>40981415984</v>
      </c>
      <c r="V441" s="547">
        <v>39886497182</v>
      </c>
      <c r="W441" s="1264">
        <f t="shared" si="56"/>
        <v>40981</v>
      </c>
      <c r="X441" s="547">
        <f t="shared" si="55"/>
        <v>39886</v>
      </c>
      <c r="Y441" s="566"/>
      <c r="Z441" s="567"/>
      <c r="AA441" s="989">
        <f t="shared" ref="AA441:AA449" si="57">U441+Z441-Y441</f>
        <v>40981415984</v>
      </c>
      <c r="AB441" s="812">
        <f t="shared" ref="AB441:AB449" si="58">ROUND((AA441/1000000),0)</f>
        <v>40981</v>
      </c>
    </row>
    <row r="442" spans="1:28" ht="27" hidden="1" customHeight="1">
      <c r="A442" s="531"/>
      <c r="B442" s="531">
        <v>401</v>
      </c>
      <c r="C442" s="529">
        <v>11</v>
      </c>
      <c r="D442" s="530" t="s">
        <v>441</v>
      </c>
      <c r="E442" s="1028" t="s">
        <v>442</v>
      </c>
      <c r="F442" s="1580"/>
      <c r="G442" s="1755"/>
      <c r="H442" s="1745"/>
      <c r="I442" s="1745"/>
      <c r="J442" s="1745"/>
      <c r="K442" s="1745"/>
      <c r="L442" s="1745"/>
      <c r="M442" s="1745"/>
      <c r="N442" s="1745"/>
      <c r="O442" s="1746"/>
      <c r="P442" s="1746"/>
      <c r="Q442" s="1745"/>
      <c r="R442" s="1745"/>
      <c r="S442" s="1745"/>
      <c r="T442" s="1745"/>
      <c r="U442" s="1671">
        <f t="shared" si="52"/>
        <v>0</v>
      </c>
      <c r="V442" s="547">
        <v>0</v>
      </c>
      <c r="W442" s="1264">
        <f t="shared" si="56"/>
        <v>0</v>
      </c>
      <c r="X442" s="547">
        <f t="shared" si="55"/>
        <v>0</v>
      </c>
      <c r="Y442" s="566"/>
      <c r="Z442" s="567"/>
      <c r="AA442" s="989">
        <f t="shared" si="57"/>
        <v>0</v>
      </c>
      <c r="AB442" s="812">
        <f t="shared" si="58"/>
        <v>0</v>
      </c>
    </row>
    <row r="443" spans="1:28" ht="27" hidden="1" customHeight="1">
      <c r="A443" s="531"/>
      <c r="B443" s="531">
        <v>1018</v>
      </c>
      <c r="C443" s="529">
        <v>17</v>
      </c>
      <c r="D443" s="530" t="s">
        <v>1174</v>
      </c>
      <c r="E443" s="1028" t="s">
        <v>1167</v>
      </c>
      <c r="F443" s="1579">
        <v>-263040</v>
      </c>
      <c r="G443" s="1755"/>
      <c r="H443" s="1745"/>
      <c r="I443" s="1745"/>
      <c r="J443" s="1745"/>
      <c r="K443" s="1745"/>
      <c r="L443" s="1745"/>
      <c r="M443" s="1745"/>
      <c r="N443" s="1745"/>
      <c r="O443" s="1746"/>
      <c r="P443" s="1746"/>
      <c r="Q443" s="1745"/>
      <c r="R443" s="1745"/>
      <c r="S443" s="1745"/>
      <c r="T443" s="1745"/>
      <c r="U443" s="1671">
        <f t="shared" si="52"/>
        <v>-263040</v>
      </c>
      <c r="V443" s="547">
        <v>-263040</v>
      </c>
      <c r="W443" s="1264">
        <f t="shared" si="56"/>
        <v>0</v>
      </c>
      <c r="X443" s="547">
        <f t="shared" si="55"/>
        <v>0</v>
      </c>
      <c r="Y443" s="566"/>
      <c r="Z443" s="567"/>
      <c r="AA443" s="989">
        <f t="shared" si="57"/>
        <v>-263040</v>
      </c>
      <c r="AB443" s="812">
        <f t="shared" si="58"/>
        <v>0</v>
      </c>
    </row>
    <row r="444" spans="1:28" ht="27" hidden="1" customHeight="1">
      <c r="A444" s="531"/>
      <c r="B444" s="531">
        <v>401</v>
      </c>
      <c r="C444" s="529">
        <v>11</v>
      </c>
      <c r="D444" s="530" t="s">
        <v>834</v>
      </c>
      <c r="E444" s="1028" t="s">
        <v>2012</v>
      </c>
      <c r="F444" s="1579">
        <v>73110000000</v>
      </c>
      <c r="G444" s="1757"/>
      <c r="H444" s="1745">
        <v>-600000000</v>
      </c>
      <c r="I444" s="1745"/>
      <c r="J444" s="1745"/>
      <c r="K444" s="1745"/>
      <c r="L444" s="1745"/>
      <c r="M444" s="1745"/>
      <c r="N444" s="1745"/>
      <c r="O444" s="1746"/>
      <c r="P444" s="1746"/>
      <c r="Q444" s="1745"/>
      <c r="R444" s="1745"/>
      <c r="S444" s="1745"/>
      <c r="T444" s="1745"/>
      <c r="U444" s="1671">
        <f t="shared" si="52"/>
        <v>72510000000</v>
      </c>
      <c r="V444" s="547">
        <v>115741825381</v>
      </c>
      <c r="W444" s="1264">
        <f t="shared" si="56"/>
        <v>72510</v>
      </c>
      <c r="X444" s="547">
        <f t="shared" si="55"/>
        <v>115742</v>
      </c>
      <c r="Y444" s="566"/>
      <c r="Z444" s="567"/>
      <c r="AA444" s="989">
        <f t="shared" si="57"/>
        <v>72510000000</v>
      </c>
      <c r="AB444" s="812">
        <f t="shared" si="58"/>
        <v>72510</v>
      </c>
    </row>
    <row r="445" spans="1:28" ht="27" hidden="1" customHeight="1">
      <c r="A445" s="531"/>
      <c r="B445" s="531">
        <v>907</v>
      </c>
      <c r="C445" s="529">
        <v>8</v>
      </c>
      <c r="D445" s="1575" t="s">
        <v>411</v>
      </c>
      <c r="E445" s="1028" t="s">
        <v>768</v>
      </c>
      <c r="F445" s="1579">
        <v>1660504923202</v>
      </c>
      <c r="G445" s="1758"/>
      <c r="H445" s="1758"/>
      <c r="I445" s="1745"/>
      <c r="J445" s="1746"/>
      <c r="K445" s="1745"/>
      <c r="L445" s="1745"/>
      <c r="M445" s="1745"/>
      <c r="N445" s="1745"/>
      <c r="O445" s="1746">
        <v>-139737869081</v>
      </c>
      <c r="P445" s="1746"/>
      <c r="Q445" s="1745"/>
      <c r="R445" s="1745"/>
      <c r="S445" s="1745"/>
      <c r="T445" s="1745"/>
      <c r="U445" s="989">
        <f t="shared" si="52"/>
        <v>1520767054121</v>
      </c>
      <c r="V445" s="547">
        <v>1176274355475</v>
      </c>
      <c r="W445" s="1264">
        <f t="shared" si="56"/>
        <v>1520767</v>
      </c>
      <c r="X445" s="547">
        <f t="shared" si="55"/>
        <v>1176274</v>
      </c>
      <c r="Y445" s="566"/>
      <c r="Z445" s="567"/>
      <c r="AA445" s="989">
        <f t="shared" si="57"/>
        <v>1520767054121</v>
      </c>
      <c r="AB445" s="812">
        <f t="shared" si="58"/>
        <v>1520767</v>
      </c>
    </row>
    <row r="446" spans="1:28" ht="27" hidden="1" customHeight="1">
      <c r="A446" s="531">
        <v>3214</v>
      </c>
      <c r="B446" s="531">
        <v>907</v>
      </c>
      <c r="C446" s="529">
        <v>8</v>
      </c>
      <c r="D446" s="1575" t="s">
        <v>411</v>
      </c>
      <c r="E446" s="1028" t="s">
        <v>1628</v>
      </c>
      <c r="F446" s="1576"/>
      <c r="G446" s="1755"/>
      <c r="H446" s="1745"/>
      <c r="I446" s="1745"/>
      <c r="J446" s="1746">
        <v>14152373720598</v>
      </c>
      <c r="K446" s="1745"/>
      <c r="L446" s="1760"/>
      <c r="M446" s="1760"/>
      <c r="N446" s="1745">
        <v>-9164598702474</v>
      </c>
      <c r="O446" s="1760">
        <v>-189595055826</v>
      </c>
      <c r="P446" s="1746"/>
      <c r="Q446" s="1745"/>
      <c r="R446" s="1745"/>
      <c r="S446" s="1745"/>
      <c r="T446" s="1745"/>
      <c r="U446" s="989">
        <f t="shared" si="52"/>
        <v>4798179962298</v>
      </c>
      <c r="V446" s="547">
        <v>13749624334659</v>
      </c>
      <c r="W446" s="1264">
        <f t="shared" si="56"/>
        <v>4798180</v>
      </c>
      <c r="X446" s="547">
        <f t="shared" si="55"/>
        <v>13749624</v>
      </c>
      <c r="Y446" s="566"/>
      <c r="Z446" s="567"/>
      <c r="AA446" s="989">
        <f t="shared" si="57"/>
        <v>4798179962298</v>
      </c>
      <c r="AB446" s="812">
        <f t="shared" si="58"/>
        <v>4798180</v>
      </c>
    </row>
    <row r="447" spans="1:28" ht="27" hidden="1" customHeight="1">
      <c r="A447" s="531">
        <v>6589</v>
      </c>
      <c r="B447" s="531">
        <v>907</v>
      </c>
      <c r="C447" s="529">
        <v>8</v>
      </c>
      <c r="D447" s="1575" t="s">
        <v>411</v>
      </c>
      <c r="E447" s="1028" t="s">
        <v>2692</v>
      </c>
      <c r="F447" s="1576"/>
      <c r="G447" s="1755"/>
      <c r="H447" s="1774"/>
      <c r="I447" s="1745"/>
      <c r="J447" s="1746">
        <v>-595414777265</v>
      </c>
      <c r="K447" s="1745"/>
      <c r="L447" s="1745"/>
      <c r="M447" s="1745"/>
      <c r="N447" s="1745"/>
      <c r="O447" s="1746"/>
      <c r="P447" s="1746"/>
      <c r="Q447" s="1745"/>
      <c r="R447" s="1745"/>
      <c r="S447" s="1745"/>
      <c r="T447" s="1745"/>
      <c r="U447" s="989">
        <f t="shared" si="52"/>
        <v>-595414777265</v>
      </c>
      <c r="V447" s="547">
        <v>0</v>
      </c>
      <c r="W447" s="1264">
        <f t="shared" si="56"/>
        <v>-595415</v>
      </c>
      <c r="X447" s="547">
        <f t="shared" si="55"/>
        <v>0</v>
      </c>
      <c r="Y447" s="566"/>
      <c r="Z447" s="567"/>
      <c r="AA447" s="989">
        <f t="shared" si="57"/>
        <v>-595414777265</v>
      </c>
      <c r="AB447" s="812">
        <f t="shared" si="58"/>
        <v>-595415</v>
      </c>
    </row>
    <row r="448" spans="1:28" ht="27" hidden="1" customHeight="1">
      <c r="A448" s="531"/>
      <c r="B448" s="531">
        <v>603</v>
      </c>
      <c r="C448" s="529">
        <v>12</v>
      </c>
      <c r="D448" s="530" t="s">
        <v>353</v>
      </c>
      <c r="E448" s="1028" t="s">
        <v>354</v>
      </c>
      <c r="F448" s="1579">
        <v>486855723994</v>
      </c>
      <c r="G448" s="1758">
        <v>-6850328370</v>
      </c>
      <c r="H448" s="1758"/>
      <c r="I448" s="1745"/>
      <c r="J448" s="1746"/>
      <c r="K448" s="1745"/>
      <c r="L448" s="1745"/>
      <c r="M448" s="1745"/>
      <c r="N448" s="1745"/>
      <c r="O448" s="1746"/>
      <c r="P448" s="1746"/>
      <c r="Q448" s="1745"/>
      <c r="R448" s="1745"/>
      <c r="S448" s="1745"/>
      <c r="T448" s="1745"/>
      <c r="U448" s="989">
        <f t="shared" si="52"/>
        <v>480005395624</v>
      </c>
      <c r="V448" s="547">
        <v>243771198336</v>
      </c>
      <c r="W448" s="1264">
        <f t="shared" si="56"/>
        <v>480005</v>
      </c>
      <c r="X448" s="547">
        <f t="shared" si="55"/>
        <v>243771</v>
      </c>
      <c r="Y448" s="566"/>
      <c r="Z448" s="567"/>
      <c r="AA448" s="989">
        <f t="shared" si="57"/>
        <v>480005395624</v>
      </c>
      <c r="AB448" s="812">
        <f t="shared" si="58"/>
        <v>480005</v>
      </c>
    </row>
    <row r="449" spans="1:28" ht="27" hidden="1" customHeight="1">
      <c r="A449" s="1742"/>
      <c r="B449" s="1742">
        <v>1018</v>
      </c>
      <c r="C449" s="1743">
        <v>17</v>
      </c>
      <c r="D449" s="1753" t="s">
        <v>6</v>
      </c>
      <c r="E449" s="1754" t="s">
        <v>204</v>
      </c>
      <c r="F449" s="1756">
        <v>-229333901356</v>
      </c>
      <c r="G449" s="1757">
        <v>34768571977</v>
      </c>
      <c r="H449" s="1773">
        <v>68538653049</v>
      </c>
      <c r="I449" s="1745">
        <v>2923121669</v>
      </c>
      <c r="J449" s="1745">
        <v>-2835152565</v>
      </c>
      <c r="K449" s="1745"/>
      <c r="L449" s="1745"/>
      <c r="M449" s="1745"/>
      <c r="N449" s="1745"/>
      <c r="O449" s="1746"/>
      <c r="P449" s="1746"/>
      <c r="Q449" s="1745"/>
      <c r="R449" s="1745"/>
      <c r="S449" s="1745"/>
      <c r="T449" s="1745"/>
      <c r="U449" s="1671">
        <f t="shared" si="52"/>
        <v>-125938707226</v>
      </c>
      <c r="V449" s="1745">
        <v>-5170160676</v>
      </c>
      <c r="W449" s="1264">
        <f>ROUND((U449/1000000),0)</f>
        <v>-125939</v>
      </c>
      <c r="X449" s="1745">
        <f t="shared" si="55"/>
        <v>-5170</v>
      </c>
      <c r="Y449" s="1747"/>
      <c r="Z449" s="1748"/>
      <c r="AA449" s="1749">
        <f t="shared" si="57"/>
        <v>-125938707226</v>
      </c>
      <c r="AB449" s="1750">
        <f t="shared" si="58"/>
        <v>-125939</v>
      </c>
    </row>
    <row r="450" spans="1:28" ht="27" hidden="1" customHeight="1">
      <c r="A450" s="531"/>
      <c r="B450" s="531">
        <v>401</v>
      </c>
      <c r="C450" s="529">
        <v>11</v>
      </c>
      <c r="D450" s="530">
        <v>6605610</v>
      </c>
      <c r="E450" s="1028" t="s">
        <v>1790</v>
      </c>
      <c r="F450" s="1576"/>
      <c r="G450" s="1755"/>
      <c r="H450" s="1745"/>
      <c r="I450" s="1745"/>
      <c r="J450" s="1745"/>
      <c r="K450" s="1745"/>
      <c r="L450" s="1745"/>
      <c r="M450" s="1745"/>
      <c r="N450" s="1745"/>
      <c r="O450" s="1746"/>
      <c r="P450" s="1746"/>
      <c r="Q450" s="1745"/>
      <c r="R450" s="1745"/>
      <c r="S450" s="1745"/>
      <c r="T450" s="1745"/>
      <c r="U450" s="989">
        <f t="shared" si="52"/>
        <v>0</v>
      </c>
      <c r="V450" s="547">
        <v>0</v>
      </c>
      <c r="W450" s="1264">
        <f t="shared" ref="W450:W471" si="59">ROUND((U450/1000000),0)</f>
        <v>0</v>
      </c>
      <c r="X450" s="547">
        <f t="shared" si="55"/>
        <v>0</v>
      </c>
      <c r="Y450" s="566"/>
      <c r="Z450" s="567"/>
      <c r="AA450" s="989"/>
      <c r="AB450" s="812"/>
    </row>
    <row r="451" spans="1:28" ht="27" hidden="1" customHeight="1">
      <c r="A451" s="531">
        <v>1</v>
      </c>
      <c r="B451" s="531">
        <v>1006</v>
      </c>
      <c r="C451" s="529">
        <v>11</v>
      </c>
      <c r="D451" s="530" t="s">
        <v>529</v>
      </c>
      <c r="E451" s="1028" t="s">
        <v>156</v>
      </c>
      <c r="F451" s="1580">
        <v>-276154922542</v>
      </c>
      <c r="G451" s="1757">
        <v>-135168646591</v>
      </c>
      <c r="H451" s="1773">
        <v>-230731200</v>
      </c>
      <c r="I451" s="1745">
        <v>-187667196719</v>
      </c>
      <c r="J451" s="1760">
        <v>598906938610</v>
      </c>
      <c r="K451" s="1760">
        <v>-84675995076</v>
      </c>
      <c r="L451" s="1760"/>
      <c r="M451" s="1760"/>
      <c r="N451" s="1760"/>
      <c r="O451" s="1760"/>
      <c r="P451" s="1746"/>
      <c r="Q451" s="1745"/>
      <c r="R451" s="1745"/>
      <c r="S451" s="1745"/>
      <c r="T451" s="1745"/>
      <c r="U451" s="989">
        <f t="shared" si="52"/>
        <v>-84990553518</v>
      </c>
      <c r="V451" s="547">
        <v>-160825803926</v>
      </c>
      <c r="W451" s="1264">
        <f t="shared" si="59"/>
        <v>-84991</v>
      </c>
      <c r="X451" s="547">
        <f t="shared" si="55"/>
        <v>-160826</v>
      </c>
      <c r="Y451" s="566"/>
      <c r="Z451" s="567"/>
      <c r="AA451" s="989">
        <f t="shared" ref="AA451:AA459" si="60">U451+Z451-Y451</f>
        <v>-84990553518</v>
      </c>
      <c r="AB451" s="812">
        <f t="shared" ref="AB451:AB459" si="61">ROUND((AA451/1000000),0)</f>
        <v>-84991</v>
      </c>
    </row>
    <row r="452" spans="1:28" ht="27" hidden="1" customHeight="1">
      <c r="A452" s="531"/>
      <c r="B452" s="531">
        <v>1018</v>
      </c>
      <c r="C452" s="529">
        <v>17</v>
      </c>
      <c r="D452" s="530" t="s">
        <v>1235</v>
      </c>
      <c r="E452" s="1028" t="s">
        <v>1236</v>
      </c>
      <c r="F452" s="1580">
        <v>-558087041</v>
      </c>
      <c r="G452" s="1755"/>
      <c r="H452" s="1745"/>
      <c r="I452" s="1745"/>
      <c r="J452" s="1745"/>
      <c r="K452" s="1745"/>
      <c r="L452" s="1745"/>
      <c r="M452" s="1745"/>
      <c r="N452" s="1745"/>
      <c r="O452" s="1746"/>
      <c r="P452" s="1746"/>
      <c r="Q452" s="1745"/>
      <c r="R452" s="1745"/>
      <c r="S452" s="1745"/>
      <c r="T452" s="1745"/>
      <c r="U452" s="1671">
        <f t="shared" si="52"/>
        <v>-558087041</v>
      </c>
      <c r="V452" s="547">
        <v>-558087041</v>
      </c>
      <c r="W452" s="1264">
        <f t="shared" si="59"/>
        <v>-558</v>
      </c>
      <c r="X452" s="547">
        <f t="shared" si="55"/>
        <v>-558</v>
      </c>
      <c r="Y452" s="566"/>
      <c r="Z452" s="567"/>
      <c r="AA452" s="989">
        <f t="shared" si="60"/>
        <v>-558087041</v>
      </c>
      <c r="AB452" s="812">
        <f t="shared" si="61"/>
        <v>-558</v>
      </c>
    </row>
    <row r="453" spans="1:28" ht="27" hidden="1" customHeight="1">
      <c r="A453" s="531">
        <v>1</v>
      </c>
      <c r="B453" s="531">
        <v>1005</v>
      </c>
      <c r="C453" s="529">
        <v>11</v>
      </c>
      <c r="D453" s="530" t="s">
        <v>527</v>
      </c>
      <c r="E453" s="1028" t="s">
        <v>528</v>
      </c>
      <c r="F453" s="1580">
        <v>201592751608</v>
      </c>
      <c r="G453" s="1755">
        <v>14357047870</v>
      </c>
      <c r="H453" s="1745"/>
      <c r="I453" s="1745"/>
      <c r="J453" s="1760"/>
      <c r="K453" s="1745"/>
      <c r="L453" s="1745"/>
      <c r="M453" s="1745"/>
      <c r="N453" s="1760"/>
      <c r="O453" s="1746"/>
      <c r="P453" s="1746"/>
      <c r="Q453" s="1745"/>
      <c r="R453" s="1745"/>
      <c r="S453" s="1745"/>
      <c r="T453" s="1745"/>
      <c r="U453" s="989">
        <f t="shared" si="52"/>
        <v>215949799478</v>
      </c>
      <c r="V453" s="547">
        <v>-14013404253</v>
      </c>
      <c r="W453" s="1264">
        <f t="shared" si="59"/>
        <v>215950</v>
      </c>
      <c r="X453" s="547">
        <f t="shared" si="55"/>
        <v>-14013</v>
      </c>
      <c r="Y453" s="566"/>
      <c r="Z453" s="567"/>
      <c r="AA453" s="989">
        <f t="shared" si="60"/>
        <v>215949799478</v>
      </c>
      <c r="AB453" s="812">
        <f t="shared" si="61"/>
        <v>215950</v>
      </c>
    </row>
    <row r="454" spans="1:28" ht="27" hidden="1" customHeight="1">
      <c r="A454" s="1742"/>
      <c r="B454" s="1742">
        <v>1004</v>
      </c>
      <c r="C454" s="1743">
        <v>17</v>
      </c>
      <c r="D454" s="1753" t="s">
        <v>2428</v>
      </c>
      <c r="E454" s="1754" t="s">
        <v>2834</v>
      </c>
      <c r="F454" s="1744">
        <v>-8266776654892</v>
      </c>
      <c r="G454" s="1755"/>
      <c r="H454" s="1745"/>
      <c r="I454" s="1745"/>
      <c r="J454" s="1760"/>
      <c r="K454" s="1745"/>
      <c r="L454" s="1745"/>
      <c r="M454" s="1745"/>
      <c r="N454" s="1760"/>
      <c r="O454" s="1746"/>
      <c r="P454" s="1746">
        <v>-25662158394211</v>
      </c>
      <c r="Q454" s="1745"/>
      <c r="R454" s="1745"/>
      <c r="S454" s="1745"/>
      <c r="T454" s="1745"/>
      <c r="U454" s="989">
        <f t="shared" si="52"/>
        <v>-33928935049103</v>
      </c>
      <c r="V454" s="1745">
        <v>-8266776654892</v>
      </c>
      <c r="W454" s="1264">
        <f t="shared" si="59"/>
        <v>-33928935</v>
      </c>
      <c r="X454" s="547">
        <f t="shared" si="55"/>
        <v>-8266777</v>
      </c>
      <c r="Y454" s="1747"/>
      <c r="Z454" s="1748"/>
      <c r="AA454" s="989">
        <f t="shared" si="60"/>
        <v>-33928935049103</v>
      </c>
      <c r="AB454" s="812">
        <f t="shared" si="61"/>
        <v>-33928935</v>
      </c>
    </row>
    <row r="455" spans="1:28" ht="27" hidden="1" customHeight="1">
      <c r="A455" s="531"/>
      <c r="B455" s="531">
        <v>1004</v>
      </c>
      <c r="C455" s="529">
        <v>17</v>
      </c>
      <c r="D455" s="1575" t="s">
        <v>1411</v>
      </c>
      <c r="E455" s="1028" t="s">
        <v>821</v>
      </c>
      <c r="F455" s="1580">
        <v>-1561698238758</v>
      </c>
      <c r="G455" s="1755"/>
      <c r="H455" s="1745">
        <v>1165861598040</v>
      </c>
      <c r="I455" s="1745">
        <f>-377512035353</f>
        <v>-377512035353</v>
      </c>
      <c r="J455" s="1746">
        <v>-4266280414</v>
      </c>
      <c r="K455" s="1745"/>
      <c r="L455" s="1745"/>
      <c r="M455" s="1745"/>
      <c r="N455" s="1745"/>
      <c r="O455" s="1746"/>
      <c r="P455" s="1746"/>
      <c r="Q455" s="1745"/>
      <c r="R455" s="1745"/>
      <c r="S455" s="1745"/>
      <c r="T455" s="1745"/>
      <c r="U455" s="989">
        <f t="shared" si="52"/>
        <v>-777614956485</v>
      </c>
      <c r="V455" s="547">
        <v>-847134754168</v>
      </c>
      <c r="W455" s="1264">
        <f t="shared" si="59"/>
        <v>-777615</v>
      </c>
      <c r="X455" s="547">
        <f t="shared" si="55"/>
        <v>-847135</v>
      </c>
      <c r="Y455" s="566"/>
      <c r="Z455" s="567"/>
      <c r="AA455" s="989">
        <f t="shared" si="60"/>
        <v>-777614956485</v>
      </c>
      <c r="AB455" s="812">
        <f t="shared" si="61"/>
        <v>-777615</v>
      </c>
    </row>
    <row r="456" spans="1:28" ht="27" hidden="1" customHeight="1">
      <c r="A456" s="531">
        <v>1</v>
      </c>
      <c r="B456" s="531">
        <v>431</v>
      </c>
      <c r="C456" s="529">
        <v>11</v>
      </c>
      <c r="D456" s="530" t="s">
        <v>208</v>
      </c>
      <c r="E456" s="1028" t="s">
        <v>209</v>
      </c>
      <c r="F456" s="1580">
        <v>-17445962846</v>
      </c>
      <c r="G456" s="1757">
        <v>1122165573</v>
      </c>
      <c r="H456" s="1773"/>
      <c r="I456" s="1760">
        <v>-3153619</v>
      </c>
      <c r="J456" s="1745">
        <v>-5041951608</v>
      </c>
      <c r="K456" s="1760">
        <v>18823913</v>
      </c>
      <c r="L456" s="1760">
        <v>-10199125800</v>
      </c>
      <c r="M456" s="1760"/>
      <c r="N456" s="1760"/>
      <c r="O456" s="1760"/>
      <c r="P456" s="1746"/>
      <c r="Q456" s="1745"/>
      <c r="R456" s="1745"/>
      <c r="S456" s="1745"/>
      <c r="T456" s="1745"/>
      <c r="U456" s="989">
        <f t="shared" si="52"/>
        <v>-31549204387</v>
      </c>
      <c r="V456" s="547">
        <v>-6868251679</v>
      </c>
      <c r="W456" s="1264">
        <f t="shared" si="59"/>
        <v>-31549</v>
      </c>
      <c r="X456" s="547">
        <f t="shared" si="55"/>
        <v>-6868</v>
      </c>
      <c r="Y456" s="566"/>
      <c r="Z456" s="567"/>
      <c r="AA456" s="989">
        <f t="shared" si="60"/>
        <v>-31549204387</v>
      </c>
      <c r="AB456" s="812">
        <f t="shared" si="61"/>
        <v>-31549</v>
      </c>
    </row>
    <row r="457" spans="1:28" ht="27" hidden="1" customHeight="1">
      <c r="A457" s="531"/>
      <c r="B457" s="531">
        <v>602</v>
      </c>
      <c r="C457" s="529">
        <v>18</v>
      </c>
      <c r="D457" s="530" t="s">
        <v>600</v>
      </c>
      <c r="E457" s="1028" t="s">
        <v>601</v>
      </c>
      <c r="F457" s="1580">
        <v>-181911707492</v>
      </c>
      <c r="G457" s="1758"/>
      <c r="H457" s="1745"/>
      <c r="I457" s="1745"/>
      <c r="J457" s="1746"/>
      <c r="K457" s="1760"/>
      <c r="L457" s="1760"/>
      <c r="M457" s="1760"/>
      <c r="N457" s="1745"/>
      <c r="O457" s="1746"/>
      <c r="P457" s="1746">
        <f>-1600000000000-21156000000</f>
        <v>-1621156000000</v>
      </c>
      <c r="Q457" s="1745"/>
      <c r="R457" s="1745"/>
      <c r="S457" s="1745"/>
      <c r="T457" s="1745"/>
      <c r="U457" s="989">
        <f t="shared" ref="U457:U520" si="62">SUM(F457:T457)</f>
        <v>-1803067707492</v>
      </c>
      <c r="V457" s="547">
        <v>-181911707492</v>
      </c>
      <c r="W457" s="1264">
        <f>ROUND((U457/1000000),0)</f>
        <v>-1803068</v>
      </c>
      <c r="X457" s="547">
        <f t="shared" si="55"/>
        <v>-181912</v>
      </c>
      <c r="Y457" s="566"/>
      <c r="Z457" s="567"/>
      <c r="AA457" s="989">
        <f t="shared" si="60"/>
        <v>-1803067707492</v>
      </c>
      <c r="AB457" s="812">
        <f t="shared" si="61"/>
        <v>-1803068</v>
      </c>
    </row>
    <row r="458" spans="1:28" ht="27" hidden="1" customHeight="1">
      <c r="A458" s="531"/>
      <c r="B458" s="531">
        <v>1012</v>
      </c>
      <c r="C458" s="529">
        <v>17</v>
      </c>
      <c r="D458" s="530" t="s">
        <v>132</v>
      </c>
      <c r="E458" s="1028" t="s">
        <v>1703</v>
      </c>
      <c r="F458" s="1579">
        <v>13197216700</v>
      </c>
      <c r="G458" s="1757">
        <v>-3408868800</v>
      </c>
      <c r="H458" s="1745"/>
      <c r="I458" s="1745">
        <v>-5247541000</v>
      </c>
      <c r="J458" s="1745">
        <v>-4540806900</v>
      </c>
      <c r="K458" s="1745"/>
      <c r="L458" s="1760"/>
      <c r="M458" s="1760"/>
      <c r="N458" s="1745"/>
      <c r="O458" s="1746"/>
      <c r="P458" s="1746"/>
      <c r="Q458" s="1745"/>
      <c r="R458" s="1745"/>
      <c r="S458" s="1745"/>
      <c r="T458" s="1745"/>
      <c r="U458" s="989">
        <f t="shared" si="62"/>
        <v>0</v>
      </c>
      <c r="V458" s="547">
        <v>0</v>
      </c>
      <c r="W458" s="1264">
        <f t="shared" si="59"/>
        <v>0</v>
      </c>
      <c r="X458" s="547">
        <f t="shared" si="55"/>
        <v>0</v>
      </c>
      <c r="Y458" s="566"/>
      <c r="Z458" s="567"/>
      <c r="AA458" s="989">
        <f t="shared" si="60"/>
        <v>0</v>
      </c>
      <c r="AB458" s="812">
        <f t="shared" si="61"/>
        <v>0</v>
      </c>
    </row>
    <row r="459" spans="1:28" ht="27" hidden="1" customHeight="1">
      <c r="A459" s="531"/>
      <c r="B459" s="531">
        <v>1012</v>
      </c>
      <c r="C459" s="529">
        <v>17</v>
      </c>
      <c r="D459" s="530" t="s">
        <v>938</v>
      </c>
      <c r="E459" s="1028" t="s">
        <v>939</v>
      </c>
      <c r="F459" s="1579">
        <v>89837667178</v>
      </c>
      <c r="G459" s="1757">
        <v>-26190480124</v>
      </c>
      <c r="H459" s="1773"/>
      <c r="I459" s="1745">
        <v>-31082466429</v>
      </c>
      <c r="J459" s="1760">
        <v>-32564720625</v>
      </c>
      <c r="K459" s="1760"/>
      <c r="L459" s="1745"/>
      <c r="M459" s="1745"/>
      <c r="N459" s="1745"/>
      <c r="O459" s="1746"/>
      <c r="P459" s="1746"/>
      <c r="Q459" s="1745"/>
      <c r="R459" s="1745"/>
      <c r="S459" s="1745"/>
      <c r="T459" s="1745"/>
      <c r="U459" s="1671">
        <f t="shared" si="62"/>
        <v>0</v>
      </c>
      <c r="V459" s="547">
        <v>0</v>
      </c>
      <c r="W459" s="1264">
        <f t="shared" si="59"/>
        <v>0</v>
      </c>
      <c r="X459" s="547">
        <f t="shared" si="55"/>
        <v>0</v>
      </c>
      <c r="Y459" s="566"/>
      <c r="Z459" s="567"/>
      <c r="AA459" s="989">
        <f t="shared" si="60"/>
        <v>0</v>
      </c>
      <c r="AB459" s="812">
        <f t="shared" si="61"/>
        <v>0</v>
      </c>
    </row>
    <row r="460" spans="1:28" ht="27" hidden="1" customHeight="1">
      <c r="A460" s="531"/>
      <c r="B460" s="531">
        <v>401</v>
      </c>
      <c r="C460" s="529">
        <v>11</v>
      </c>
      <c r="D460" s="1575" t="s">
        <v>1951</v>
      </c>
      <c r="E460" s="1361" t="s">
        <v>1949</v>
      </c>
      <c r="F460" s="1581"/>
      <c r="G460" s="1755"/>
      <c r="H460" s="1745"/>
      <c r="I460" s="1745"/>
      <c r="J460" s="1745"/>
      <c r="K460" s="1745"/>
      <c r="L460" s="1745"/>
      <c r="M460" s="1745"/>
      <c r="N460" s="1745"/>
      <c r="O460" s="1746"/>
      <c r="P460" s="1746"/>
      <c r="Q460" s="1745"/>
      <c r="R460" s="1745"/>
      <c r="S460" s="1745"/>
      <c r="T460" s="1745"/>
      <c r="U460" s="1671">
        <f t="shared" si="62"/>
        <v>0</v>
      </c>
      <c r="V460" s="547">
        <v>0</v>
      </c>
      <c r="W460" s="1264">
        <f t="shared" si="59"/>
        <v>0</v>
      </c>
      <c r="X460" s="547">
        <f t="shared" si="55"/>
        <v>0</v>
      </c>
      <c r="Y460" s="566"/>
      <c r="Z460" s="567"/>
      <c r="AA460" s="989"/>
      <c r="AB460" s="812"/>
    </row>
    <row r="461" spans="1:28" ht="27" hidden="1" customHeight="1">
      <c r="A461" s="531"/>
      <c r="B461" s="531">
        <v>1012</v>
      </c>
      <c r="C461" s="529">
        <v>17</v>
      </c>
      <c r="D461" s="530" t="s">
        <v>7</v>
      </c>
      <c r="E461" s="1028" t="s">
        <v>1759</v>
      </c>
      <c r="F461" s="1579">
        <v>807397650</v>
      </c>
      <c r="G461" s="1757"/>
      <c r="H461" s="1773"/>
      <c r="I461" s="1745">
        <v>-807397650</v>
      </c>
      <c r="J461" s="1745"/>
      <c r="K461" s="1760"/>
      <c r="L461" s="1745"/>
      <c r="M461" s="1745"/>
      <c r="N461" s="1745"/>
      <c r="O461" s="1746"/>
      <c r="P461" s="1746"/>
      <c r="Q461" s="1745"/>
      <c r="R461" s="1745"/>
      <c r="S461" s="1745"/>
      <c r="T461" s="1745"/>
      <c r="U461" s="989">
        <f t="shared" si="62"/>
        <v>0</v>
      </c>
      <c r="V461" s="547">
        <v>0</v>
      </c>
      <c r="W461" s="1264">
        <f t="shared" si="59"/>
        <v>0</v>
      </c>
      <c r="X461" s="547">
        <f t="shared" si="55"/>
        <v>0</v>
      </c>
      <c r="Y461" s="566"/>
      <c r="Z461" s="567"/>
      <c r="AA461" s="989">
        <f t="shared" ref="AA461:AA471" si="63">U461+Z461-Y461</f>
        <v>0</v>
      </c>
      <c r="AB461" s="812">
        <f t="shared" ref="AB461:AB471" si="64">ROUND((AA461/1000000),0)</f>
        <v>0</v>
      </c>
    </row>
    <row r="462" spans="1:28" ht="27" hidden="1" customHeight="1">
      <c r="A462" s="531"/>
      <c r="B462" s="531">
        <v>1012</v>
      </c>
      <c r="C462" s="529">
        <v>17</v>
      </c>
      <c r="D462" s="530" t="s">
        <v>39</v>
      </c>
      <c r="E462" s="1028" t="s">
        <v>181</v>
      </c>
      <c r="F462" s="1580">
        <v>810250294</v>
      </c>
      <c r="G462" s="1757">
        <v>26190480124</v>
      </c>
      <c r="H462" s="1744"/>
      <c r="I462" s="1776">
        <v>31889864079</v>
      </c>
      <c r="J462" s="1760">
        <v>-58890594497</v>
      </c>
      <c r="K462" s="1760"/>
      <c r="L462" s="1745"/>
      <c r="M462" s="1745"/>
      <c r="N462" s="1745"/>
      <c r="O462" s="1746"/>
      <c r="P462" s="1746"/>
      <c r="Q462" s="1745"/>
      <c r="R462" s="1745"/>
      <c r="S462" s="1745"/>
      <c r="T462" s="1745"/>
      <c r="U462" s="1671">
        <f t="shared" si="62"/>
        <v>0</v>
      </c>
      <c r="V462" s="547">
        <v>0</v>
      </c>
      <c r="W462" s="1264">
        <f t="shared" si="59"/>
        <v>0</v>
      </c>
      <c r="X462" s="547">
        <f t="shared" si="55"/>
        <v>0</v>
      </c>
      <c r="Y462" s="566"/>
      <c r="Z462" s="567"/>
      <c r="AA462" s="989">
        <f t="shared" si="63"/>
        <v>0</v>
      </c>
      <c r="AB462" s="812">
        <f t="shared" si="64"/>
        <v>0</v>
      </c>
    </row>
    <row r="463" spans="1:28" ht="27" hidden="1" customHeight="1">
      <c r="A463" s="531"/>
      <c r="B463" s="531">
        <v>1012</v>
      </c>
      <c r="C463" s="529">
        <v>17</v>
      </c>
      <c r="D463" s="530" t="s">
        <v>21</v>
      </c>
      <c r="E463" s="1028" t="s">
        <v>22</v>
      </c>
      <c r="F463" s="1579">
        <v>14192346878</v>
      </c>
      <c r="G463" s="1758">
        <v>-67108298769</v>
      </c>
      <c r="H463" s="1755">
        <v>-1239810273300</v>
      </c>
      <c r="I463" s="1760">
        <v>-22840000000</v>
      </c>
      <c r="J463" s="1746">
        <v>8647653122</v>
      </c>
      <c r="K463" s="1760"/>
      <c r="L463" s="1745"/>
      <c r="M463" s="1745"/>
      <c r="N463" s="1745"/>
      <c r="O463" s="1746"/>
      <c r="P463" s="1746"/>
      <c r="Q463" s="1745"/>
      <c r="R463" s="1745"/>
      <c r="S463" s="1745"/>
      <c r="T463" s="1745"/>
      <c r="U463" s="989">
        <f t="shared" si="62"/>
        <v>-1306918572069</v>
      </c>
      <c r="V463" s="547">
        <v>-1309566771375</v>
      </c>
      <c r="W463" s="1264">
        <f t="shared" si="59"/>
        <v>-1306919</v>
      </c>
      <c r="X463" s="547">
        <f t="shared" si="55"/>
        <v>-1309567</v>
      </c>
      <c r="Y463" s="566"/>
      <c r="Z463" s="567"/>
      <c r="AA463" s="989">
        <f t="shared" si="63"/>
        <v>-1306918572069</v>
      </c>
      <c r="AB463" s="812">
        <f t="shared" si="64"/>
        <v>-1306919</v>
      </c>
    </row>
    <row r="464" spans="1:28" ht="27" hidden="1" customHeight="1">
      <c r="A464" s="531"/>
      <c r="B464" s="531">
        <v>1001</v>
      </c>
      <c r="C464" s="529">
        <v>17</v>
      </c>
      <c r="D464" s="530" t="s">
        <v>55</v>
      </c>
      <c r="E464" s="1028" t="s">
        <v>547</v>
      </c>
      <c r="F464" s="1576"/>
      <c r="G464" s="1755"/>
      <c r="H464" s="1745"/>
      <c r="I464" s="1745"/>
      <c r="J464" s="1745"/>
      <c r="K464" s="1745"/>
      <c r="L464" s="1745"/>
      <c r="M464" s="1745"/>
      <c r="N464" s="1745"/>
      <c r="O464" s="1746"/>
      <c r="P464" s="1746"/>
      <c r="Q464" s="1745"/>
      <c r="R464" s="1745"/>
      <c r="S464" s="1745"/>
      <c r="T464" s="1745"/>
      <c r="U464" s="989">
        <f t="shared" si="62"/>
        <v>0</v>
      </c>
      <c r="V464" s="547">
        <v>0</v>
      </c>
      <c r="W464" s="1264">
        <f t="shared" si="59"/>
        <v>0</v>
      </c>
      <c r="X464" s="547">
        <f t="shared" si="55"/>
        <v>0</v>
      </c>
      <c r="Y464" s="566"/>
      <c r="Z464" s="567"/>
      <c r="AA464" s="989">
        <f t="shared" si="63"/>
        <v>0</v>
      </c>
      <c r="AB464" s="812">
        <f t="shared" si="64"/>
        <v>0</v>
      </c>
    </row>
    <row r="465" spans="1:28" ht="27" hidden="1" customHeight="1">
      <c r="A465" s="531"/>
      <c r="B465" s="531">
        <v>1001</v>
      </c>
      <c r="C465" s="529">
        <v>17</v>
      </c>
      <c r="D465" s="530" t="s">
        <v>569</v>
      </c>
      <c r="E465" s="1028" t="s">
        <v>960</v>
      </c>
      <c r="F465" s="1580">
        <v>-20720323284</v>
      </c>
      <c r="G465" s="1755">
        <v>-81260748</v>
      </c>
      <c r="H465" s="1773"/>
      <c r="I465" s="1745"/>
      <c r="J465" s="1745"/>
      <c r="K465" s="1745"/>
      <c r="L465" s="1745"/>
      <c r="M465" s="1745"/>
      <c r="N465" s="1745"/>
      <c r="O465" s="1746"/>
      <c r="P465" s="1746"/>
      <c r="Q465" s="1745"/>
      <c r="R465" s="1745"/>
      <c r="S465" s="1745"/>
      <c r="T465" s="1745"/>
      <c r="U465" s="989">
        <f t="shared" si="62"/>
        <v>-20801584032</v>
      </c>
      <c r="V465" s="547">
        <v>-20541577212</v>
      </c>
      <c r="W465" s="1264">
        <f t="shared" si="59"/>
        <v>-20802</v>
      </c>
      <c r="X465" s="547">
        <f t="shared" si="55"/>
        <v>-20542</v>
      </c>
      <c r="Y465" s="566"/>
      <c r="Z465" s="567"/>
      <c r="AA465" s="989">
        <f t="shared" si="63"/>
        <v>-20801584032</v>
      </c>
      <c r="AB465" s="812">
        <f t="shared" si="64"/>
        <v>-20802</v>
      </c>
    </row>
    <row r="466" spans="1:28" ht="27" hidden="1" customHeight="1">
      <c r="A466" s="531"/>
      <c r="B466" s="531">
        <v>1001</v>
      </c>
      <c r="C466" s="529">
        <v>17</v>
      </c>
      <c r="D466" s="530" t="s">
        <v>575</v>
      </c>
      <c r="E466" s="1028" t="s">
        <v>1567</v>
      </c>
      <c r="F466" s="1576"/>
      <c r="G466" s="1755"/>
      <c r="H466" s="1745"/>
      <c r="I466" s="1745"/>
      <c r="J466" s="1745"/>
      <c r="K466" s="1745"/>
      <c r="L466" s="1745"/>
      <c r="M466" s="1745"/>
      <c r="N466" s="1745"/>
      <c r="O466" s="1746"/>
      <c r="P466" s="1746"/>
      <c r="Q466" s="1745"/>
      <c r="R466" s="1745"/>
      <c r="S466" s="1745"/>
      <c r="T466" s="1745"/>
      <c r="U466" s="989">
        <f t="shared" si="62"/>
        <v>0</v>
      </c>
      <c r="V466" s="547">
        <v>0</v>
      </c>
      <c r="W466" s="1264">
        <f t="shared" si="59"/>
        <v>0</v>
      </c>
      <c r="X466" s="547">
        <f t="shared" si="55"/>
        <v>0</v>
      </c>
      <c r="Y466" s="566"/>
      <c r="Z466" s="567"/>
      <c r="AA466" s="989">
        <f t="shared" si="63"/>
        <v>0</v>
      </c>
      <c r="AB466" s="812">
        <f t="shared" si="64"/>
        <v>0</v>
      </c>
    </row>
    <row r="467" spans="1:28" ht="27" hidden="1" customHeight="1">
      <c r="A467" s="531"/>
      <c r="B467" s="531">
        <v>1001</v>
      </c>
      <c r="C467" s="529">
        <v>17</v>
      </c>
      <c r="D467" s="530" t="s">
        <v>262</v>
      </c>
      <c r="E467" s="1028" t="s">
        <v>263</v>
      </c>
      <c r="F467" s="1576">
        <v>-21953846516</v>
      </c>
      <c r="G467" s="1755"/>
      <c r="H467" s="1773"/>
      <c r="I467" s="1760">
        <v>-789031925</v>
      </c>
      <c r="J467" s="1745"/>
      <c r="K467" s="1745"/>
      <c r="L467" s="1745"/>
      <c r="M467" s="1745"/>
      <c r="N467" s="1745"/>
      <c r="O467" s="1746"/>
      <c r="P467" s="1746"/>
      <c r="Q467" s="1745"/>
      <c r="R467" s="1745"/>
      <c r="S467" s="1745"/>
      <c r="T467" s="1745"/>
      <c r="U467" s="989">
        <f t="shared" si="62"/>
        <v>-22742878441</v>
      </c>
      <c r="V467" s="547">
        <v>-14422606366</v>
      </c>
      <c r="W467" s="1264">
        <f t="shared" si="59"/>
        <v>-22743</v>
      </c>
      <c r="X467" s="547">
        <f t="shared" si="55"/>
        <v>-14423</v>
      </c>
      <c r="Y467" s="566"/>
      <c r="Z467" s="567"/>
      <c r="AA467" s="989">
        <f t="shared" si="63"/>
        <v>-22742878441</v>
      </c>
      <c r="AB467" s="812">
        <f t="shared" si="64"/>
        <v>-22743</v>
      </c>
    </row>
    <row r="468" spans="1:28" ht="27" hidden="1" customHeight="1">
      <c r="A468" s="531"/>
      <c r="B468" s="531">
        <v>1001</v>
      </c>
      <c r="C468" s="529">
        <v>17</v>
      </c>
      <c r="D468" s="530" t="s">
        <v>546</v>
      </c>
      <c r="E468" s="1028" t="s">
        <v>170</v>
      </c>
      <c r="F468" s="1580">
        <v>-73280524300</v>
      </c>
      <c r="G468" s="1757">
        <v>-2993583768</v>
      </c>
      <c r="H468" s="1745">
        <v>531651278</v>
      </c>
      <c r="I468" s="1760">
        <v>-9482010703</v>
      </c>
      <c r="J468" s="1745"/>
      <c r="K468" s="1760">
        <v>-216850026</v>
      </c>
      <c r="L468" s="1745">
        <v>73280524300</v>
      </c>
      <c r="M468" s="1745"/>
      <c r="N468" s="1745"/>
      <c r="O468" s="1746"/>
      <c r="P468" s="1746"/>
      <c r="Q468" s="1745"/>
      <c r="R468" s="1745"/>
      <c r="S468" s="1745"/>
      <c r="T468" s="1745"/>
      <c r="U468" s="989">
        <f t="shared" si="62"/>
        <v>-12160793219</v>
      </c>
      <c r="V468" s="547">
        <v>-46820520987</v>
      </c>
      <c r="W468" s="1264">
        <f t="shared" si="59"/>
        <v>-12161</v>
      </c>
      <c r="X468" s="547">
        <f t="shared" si="55"/>
        <v>-46821</v>
      </c>
      <c r="Y468" s="566"/>
      <c r="Z468" s="567"/>
      <c r="AA468" s="989">
        <f t="shared" si="63"/>
        <v>-12160793219</v>
      </c>
      <c r="AB468" s="812">
        <f t="shared" si="64"/>
        <v>-12161</v>
      </c>
    </row>
    <row r="469" spans="1:28" ht="27" hidden="1" customHeight="1">
      <c r="A469" s="531"/>
      <c r="B469" s="531">
        <v>1001</v>
      </c>
      <c r="C469" s="529">
        <v>17</v>
      </c>
      <c r="D469" s="530" t="s">
        <v>162</v>
      </c>
      <c r="E469" s="1028" t="s">
        <v>171</v>
      </c>
      <c r="F469" s="1579">
        <v>-2083088907</v>
      </c>
      <c r="G469" s="1755">
        <v>-153085778</v>
      </c>
      <c r="H469" s="1773"/>
      <c r="I469" s="1745"/>
      <c r="J469" s="1745"/>
      <c r="K469" s="1760"/>
      <c r="L469" s="1745">
        <v>2083088907</v>
      </c>
      <c r="M469" s="1745"/>
      <c r="N469" s="1745"/>
      <c r="O469" s="1746"/>
      <c r="P469" s="1746"/>
      <c r="Q469" s="1745"/>
      <c r="R469" s="1745"/>
      <c r="S469" s="1745"/>
      <c r="T469" s="1745"/>
      <c r="U469" s="989">
        <f t="shared" si="62"/>
        <v>-153085778</v>
      </c>
      <c r="V469" s="547">
        <v>1558045639</v>
      </c>
      <c r="W469" s="1264">
        <f t="shared" si="59"/>
        <v>-153</v>
      </c>
      <c r="X469" s="547">
        <f t="shared" si="55"/>
        <v>1558</v>
      </c>
      <c r="Y469" s="566"/>
      <c r="Z469" s="567"/>
      <c r="AA469" s="989">
        <f t="shared" si="63"/>
        <v>-153085778</v>
      </c>
      <c r="AB469" s="812">
        <f t="shared" si="64"/>
        <v>-153</v>
      </c>
    </row>
    <row r="470" spans="1:28" ht="27" hidden="1" customHeight="1">
      <c r="A470" s="531"/>
      <c r="B470" s="531">
        <v>1001</v>
      </c>
      <c r="C470" s="529">
        <v>17</v>
      </c>
      <c r="D470" s="530" t="s">
        <v>301</v>
      </c>
      <c r="E470" s="1028" t="s">
        <v>885</v>
      </c>
      <c r="F470" s="1576"/>
      <c r="G470" s="1755"/>
      <c r="H470" s="1745"/>
      <c r="I470" s="1745"/>
      <c r="J470" s="1745"/>
      <c r="K470" s="1745"/>
      <c r="L470" s="1745"/>
      <c r="M470" s="1745"/>
      <c r="N470" s="1745"/>
      <c r="O470" s="1746"/>
      <c r="P470" s="1746"/>
      <c r="Q470" s="1745"/>
      <c r="R470" s="1745"/>
      <c r="S470" s="1745"/>
      <c r="T470" s="1745"/>
      <c r="U470" s="989">
        <f t="shared" si="62"/>
        <v>0</v>
      </c>
      <c r="V470" s="547">
        <v>0</v>
      </c>
      <c r="W470" s="1264">
        <f t="shared" si="59"/>
        <v>0</v>
      </c>
      <c r="X470" s="547">
        <f t="shared" si="55"/>
        <v>0</v>
      </c>
      <c r="Y470" s="566"/>
      <c r="Z470" s="567"/>
      <c r="AA470" s="989">
        <f t="shared" si="63"/>
        <v>0</v>
      </c>
      <c r="AB470" s="812">
        <f t="shared" si="64"/>
        <v>0</v>
      </c>
    </row>
    <row r="471" spans="1:28" ht="27" hidden="1" customHeight="1">
      <c r="A471" s="531"/>
      <c r="B471" s="531">
        <v>428</v>
      </c>
      <c r="C471" s="529">
        <v>11</v>
      </c>
      <c r="D471" s="530" t="s">
        <v>110</v>
      </c>
      <c r="E471" s="1028" t="s">
        <v>174</v>
      </c>
      <c r="F471" s="1579">
        <v>14255889231</v>
      </c>
      <c r="G471" s="1757">
        <v>903146584</v>
      </c>
      <c r="H471" s="1773"/>
      <c r="I471" s="1745">
        <v>-81182873</v>
      </c>
      <c r="J471" s="1745"/>
      <c r="K471" s="1745"/>
      <c r="L471" s="1745"/>
      <c r="M471" s="1745"/>
      <c r="N471" s="1745"/>
      <c r="O471" s="1746"/>
      <c r="P471" s="1746"/>
      <c r="Q471" s="1745"/>
      <c r="R471" s="1745"/>
      <c r="S471" s="1745"/>
      <c r="T471" s="1745"/>
      <c r="U471" s="989">
        <f t="shared" si="62"/>
        <v>15077852942</v>
      </c>
      <c r="V471" s="547">
        <v>2749547428</v>
      </c>
      <c r="W471" s="1264">
        <f t="shared" si="59"/>
        <v>15078</v>
      </c>
      <c r="X471" s="547">
        <f t="shared" si="55"/>
        <v>2750</v>
      </c>
      <c r="Y471" s="566"/>
      <c r="Z471" s="567"/>
      <c r="AA471" s="989">
        <f t="shared" si="63"/>
        <v>15077852942</v>
      </c>
      <c r="AB471" s="812">
        <f t="shared" si="64"/>
        <v>15078</v>
      </c>
    </row>
    <row r="472" spans="1:28" ht="27" hidden="1" customHeight="1">
      <c r="A472" s="531"/>
      <c r="B472" s="531">
        <v>1018</v>
      </c>
      <c r="C472" s="529">
        <v>17</v>
      </c>
      <c r="D472" s="530" t="s">
        <v>2017</v>
      </c>
      <c r="E472" s="1361" t="s">
        <v>1949</v>
      </c>
      <c r="F472" s="1580">
        <v>-386272</v>
      </c>
      <c r="G472" s="1755"/>
      <c r="H472" s="1744"/>
      <c r="I472" s="1745"/>
      <c r="J472" s="1745"/>
      <c r="K472" s="1745"/>
      <c r="L472" s="1745"/>
      <c r="M472" s="1745"/>
      <c r="N472" s="1745"/>
      <c r="O472" s="1746"/>
      <c r="P472" s="1746"/>
      <c r="Q472" s="1745"/>
      <c r="R472" s="1745"/>
      <c r="S472" s="1745"/>
      <c r="T472" s="1745"/>
      <c r="U472" s="1671">
        <f t="shared" si="62"/>
        <v>-386272</v>
      </c>
      <c r="V472" s="547">
        <v>-386272</v>
      </c>
      <c r="W472" s="1264">
        <f>ROUND((U472/1000000),0)</f>
        <v>0</v>
      </c>
      <c r="X472" s="547">
        <f t="shared" si="55"/>
        <v>0</v>
      </c>
      <c r="Y472" s="566"/>
      <c r="Z472" s="567"/>
      <c r="AA472" s="989"/>
      <c r="AB472" s="812"/>
    </row>
    <row r="473" spans="1:28" ht="27" hidden="1" customHeight="1">
      <c r="A473" s="1742"/>
      <c r="B473" s="1742">
        <v>412</v>
      </c>
      <c r="C473" s="1743">
        <v>11</v>
      </c>
      <c r="D473" s="1753" t="s">
        <v>14</v>
      </c>
      <c r="E473" s="1754" t="s">
        <v>363</v>
      </c>
      <c r="F473" s="1744">
        <v>1165280869417</v>
      </c>
      <c r="G473" s="1755"/>
      <c r="H473" s="1744"/>
      <c r="I473" s="1745"/>
      <c r="J473" s="1745">
        <v>387000000</v>
      </c>
      <c r="K473" s="1745"/>
      <c r="L473" s="1760"/>
      <c r="M473" s="1760"/>
      <c r="N473" s="1745"/>
      <c r="O473" s="1746"/>
      <c r="P473" s="1746"/>
      <c r="Q473" s="1745"/>
      <c r="R473" s="1745"/>
      <c r="S473" s="1745"/>
      <c r="T473" s="1745"/>
      <c r="U473" s="1671">
        <f t="shared" si="62"/>
        <v>1165667869417</v>
      </c>
      <c r="V473" s="1745">
        <v>923964459513</v>
      </c>
      <c r="W473" s="1781">
        <f t="shared" ref="W473:W504" si="65">ROUND((U473/1000000),0)</f>
        <v>1165668</v>
      </c>
      <c r="X473" s="1745">
        <f t="shared" si="55"/>
        <v>923964</v>
      </c>
      <c r="Y473" s="1747"/>
      <c r="Z473" s="1748"/>
      <c r="AA473" s="1749">
        <f t="shared" ref="AA473:AA494" si="66">U473+Z473-Y473</f>
        <v>1165667869417</v>
      </c>
      <c r="AB473" s="1750">
        <f t="shared" ref="AB473:AB494" si="67">ROUND((AA473/1000000),0)</f>
        <v>1165668</v>
      </c>
    </row>
    <row r="474" spans="1:28" ht="27" hidden="1" customHeight="1">
      <c r="A474" s="531"/>
      <c r="B474" s="531">
        <v>1401</v>
      </c>
      <c r="C474" s="529">
        <v>19</v>
      </c>
      <c r="D474" s="530" t="s">
        <v>1165</v>
      </c>
      <c r="E474" s="1028" t="s">
        <v>1164</v>
      </c>
      <c r="F474" s="1576"/>
      <c r="G474" s="1755"/>
      <c r="H474" s="1745"/>
      <c r="I474" s="1745"/>
      <c r="J474" s="1746"/>
      <c r="K474" s="1745"/>
      <c r="L474" s="1745"/>
      <c r="M474" s="1745"/>
      <c r="N474" s="1745"/>
      <c r="O474" s="1746"/>
      <c r="P474" s="1746"/>
      <c r="Q474" s="1745"/>
      <c r="R474" s="1745"/>
      <c r="S474" s="1745"/>
      <c r="T474" s="1745"/>
      <c r="U474" s="989">
        <f t="shared" si="62"/>
        <v>0</v>
      </c>
      <c r="V474" s="547">
        <v>0</v>
      </c>
      <c r="W474" s="1264">
        <f t="shared" si="65"/>
        <v>0</v>
      </c>
      <c r="X474" s="547">
        <f t="shared" si="55"/>
        <v>0</v>
      </c>
      <c r="Y474" s="566"/>
      <c r="Z474" s="567"/>
      <c r="AA474" s="989">
        <f t="shared" si="66"/>
        <v>0</v>
      </c>
      <c r="AB474" s="812">
        <f t="shared" si="67"/>
        <v>0</v>
      </c>
    </row>
    <row r="475" spans="1:28" ht="27" hidden="1" customHeight="1">
      <c r="A475" s="531"/>
      <c r="B475" s="531">
        <v>401</v>
      </c>
      <c r="C475" s="529">
        <v>11</v>
      </c>
      <c r="D475" s="530" t="s">
        <v>42</v>
      </c>
      <c r="E475" s="1028" t="s">
        <v>942</v>
      </c>
      <c r="F475" s="1580">
        <v>-3685000</v>
      </c>
      <c r="G475" s="1755">
        <v>3685000</v>
      </c>
      <c r="H475" s="1744"/>
      <c r="I475" s="1745"/>
      <c r="J475" s="1745"/>
      <c r="K475" s="1745"/>
      <c r="L475" s="1745"/>
      <c r="M475" s="1745"/>
      <c r="N475" s="1745"/>
      <c r="O475" s="1746"/>
      <c r="P475" s="1746"/>
      <c r="Q475" s="1745"/>
      <c r="R475" s="1745"/>
      <c r="S475" s="1745"/>
      <c r="T475" s="1745"/>
      <c r="U475" s="989">
        <f t="shared" si="62"/>
        <v>0</v>
      </c>
      <c r="V475" s="547">
        <v>0</v>
      </c>
      <c r="W475" s="1264">
        <f t="shared" si="65"/>
        <v>0</v>
      </c>
      <c r="X475" s="547">
        <f t="shared" si="55"/>
        <v>0</v>
      </c>
      <c r="Y475" s="566"/>
      <c r="Z475" s="567"/>
      <c r="AA475" s="989">
        <f t="shared" si="66"/>
        <v>0</v>
      </c>
      <c r="AB475" s="812">
        <f t="shared" si="67"/>
        <v>0</v>
      </c>
    </row>
    <row r="476" spans="1:28" ht="27" hidden="1" customHeight="1">
      <c r="A476" s="531"/>
      <c r="B476" s="531"/>
      <c r="C476" s="529">
        <v>6</v>
      </c>
      <c r="D476" s="530" t="s">
        <v>896</v>
      </c>
      <c r="E476" s="1028" t="s">
        <v>778</v>
      </c>
      <c r="F476" s="1576"/>
      <c r="G476" s="1755"/>
      <c r="H476" s="1745"/>
      <c r="I476" s="1745"/>
      <c r="J476" s="1746"/>
      <c r="K476" s="1745"/>
      <c r="L476" s="1745"/>
      <c r="M476" s="1745"/>
      <c r="N476" s="1745"/>
      <c r="O476" s="1746"/>
      <c r="P476" s="1746"/>
      <c r="Q476" s="1745"/>
      <c r="R476" s="1745"/>
      <c r="S476" s="1745"/>
      <c r="T476" s="1745"/>
      <c r="U476" s="989">
        <f t="shared" si="62"/>
        <v>0</v>
      </c>
      <c r="V476" s="547">
        <v>0</v>
      </c>
      <c r="W476" s="1264">
        <f t="shared" si="65"/>
        <v>0</v>
      </c>
      <c r="X476" s="547">
        <f t="shared" ref="X476:X540" si="68">ROUND((V476/1000000),0)</f>
        <v>0</v>
      </c>
      <c r="Y476" s="566"/>
      <c r="Z476" s="567"/>
      <c r="AA476" s="989">
        <f t="shared" si="66"/>
        <v>0</v>
      </c>
      <c r="AB476" s="812">
        <f t="shared" si="67"/>
        <v>0</v>
      </c>
    </row>
    <row r="477" spans="1:28" ht="27" hidden="1" customHeight="1">
      <c r="A477" s="531"/>
      <c r="B477" s="531">
        <v>1001</v>
      </c>
      <c r="C477" s="529">
        <v>17</v>
      </c>
      <c r="D477" s="530" t="s">
        <v>335</v>
      </c>
      <c r="E477" s="1028" t="s">
        <v>762</v>
      </c>
      <c r="F477" s="1576">
        <v>45509600</v>
      </c>
      <c r="G477" s="1755"/>
      <c r="H477" s="1745"/>
      <c r="I477" s="1745"/>
      <c r="J477" s="1745">
        <v>-45509600</v>
      </c>
      <c r="K477" s="1745"/>
      <c r="L477" s="1745"/>
      <c r="M477" s="1745"/>
      <c r="N477" s="1745"/>
      <c r="O477" s="1746"/>
      <c r="P477" s="1746"/>
      <c r="Q477" s="1745"/>
      <c r="R477" s="1745"/>
      <c r="S477" s="1745"/>
      <c r="T477" s="1745"/>
      <c r="U477" s="989">
        <f t="shared" si="62"/>
        <v>0</v>
      </c>
      <c r="V477" s="547">
        <v>0</v>
      </c>
      <c r="W477" s="1264">
        <f t="shared" si="65"/>
        <v>0</v>
      </c>
      <c r="X477" s="547">
        <f t="shared" si="68"/>
        <v>0</v>
      </c>
      <c r="Y477" s="566"/>
      <c r="Z477" s="567"/>
      <c r="AA477" s="989">
        <f t="shared" si="66"/>
        <v>0</v>
      </c>
      <c r="AB477" s="812">
        <f t="shared" si="67"/>
        <v>0</v>
      </c>
    </row>
    <row r="478" spans="1:28" ht="27" hidden="1" customHeight="1">
      <c r="A478" s="531"/>
      <c r="B478" s="531">
        <v>1001</v>
      </c>
      <c r="C478" s="529">
        <v>17</v>
      </c>
      <c r="D478" s="530" t="s">
        <v>393</v>
      </c>
      <c r="E478" s="1028" t="s">
        <v>394</v>
      </c>
      <c r="F478" s="1576"/>
      <c r="G478" s="1755"/>
      <c r="H478" s="1745"/>
      <c r="I478" s="1745"/>
      <c r="J478" s="1745"/>
      <c r="K478" s="1745"/>
      <c r="L478" s="1745"/>
      <c r="M478" s="1745"/>
      <c r="N478" s="1745"/>
      <c r="O478" s="1746"/>
      <c r="P478" s="1746"/>
      <c r="Q478" s="1745"/>
      <c r="R478" s="1745"/>
      <c r="S478" s="1745"/>
      <c r="T478" s="1745"/>
      <c r="U478" s="989">
        <f t="shared" si="62"/>
        <v>0</v>
      </c>
      <c r="V478" s="547">
        <v>0</v>
      </c>
      <c r="W478" s="1264">
        <f t="shared" si="65"/>
        <v>0</v>
      </c>
      <c r="X478" s="547">
        <f t="shared" si="68"/>
        <v>0</v>
      </c>
      <c r="Y478" s="566"/>
      <c r="Z478" s="567"/>
      <c r="AA478" s="989">
        <f t="shared" si="66"/>
        <v>0</v>
      </c>
      <c r="AB478" s="812">
        <f t="shared" si="67"/>
        <v>0</v>
      </c>
    </row>
    <row r="479" spans="1:28" ht="27" hidden="1" customHeight="1">
      <c r="A479" s="531"/>
      <c r="B479" s="531">
        <v>1001</v>
      </c>
      <c r="C479" s="529">
        <v>17</v>
      </c>
      <c r="D479" s="530" t="s">
        <v>967</v>
      </c>
      <c r="E479" s="1028" t="s">
        <v>968</v>
      </c>
      <c r="F479" s="1576"/>
      <c r="G479" s="1755"/>
      <c r="H479" s="1745"/>
      <c r="I479" s="1745"/>
      <c r="J479" s="1745"/>
      <c r="K479" s="1745"/>
      <c r="L479" s="1745"/>
      <c r="M479" s="1745"/>
      <c r="N479" s="1745"/>
      <c r="O479" s="1746"/>
      <c r="P479" s="1746"/>
      <c r="Q479" s="1745"/>
      <c r="R479" s="1745"/>
      <c r="S479" s="1745"/>
      <c r="T479" s="1745"/>
      <c r="U479" s="989">
        <f t="shared" si="62"/>
        <v>0</v>
      </c>
      <c r="V479" s="547">
        <v>0</v>
      </c>
      <c r="W479" s="1264">
        <f t="shared" si="65"/>
        <v>0</v>
      </c>
      <c r="X479" s="547">
        <f t="shared" si="68"/>
        <v>0</v>
      </c>
      <c r="Y479" s="566"/>
      <c r="Z479" s="567"/>
      <c r="AA479" s="989">
        <f t="shared" si="66"/>
        <v>0</v>
      </c>
      <c r="AB479" s="812">
        <f t="shared" si="67"/>
        <v>0</v>
      </c>
    </row>
    <row r="480" spans="1:28" ht="27" hidden="1" customHeight="1">
      <c r="A480" s="531"/>
      <c r="B480" s="531">
        <v>401</v>
      </c>
      <c r="C480" s="529">
        <v>11</v>
      </c>
      <c r="D480" s="530" t="s">
        <v>1098</v>
      </c>
      <c r="E480" s="1028" t="s">
        <v>2024</v>
      </c>
      <c r="F480" s="1580"/>
      <c r="G480" s="1755"/>
      <c r="H480" s="1744"/>
      <c r="I480" s="1745"/>
      <c r="J480" s="1745"/>
      <c r="K480" s="1745"/>
      <c r="L480" s="1745"/>
      <c r="M480" s="1745"/>
      <c r="N480" s="1745"/>
      <c r="O480" s="1746"/>
      <c r="P480" s="1746"/>
      <c r="Q480" s="1745"/>
      <c r="R480" s="1745"/>
      <c r="S480" s="1745"/>
      <c r="T480" s="1745"/>
      <c r="U480" s="989">
        <f t="shared" si="62"/>
        <v>0</v>
      </c>
      <c r="V480" s="547">
        <v>0</v>
      </c>
      <c r="W480" s="1264">
        <f t="shared" si="65"/>
        <v>0</v>
      </c>
      <c r="X480" s="547">
        <f t="shared" si="68"/>
        <v>0</v>
      </c>
      <c r="Y480" s="566"/>
      <c r="Z480" s="567"/>
      <c r="AA480" s="989">
        <f t="shared" si="66"/>
        <v>0</v>
      </c>
      <c r="AB480" s="812">
        <f t="shared" si="67"/>
        <v>0</v>
      </c>
    </row>
    <row r="481" spans="1:28" ht="27" hidden="1" customHeight="1">
      <c r="A481" s="531"/>
      <c r="B481" s="531">
        <v>1001</v>
      </c>
      <c r="C481" s="529">
        <v>17</v>
      </c>
      <c r="D481" s="530" t="s">
        <v>349</v>
      </c>
      <c r="E481" s="1028" t="s">
        <v>285</v>
      </c>
      <c r="F481" s="1576"/>
      <c r="G481" s="1755"/>
      <c r="H481" s="1745"/>
      <c r="I481" s="1745"/>
      <c r="J481" s="1745"/>
      <c r="K481" s="1745"/>
      <c r="L481" s="1745"/>
      <c r="M481" s="1745"/>
      <c r="N481" s="1745"/>
      <c r="O481" s="1746"/>
      <c r="P481" s="1746"/>
      <c r="Q481" s="1745"/>
      <c r="R481" s="1745"/>
      <c r="S481" s="1745"/>
      <c r="T481" s="1745"/>
      <c r="U481" s="989">
        <f t="shared" si="62"/>
        <v>0</v>
      </c>
      <c r="V481" s="547">
        <v>0</v>
      </c>
      <c r="W481" s="1264">
        <f t="shared" si="65"/>
        <v>0</v>
      </c>
      <c r="X481" s="547">
        <f t="shared" si="68"/>
        <v>0</v>
      </c>
      <c r="Y481" s="566"/>
      <c r="Z481" s="567"/>
      <c r="AA481" s="989">
        <f t="shared" si="66"/>
        <v>0</v>
      </c>
      <c r="AB481" s="812">
        <f t="shared" si="67"/>
        <v>0</v>
      </c>
    </row>
    <row r="482" spans="1:28" ht="27" hidden="1" customHeight="1">
      <c r="A482" s="531"/>
      <c r="B482" s="531">
        <v>401</v>
      </c>
      <c r="C482" s="529">
        <v>11</v>
      </c>
      <c r="D482" s="530" t="s">
        <v>1175</v>
      </c>
      <c r="E482" s="1028" t="s">
        <v>1170</v>
      </c>
      <c r="F482" s="1579">
        <v>387000000</v>
      </c>
      <c r="G482" s="1757"/>
      <c r="H482" s="1745"/>
      <c r="I482" s="1745"/>
      <c r="J482" s="1745">
        <v>-387000000</v>
      </c>
      <c r="K482" s="1745"/>
      <c r="L482" s="1760"/>
      <c r="M482" s="1760"/>
      <c r="N482" s="1745"/>
      <c r="O482" s="1746"/>
      <c r="P482" s="1746"/>
      <c r="Q482" s="1745"/>
      <c r="R482" s="1745"/>
      <c r="S482" s="1745"/>
      <c r="T482" s="1745"/>
      <c r="U482" s="989">
        <f t="shared" si="62"/>
        <v>0</v>
      </c>
      <c r="V482" s="547">
        <v>0</v>
      </c>
      <c r="W482" s="1264">
        <f t="shared" si="65"/>
        <v>0</v>
      </c>
      <c r="X482" s="547">
        <f t="shared" si="68"/>
        <v>0</v>
      </c>
      <c r="Y482" s="566"/>
      <c r="Z482" s="567"/>
      <c r="AA482" s="989">
        <f t="shared" si="66"/>
        <v>0</v>
      </c>
      <c r="AB482" s="812">
        <f t="shared" si="67"/>
        <v>0</v>
      </c>
    </row>
    <row r="483" spans="1:28" ht="27" hidden="1" customHeight="1">
      <c r="A483" s="531"/>
      <c r="B483" s="531">
        <v>401</v>
      </c>
      <c r="C483" s="529">
        <v>11</v>
      </c>
      <c r="D483" s="530" t="s">
        <v>943</v>
      </c>
      <c r="E483" s="1028" t="s">
        <v>944</v>
      </c>
      <c r="F483" s="1579">
        <v>22260970591142</v>
      </c>
      <c r="G483" s="1757"/>
      <c r="H483" s="1773"/>
      <c r="I483" s="1745">
        <v>-6245660611731</v>
      </c>
      <c r="J483" s="1760">
        <v>-16015309979411</v>
      </c>
      <c r="K483" s="1745"/>
      <c r="L483" s="1745"/>
      <c r="M483" s="1745"/>
      <c r="N483" s="1745"/>
      <c r="O483" s="1746"/>
      <c r="P483" s="1746"/>
      <c r="Q483" s="1745"/>
      <c r="R483" s="1745"/>
      <c r="S483" s="1745"/>
      <c r="T483" s="1745"/>
      <c r="U483" s="989">
        <f t="shared" si="62"/>
        <v>0</v>
      </c>
      <c r="V483" s="547">
        <v>0</v>
      </c>
      <c r="W483" s="1264">
        <f t="shared" si="65"/>
        <v>0</v>
      </c>
      <c r="X483" s="547">
        <f t="shared" si="68"/>
        <v>0</v>
      </c>
      <c r="Y483" s="566"/>
      <c r="Z483" s="567"/>
      <c r="AA483" s="989">
        <f t="shared" si="66"/>
        <v>0</v>
      </c>
      <c r="AB483" s="812">
        <f t="shared" si="67"/>
        <v>0</v>
      </c>
    </row>
    <row r="484" spans="1:28" ht="27" hidden="1" customHeight="1">
      <c r="A484" s="531"/>
      <c r="B484" s="531">
        <v>401</v>
      </c>
      <c r="C484" s="529">
        <v>11</v>
      </c>
      <c r="D484" s="530" t="s">
        <v>945</v>
      </c>
      <c r="E484" s="1028" t="s">
        <v>946</v>
      </c>
      <c r="F484" s="1579">
        <v>1251229579427</v>
      </c>
      <c r="G484" s="1757"/>
      <c r="H484" s="1773"/>
      <c r="I484" s="1745">
        <v>-287001129297</v>
      </c>
      <c r="J484" s="1760">
        <v>-964228450130</v>
      </c>
      <c r="K484" s="1745"/>
      <c r="L484" s="1745"/>
      <c r="M484" s="1745"/>
      <c r="N484" s="1745"/>
      <c r="O484" s="1746"/>
      <c r="P484" s="1746"/>
      <c r="Q484" s="1745"/>
      <c r="R484" s="1745"/>
      <c r="S484" s="1745"/>
      <c r="T484" s="1745"/>
      <c r="U484" s="989">
        <f t="shared" si="62"/>
        <v>0</v>
      </c>
      <c r="V484" s="547">
        <v>0</v>
      </c>
      <c r="W484" s="1264">
        <f t="shared" si="65"/>
        <v>0</v>
      </c>
      <c r="X484" s="547">
        <f t="shared" si="68"/>
        <v>0</v>
      </c>
      <c r="Y484" s="566"/>
      <c r="Z484" s="567"/>
      <c r="AA484" s="989">
        <f t="shared" si="66"/>
        <v>0</v>
      </c>
      <c r="AB484" s="812">
        <f t="shared" si="67"/>
        <v>0</v>
      </c>
    </row>
    <row r="485" spans="1:28" ht="27" hidden="1" customHeight="1">
      <c r="A485" s="531"/>
      <c r="B485" s="531">
        <v>401</v>
      </c>
      <c r="C485" s="529">
        <v>11</v>
      </c>
      <c r="D485" s="530" t="s">
        <v>947</v>
      </c>
      <c r="E485" s="1028" t="s">
        <v>948</v>
      </c>
      <c r="F485" s="1579"/>
      <c r="G485" s="1757"/>
      <c r="H485" s="1773"/>
      <c r="I485" s="1745"/>
      <c r="J485" s="1745"/>
      <c r="K485" s="1745"/>
      <c r="L485" s="1745"/>
      <c r="M485" s="1745"/>
      <c r="N485" s="1745"/>
      <c r="O485" s="1746"/>
      <c r="P485" s="1746"/>
      <c r="Q485" s="1745"/>
      <c r="R485" s="1745"/>
      <c r="S485" s="1745"/>
      <c r="T485" s="1745"/>
      <c r="U485" s="989">
        <f t="shared" si="62"/>
        <v>0</v>
      </c>
      <c r="V485" s="547">
        <v>0</v>
      </c>
      <c r="W485" s="1264">
        <f t="shared" si="65"/>
        <v>0</v>
      </c>
      <c r="X485" s="547">
        <f t="shared" si="68"/>
        <v>0</v>
      </c>
      <c r="Y485" s="566"/>
      <c r="Z485" s="567"/>
      <c r="AA485" s="989">
        <f t="shared" si="66"/>
        <v>0</v>
      </c>
      <c r="AB485" s="812">
        <f t="shared" si="67"/>
        <v>0</v>
      </c>
    </row>
    <row r="486" spans="1:28" ht="27" hidden="1" customHeight="1">
      <c r="A486" s="531"/>
      <c r="B486" s="531">
        <v>401</v>
      </c>
      <c r="C486" s="529">
        <v>11</v>
      </c>
      <c r="D486" s="530" t="s">
        <v>45</v>
      </c>
      <c r="E486" s="1028" t="s">
        <v>46</v>
      </c>
      <c r="F486" s="1579">
        <v>1732170665</v>
      </c>
      <c r="G486" s="1757">
        <v>-938189156</v>
      </c>
      <c r="H486" s="1773">
        <v>-133550181</v>
      </c>
      <c r="I486" s="1745">
        <v>-2108213579</v>
      </c>
      <c r="J486" s="1760">
        <v>49952179211</v>
      </c>
      <c r="K486" s="1760">
        <v>216850026</v>
      </c>
      <c r="L486" s="1745">
        <v>17000000</v>
      </c>
      <c r="M486" s="1745"/>
      <c r="N486" s="1745"/>
      <c r="O486" s="1760"/>
      <c r="P486" s="1746"/>
      <c r="Q486" s="1745"/>
      <c r="R486" s="1745"/>
      <c r="S486" s="1745"/>
      <c r="T486" s="1745"/>
      <c r="U486" s="1671">
        <f t="shared" si="62"/>
        <v>48738246986</v>
      </c>
      <c r="V486" s="547">
        <v>4062537078</v>
      </c>
      <c r="W486" s="1264">
        <f t="shared" si="65"/>
        <v>48738</v>
      </c>
      <c r="X486" s="547">
        <f t="shared" si="68"/>
        <v>4063</v>
      </c>
      <c r="Y486" s="566"/>
      <c r="Z486" s="567"/>
      <c r="AA486" s="989">
        <f t="shared" si="66"/>
        <v>48738246986</v>
      </c>
      <c r="AB486" s="812">
        <f t="shared" si="67"/>
        <v>48738</v>
      </c>
    </row>
    <row r="487" spans="1:28" ht="27" hidden="1" customHeight="1">
      <c r="A487" s="531"/>
      <c r="B487" s="531">
        <v>401</v>
      </c>
      <c r="C487" s="529">
        <v>11</v>
      </c>
      <c r="D487" s="530" t="s">
        <v>951</v>
      </c>
      <c r="E487" s="1028" t="s">
        <v>952</v>
      </c>
      <c r="F487" s="1576">
        <v>621632791901</v>
      </c>
      <c r="G487" s="1755"/>
      <c r="H487" s="1745"/>
      <c r="I487" s="1745"/>
      <c r="J487" s="1745">
        <v>-621632791901</v>
      </c>
      <c r="K487" s="1745"/>
      <c r="L487" s="1745"/>
      <c r="M487" s="1745"/>
      <c r="N487" s="1745"/>
      <c r="O487" s="1746"/>
      <c r="P487" s="1746"/>
      <c r="Q487" s="1745"/>
      <c r="R487" s="1745"/>
      <c r="S487" s="1745"/>
      <c r="T487" s="1745"/>
      <c r="U487" s="989">
        <f t="shared" si="62"/>
        <v>0</v>
      </c>
      <c r="V487" s="547">
        <v>0</v>
      </c>
      <c r="W487" s="1264">
        <f t="shared" si="65"/>
        <v>0</v>
      </c>
      <c r="X487" s="547">
        <f t="shared" si="68"/>
        <v>0</v>
      </c>
      <c r="Y487" s="566"/>
      <c r="Z487" s="567"/>
      <c r="AA487" s="989">
        <f t="shared" si="66"/>
        <v>0</v>
      </c>
      <c r="AB487" s="812">
        <f t="shared" si="67"/>
        <v>0</v>
      </c>
    </row>
    <row r="488" spans="1:28" ht="27" hidden="1" customHeight="1">
      <c r="A488" s="531"/>
      <c r="B488" s="531">
        <v>1001</v>
      </c>
      <c r="C488" s="529">
        <v>17</v>
      </c>
      <c r="D488" s="530" t="s">
        <v>1063</v>
      </c>
      <c r="E488" s="1028" t="s">
        <v>1237</v>
      </c>
      <c r="F488" s="1576"/>
      <c r="G488" s="1755"/>
      <c r="H488" s="1745"/>
      <c r="I488" s="1745"/>
      <c r="J488" s="1745"/>
      <c r="K488" s="1745"/>
      <c r="L488" s="1745"/>
      <c r="M488" s="1745"/>
      <c r="N488" s="1745"/>
      <c r="O488" s="1746"/>
      <c r="P488" s="1746"/>
      <c r="Q488" s="1745"/>
      <c r="R488" s="1745"/>
      <c r="S488" s="1745"/>
      <c r="T488" s="1745"/>
      <c r="U488" s="989">
        <f t="shared" si="62"/>
        <v>0</v>
      </c>
      <c r="V488" s="547">
        <v>0</v>
      </c>
      <c r="W488" s="1264">
        <f t="shared" si="65"/>
        <v>0</v>
      </c>
      <c r="X488" s="547">
        <f t="shared" si="68"/>
        <v>0</v>
      </c>
      <c r="Y488" s="566"/>
      <c r="Z488" s="567"/>
      <c r="AA488" s="989">
        <f t="shared" si="66"/>
        <v>0</v>
      </c>
      <c r="AB488" s="812">
        <f t="shared" si="67"/>
        <v>0</v>
      </c>
    </row>
    <row r="489" spans="1:28" ht="27" hidden="1" customHeight="1">
      <c r="A489" s="531"/>
      <c r="B489" s="531">
        <v>1001</v>
      </c>
      <c r="C489" s="529">
        <v>17</v>
      </c>
      <c r="D489" s="530" t="s">
        <v>657</v>
      </c>
      <c r="E489" s="1028" t="s">
        <v>658</v>
      </c>
      <c r="F489" s="1576"/>
      <c r="G489" s="1755"/>
      <c r="H489" s="1745"/>
      <c r="I489" s="1745"/>
      <c r="J489" s="1745"/>
      <c r="K489" s="1745"/>
      <c r="L489" s="1745"/>
      <c r="M489" s="1745"/>
      <c r="N489" s="1745"/>
      <c r="O489" s="1746"/>
      <c r="P489" s="1746"/>
      <c r="Q489" s="1745"/>
      <c r="R489" s="1745"/>
      <c r="S489" s="1745"/>
      <c r="T489" s="1745"/>
      <c r="U489" s="989">
        <f t="shared" si="62"/>
        <v>0</v>
      </c>
      <c r="V489" s="547">
        <v>0</v>
      </c>
      <c r="W489" s="1264">
        <f t="shared" si="65"/>
        <v>0</v>
      </c>
      <c r="X489" s="547">
        <f t="shared" si="68"/>
        <v>0</v>
      </c>
      <c r="Y489" s="566"/>
      <c r="Z489" s="567"/>
      <c r="AA489" s="989">
        <f t="shared" si="66"/>
        <v>0</v>
      </c>
      <c r="AB489" s="812">
        <f t="shared" si="67"/>
        <v>0</v>
      </c>
    </row>
    <row r="490" spans="1:28" ht="27" hidden="1" customHeight="1">
      <c r="A490" s="531"/>
      <c r="B490" s="531">
        <v>1001</v>
      </c>
      <c r="C490" s="529">
        <v>17</v>
      </c>
      <c r="D490" s="530" t="s">
        <v>237</v>
      </c>
      <c r="E490" s="1028" t="s">
        <v>1002</v>
      </c>
      <c r="F490" s="1576"/>
      <c r="G490" s="1755"/>
      <c r="H490" s="1745"/>
      <c r="I490" s="1745"/>
      <c r="J490" s="1745"/>
      <c r="K490" s="1745"/>
      <c r="L490" s="1745"/>
      <c r="M490" s="1745"/>
      <c r="N490" s="1745"/>
      <c r="O490" s="1746"/>
      <c r="P490" s="1746"/>
      <c r="Q490" s="1745"/>
      <c r="R490" s="1745"/>
      <c r="S490" s="1745"/>
      <c r="T490" s="1745"/>
      <c r="U490" s="989">
        <f t="shared" si="62"/>
        <v>0</v>
      </c>
      <c r="V490" s="547">
        <v>0</v>
      </c>
      <c r="W490" s="1264">
        <f t="shared" si="65"/>
        <v>0</v>
      </c>
      <c r="X490" s="547">
        <f t="shared" si="68"/>
        <v>0</v>
      </c>
      <c r="Y490" s="566"/>
      <c r="Z490" s="567"/>
      <c r="AA490" s="989">
        <f t="shared" si="66"/>
        <v>0</v>
      </c>
      <c r="AB490" s="812">
        <f t="shared" si="67"/>
        <v>0</v>
      </c>
    </row>
    <row r="491" spans="1:28" ht="27" hidden="1" customHeight="1">
      <c r="A491" s="531"/>
      <c r="B491" s="531">
        <v>401</v>
      </c>
      <c r="C491" s="529">
        <v>11</v>
      </c>
      <c r="D491" s="530" t="s">
        <v>836</v>
      </c>
      <c r="E491" s="1028" t="s">
        <v>953</v>
      </c>
      <c r="F491" s="1579">
        <v>1127377597</v>
      </c>
      <c r="G491" s="1757">
        <v>-57500000</v>
      </c>
      <c r="H491" s="1773">
        <v>-575205260</v>
      </c>
      <c r="I491" s="1745">
        <v>-464672337</v>
      </c>
      <c r="J491" s="1745">
        <v>-30000000</v>
      </c>
      <c r="K491" s="1745"/>
      <c r="L491" s="1760"/>
      <c r="M491" s="1760"/>
      <c r="N491" s="1745"/>
      <c r="O491" s="1746"/>
      <c r="P491" s="1746"/>
      <c r="Q491" s="1745"/>
      <c r="R491" s="1745"/>
      <c r="S491" s="1745"/>
      <c r="T491" s="1745"/>
      <c r="U491" s="989">
        <f t="shared" si="62"/>
        <v>0</v>
      </c>
      <c r="V491" s="547">
        <v>0</v>
      </c>
      <c r="W491" s="1264">
        <f t="shared" si="65"/>
        <v>0</v>
      </c>
      <c r="X491" s="547">
        <f t="shared" si="68"/>
        <v>0</v>
      </c>
      <c r="Y491" s="566"/>
      <c r="Z491" s="567"/>
      <c r="AA491" s="989">
        <f t="shared" si="66"/>
        <v>0</v>
      </c>
      <c r="AB491" s="812">
        <f t="shared" si="67"/>
        <v>0</v>
      </c>
    </row>
    <row r="492" spans="1:28" ht="27" hidden="1" customHeight="1">
      <c r="A492" s="531"/>
      <c r="B492" s="531">
        <v>1001</v>
      </c>
      <c r="C492" s="529">
        <v>17</v>
      </c>
      <c r="D492" s="530" t="s">
        <v>65</v>
      </c>
      <c r="E492" s="1028" t="s">
        <v>1332</v>
      </c>
      <c r="F492" s="1576"/>
      <c r="G492" s="1755"/>
      <c r="H492" s="1745"/>
      <c r="I492" s="1745"/>
      <c r="J492" s="1745"/>
      <c r="K492" s="1745"/>
      <c r="L492" s="1745"/>
      <c r="M492" s="1745"/>
      <c r="N492" s="1745"/>
      <c r="O492" s="1746"/>
      <c r="P492" s="1746"/>
      <c r="Q492" s="1745"/>
      <c r="R492" s="1745"/>
      <c r="S492" s="1745"/>
      <c r="T492" s="1745"/>
      <c r="U492" s="989">
        <f t="shared" si="62"/>
        <v>0</v>
      </c>
      <c r="V492" s="547">
        <v>0</v>
      </c>
      <c r="W492" s="1264">
        <f t="shared" si="65"/>
        <v>0</v>
      </c>
      <c r="X492" s="547">
        <f t="shared" si="68"/>
        <v>0</v>
      </c>
      <c r="Y492" s="566"/>
      <c r="Z492" s="567"/>
      <c r="AA492" s="989">
        <f t="shared" si="66"/>
        <v>0</v>
      </c>
      <c r="AB492" s="812">
        <f t="shared" si="67"/>
        <v>0</v>
      </c>
    </row>
    <row r="493" spans="1:28" ht="27" hidden="1" customHeight="1">
      <c r="A493" s="531"/>
      <c r="B493" s="531">
        <v>1001</v>
      </c>
      <c r="C493" s="529">
        <v>17</v>
      </c>
      <c r="D493" s="530" t="s">
        <v>1065</v>
      </c>
      <c r="E493" s="1028" t="s">
        <v>1066</v>
      </c>
      <c r="F493" s="1576"/>
      <c r="G493" s="1755"/>
      <c r="H493" s="1745"/>
      <c r="I493" s="1745"/>
      <c r="J493" s="1745"/>
      <c r="K493" s="1745"/>
      <c r="L493" s="1745"/>
      <c r="M493" s="1745"/>
      <c r="N493" s="1745"/>
      <c r="O493" s="1746"/>
      <c r="P493" s="1746"/>
      <c r="Q493" s="1745"/>
      <c r="R493" s="1745"/>
      <c r="S493" s="1745"/>
      <c r="T493" s="1745"/>
      <c r="U493" s="989">
        <f t="shared" si="62"/>
        <v>0</v>
      </c>
      <c r="V493" s="547">
        <v>0</v>
      </c>
      <c r="W493" s="1264">
        <f t="shared" si="65"/>
        <v>0</v>
      </c>
      <c r="X493" s="547">
        <f t="shared" si="68"/>
        <v>0</v>
      </c>
      <c r="Y493" s="566"/>
      <c r="Z493" s="567"/>
      <c r="AA493" s="989">
        <f t="shared" si="66"/>
        <v>0</v>
      </c>
      <c r="AB493" s="812">
        <f t="shared" si="67"/>
        <v>0</v>
      </c>
    </row>
    <row r="494" spans="1:28" ht="22.5" hidden="1" customHeight="1">
      <c r="A494" s="531"/>
      <c r="B494" s="531">
        <v>1001</v>
      </c>
      <c r="C494" s="529">
        <v>17</v>
      </c>
      <c r="D494" s="530" t="s">
        <v>1072</v>
      </c>
      <c r="E494" s="1028" t="s">
        <v>1071</v>
      </c>
      <c r="F494" s="1580"/>
      <c r="G494" s="1755"/>
      <c r="H494" s="1745"/>
      <c r="I494" s="1745"/>
      <c r="J494" s="1745"/>
      <c r="K494" s="1745"/>
      <c r="L494" s="1745"/>
      <c r="M494" s="1745"/>
      <c r="N494" s="1745"/>
      <c r="O494" s="1746"/>
      <c r="P494" s="1746"/>
      <c r="Q494" s="1745"/>
      <c r="R494" s="1745"/>
      <c r="S494" s="1745"/>
      <c r="T494" s="1745"/>
      <c r="U494" s="989">
        <f t="shared" si="62"/>
        <v>0</v>
      </c>
      <c r="V494" s="547">
        <v>0</v>
      </c>
      <c r="W494" s="1264">
        <f t="shared" si="65"/>
        <v>0</v>
      </c>
      <c r="X494" s="547">
        <f t="shared" si="68"/>
        <v>0</v>
      </c>
      <c r="Y494" s="566"/>
      <c r="Z494" s="567"/>
      <c r="AA494" s="989">
        <f t="shared" si="66"/>
        <v>0</v>
      </c>
      <c r="AB494" s="812">
        <f t="shared" si="67"/>
        <v>0</v>
      </c>
    </row>
    <row r="495" spans="1:28" ht="22.5" hidden="1" customHeight="1">
      <c r="A495" s="531"/>
      <c r="B495" s="531">
        <v>1001</v>
      </c>
      <c r="C495" s="529">
        <v>17</v>
      </c>
      <c r="D495" s="1575">
        <v>9298031</v>
      </c>
      <c r="E495" s="1361" t="s">
        <v>1950</v>
      </c>
      <c r="F495" s="1582"/>
      <c r="G495" s="1755"/>
      <c r="H495" s="1745"/>
      <c r="I495" s="1745"/>
      <c r="J495" s="1745"/>
      <c r="K495" s="1745"/>
      <c r="L495" s="1745"/>
      <c r="M495" s="1745"/>
      <c r="N495" s="1745"/>
      <c r="O495" s="1746"/>
      <c r="P495" s="1746"/>
      <c r="Q495" s="1745"/>
      <c r="R495" s="1745"/>
      <c r="S495" s="1745"/>
      <c r="T495" s="1745"/>
      <c r="U495" s="989">
        <f t="shared" si="62"/>
        <v>0</v>
      </c>
      <c r="V495" s="547">
        <v>0</v>
      </c>
      <c r="W495" s="1264">
        <f t="shared" si="65"/>
        <v>0</v>
      </c>
      <c r="X495" s="547">
        <f t="shared" si="68"/>
        <v>0</v>
      </c>
      <c r="Y495" s="566"/>
      <c r="Z495" s="567"/>
      <c r="AA495" s="989"/>
      <c r="AB495" s="812"/>
    </row>
    <row r="496" spans="1:28" ht="22.5" hidden="1" customHeight="1">
      <c r="A496" s="531"/>
      <c r="B496" s="531">
        <v>428</v>
      </c>
      <c r="C496" s="529">
        <v>11</v>
      </c>
      <c r="D496" s="1575" t="s">
        <v>973</v>
      </c>
      <c r="E496" s="1361" t="s">
        <v>2029</v>
      </c>
      <c r="F496" s="1582">
        <v>83052124</v>
      </c>
      <c r="G496" s="1755">
        <v>18083100</v>
      </c>
      <c r="H496" s="1745"/>
      <c r="I496" s="1745"/>
      <c r="J496" s="1745"/>
      <c r="K496" s="1745"/>
      <c r="L496" s="1745"/>
      <c r="M496" s="1745"/>
      <c r="N496" s="1745"/>
      <c r="O496" s="1746"/>
      <c r="P496" s="1746"/>
      <c r="Q496" s="1745"/>
      <c r="R496" s="1745"/>
      <c r="S496" s="1745"/>
      <c r="T496" s="1745"/>
      <c r="U496" s="989">
        <f t="shared" si="62"/>
        <v>101135224</v>
      </c>
      <c r="V496" s="547">
        <v>-363538194</v>
      </c>
      <c r="W496" s="1264">
        <f t="shared" si="65"/>
        <v>101</v>
      </c>
      <c r="X496" s="547">
        <f t="shared" si="68"/>
        <v>-364</v>
      </c>
      <c r="Y496" s="566"/>
      <c r="Z496" s="567"/>
      <c r="AA496" s="989"/>
      <c r="AB496" s="812"/>
    </row>
    <row r="497" spans="1:28" ht="22.5" hidden="1" customHeight="1">
      <c r="A497" s="531"/>
      <c r="B497" s="531">
        <v>1001</v>
      </c>
      <c r="C497" s="529">
        <v>17</v>
      </c>
      <c r="D497" s="530" t="s">
        <v>1680</v>
      </c>
      <c r="E497" s="1028" t="s">
        <v>1681</v>
      </c>
      <c r="F497" s="1580">
        <v>-1025506157</v>
      </c>
      <c r="G497" s="1755"/>
      <c r="H497" s="1745"/>
      <c r="I497" s="1745"/>
      <c r="J497" s="1745"/>
      <c r="K497" s="1745"/>
      <c r="L497" s="1745"/>
      <c r="M497" s="1745"/>
      <c r="N497" s="1745"/>
      <c r="O497" s="1746"/>
      <c r="P497" s="1746"/>
      <c r="Q497" s="1745"/>
      <c r="R497" s="1745"/>
      <c r="S497" s="1745"/>
      <c r="T497" s="1745"/>
      <c r="U497" s="989">
        <f t="shared" si="62"/>
        <v>-1025506157</v>
      </c>
      <c r="V497" s="547">
        <v>-954148382</v>
      </c>
      <c r="W497" s="1264">
        <f t="shared" si="65"/>
        <v>-1026</v>
      </c>
      <c r="X497" s="547">
        <f t="shared" si="68"/>
        <v>-954</v>
      </c>
      <c r="Y497" s="566"/>
      <c r="Z497" s="567"/>
      <c r="AA497" s="989">
        <f t="shared" ref="AA497:AA529" si="69">U497+Z497-Y497</f>
        <v>-1025506157</v>
      </c>
      <c r="AB497" s="812">
        <f t="shared" ref="AB497:AB529" si="70">ROUND((AA497/1000000),0)</f>
        <v>-1026</v>
      </c>
    </row>
    <row r="498" spans="1:28" ht="22.5" hidden="1" customHeight="1">
      <c r="A498" s="531"/>
      <c r="B498" s="531">
        <v>1001</v>
      </c>
      <c r="C498" s="529">
        <v>17</v>
      </c>
      <c r="D498" s="530" t="s">
        <v>745</v>
      </c>
      <c r="E498" s="1028" t="s">
        <v>744</v>
      </c>
      <c r="F498" s="1576">
        <v>-172000000</v>
      </c>
      <c r="G498" s="1755"/>
      <c r="H498" s="1773"/>
      <c r="I498" s="1745">
        <v>-297240000</v>
      </c>
      <c r="J498" s="1745">
        <v>-206400000</v>
      </c>
      <c r="K498" s="1760"/>
      <c r="L498" s="1745"/>
      <c r="M498" s="1745"/>
      <c r="N498" s="1745"/>
      <c r="O498" s="1746"/>
      <c r="P498" s="1746"/>
      <c r="Q498" s="1745"/>
      <c r="R498" s="1745"/>
      <c r="S498" s="1745"/>
      <c r="T498" s="1745"/>
      <c r="U498" s="989">
        <f t="shared" si="62"/>
        <v>-675640000</v>
      </c>
      <c r="V498" s="547">
        <v>-172000000</v>
      </c>
      <c r="W498" s="1264">
        <f t="shared" si="65"/>
        <v>-676</v>
      </c>
      <c r="X498" s="547">
        <f t="shared" si="68"/>
        <v>-172</v>
      </c>
      <c r="Y498" s="566"/>
      <c r="Z498" s="567"/>
      <c r="AA498" s="989">
        <f t="shared" si="69"/>
        <v>-675640000</v>
      </c>
      <c r="AB498" s="812">
        <f t="shared" si="70"/>
        <v>-676</v>
      </c>
    </row>
    <row r="499" spans="1:28" ht="22.5" hidden="1" customHeight="1">
      <c r="A499" s="531"/>
      <c r="B499" s="531">
        <v>1001</v>
      </c>
      <c r="C499" s="529">
        <v>17</v>
      </c>
      <c r="D499" s="530" t="s">
        <v>1682</v>
      </c>
      <c r="E499" s="1028" t="s">
        <v>1683</v>
      </c>
      <c r="F499" s="1576">
        <v>-4074321086</v>
      </c>
      <c r="G499" s="1755"/>
      <c r="H499" s="1773"/>
      <c r="I499" s="1745"/>
      <c r="J499" s="1745"/>
      <c r="K499" s="1745"/>
      <c r="L499" s="1745"/>
      <c r="M499" s="1745"/>
      <c r="N499" s="1745"/>
      <c r="O499" s="1746"/>
      <c r="P499" s="1746"/>
      <c r="Q499" s="1745"/>
      <c r="R499" s="1745"/>
      <c r="S499" s="1745"/>
      <c r="T499" s="1745"/>
      <c r="U499" s="989">
        <f t="shared" si="62"/>
        <v>-4074321086</v>
      </c>
      <c r="V499" s="547">
        <v>-1279164061</v>
      </c>
      <c r="W499" s="1264">
        <f t="shared" si="65"/>
        <v>-4074</v>
      </c>
      <c r="X499" s="547">
        <f t="shared" si="68"/>
        <v>-1279</v>
      </c>
      <c r="Y499" s="566"/>
      <c r="Z499" s="567"/>
      <c r="AA499" s="989">
        <f t="shared" si="69"/>
        <v>-4074321086</v>
      </c>
      <c r="AB499" s="812">
        <f t="shared" si="70"/>
        <v>-4074</v>
      </c>
    </row>
    <row r="500" spans="1:28" ht="27" hidden="1" customHeight="1">
      <c r="A500" s="531"/>
      <c r="B500" s="531">
        <v>1001</v>
      </c>
      <c r="C500" s="529">
        <v>17</v>
      </c>
      <c r="D500" s="530" t="s">
        <v>978</v>
      </c>
      <c r="E500" s="1028" t="s">
        <v>979</v>
      </c>
      <c r="F500" s="1576">
        <v>-1415801035</v>
      </c>
      <c r="G500" s="1755"/>
      <c r="H500" s="1745"/>
      <c r="I500" s="1745"/>
      <c r="J500" s="1745"/>
      <c r="K500" s="1745"/>
      <c r="L500" s="1745"/>
      <c r="M500" s="1745"/>
      <c r="N500" s="1745"/>
      <c r="O500" s="1746"/>
      <c r="P500" s="1746"/>
      <c r="Q500" s="1745"/>
      <c r="R500" s="1745"/>
      <c r="S500" s="1745"/>
      <c r="T500" s="1745"/>
      <c r="U500" s="989">
        <f t="shared" si="62"/>
        <v>-1415801035</v>
      </c>
      <c r="V500" s="547">
        <v>-1415801035</v>
      </c>
      <c r="W500" s="1264">
        <f t="shared" si="65"/>
        <v>-1416</v>
      </c>
      <c r="X500" s="547">
        <f t="shared" si="68"/>
        <v>-1416</v>
      </c>
      <c r="Y500" s="566"/>
      <c r="Z500" s="567"/>
      <c r="AA500" s="989">
        <f t="shared" si="69"/>
        <v>-1415801035</v>
      </c>
      <c r="AB500" s="812">
        <f t="shared" si="70"/>
        <v>-1416</v>
      </c>
    </row>
    <row r="501" spans="1:28" ht="27" hidden="1" customHeight="1">
      <c r="A501" s="531"/>
      <c r="B501" s="531">
        <v>1001</v>
      </c>
      <c r="C501" s="529">
        <v>17</v>
      </c>
      <c r="D501" s="530" t="s">
        <v>275</v>
      </c>
      <c r="E501" s="1028" t="s">
        <v>843</v>
      </c>
      <c r="F501" s="1576"/>
      <c r="G501" s="1755"/>
      <c r="H501" s="1745"/>
      <c r="I501" s="1745"/>
      <c r="J501" s="1745"/>
      <c r="K501" s="1745"/>
      <c r="L501" s="1745"/>
      <c r="M501" s="1745"/>
      <c r="N501" s="1745"/>
      <c r="O501" s="1746"/>
      <c r="P501" s="1746"/>
      <c r="Q501" s="1745"/>
      <c r="R501" s="1745"/>
      <c r="S501" s="1745"/>
      <c r="T501" s="1745"/>
      <c r="U501" s="989">
        <f t="shared" si="62"/>
        <v>0</v>
      </c>
      <c r="V501" s="547">
        <v>0</v>
      </c>
      <c r="W501" s="1264">
        <f t="shared" si="65"/>
        <v>0</v>
      </c>
      <c r="X501" s="547">
        <f t="shared" si="68"/>
        <v>0</v>
      </c>
      <c r="Y501" s="566"/>
      <c r="Z501" s="567"/>
      <c r="AA501" s="989">
        <f t="shared" si="69"/>
        <v>0</v>
      </c>
      <c r="AB501" s="812">
        <f t="shared" si="70"/>
        <v>0</v>
      </c>
    </row>
    <row r="502" spans="1:28" ht="27" hidden="1" customHeight="1">
      <c r="A502" s="531"/>
      <c r="B502" s="531">
        <v>1001</v>
      </c>
      <c r="C502" s="529">
        <v>17</v>
      </c>
      <c r="D502" s="530" t="s">
        <v>1684</v>
      </c>
      <c r="E502" s="1028" t="s">
        <v>1685</v>
      </c>
      <c r="F502" s="1576"/>
      <c r="G502" s="1755"/>
      <c r="H502" s="1745"/>
      <c r="I502" s="1745"/>
      <c r="J502" s="1745"/>
      <c r="K502" s="1745"/>
      <c r="L502" s="1745"/>
      <c r="M502" s="1745"/>
      <c r="N502" s="1745"/>
      <c r="O502" s="1746"/>
      <c r="P502" s="1746"/>
      <c r="Q502" s="1745"/>
      <c r="R502" s="1745"/>
      <c r="S502" s="1745"/>
      <c r="T502" s="1745"/>
      <c r="U502" s="989">
        <f t="shared" si="62"/>
        <v>0</v>
      </c>
      <c r="V502" s="547">
        <v>0</v>
      </c>
      <c r="W502" s="1264">
        <f t="shared" si="65"/>
        <v>0</v>
      </c>
      <c r="X502" s="547">
        <f t="shared" si="68"/>
        <v>0</v>
      </c>
      <c r="Y502" s="566"/>
      <c r="Z502" s="567"/>
      <c r="AA502" s="989">
        <f t="shared" si="69"/>
        <v>0</v>
      </c>
      <c r="AB502" s="812">
        <f t="shared" si="70"/>
        <v>0</v>
      </c>
    </row>
    <row r="503" spans="1:28" ht="27" hidden="1" customHeight="1">
      <c r="A503" s="531"/>
      <c r="B503" s="531">
        <v>1001</v>
      </c>
      <c r="C503" s="529">
        <v>17</v>
      </c>
      <c r="D503" s="530" t="s">
        <v>984</v>
      </c>
      <c r="E503" s="1028" t="s">
        <v>985</v>
      </c>
      <c r="F503" s="1580">
        <v>-2742509203</v>
      </c>
      <c r="G503" s="1771"/>
      <c r="H503" s="552"/>
      <c r="I503" s="552"/>
      <c r="J503" s="552"/>
      <c r="K503" s="552"/>
      <c r="L503" s="552"/>
      <c r="M503" s="552"/>
      <c r="N503" s="552"/>
      <c r="O503" s="1772"/>
      <c r="P503" s="1772"/>
      <c r="Q503" s="552"/>
      <c r="R503" s="552"/>
      <c r="S503" s="552"/>
      <c r="T503" s="552"/>
      <c r="U503" s="989">
        <f t="shared" si="62"/>
        <v>-2742509203</v>
      </c>
      <c r="V503" s="547">
        <v>-669340752</v>
      </c>
      <c r="W503" s="1264">
        <f t="shared" si="65"/>
        <v>-2743</v>
      </c>
      <c r="X503" s="547">
        <f t="shared" si="68"/>
        <v>-669</v>
      </c>
      <c r="Y503" s="566"/>
      <c r="Z503" s="567"/>
      <c r="AA503" s="989">
        <f t="shared" si="69"/>
        <v>-2742509203</v>
      </c>
      <c r="AB503" s="812">
        <f t="shared" si="70"/>
        <v>-2743</v>
      </c>
    </row>
    <row r="504" spans="1:28" ht="27" hidden="1" customHeight="1">
      <c r="A504" s="531"/>
      <c r="B504" s="531">
        <v>1001</v>
      </c>
      <c r="C504" s="529">
        <v>17</v>
      </c>
      <c r="D504" s="530" t="s">
        <v>1073</v>
      </c>
      <c r="E504" s="1028" t="s">
        <v>1074</v>
      </c>
      <c r="F504" s="1576"/>
      <c r="G504" s="1755"/>
      <c r="H504" s="1745"/>
      <c r="I504" s="1745"/>
      <c r="J504" s="1745"/>
      <c r="K504" s="1745"/>
      <c r="L504" s="1745"/>
      <c r="M504" s="1745"/>
      <c r="N504" s="1745"/>
      <c r="O504" s="1746"/>
      <c r="P504" s="1746"/>
      <c r="Q504" s="1745"/>
      <c r="R504" s="1745"/>
      <c r="S504" s="1745"/>
      <c r="T504" s="1745"/>
      <c r="U504" s="989">
        <f t="shared" si="62"/>
        <v>0</v>
      </c>
      <c r="V504" s="547">
        <v>0</v>
      </c>
      <c r="W504" s="1264">
        <f t="shared" si="65"/>
        <v>0</v>
      </c>
      <c r="X504" s="547">
        <f t="shared" si="68"/>
        <v>0</v>
      </c>
      <c r="Y504" s="566"/>
      <c r="Z504" s="567"/>
      <c r="AA504" s="989">
        <f t="shared" si="69"/>
        <v>0</v>
      </c>
      <c r="AB504" s="812">
        <f t="shared" si="70"/>
        <v>0</v>
      </c>
    </row>
    <row r="505" spans="1:28" ht="27" hidden="1" customHeight="1">
      <c r="A505" s="531"/>
      <c r="B505" s="531">
        <v>1001</v>
      </c>
      <c r="C505" s="529">
        <v>17</v>
      </c>
      <c r="D505" s="530" t="s">
        <v>1238</v>
      </c>
      <c r="E505" s="1028" t="s">
        <v>1239</v>
      </c>
      <c r="F505" s="1576"/>
      <c r="G505" s="1755"/>
      <c r="H505" s="1745"/>
      <c r="I505" s="1745"/>
      <c r="J505" s="1745"/>
      <c r="K505" s="1745"/>
      <c r="L505" s="1745"/>
      <c r="M505" s="1745"/>
      <c r="N505" s="1745"/>
      <c r="O505" s="1746"/>
      <c r="P505" s="1746"/>
      <c r="Q505" s="1745"/>
      <c r="R505" s="1745"/>
      <c r="S505" s="1745"/>
      <c r="T505" s="1745"/>
      <c r="U505" s="989">
        <f t="shared" si="62"/>
        <v>0</v>
      </c>
      <c r="V505" s="547">
        <v>0</v>
      </c>
      <c r="W505" s="1264">
        <f t="shared" ref="W505:W537" si="71">ROUND((U505/1000000),0)</f>
        <v>0</v>
      </c>
      <c r="X505" s="547">
        <f t="shared" si="68"/>
        <v>0</v>
      </c>
      <c r="Y505" s="566"/>
      <c r="Z505" s="567"/>
      <c r="AA505" s="989">
        <f t="shared" si="69"/>
        <v>0</v>
      </c>
      <c r="AB505" s="812">
        <f t="shared" si="70"/>
        <v>0</v>
      </c>
    </row>
    <row r="506" spans="1:28" ht="27" hidden="1" customHeight="1">
      <c r="A506" s="1742"/>
      <c r="B506" s="1742">
        <v>1001</v>
      </c>
      <c r="C506" s="1743">
        <v>17</v>
      </c>
      <c r="D506" s="1753" t="s">
        <v>2228</v>
      </c>
      <c r="E506" s="1754" t="s">
        <v>2229</v>
      </c>
      <c r="F506" s="1579">
        <v>-5422518740</v>
      </c>
      <c r="G506" s="1755"/>
      <c r="H506" s="1745"/>
      <c r="I506" s="1745"/>
      <c r="J506" s="1745"/>
      <c r="K506" s="1745"/>
      <c r="L506" s="1745"/>
      <c r="M506" s="1745"/>
      <c r="N506" s="1745"/>
      <c r="O506" s="1746"/>
      <c r="P506" s="1746"/>
      <c r="Q506" s="1745"/>
      <c r="R506" s="1745"/>
      <c r="S506" s="1745"/>
      <c r="T506" s="1745"/>
      <c r="U506" s="989">
        <f t="shared" si="62"/>
        <v>-5422518740</v>
      </c>
      <c r="V506" s="1745">
        <v>-5422518740</v>
      </c>
      <c r="W506" s="1264">
        <f t="shared" si="71"/>
        <v>-5423</v>
      </c>
      <c r="X506" s="547">
        <f t="shared" si="68"/>
        <v>-5423</v>
      </c>
      <c r="Y506" s="1747"/>
      <c r="Z506" s="1748"/>
      <c r="AA506" s="989">
        <f t="shared" si="69"/>
        <v>-5422518740</v>
      </c>
      <c r="AB506" s="812">
        <f t="shared" si="70"/>
        <v>-5423</v>
      </c>
    </row>
    <row r="507" spans="1:28" ht="27" hidden="1" customHeight="1">
      <c r="A507" s="531"/>
      <c r="B507" s="531">
        <v>1001</v>
      </c>
      <c r="C507" s="529">
        <v>17</v>
      </c>
      <c r="D507" s="530" t="s">
        <v>1075</v>
      </c>
      <c r="E507" s="1028" t="s">
        <v>1076</v>
      </c>
      <c r="F507" s="1576"/>
      <c r="G507" s="1755"/>
      <c r="H507" s="1745"/>
      <c r="I507" s="1745"/>
      <c r="J507" s="1745"/>
      <c r="K507" s="1745"/>
      <c r="L507" s="1745"/>
      <c r="M507" s="1745"/>
      <c r="N507" s="1745"/>
      <c r="O507" s="1746"/>
      <c r="P507" s="1746"/>
      <c r="Q507" s="1745"/>
      <c r="R507" s="1745"/>
      <c r="S507" s="1745"/>
      <c r="T507" s="1745"/>
      <c r="U507" s="989">
        <f t="shared" si="62"/>
        <v>0</v>
      </c>
      <c r="V507" s="547">
        <v>0</v>
      </c>
      <c r="W507" s="1264">
        <f t="shared" si="71"/>
        <v>0</v>
      </c>
      <c r="X507" s="547">
        <f t="shared" si="68"/>
        <v>0</v>
      </c>
      <c r="Y507" s="566"/>
      <c r="Z507" s="567"/>
      <c r="AA507" s="989">
        <f t="shared" si="69"/>
        <v>0</v>
      </c>
      <c r="AB507" s="812">
        <f t="shared" si="70"/>
        <v>0</v>
      </c>
    </row>
    <row r="508" spans="1:28" ht="27" hidden="1" customHeight="1">
      <c r="A508" s="531"/>
      <c r="B508" s="531">
        <v>428</v>
      </c>
      <c r="C508" s="529">
        <v>11</v>
      </c>
      <c r="D508" s="530" t="s">
        <v>1568</v>
      </c>
      <c r="E508" s="1028" t="s">
        <v>1569</v>
      </c>
      <c r="F508" s="1580">
        <v>80841560</v>
      </c>
      <c r="G508" s="1755"/>
      <c r="H508" s="1773"/>
      <c r="I508" s="1745"/>
      <c r="J508" s="1745"/>
      <c r="K508" s="1760"/>
      <c r="L508" s="1745"/>
      <c r="M508" s="1745"/>
      <c r="N508" s="1745"/>
      <c r="O508" s="1746"/>
      <c r="P508" s="1746"/>
      <c r="Q508" s="1745"/>
      <c r="R508" s="1745"/>
      <c r="S508" s="1745"/>
      <c r="T508" s="1745"/>
      <c r="U508" s="989">
        <f t="shared" si="62"/>
        <v>80841560</v>
      </c>
      <c r="V508" s="547">
        <v>-4551234</v>
      </c>
      <c r="W508" s="1264">
        <f>ROUND((U508/1000000),0)</f>
        <v>81</v>
      </c>
      <c r="X508" s="547">
        <f t="shared" si="68"/>
        <v>-5</v>
      </c>
      <c r="Y508" s="566"/>
      <c r="Z508" s="567"/>
      <c r="AA508" s="989">
        <f t="shared" si="69"/>
        <v>80841560</v>
      </c>
      <c r="AB508" s="812">
        <f t="shared" si="70"/>
        <v>81</v>
      </c>
    </row>
    <row r="509" spans="1:28" ht="27" hidden="1" customHeight="1">
      <c r="A509" s="531"/>
      <c r="B509" s="531">
        <v>1001</v>
      </c>
      <c r="C509" s="529">
        <v>17</v>
      </c>
      <c r="D509" s="530" t="s">
        <v>1240</v>
      </c>
      <c r="E509" s="1028" t="s">
        <v>1241</v>
      </c>
      <c r="F509" s="1576">
        <v>-397793399</v>
      </c>
      <c r="G509" s="1755"/>
      <c r="H509" s="1745"/>
      <c r="I509" s="1745"/>
      <c r="J509" s="1745"/>
      <c r="K509" s="1745"/>
      <c r="L509" s="1745"/>
      <c r="M509" s="1745"/>
      <c r="N509" s="1745"/>
      <c r="O509" s="1746"/>
      <c r="P509" s="1746"/>
      <c r="Q509" s="1745"/>
      <c r="R509" s="1745"/>
      <c r="S509" s="1745"/>
      <c r="T509" s="1745"/>
      <c r="U509" s="989">
        <f t="shared" si="62"/>
        <v>-397793399</v>
      </c>
      <c r="V509" s="547">
        <v>-331650838</v>
      </c>
      <c r="W509" s="1264">
        <f t="shared" si="71"/>
        <v>-398</v>
      </c>
      <c r="X509" s="547">
        <f t="shared" si="68"/>
        <v>-332</v>
      </c>
      <c r="Y509" s="566"/>
      <c r="Z509" s="567"/>
      <c r="AA509" s="989">
        <f t="shared" si="69"/>
        <v>-397793399</v>
      </c>
      <c r="AB509" s="812">
        <f t="shared" si="70"/>
        <v>-398</v>
      </c>
    </row>
    <row r="510" spans="1:28" ht="27" hidden="1" customHeight="1">
      <c r="A510" s="531"/>
      <c r="B510" s="531">
        <v>428</v>
      </c>
      <c r="C510" s="529">
        <v>11</v>
      </c>
      <c r="D510" s="530" t="s">
        <v>1243</v>
      </c>
      <c r="E510" s="1028" t="s">
        <v>1242</v>
      </c>
      <c r="F510" s="1580">
        <v>104305179</v>
      </c>
      <c r="G510" s="1755"/>
      <c r="H510" s="1745"/>
      <c r="I510" s="1760"/>
      <c r="J510" s="1745"/>
      <c r="K510" s="1745"/>
      <c r="L510" s="1745"/>
      <c r="M510" s="1745"/>
      <c r="N510" s="1745"/>
      <c r="O510" s="1746"/>
      <c r="P510" s="1746"/>
      <c r="Q510" s="1745"/>
      <c r="R510" s="1745"/>
      <c r="S510" s="1745"/>
      <c r="T510" s="1745"/>
      <c r="U510" s="989">
        <f t="shared" si="62"/>
        <v>104305179</v>
      </c>
      <c r="V510" s="547">
        <v>89403809</v>
      </c>
      <c r="W510" s="1264">
        <f>ROUND((U510/1000000),0)</f>
        <v>104</v>
      </c>
      <c r="X510" s="547">
        <f t="shared" si="68"/>
        <v>89</v>
      </c>
      <c r="Y510" s="566"/>
      <c r="Z510" s="567"/>
      <c r="AA510" s="989">
        <f t="shared" si="69"/>
        <v>104305179</v>
      </c>
      <c r="AB510" s="812">
        <f t="shared" si="70"/>
        <v>104</v>
      </c>
    </row>
    <row r="511" spans="1:28" ht="27" hidden="1" customHeight="1">
      <c r="A511" s="531"/>
      <c r="B511" s="531">
        <v>401</v>
      </c>
      <c r="C511" s="529">
        <v>11</v>
      </c>
      <c r="D511" s="530" t="s">
        <v>880</v>
      </c>
      <c r="E511" s="1028" t="s">
        <v>879</v>
      </c>
      <c r="F511" s="1579">
        <v>35989346585</v>
      </c>
      <c r="G511" s="1757"/>
      <c r="H511" s="1773">
        <v>-2915655550</v>
      </c>
      <c r="I511" s="1745">
        <v>-3156498082</v>
      </c>
      <c r="J511" s="1745">
        <v>-9361558798</v>
      </c>
      <c r="K511" s="1760"/>
      <c r="L511" s="1745"/>
      <c r="M511" s="1745"/>
      <c r="N511" s="1745"/>
      <c r="O511" s="1746"/>
      <c r="P511" s="1746"/>
      <c r="Q511" s="1745"/>
      <c r="R511" s="1745"/>
      <c r="S511" s="1745"/>
      <c r="T511" s="1745"/>
      <c r="U511" s="1671">
        <f t="shared" si="62"/>
        <v>20555634155</v>
      </c>
      <c r="V511" s="547">
        <v>14974930747</v>
      </c>
      <c r="W511" s="1264">
        <f t="shared" si="71"/>
        <v>20556</v>
      </c>
      <c r="X511" s="547">
        <f t="shared" si="68"/>
        <v>14975</v>
      </c>
      <c r="Y511" s="566"/>
      <c r="Z511" s="567"/>
      <c r="AA511" s="989">
        <f t="shared" si="69"/>
        <v>20555634155</v>
      </c>
      <c r="AB511" s="812">
        <f t="shared" si="70"/>
        <v>20556</v>
      </c>
    </row>
    <row r="512" spans="1:28" ht="27" hidden="1" customHeight="1">
      <c r="A512" s="531"/>
      <c r="B512" s="531">
        <v>428</v>
      </c>
      <c r="C512" s="529">
        <v>11</v>
      </c>
      <c r="D512" s="530" t="s">
        <v>1687</v>
      </c>
      <c r="E512" s="1028" t="s">
        <v>2230</v>
      </c>
      <c r="F512" s="1576">
        <v>36758667</v>
      </c>
      <c r="G512" s="1755"/>
      <c r="H512" s="1745"/>
      <c r="I512" s="1745"/>
      <c r="J512" s="1745"/>
      <c r="K512" s="1745"/>
      <c r="L512" s="1745"/>
      <c r="M512" s="1745"/>
      <c r="N512" s="1745"/>
      <c r="O512" s="1746"/>
      <c r="P512" s="1746"/>
      <c r="Q512" s="1745"/>
      <c r="R512" s="1745"/>
      <c r="S512" s="1745"/>
      <c r="T512" s="1745"/>
      <c r="U512" s="989">
        <f t="shared" si="62"/>
        <v>36758667</v>
      </c>
      <c r="V512" s="547">
        <v>-1642059049</v>
      </c>
      <c r="W512" s="1264">
        <f t="shared" si="71"/>
        <v>37</v>
      </c>
      <c r="X512" s="547">
        <f t="shared" si="68"/>
        <v>-1642</v>
      </c>
      <c r="Y512" s="566"/>
      <c r="Z512" s="567"/>
      <c r="AA512" s="989">
        <f t="shared" si="69"/>
        <v>36758667</v>
      </c>
      <c r="AB512" s="812">
        <f t="shared" si="70"/>
        <v>37</v>
      </c>
    </row>
    <row r="513" spans="1:28" ht="27" hidden="1" customHeight="1">
      <c r="A513" s="531"/>
      <c r="B513" s="531">
        <v>1001</v>
      </c>
      <c r="C513" s="529">
        <v>17</v>
      </c>
      <c r="D513" s="530" t="s">
        <v>887</v>
      </c>
      <c r="E513" s="1028" t="s">
        <v>886</v>
      </c>
      <c r="F513" s="1576"/>
      <c r="G513" s="1755"/>
      <c r="H513" s="1745"/>
      <c r="I513" s="1745"/>
      <c r="J513" s="1745"/>
      <c r="K513" s="1745"/>
      <c r="L513" s="1745"/>
      <c r="M513" s="1745"/>
      <c r="N513" s="1745"/>
      <c r="O513" s="1746"/>
      <c r="P513" s="1746"/>
      <c r="Q513" s="1745"/>
      <c r="R513" s="1745"/>
      <c r="S513" s="1745"/>
      <c r="T513" s="1745"/>
      <c r="U513" s="989">
        <f t="shared" si="62"/>
        <v>0</v>
      </c>
      <c r="V513" s="547">
        <v>0</v>
      </c>
      <c r="W513" s="1264">
        <f t="shared" si="71"/>
        <v>0</v>
      </c>
      <c r="X513" s="547">
        <f t="shared" si="68"/>
        <v>0</v>
      </c>
      <c r="Y513" s="566"/>
      <c r="Z513" s="567"/>
      <c r="AA513" s="989">
        <f t="shared" si="69"/>
        <v>0</v>
      </c>
      <c r="AB513" s="812">
        <f t="shared" si="70"/>
        <v>0</v>
      </c>
    </row>
    <row r="514" spans="1:28" ht="27" hidden="1" customHeight="1">
      <c r="A514" s="531"/>
      <c r="B514" s="531">
        <v>428</v>
      </c>
      <c r="C514" s="529">
        <v>11</v>
      </c>
      <c r="D514" s="530" t="s">
        <v>493</v>
      </c>
      <c r="E514" s="1028" t="s">
        <v>890</v>
      </c>
      <c r="F514" s="1580"/>
      <c r="G514" s="1755"/>
      <c r="H514" s="1745"/>
      <c r="I514" s="1745"/>
      <c r="J514" s="1745">
        <v>1064742131</v>
      </c>
      <c r="K514" s="1745"/>
      <c r="L514" s="1745"/>
      <c r="M514" s="1745"/>
      <c r="N514" s="1745"/>
      <c r="O514" s="1746"/>
      <c r="P514" s="1746"/>
      <c r="Q514" s="1745"/>
      <c r="R514" s="1745"/>
      <c r="S514" s="1745"/>
      <c r="T514" s="1745"/>
      <c r="U514" s="989">
        <f t="shared" si="62"/>
        <v>1064742131</v>
      </c>
      <c r="V514" s="547">
        <v>0</v>
      </c>
      <c r="W514" s="1264">
        <f t="shared" si="71"/>
        <v>1065</v>
      </c>
      <c r="X514" s="547">
        <f t="shared" si="68"/>
        <v>0</v>
      </c>
      <c r="Y514" s="566"/>
      <c r="Z514" s="567"/>
      <c r="AA514" s="989">
        <f t="shared" si="69"/>
        <v>1064742131</v>
      </c>
      <c r="AB514" s="812">
        <f t="shared" si="70"/>
        <v>1065</v>
      </c>
    </row>
    <row r="515" spans="1:28" ht="27" hidden="1" customHeight="1">
      <c r="A515" s="531"/>
      <c r="B515" s="531">
        <v>1001</v>
      </c>
      <c r="C515" s="529">
        <v>17</v>
      </c>
      <c r="D515" s="530" t="s">
        <v>1629</v>
      </c>
      <c r="E515" s="1028" t="s">
        <v>1630</v>
      </c>
      <c r="F515" s="1576"/>
      <c r="G515" s="1755"/>
      <c r="H515" s="1745"/>
      <c r="I515" s="1745"/>
      <c r="J515" s="1745"/>
      <c r="K515" s="1745"/>
      <c r="L515" s="1745"/>
      <c r="M515" s="1745"/>
      <c r="N515" s="1745"/>
      <c r="O515" s="1746"/>
      <c r="P515" s="1746"/>
      <c r="Q515" s="1745"/>
      <c r="R515" s="1745"/>
      <c r="S515" s="1745"/>
      <c r="T515" s="1745"/>
      <c r="U515" s="989">
        <f t="shared" si="62"/>
        <v>0</v>
      </c>
      <c r="V515" s="547">
        <v>0</v>
      </c>
      <c r="W515" s="1264">
        <f t="shared" si="71"/>
        <v>0</v>
      </c>
      <c r="X515" s="547">
        <f t="shared" si="68"/>
        <v>0</v>
      </c>
      <c r="Y515" s="566"/>
      <c r="Z515" s="567"/>
      <c r="AA515" s="989">
        <f t="shared" si="69"/>
        <v>0</v>
      </c>
      <c r="AB515" s="812">
        <f t="shared" si="70"/>
        <v>0</v>
      </c>
    </row>
    <row r="516" spans="1:28" ht="27" hidden="1" customHeight="1">
      <c r="A516" s="531"/>
      <c r="B516" s="531">
        <v>1001</v>
      </c>
      <c r="C516" s="529">
        <v>17</v>
      </c>
      <c r="D516" s="530" t="s">
        <v>560</v>
      </c>
      <c r="E516" s="1028" t="s">
        <v>1180</v>
      </c>
      <c r="F516" s="1576">
        <v>-12248399767</v>
      </c>
      <c r="G516" s="1755">
        <v>-5369818407</v>
      </c>
      <c r="H516" s="1773"/>
      <c r="I516" s="1745"/>
      <c r="J516" s="1745">
        <v>112391431</v>
      </c>
      <c r="K516" s="1745"/>
      <c r="L516" s="1745">
        <v>-538795186</v>
      </c>
      <c r="M516" s="1745"/>
      <c r="N516" s="1745"/>
      <c r="O516" s="1746"/>
      <c r="P516" s="1746"/>
      <c r="Q516" s="1745"/>
      <c r="R516" s="1745"/>
      <c r="S516" s="1745"/>
      <c r="T516" s="1745"/>
      <c r="U516" s="989">
        <f t="shared" si="62"/>
        <v>-18044621929</v>
      </c>
      <c r="V516" s="547">
        <v>-5339223536</v>
      </c>
      <c r="W516" s="1264">
        <f t="shared" si="71"/>
        <v>-18045</v>
      </c>
      <c r="X516" s="547">
        <f t="shared" si="68"/>
        <v>-5339</v>
      </c>
      <c r="Y516" s="566"/>
      <c r="Z516" s="567"/>
      <c r="AA516" s="989">
        <f t="shared" si="69"/>
        <v>-18044621929</v>
      </c>
      <c r="AB516" s="812">
        <f t="shared" si="70"/>
        <v>-18045</v>
      </c>
    </row>
    <row r="517" spans="1:28" ht="27" hidden="1" customHeight="1">
      <c r="A517" s="531"/>
      <c r="B517" s="531">
        <v>1001</v>
      </c>
      <c r="C517" s="529">
        <v>17</v>
      </c>
      <c r="D517" s="530" t="s">
        <v>116</v>
      </c>
      <c r="E517" s="1028" t="s">
        <v>1265</v>
      </c>
      <c r="F517" s="1580">
        <v>-4000000</v>
      </c>
      <c r="G517" s="1755"/>
      <c r="H517" s="1745"/>
      <c r="I517" s="1745"/>
      <c r="J517" s="1745"/>
      <c r="K517" s="1745"/>
      <c r="L517" s="1745"/>
      <c r="M517" s="1745"/>
      <c r="N517" s="1745"/>
      <c r="O517" s="1746"/>
      <c r="P517" s="1746"/>
      <c r="Q517" s="1745"/>
      <c r="R517" s="1745"/>
      <c r="S517" s="1745"/>
      <c r="T517" s="1745"/>
      <c r="U517" s="989">
        <f t="shared" si="62"/>
        <v>-4000000</v>
      </c>
      <c r="V517" s="547">
        <v>-4000000</v>
      </c>
      <c r="W517" s="1264">
        <f t="shared" si="71"/>
        <v>-4</v>
      </c>
      <c r="X517" s="547">
        <f t="shared" si="68"/>
        <v>-4</v>
      </c>
      <c r="Y517" s="566"/>
      <c r="Z517" s="567"/>
      <c r="AA517" s="989">
        <f t="shared" si="69"/>
        <v>-4000000</v>
      </c>
      <c r="AB517" s="812">
        <f t="shared" si="70"/>
        <v>-4</v>
      </c>
    </row>
    <row r="518" spans="1:28" ht="27" hidden="1" customHeight="1">
      <c r="A518" s="531"/>
      <c r="B518" s="531">
        <v>1001</v>
      </c>
      <c r="C518" s="529">
        <v>17</v>
      </c>
      <c r="D518" s="1575" t="s">
        <v>485</v>
      </c>
      <c r="E518" s="1028" t="s">
        <v>898</v>
      </c>
      <c r="F518" s="1580">
        <v>-393847888</v>
      </c>
      <c r="G518" s="1771"/>
      <c r="H518" s="1946">
        <v>-3510000</v>
      </c>
      <c r="I518" s="552">
        <v>393847888</v>
      </c>
      <c r="J518" s="552"/>
      <c r="K518" s="552"/>
      <c r="L518" s="1814"/>
      <c r="M518" s="1814"/>
      <c r="N518" s="552">
        <v>-2790000</v>
      </c>
      <c r="O518" s="1772">
        <v>-90000</v>
      </c>
      <c r="P518" s="1772"/>
      <c r="Q518" s="552"/>
      <c r="R518" s="552"/>
      <c r="S518" s="552"/>
      <c r="T518" s="552"/>
      <c r="U518" s="989">
        <f t="shared" si="62"/>
        <v>-6390000</v>
      </c>
      <c r="V518" s="547">
        <v>0</v>
      </c>
      <c r="W518" s="1264">
        <f t="shared" si="71"/>
        <v>-6</v>
      </c>
      <c r="X518" s="547">
        <f t="shared" si="68"/>
        <v>0</v>
      </c>
      <c r="Y518" s="566"/>
      <c r="Z518" s="567"/>
      <c r="AA518" s="989">
        <f t="shared" si="69"/>
        <v>-6390000</v>
      </c>
      <c r="AB518" s="812">
        <f t="shared" si="70"/>
        <v>-6</v>
      </c>
    </row>
    <row r="519" spans="1:28" ht="27" hidden="1" customHeight="1">
      <c r="A519" s="531"/>
      <c r="B519" s="531">
        <v>1001</v>
      </c>
      <c r="C519" s="529">
        <v>17</v>
      </c>
      <c r="D519" s="1575" t="s">
        <v>485</v>
      </c>
      <c r="E519" s="1028" t="s">
        <v>898</v>
      </c>
      <c r="F519" s="1576"/>
      <c r="G519" s="1755"/>
      <c r="H519" s="1745"/>
      <c r="I519" s="1745"/>
      <c r="J519" s="1745"/>
      <c r="K519" s="1745"/>
      <c r="L519" s="1745"/>
      <c r="M519" s="1745"/>
      <c r="N519" s="1745"/>
      <c r="O519" s="1746"/>
      <c r="P519" s="1746"/>
      <c r="Q519" s="1745"/>
      <c r="R519" s="1745"/>
      <c r="S519" s="1745"/>
      <c r="T519" s="1745"/>
      <c r="U519" s="989">
        <f t="shared" si="62"/>
        <v>0</v>
      </c>
      <c r="V519" s="547">
        <v>0</v>
      </c>
      <c r="W519" s="1264">
        <f t="shared" si="71"/>
        <v>0</v>
      </c>
      <c r="X519" s="547">
        <f t="shared" si="68"/>
        <v>0</v>
      </c>
      <c r="Y519" s="566"/>
      <c r="Z519" s="567"/>
      <c r="AA519" s="989">
        <f t="shared" si="69"/>
        <v>0</v>
      </c>
      <c r="AB519" s="812">
        <f t="shared" si="70"/>
        <v>0</v>
      </c>
    </row>
    <row r="520" spans="1:28" ht="27" hidden="1" customHeight="1">
      <c r="A520" s="531"/>
      <c r="B520" s="531">
        <v>302</v>
      </c>
      <c r="C520" s="529">
        <v>14</v>
      </c>
      <c r="D520" s="530" t="s">
        <v>26</v>
      </c>
      <c r="E520" s="1028" t="s">
        <v>27</v>
      </c>
      <c r="F520" s="1579">
        <v>1039614140</v>
      </c>
      <c r="G520" s="1755">
        <v>160385860</v>
      </c>
      <c r="H520" s="1745"/>
      <c r="I520" s="1745"/>
      <c r="J520" s="1746"/>
      <c r="K520" s="1745"/>
      <c r="L520" s="1745"/>
      <c r="M520" s="1745"/>
      <c r="N520" s="1745"/>
      <c r="O520" s="1746"/>
      <c r="P520" s="1746"/>
      <c r="Q520" s="1745"/>
      <c r="R520" s="1745"/>
      <c r="S520" s="1745"/>
      <c r="T520" s="1745"/>
      <c r="U520" s="989">
        <f t="shared" si="62"/>
        <v>1200000000</v>
      </c>
      <c r="V520" s="547">
        <v>1100000000</v>
      </c>
      <c r="W520" s="1264">
        <f t="shared" si="71"/>
        <v>1200</v>
      </c>
      <c r="X520" s="547">
        <f t="shared" si="68"/>
        <v>1100</v>
      </c>
      <c r="Y520" s="566"/>
      <c r="Z520" s="567"/>
      <c r="AA520" s="989">
        <f t="shared" si="69"/>
        <v>1200000000</v>
      </c>
      <c r="AB520" s="812">
        <f t="shared" si="70"/>
        <v>1200</v>
      </c>
    </row>
    <row r="521" spans="1:28" ht="27" hidden="1" customHeight="1">
      <c r="A521" s="531"/>
      <c r="B521" s="531">
        <v>302</v>
      </c>
      <c r="C521" s="529">
        <v>14</v>
      </c>
      <c r="D521" s="530" t="s">
        <v>850</v>
      </c>
      <c r="E521" s="1028" t="s">
        <v>851</v>
      </c>
      <c r="F521" s="1576"/>
      <c r="G521" s="1755"/>
      <c r="H521" s="1745"/>
      <c r="I521" s="1745"/>
      <c r="J521" s="1746"/>
      <c r="K521" s="1745"/>
      <c r="L521" s="1745"/>
      <c r="M521" s="1745"/>
      <c r="N521" s="1745"/>
      <c r="O521" s="1746"/>
      <c r="P521" s="1746"/>
      <c r="Q521" s="1745"/>
      <c r="R521" s="1745"/>
      <c r="S521" s="1745"/>
      <c r="T521" s="1745"/>
      <c r="U521" s="989">
        <f t="shared" ref="U521:U584" si="72">SUM(F521:T521)</f>
        <v>0</v>
      </c>
      <c r="V521" s="547">
        <v>0</v>
      </c>
      <c r="W521" s="1264">
        <f t="shared" si="71"/>
        <v>0</v>
      </c>
      <c r="X521" s="547">
        <f t="shared" si="68"/>
        <v>0</v>
      </c>
      <c r="Y521" s="566"/>
      <c r="Z521" s="567"/>
      <c r="AA521" s="989">
        <f t="shared" si="69"/>
        <v>0</v>
      </c>
      <c r="AB521" s="812">
        <f t="shared" si="70"/>
        <v>0</v>
      </c>
    </row>
    <row r="522" spans="1:28" ht="27" hidden="1" customHeight="1">
      <c r="A522" s="531"/>
      <c r="B522" s="531">
        <v>303</v>
      </c>
      <c r="C522" s="529">
        <v>14</v>
      </c>
      <c r="D522" s="530" t="s">
        <v>28</v>
      </c>
      <c r="E522" s="1028" t="s">
        <v>29</v>
      </c>
      <c r="F522" s="1579">
        <v>17426003192</v>
      </c>
      <c r="G522" s="1755">
        <v>-17458443192</v>
      </c>
      <c r="H522" s="1745"/>
      <c r="I522" s="1745"/>
      <c r="J522" s="1746">
        <v>32440000</v>
      </c>
      <c r="K522" s="1745"/>
      <c r="L522" s="1745"/>
      <c r="M522" s="1745"/>
      <c r="N522" s="1745"/>
      <c r="O522" s="1746"/>
      <c r="P522" s="1746"/>
      <c r="Q522" s="1745"/>
      <c r="R522" s="1745"/>
      <c r="S522" s="1745"/>
      <c r="T522" s="1745"/>
      <c r="U522" s="989">
        <f t="shared" si="72"/>
        <v>0</v>
      </c>
      <c r="V522" s="547">
        <v>-22350000</v>
      </c>
      <c r="W522" s="1264">
        <f t="shared" si="71"/>
        <v>0</v>
      </c>
      <c r="X522" s="547">
        <f t="shared" si="68"/>
        <v>-22</v>
      </c>
      <c r="Y522" s="566"/>
      <c r="Z522" s="567"/>
      <c r="AA522" s="989">
        <f t="shared" si="69"/>
        <v>0</v>
      </c>
      <c r="AB522" s="812">
        <f t="shared" si="70"/>
        <v>0</v>
      </c>
    </row>
    <row r="523" spans="1:28" ht="27" hidden="1" customHeight="1">
      <c r="A523" s="531"/>
      <c r="B523" s="531">
        <v>406</v>
      </c>
      <c r="C523" s="529">
        <v>11</v>
      </c>
      <c r="D523" s="530" t="s">
        <v>1335</v>
      </c>
      <c r="E523" s="1028" t="s">
        <v>1336</v>
      </c>
      <c r="F523" s="547">
        <v>12115607</v>
      </c>
      <c r="G523" s="1755"/>
      <c r="H523" s="1745"/>
      <c r="I523" s="1745"/>
      <c r="J523" s="1745"/>
      <c r="K523" s="1745"/>
      <c r="L523" s="1745"/>
      <c r="M523" s="1745"/>
      <c r="N523" s="1745"/>
      <c r="O523" s="1746"/>
      <c r="P523" s="1746"/>
      <c r="Q523" s="1745"/>
      <c r="R523" s="1745"/>
      <c r="S523" s="1745"/>
      <c r="T523" s="1745"/>
      <c r="U523" s="989">
        <f t="shared" si="72"/>
        <v>12115607</v>
      </c>
      <c r="V523" s="547">
        <v>12115607</v>
      </c>
      <c r="W523" s="1264">
        <f t="shared" si="71"/>
        <v>12</v>
      </c>
      <c r="X523" s="547">
        <f t="shared" si="68"/>
        <v>12</v>
      </c>
      <c r="Y523" s="566"/>
      <c r="Z523" s="567"/>
      <c r="AA523" s="989">
        <f t="shared" si="69"/>
        <v>12115607</v>
      </c>
      <c r="AB523" s="812">
        <f t="shared" si="70"/>
        <v>12</v>
      </c>
    </row>
    <row r="524" spans="1:28" ht="27" hidden="1" customHeight="1">
      <c r="A524" s="531"/>
      <c r="B524" s="531">
        <v>301</v>
      </c>
      <c r="C524" s="529">
        <v>14</v>
      </c>
      <c r="D524" s="530" t="s">
        <v>1154</v>
      </c>
      <c r="E524" s="1028" t="s">
        <v>1155</v>
      </c>
      <c r="F524" s="547">
        <v>583167486489</v>
      </c>
      <c r="G524" s="1758">
        <v>-517250009276</v>
      </c>
      <c r="H524" s="1745"/>
      <c r="I524" s="1745">
        <v>-35166556402</v>
      </c>
      <c r="J524" s="1746">
        <v>-30750920811</v>
      </c>
      <c r="K524" s="1745"/>
      <c r="L524" s="1745"/>
      <c r="M524" s="1745"/>
      <c r="N524" s="1745"/>
      <c r="O524" s="1746"/>
      <c r="P524" s="1746"/>
      <c r="Q524" s="1745"/>
      <c r="R524" s="1745"/>
      <c r="S524" s="1745"/>
      <c r="T524" s="1745"/>
      <c r="U524" s="989">
        <f t="shared" si="72"/>
        <v>0</v>
      </c>
      <c r="V524" s="547">
        <v>0</v>
      </c>
      <c r="W524" s="1264">
        <f t="shared" si="71"/>
        <v>0</v>
      </c>
      <c r="X524" s="547">
        <f t="shared" si="68"/>
        <v>0</v>
      </c>
      <c r="Y524" s="566"/>
      <c r="Z524" s="567"/>
      <c r="AA524" s="989">
        <f t="shared" si="69"/>
        <v>0</v>
      </c>
      <c r="AB524" s="812">
        <f t="shared" si="70"/>
        <v>0</v>
      </c>
    </row>
    <row r="525" spans="1:28" ht="27" hidden="1" customHeight="1">
      <c r="A525" s="531"/>
      <c r="B525" s="531">
        <v>301</v>
      </c>
      <c r="C525" s="529">
        <v>14</v>
      </c>
      <c r="D525" s="530" t="s">
        <v>1156</v>
      </c>
      <c r="E525" s="1028" t="s">
        <v>1155</v>
      </c>
      <c r="F525" s="547">
        <v>-583167031289</v>
      </c>
      <c r="G525" s="1758">
        <v>517249554076</v>
      </c>
      <c r="H525" s="1745"/>
      <c r="I525" s="1745">
        <v>35166556402</v>
      </c>
      <c r="J525" s="1746">
        <v>30750920811</v>
      </c>
      <c r="K525" s="1745"/>
      <c r="L525" s="1745"/>
      <c r="M525" s="1745"/>
      <c r="N525" s="1745"/>
      <c r="O525" s="1746"/>
      <c r="P525" s="1746"/>
      <c r="Q525" s="1745"/>
      <c r="R525" s="1745"/>
      <c r="S525" s="1745"/>
      <c r="T525" s="1745"/>
      <c r="U525" s="989">
        <f t="shared" si="72"/>
        <v>0</v>
      </c>
      <c r="V525" s="547">
        <v>0</v>
      </c>
      <c r="W525" s="1264">
        <f t="shared" si="71"/>
        <v>0</v>
      </c>
      <c r="X525" s="547">
        <f t="shared" si="68"/>
        <v>0</v>
      </c>
      <c r="Y525" s="566"/>
      <c r="Z525" s="567"/>
      <c r="AA525" s="989">
        <f t="shared" si="69"/>
        <v>0</v>
      </c>
      <c r="AB525" s="812">
        <f t="shared" si="70"/>
        <v>0</v>
      </c>
    </row>
    <row r="526" spans="1:28" ht="27" hidden="1" customHeight="1">
      <c r="A526" s="531">
        <v>3214</v>
      </c>
      <c r="B526" s="531">
        <v>302</v>
      </c>
      <c r="C526" s="529">
        <v>14</v>
      </c>
      <c r="D526" s="530" t="s">
        <v>775</v>
      </c>
      <c r="E526" s="1028" t="s">
        <v>1432</v>
      </c>
      <c r="F526" s="1576"/>
      <c r="G526" s="1755"/>
      <c r="H526" s="1745"/>
      <c r="I526" s="1745"/>
      <c r="J526" s="1746"/>
      <c r="K526" s="1745"/>
      <c r="L526" s="1745"/>
      <c r="M526" s="1745"/>
      <c r="N526" s="1745"/>
      <c r="O526" s="1746"/>
      <c r="P526" s="1746"/>
      <c r="Q526" s="1745"/>
      <c r="R526" s="1745"/>
      <c r="S526" s="1745"/>
      <c r="T526" s="1745"/>
      <c r="U526" s="989">
        <f t="shared" si="72"/>
        <v>0</v>
      </c>
      <c r="V526" s="547">
        <v>0</v>
      </c>
      <c r="W526" s="1264">
        <f t="shared" si="71"/>
        <v>0</v>
      </c>
      <c r="X526" s="547">
        <f t="shared" si="68"/>
        <v>0</v>
      </c>
      <c r="Y526" s="566"/>
      <c r="Z526" s="567"/>
      <c r="AA526" s="989">
        <f t="shared" si="69"/>
        <v>0</v>
      </c>
      <c r="AB526" s="812">
        <f t="shared" si="70"/>
        <v>0</v>
      </c>
    </row>
    <row r="527" spans="1:28" ht="27" hidden="1" customHeight="1">
      <c r="A527" s="531">
        <v>12</v>
      </c>
      <c r="B527" s="531">
        <v>907</v>
      </c>
      <c r="C527" s="529">
        <v>8</v>
      </c>
      <c r="D527" s="530" t="s">
        <v>32</v>
      </c>
      <c r="E527" s="1028" t="s">
        <v>769</v>
      </c>
      <c r="F527" s="1576"/>
      <c r="G527" s="1755"/>
      <c r="H527" s="1745"/>
      <c r="I527" s="1745"/>
      <c r="J527" s="1746"/>
      <c r="K527" s="1745"/>
      <c r="L527" s="1745"/>
      <c r="M527" s="1745"/>
      <c r="N527" s="1745"/>
      <c r="O527" s="1746"/>
      <c r="P527" s="1746"/>
      <c r="Q527" s="1745"/>
      <c r="R527" s="1745"/>
      <c r="S527" s="1745"/>
      <c r="T527" s="1745"/>
      <c r="U527" s="989">
        <f t="shared" si="72"/>
        <v>0</v>
      </c>
      <c r="V527" s="547">
        <v>0</v>
      </c>
      <c r="W527" s="1264">
        <f t="shared" si="71"/>
        <v>0</v>
      </c>
      <c r="X527" s="547">
        <f t="shared" si="68"/>
        <v>0</v>
      </c>
      <c r="Y527" s="566"/>
      <c r="Z527" s="567"/>
      <c r="AA527" s="989">
        <f t="shared" si="69"/>
        <v>0</v>
      </c>
      <c r="AB527" s="812">
        <f t="shared" si="70"/>
        <v>0</v>
      </c>
    </row>
    <row r="528" spans="1:28" ht="27" hidden="1" customHeight="1">
      <c r="A528" s="531">
        <v>3214</v>
      </c>
      <c r="B528" s="531">
        <v>909</v>
      </c>
      <c r="C528" s="529">
        <v>8</v>
      </c>
      <c r="D528" s="530" t="s">
        <v>32</v>
      </c>
      <c r="E528" s="1028" t="s">
        <v>1445</v>
      </c>
      <c r="F528" s="1576"/>
      <c r="G528" s="1755"/>
      <c r="H528" s="1745"/>
      <c r="I528" s="1745"/>
      <c r="J528" s="1746"/>
      <c r="K528" s="1745"/>
      <c r="L528" s="1745"/>
      <c r="M528" s="1745"/>
      <c r="N528" s="1745"/>
      <c r="O528" s="1746"/>
      <c r="P528" s="1746"/>
      <c r="Q528" s="1745"/>
      <c r="R528" s="1745"/>
      <c r="S528" s="1745"/>
      <c r="T528" s="1745"/>
      <c r="U528" s="989">
        <f t="shared" si="72"/>
        <v>0</v>
      </c>
      <c r="V528" s="547">
        <v>0</v>
      </c>
      <c r="W528" s="1264">
        <f t="shared" si="71"/>
        <v>0</v>
      </c>
      <c r="X528" s="547">
        <f t="shared" si="68"/>
        <v>0</v>
      </c>
      <c r="Y528" s="566"/>
      <c r="Z528" s="567"/>
      <c r="AA528" s="989">
        <f t="shared" si="69"/>
        <v>0</v>
      </c>
      <c r="AB528" s="812">
        <f t="shared" si="70"/>
        <v>0</v>
      </c>
    </row>
    <row r="529" spans="1:28" ht="27" hidden="1" customHeight="1">
      <c r="A529" s="531"/>
      <c r="B529" s="531">
        <v>601</v>
      </c>
      <c r="C529" s="529">
        <v>12</v>
      </c>
      <c r="D529" s="530" t="s">
        <v>34</v>
      </c>
      <c r="E529" s="1028" t="s">
        <v>35</v>
      </c>
      <c r="F529" s="1576"/>
      <c r="G529" s="1755"/>
      <c r="H529" s="1745"/>
      <c r="I529" s="1745"/>
      <c r="J529" s="1746"/>
      <c r="K529" s="1745"/>
      <c r="L529" s="1745"/>
      <c r="M529" s="1745"/>
      <c r="N529" s="1745"/>
      <c r="O529" s="1746"/>
      <c r="P529" s="1746"/>
      <c r="Q529" s="1745"/>
      <c r="R529" s="1745"/>
      <c r="S529" s="1745"/>
      <c r="T529" s="1745"/>
      <c r="U529" s="989">
        <f t="shared" si="72"/>
        <v>0</v>
      </c>
      <c r="V529" s="547">
        <v>0</v>
      </c>
      <c r="W529" s="1264">
        <f t="shared" si="71"/>
        <v>0</v>
      </c>
      <c r="X529" s="547">
        <f t="shared" si="68"/>
        <v>0</v>
      </c>
      <c r="Y529" s="566"/>
      <c r="Z529" s="567"/>
      <c r="AA529" s="989">
        <f t="shared" si="69"/>
        <v>0</v>
      </c>
      <c r="AB529" s="812">
        <f t="shared" si="70"/>
        <v>0</v>
      </c>
    </row>
    <row r="530" spans="1:28" ht="27" hidden="1" customHeight="1">
      <c r="A530" s="531"/>
      <c r="B530" s="531">
        <v>301</v>
      </c>
      <c r="C530" s="529">
        <v>14</v>
      </c>
      <c r="D530" s="530" t="s">
        <v>36</v>
      </c>
      <c r="E530" s="1028" t="s">
        <v>37</v>
      </c>
      <c r="F530" s="1579">
        <v>80444290</v>
      </c>
      <c r="G530" s="1758"/>
      <c r="H530" s="1745"/>
      <c r="I530" s="1745"/>
      <c r="J530" s="1746"/>
      <c r="K530" s="1745"/>
      <c r="L530" s="1745"/>
      <c r="M530" s="1745"/>
      <c r="N530" s="1745"/>
      <c r="O530" s="1746"/>
      <c r="P530" s="1746"/>
      <c r="Q530" s="1745"/>
      <c r="R530" s="1745"/>
      <c r="S530" s="1745"/>
      <c r="T530" s="1745"/>
      <c r="U530" s="989">
        <f t="shared" si="72"/>
        <v>80444290</v>
      </c>
      <c r="V530" s="547">
        <v>41986329902</v>
      </c>
      <c r="W530" s="1264">
        <f t="shared" si="71"/>
        <v>80</v>
      </c>
      <c r="X530" s="547">
        <f t="shared" si="68"/>
        <v>41986</v>
      </c>
      <c r="Y530" s="566"/>
      <c r="Z530" s="567"/>
      <c r="AA530" s="989">
        <f t="shared" ref="AA530:AA563" si="73">U530+Z530-Y530</f>
        <v>80444290</v>
      </c>
      <c r="AB530" s="812">
        <f t="shared" ref="AB530:AB563" si="74">ROUND((AA530/1000000),0)</f>
        <v>80</v>
      </c>
    </row>
    <row r="531" spans="1:28" ht="27" hidden="1" customHeight="1">
      <c r="A531" s="531"/>
      <c r="B531" s="531">
        <v>301</v>
      </c>
      <c r="C531" s="529">
        <v>14</v>
      </c>
      <c r="D531" s="530" t="s">
        <v>1691</v>
      </c>
      <c r="E531" s="1028" t="s">
        <v>1692</v>
      </c>
      <c r="F531" s="1579">
        <v>763376451305</v>
      </c>
      <c r="G531" s="1755">
        <v>17298057332</v>
      </c>
      <c r="H531" s="1745"/>
      <c r="I531" s="1745"/>
      <c r="J531" s="1746"/>
      <c r="K531" s="1745"/>
      <c r="L531" s="1745"/>
      <c r="M531" s="1745"/>
      <c r="N531" s="1745"/>
      <c r="O531" s="1746"/>
      <c r="P531" s="1746"/>
      <c r="Q531" s="1745"/>
      <c r="R531" s="1745"/>
      <c r="S531" s="1745"/>
      <c r="T531" s="1745"/>
      <c r="U531" s="989">
        <f t="shared" si="72"/>
        <v>780674508637</v>
      </c>
      <c r="V531" s="547">
        <v>1388006043442</v>
      </c>
      <c r="W531" s="1264">
        <f t="shared" si="71"/>
        <v>780675</v>
      </c>
      <c r="X531" s="547">
        <f t="shared" si="68"/>
        <v>1388006</v>
      </c>
      <c r="Y531" s="566"/>
      <c r="Z531" s="567"/>
      <c r="AA531" s="989">
        <f t="shared" si="73"/>
        <v>780674508637</v>
      </c>
      <c r="AB531" s="812">
        <f t="shared" si="74"/>
        <v>780675</v>
      </c>
    </row>
    <row r="532" spans="1:28" ht="27" hidden="1" customHeight="1">
      <c r="A532" s="531"/>
      <c r="B532" s="531">
        <v>301</v>
      </c>
      <c r="C532" s="529">
        <v>14</v>
      </c>
      <c r="D532" s="530" t="s">
        <v>2032</v>
      </c>
      <c r="E532" s="1028" t="s">
        <v>1757</v>
      </c>
      <c r="F532" s="1579"/>
      <c r="G532" s="1755"/>
      <c r="H532" s="552"/>
      <c r="I532" s="552"/>
      <c r="J532" s="552"/>
      <c r="K532" s="552"/>
      <c r="L532" s="552"/>
      <c r="M532" s="552"/>
      <c r="N532" s="552"/>
      <c r="O532" s="1746"/>
      <c r="P532" s="1772"/>
      <c r="Q532" s="552"/>
      <c r="R532" s="552"/>
      <c r="S532" s="552"/>
      <c r="T532" s="552"/>
      <c r="U532" s="989">
        <f t="shared" si="72"/>
        <v>0</v>
      </c>
      <c r="V532" s="547">
        <v>179432515003</v>
      </c>
      <c r="W532" s="1264">
        <f>ROUND((U532/1000000),0)</f>
        <v>0</v>
      </c>
      <c r="X532" s="547">
        <f t="shared" si="68"/>
        <v>179433</v>
      </c>
      <c r="Y532" s="566"/>
      <c r="Z532" s="567"/>
      <c r="AA532" s="989">
        <f t="shared" si="73"/>
        <v>0</v>
      </c>
      <c r="AB532" s="812">
        <f t="shared" si="74"/>
        <v>0</v>
      </c>
    </row>
    <row r="533" spans="1:28" ht="27" hidden="1" customHeight="1">
      <c r="A533" s="531"/>
      <c r="B533" s="531">
        <v>301</v>
      </c>
      <c r="C533" s="529">
        <v>14</v>
      </c>
      <c r="D533" s="530" t="s">
        <v>1596</v>
      </c>
      <c r="E533" s="1028" t="s">
        <v>37</v>
      </c>
      <c r="F533" s="1576"/>
      <c r="G533" s="1755"/>
      <c r="H533" s="1745"/>
      <c r="I533" s="1745"/>
      <c r="J533" s="1746"/>
      <c r="K533" s="1745"/>
      <c r="L533" s="1745"/>
      <c r="M533" s="1745"/>
      <c r="N533" s="1745"/>
      <c r="O533" s="1746"/>
      <c r="P533" s="1746"/>
      <c r="Q533" s="1745"/>
      <c r="R533" s="1745"/>
      <c r="S533" s="1745"/>
      <c r="T533" s="1745"/>
      <c r="U533" s="989">
        <f t="shared" si="72"/>
        <v>0</v>
      </c>
      <c r="V533" s="547">
        <v>0</v>
      </c>
      <c r="W533" s="1264">
        <f t="shared" si="71"/>
        <v>0</v>
      </c>
      <c r="X533" s="547">
        <f t="shared" si="68"/>
        <v>0</v>
      </c>
      <c r="Y533" s="566"/>
      <c r="Z533" s="567"/>
      <c r="AA533" s="989">
        <f t="shared" si="73"/>
        <v>0</v>
      </c>
      <c r="AB533" s="812">
        <f t="shared" si="74"/>
        <v>0</v>
      </c>
    </row>
    <row r="534" spans="1:28" ht="27" hidden="1" customHeight="1">
      <c r="A534" s="531"/>
      <c r="B534" s="531">
        <v>301</v>
      </c>
      <c r="C534" s="529">
        <v>14</v>
      </c>
      <c r="D534" s="530" t="s">
        <v>38</v>
      </c>
      <c r="E534" s="1028" t="s">
        <v>624</v>
      </c>
      <c r="F534" s="1576"/>
      <c r="G534" s="1755"/>
      <c r="H534" s="1745"/>
      <c r="I534" s="1745"/>
      <c r="J534" s="1746"/>
      <c r="K534" s="1745"/>
      <c r="L534" s="1745"/>
      <c r="M534" s="1745"/>
      <c r="N534" s="1745"/>
      <c r="O534" s="1746"/>
      <c r="P534" s="1746"/>
      <c r="Q534" s="1745"/>
      <c r="R534" s="1745"/>
      <c r="S534" s="1745"/>
      <c r="T534" s="1745"/>
      <c r="U534" s="989">
        <f t="shared" si="72"/>
        <v>0</v>
      </c>
      <c r="V534" s="547">
        <v>0</v>
      </c>
      <c r="W534" s="1264">
        <f t="shared" si="71"/>
        <v>0</v>
      </c>
      <c r="X534" s="547">
        <f t="shared" si="68"/>
        <v>0</v>
      </c>
      <c r="Y534" s="566"/>
      <c r="Z534" s="567"/>
      <c r="AA534" s="989">
        <f t="shared" si="73"/>
        <v>0</v>
      </c>
      <c r="AB534" s="812">
        <f t="shared" si="74"/>
        <v>0</v>
      </c>
    </row>
    <row r="535" spans="1:28" ht="27" hidden="1" customHeight="1">
      <c r="A535" s="531"/>
      <c r="B535" s="531"/>
      <c r="C535" s="529">
        <v>6</v>
      </c>
      <c r="D535" s="530" t="s">
        <v>733</v>
      </c>
      <c r="E535" s="1028" t="s">
        <v>735</v>
      </c>
      <c r="F535" s="1579">
        <v>89588941520717</v>
      </c>
      <c r="G535" s="1758">
        <v>5683602615620</v>
      </c>
      <c r="H535" s="1758">
        <v>-21823089608</v>
      </c>
      <c r="I535" s="1760">
        <v>1504880590989</v>
      </c>
      <c r="J535" s="1761">
        <v>242908011847</v>
      </c>
      <c r="K535" s="1760">
        <v>217353760293</v>
      </c>
      <c r="L535" s="1760">
        <v>-280701226</v>
      </c>
      <c r="M535" s="1760"/>
      <c r="N535" s="1760">
        <v>7078509567</v>
      </c>
      <c r="O535" s="1760">
        <v>-1580166995933</v>
      </c>
      <c r="P535" s="1746">
        <v>6980930851057</v>
      </c>
      <c r="Q535" s="1745"/>
      <c r="R535" s="1745"/>
      <c r="S535" s="1745"/>
      <c r="T535" s="1745"/>
      <c r="U535" s="989">
        <f t="shared" si="72"/>
        <v>102623425073323</v>
      </c>
      <c r="V535" s="547">
        <v>56255437257021</v>
      </c>
      <c r="W535" s="1264">
        <f t="shared" si="71"/>
        <v>102623425</v>
      </c>
      <c r="X535" s="547">
        <f t="shared" si="68"/>
        <v>56255437</v>
      </c>
      <c r="Y535" s="566"/>
      <c r="Z535" s="567"/>
      <c r="AA535" s="989">
        <f t="shared" si="73"/>
        <v>102623425073323</v>
      </c>
      <c r="AB535" s="812">
        <f t="shared" si="74"/>
        <v>102623425</v>
      </c>
    </row>
    <row r="536" spans="1:28" ht="27" hidden="1" customHeight="1">
      <c r="A536" s="531"/>
      <c r="B536" s="531"/>
      <c r="C536" s="529">
        <v>6</v>
      </c>
      <c r="D536" s="530" t="s">
        <v>1695</v>
      </c>
      <c r="E536" s="1028" t="s">
        <v>1696</v>
      </c>
      <c r="F536" s="1579">
        <v>1750599278</v>
      </c>
      <c r="G536" s="1755"/>
      <c r="H536" s="1758"/>
      <c r="I536" s="1745"/>
      <c r="J536" s="1746"/>
      <c r="K536" s="1745"/>
      <c r="L536" s="1745"/>
      <c r="M536" s="1745"/>
      <c r="N536" s="1745"/>
      <c r="O536" s="1746"/>
      <c r="P536" s="1746"/>
      <c r="Q536" s="1745"/>
      <c r="R536" s="1745"/>
      <c r="S536" s="1745"/>
      <c r="T536" s="1745"/>
      <c r="U536" s="989">
        <f t="shared" si="72"/>
        <v>1750599278</v>
      </c>
      <c r="V536" s="547">
        <v>1222982496</v>
      </c>
      <c r="W536" s="1264">
        <f t="shared" si="71"/>
        <v>1751</v>
      </c>
      <c r="X536" s="547">
        <f t="shared" si="68"/>
        <v>1223</v>
      </c>
      <c r="Y536" s="566"/>
      <c r="Z536" s="567"/>
      <c r="AA536" s="989">
        <f t="shared" si="73"/>
        <v>1750599278</v>
      </c>
      <c r="AB536" s="812">
        <f t="shared" si="74"/>
        <v>1751</v>
      </c>
    </row>
    <row r="537" spans="1:28" ht="27" hidden="1" customHeight="1">
      <c r="A537" s="531"/>
      <c r="B537" s="531">
        <v>205</v>
      </c>
      <c r="C537" s="529">
        <v>19</v>
      </c>
      <c r="D537" s="530" t="s">
        <v>734</v>
      </c>
      <c r="E537" s="1028" t="s">
        <v>903</v>
      </c>
      <c r="F537" s="1579"/>
      <c r="G537" s="1758"/>
      <c r="H537" s="1758"/>
      <c r="I537" s="1745"/>
      <c r="J537" s="1760"/>
      <c r="K537" s="1760"/>
      <c r="L537" s="1760"/>
      <c r="M537" s="1760"/>
      <c r="N537" s="1745"/>
      <c r="O537" s="1746"/>
      <c r="P537" s="1746"/>
      <c r="Q537" s="1745"/>
      <c r="R537" s="1745"/>
      <c r="S537" s="1745"/>
      <c r="T537" s="1745"/>
      <c r="U537" s="989">
        <f t="shared" si="72"/>
        <v>0</v>
      </c>
      <c r="V537" s="547">
        <v>0</v>
      </c>
      <c r="W537" s="1264">
        <f t="shared" si="71"/>
        <v>0</v>
      </c>
      <c r="X537" s="547">
        <f t="shared" si="68"/>
        <v>0</v>
      </c>
      <c r="Y537" s="566"/>
      <c r="Z537" s="567"/>
      <c r="AA537" s="989">
        <f t="shared" si="73"/>
        <v>0</v>
      </c>
      <c r="AB537" s="812">
        <f t="shared" si="74"/>
        <v>0</v>
      </c>
    </row>
    <row r="538" spans="1:28" ht="27" hidden="1" customHeight="1">
      <c r="A538" s="531"/>
      <c r="B538" s="531">
        <v>202</v>
      </c>
      <c r="C538" s="529">
        <v>7</v>
      </c>
      <c r="D538" s="530" t="s">
        <v>905</v>
      </c>
      <c r="E538" s="1028" t="s">
        <v>904</v>
      </c>
      <c r="F538" s="1580">
        <v>-850586905821</v>
      </c>
      <c r="G538" s="1758">
        <v>-51002838933</v>
      </c>
      <c r="H538" s="1758">
        <v>-273600000</v>
      </c>
      <c r="I538" s="1760">
        <v>-709467836</v>
      </c>
      <c r="J538" s="1746">
        <v>-13620229377</v>
      </c>
      <c r="K538" s="1760"/>
      <c r="L538" s="1745"/>
      <c r="M538" s="1745"/>
      <c r="N538" s="1745"/>
      <c r="O538" s="1746"/>
      <c r="P538" s="1746"/>
      <c r="Q538" s="1745"/>
      <c r="R538" s="1745"/>
      <c r="S538" s="1745"/>
      <c r="T538" s="1745"/>
      <c r="U538" s="989">
        <f t="shared" si="72"/>
        <v>-916193041967</v>
      </c>
      <c r="V538" s="547">
        <v>-592997596288</v>
      </c>
      <c r="W538" s="1264">
        <f t="shared" ref="W538:W571" si="75">ROUND((U538/1000000),0)</f>
        <v>-916193</v>
      </c>
      <c r="X538" s="547">
        <f t="shared" si="68"/>
        <v>-592998</v>
      </c>
      <c r="Y538" s="566"/>
      <c r="Z538" s="567"/>
      <c r="AA538" s="989">
        <f t="shared" si="73"/>
        <v>-916193041967</v>
      </c>
      <c r="AB538" s="812">
        <f t="shared" si="74"/>
        <v>-916193</v>
      </c>
    </row>
    <row r="539" spans="1:28" ht="27" hidden="1" customHeight="1">
      <c r="A539" s="531"/>
      <c r="B539" s="531">
        <v>406</v>
      </c>
      <c r="C539" s="529">
        <v>11</v>
      </c>
      <c r="D539" s="530" t="s">
        <v>1538</v>
      </c>
      <c r="E539" s="1028" t="s">
        <v>1545</v>
      </c>
      <c r="F539" s="547">
        <v>2279526</v>
      </c>
      <c r="G539" s="1755"/>
      <c r="H539" s="1745"/>
      <c r="I539" s="1745"/>
      <c r="J539" s="1745"/>
      <c r="K539" s="1745"/>
      <c r="L539" s="1745"/>
      <c r="M539" s="1745"/>
      <c r="N539" s="1745"/>
      <c r="O539" s="1746"/>
      <c r="P539" s="1746"/>
      <c r="Q539" s="1745"/>
      <c r="R539" s="1745"/>
      <c r="S539" s="1745"/>
      <c r="T539" s="1745"/>
      <c r="U539" s="989">
        <f t="shared" si="72"/>
        <v>2279526</v>
      </c>
      <c r="V539" s="547">
        <v>2279526</v>
      </c>
      <c r="W539" s="1264">
        <f>ROUND((U539/1000000),0)</f>
        <v>2</v>
      </c>
      <c r="X539" s="547">
        <f t="shared" si="68"/>
        <v>2</v>
      </c>
      <c r="Y539" s="566"/>
      <c r="Z539" s="567"/>
      <c r="AA539" s="989">
        <f t="shared" si="73"/>
        <v>2279526</v>
      </c>
      <c r="AB539" s="812">
        <f t="shared" si="74"/>
        <v>2</v>
      </c>
    </row>
    <row r="540" spans="1:28" ht="27" hidden="1" customHeight="1">
      <c r="A540" s="531"/>
      <c r="B540" s="531">
        <v>202</v>
      </c>
      <c r="C540" s="529">
        <v>7</v>
      </c>
      <c r="D540" s="530" t="s">
        <v>737</v>
      </c>
      <c r="E540" s="1028" t="s">
        <v>736</v>
      </c>
      <c r="F540" s="1580">
        <v>-262145055248</v>
      </c>
      <c r="G540" s="1755"/>
      <c r="H540" s="1758"/>
      <c r="I540" s="1745"/>
      <c r="J540" s="1746"/>
      <c r="K540" s="1745"/>
      <c r="L540" s="1745"/>
      <c r="M540" s="1745"/>
      <c r="N540" s="1760"/>
      <c r="O540" s="1760"/>
      <c r="P540" s="1746"/>
      <c r="Q540" s="1745"/>
      <c r="R540" s="1745"/>
      <c r="S540" s="1745"/>
      <c r="T540" s="1745"/>
      <c r="U540" s="989">
        <f t="shared" si="72"/>
        <v>-262145055248</v>
      </c>
      <c r="V540" s="547">
        <v>-300309000286</v>
      </c>
      <c r="W540" s="1264">
        <f t="shared" si="75"/>
        <v>-262145</v>
      </c>
      <c r="X540" s="547">
        <f t="shared" si="68"/>
        <v>-300309</v>
      </c>
      <c r="Y540" s="566"/>
      <c r="Z540" s="567"/>
      <c r="AA540" s="989">
        <f t="shared" si="73"/>
        <v>-262145055248</v>
      </c>
      <c r="AB540" s="812">
        <f t="shared" si="74"/>
        <v>-262145</v>
      </c>
    </row>
    <row r="541" spans="1:28" ht="27" hidden="1" customHeight="1">
      <c r="A541" s="531"/>
      <c r="B541" s="531"/>
      <c r="C541" s="529">
        <v>5</v>
      </c>
      <c r="D541" s="530" t="s">
        <v>906</v>
      </c>
      <c r="E541" s="1028" t="s">
        <v>907</v>
      </c>
      <c r="F541" s="1580">
        <v>-30725968577897</v>
      </c>
      <c r="G541" s="1758">
        <v>-22059970145124</v>
      </c>
      <c r="H541" s="1758"/>
      <c r="I541" s="1745"/>
      <c r="J541" s="1746"/>
      <c r="K541" s="1760"/>
      <c r="L541" s="1745"/>
      <c r="M541" s="1745"/>
      <c r="N541" s="1745"/>
      <c r="O541" s="1746"/>
      <c r="P541" s="1746"/>
      <c r="Q541" s="1745"/>
      <c r="R541" s="1745"/>
      <c r="S541" s="1745"/>
      <c r="T541" s="1745"/>
      <c r="U541" s="989">
        <f t="shared" si="72"/>
        <v>-52785938723021</v>
      </c>
      <c r="V541" s="547">
        <v>-28494562408191</v>
      </c>
      <c r="W541" s="1264">
        <f t="shared" si="75"/>
        <v>-52785939</v>
      </c>
      <c r="X541" s="547">
        <f t="shared" ref="X541:X590" si="76">ROUND((V541/1000000),0)</f>
        <v>-28494562</v>
      </c>
      <c r="Y541" s="566"/>
      <c r="Z541" s="567"/>
      <c r="AA541" s="989">
        <f t="shared" si="73"/>
        <v>-52785938723021</v>
      </c>
      <c r="AB541" s="812">
        <f t="shared" si="74"/>
        <v>-52785939</v>
      </c>
    </row>
    <row r="542" spans="1:28" ht="27" hidden="1" customHeight="1">
      <c r="A542" s="531"/>
      <c r="B542" s="531"/>
      <c r="C542" s="529">
        <v>5</v>
      </c>
      <c r="D542" s="530" t="s">
        <v>908</v>
      </c>
      <c r="E542" s="1028" t="s">
        <v>909</v>
      </c>
      <c r="F542" s="1580">
        <v>-31577096800269</v>
      </c>
      <c r="G542" s="1758">
        <v>-16643573365194</v>
      </c>
      <c r="H542" s="1758"/>
      <c r="I542" s="1745">
        <v>-890452000000</v>
      </c>
      <c r="J542" s="1746">
        <v>545588406880</v>
      </c>
      <c r="K542" s="1760">
        <v>62184851839</v>
      </c>
      <c r="L542" s="1745"/>
      <c r="M542" s="1745"/>
      <c r="N542" s="1745"/>
      <c r="O542" s="1746"/>
      <c r="P542" s="1746"/>
      <c r="Q542" s="1745"/>
      <c r="R542" s="1745"/>
      <c r="S542" s="1745"/>
      <c r="T542" s="1745"/>
      <c r="U542" s="989">
        <f t="shared" si="72"/>
        <v>-48503348906744</v>
      </c>
      <c r="V542" s="547">
        <v>-25087015438539</v>
      </c>
      <c r="W542" s="1264">
        <f t="shared" si="75"/>
        <v>-48503349</v>
      </c>
      <c r="X542" s="547">
        <f t="shared" si="76"/>
        <v>-25087015</v>
      </c>
      <c r="Y542" s="566"/>
      <c r="Z542" s="567"/>
      <c r="AA542" s="989">
        <f t="shared" si="73"/>
        <v>-48503348906744</v>
      </c>
      <c r="AB542" s="812">
        <f t="shared" si="74"/>
        <v>-48503349</v>
      </c>
    </row>
    <row r="543" spans="1:28" ht="27" hidden="1" customHeight="1">
      <c r="A543" s="531"/>
      <c r="B543" s="531">
        <v>202</v>
      </c>
      <c r="C543" s="529">
        <v>7</v>
      </c>
      <c r="D543" s="530" t="s">
        <v>738</v>
      </c>
      <c r="E543" s="1028" t="s">
        <v>910</v>
      </c>
      <c r="F543" s="1580"/>
      <c r="G543" s="1755"/>
      <c r="H543" s="1758"/>
      <c r="I543" s="1745"/>
      <c r="J543" s="1746"/>
      <c r="K543" s="1745"/>
      <c r="L543" s="1745"/>
      <c r="M543" s="1745"/>
      <c r="N543" s="1745"/>
      <c r="O543" s="1746"/>
      <c r="P543" s="1746"/>
      <c r="Q543" s="1745"/>
      <c r="R543" s="1745"/>
      <c r="S543" s="1745"/>
      <c r="T543" s="1745"/>
      <c r="U543" s="989">
        <f t="shared" si="72"/>
        <v>0</v>
      </c>
      <c r="V543" s="547">
        <v>0</v>
      </c>
      <c r="W543" s="1264">
        <f t="shared" si="75"/>
        <v>0</v>
      </c>
      <c r="X543" s="547">
        <f t="shared" si="76"/>
        <v>0</v>
      </c>
      <c r="Y543" s="566"/>
      <c r="Z543" s="567"/>
      <c r="AA543" s="989">
        <f t="shared" si="73"/>
        <v>0</v>
      </c>
      <c r="AB543" s="812">
        <f t="shared" si="74"/>
        <v>0</v>
      </c>
    </row>
    <row r="544" spans="1:28" ht="27" hidden="1" customHeight="1">
      <c r="A544" s="531"/>
      <c r="B544" s="531">
        <v>406</v>
      </c>
      <c r="C544" s="529">
        <v>11</v>
      </c>
      <c r="D544" s="530" t="s">
        <v>556</v>
      </c>
      <c r="E544" s="1028" t="s">
        <v>956</v>
      </c>
      <c r="F544" s="1579">
        <v>260648547097</v>
      </c>
      <c r="G544" s="1757">
        <v>-243708358692</v>
      </c>
      <c r="H544" s="1773">
        <v>-21795019775</v>
      </c>
      <c r="I544" s="1776">
        <v>2757087662</v>
      </c>
      <c r="J544" s="1745">
        <v>3460993534</v>
      </c>
      <c r="K544" s="1745">
        <v>-23129858413</v>
      </c>
      <c r="L544" s="1745">
        <v>599511177</v>
      </c>
      <c r="M544" s="1745"/>
      <c r="N544" s="1745">
        <v>-81828847667</v>
      </c>
      <c r="O544" s="1746">
        <v>102943512959</v>
      </c>
      <c r="P544" s="1746"/>
      <c r="Q544" s="1745"/>
      <c r="R544" s="1745"/>
      <c r="S544" s="1745"/>
      <c r="T544" s="1745"/>
      <c r="U544" s="1671">
        <f t="shared" si="72"/>
        <v>-52432118</v>
      </c>
      <c r="V544" s="547">
        <v>-1111126164</v>
      </c>
      <c r="W544" s="1264">
        <f t="shared" si="75"/>
        <v>-52</v>
      </c>
      <c r="X544" s="547">
        <f t="shared" si="76"/>
        <v>-1111</v>
      </c>
      <c r="Y544" s="566"/>
      <c r="Z544" s="567"/>
      <c r="AA544" s="989">
        <f t="shared" si="73"/>
        <v>-52432118</v>
      </c>
      <c r="AB544" s="812">
        <f t="shared" si="74"/>
        <v>-52</v>
      </c>
    </row>
    <row r="545" spans="1:28" ht="27" hidden="1" customHeight="1">
      <c r="A545" s="531"/>
      <c r="B545" s="531">
        <v>406</v>
      </c>
      <c r="C545" s="529">
        <v>11</v>
      </c>
      <c r="D545" s="530" t="s">
        <v>1539</v>
      </c>
      <c r="E545" s="1028" t="s">
        <v>1546</v>
      </c>
      <c r="F545" s="547">
        <v>681134</v>
      </c>
      <c r="G545" s="1755"/>
      <c r="H545" s="1745"/>
      <c r="I545" s="1745"/>
      <c r="J545" s="1745"/>
      <c r="K545" s="1745"/>
      <c r="L545" s="1745"/>
      <c r="M545" s="1745"/>
      <c r="N545" s="1745"/>
      <c r="O545" s="1746"/>
      <c r="P545" s="1746"/>
      <c r="Q545" s="1745"/>
      <c r="R545" s="1745"/>
      <c r="S545" s="1745"/>
      <c r="T545" s="1745"/>
      <c r="U545" s="989">
        <f t="shared" si="72"/>
        <v>681134</v>
      </c>
      <c r="V545" s="547">
        <v>681134</v>
      </c>
      <c r="W545" s="1264">
        <f t="shared" si="75"/>
        <v>1</v>
      </c>
      <c r="X545" s="547">
        <f t="shared" si="76"/>
        <v>1</v>
      </c>
      <c r="Y545" s="566"/>
      <c r="Z545" s="567"/>
      <c r="AA545" s="989">
        <f t="shared" si="73"/>
        <v>681134</v>
      </c>
      <c r="AB545" s="812">
        <f t="shared" si="74"/>
        <v>1</v>
      </c>
    </row>
    <row r="546" spans="1:28" ht="27" hidden="1" customHeight="1">
      <c r="A546" s="531"/>
      <c r="B546" s="531">
        <v>204</v>
      </c>
      <c r="C546" s="529">
        <v>5</v>
      </c>
      <c r="D546" s="530" t="s">
        <v>747</v>
      </c>
      <c r="E546" s="1028" t="s">
        <v>746</v>
      </c>
      <c r="F546" s="1580">
        <v>-210504957790</v>
      </c>
      <c r="G546" s="1758">
        <v>-31668786514</v>
      </c>
      <c r="H546" s="1758"/>
      <c r="I546" s="1745"/>
      <c r="J546" s="1760"/>
      <c r="K546" s="1745"/>
      <c r="L546" s="1745"/>
      <c r="M546" s="1745"/>
      <c r="N546" s="1745"/>
      <c r="O546" s="1746"/>
      <c r="P546" s="1746"/>
      <c r="Q546" s="1745"/>
      <c r="R546" s="1745"/>
      <c r="S546" s="1745"/>
      <c r="T546" s="1745"/>
      <c r="U546" s="989">
        <f t="shared" si="72"/>
        <v>-242173744304</v>
      </c>
      <c r="V546" s="547">
        <v>-96088451845</v>
      </c>
      <c r="W546" s="1264">
        <f>ROUND((U546/1000000),0)</f>
        <v>-242174</v>
      </c>
      <c r="X546" s="547">
        <f t="shared" si="76"/>
        <v>-96088</v>
      </c>
      <c r="Y546" s="566"/>
      <c r="Z546" s="567"/>
      <c r="AA546" s="989">
        <f t="shared" si="73"/>
        <v>-242173744304</v>
      </c>
      <c r="AB546" s="812">
        <f t="shared" si="74"/>
        <v>-242174</v>
      </c>
    </row>
    <row r="547" spans="1:28" ht="27" hidden="1" customHeight="1">
      <c r="A547" s="531"/>
      <c r="B547" s="531"/>
      <c r="C547" s="529">
        <v>19</v>
      </c>
      <c r="D547" s="530" t="s">
        <v>852</v>
      </c>
      <c r="E547" s="1028" t="s">
        <v>1040</v>
      </c>
      <c r="F547" s="1576"/>
      <c r="G547" s="1755"/>
      <c r="H547" s="1745"/>
      <c r="I547" s="1745"/>
      <c r="J547" s="1746"/>
      <c r="K547" s="1745"/>
      <c r="L547" s="1745"/>
      <c r="M547" s="1745"/>
      <c r="N547" s="1745"/>
      <c r="O547" s="1746"/>
      <c r="P547" s="1746"/>
      <c r="Q547" s="1745"/>
      <c r="R547" s="1745"/>
      <c r="S547" s="1745"/>
      <c r="T547" s="1745"/>
      <c r="U547" s="989">
        <f t="shared" si="72"/>
        <v>0</v>
      </c>
      <c r="V547" s="547">
        <v>0</v>
      </c>
      <c r="W547" s="1264">
        <f t="shared" si="75"/>
        <v>0</v>
      </c>
      <c r="X547" s="547">
        <f t="shared" si="76"/>
        <v>0</v>
      </c>
      <c r="Y547" s="566"/>
      <c r="Z547" s="567"/>
      <c r="AA547" s="989">
        <f t="shared" si="73"/>
        <v>0</v>
      </c>
      <c r="AB547" s="812">
        <f t="shared" si="74"/>
        <v>0</v>
      </c>
    </row>
    <row r="548" spans="1:28" ht="27" hidden="1" customHeight="1">
      <c r="A548" s="531"/>
      <c r="B548" s="531"/>
      <c r="C548" s="529">
        <v>19</v>
      </c>
      <c r="D548" s="530" t="s">
        <v>613</v>
      </c>
      <c r="E548" s="1028" t="s">
        <v>614</v>
      </c>
      <c r="F548" s="1579">
        <v>9952462781527</v>
      </c>
      <c r="G548" s="1755"/>
      <c r="H548" s="1745"/>
      <c r="I548" s="1745"/>
      <c r="J548" s="1746"/>
      <c r="K548" s="1745"/>
      <c r="L548" s="1745"/>
      <c r="M548" s="1745"/>
      <c r="N548" s="1745"/>
      <c r="O548" s="1746"/>
      <c r="P548" s="1746"/>
      <c r="Q548" s="1745"/>
      <c r="R548" s="1745"/>
      <c r="S548" s="1745"/>
      <c r="T548" s="1745"/>
      <c r="U548" s="989">
        <f t="shared" si="72"/>
        <v>9952462781527</v>
      </c>
      <c r="V548" s="547">
        <v>16104821937159</v>
      </c>
      <c r="W548" s="1264">
        <f t="shared" si="75"/>
        <v>9952463</v>
      </c>
      <c r="X548" s="547">
        <f t="shared" si="76"/>
        <v>16104822</v>
      </c>
      <c r="Y548" s="566"/>
      <c r="Z548" s="567"/>
      <c r="AA548" s="989">
        <f t="shared" si="73"/>
        <v>9952462781527</v>
      </c>
      <c r="AB548" s="812">
        <f t="shared" si="74"/>
        <v>9952463</v>
      </c>
    </row>
    <row r="549" spans="1:28" ht="27" hidden="1" customHeight="1">
      <c r="A549" s="531"/>
      <c r="B549" s="531">
        <v>401</v>
      </c>
      <c r="C549" s="529">
        <v>11</v>
      </c>
      <c r="D549" s="530" t="s">
        <v>487</v>
      </c>
      <c r="E549" s="1028" t="s">
        <v>663</v>
      </c>
      <c r="F549" s="1576"/>
      <c r="G549" s="1755"/>
      <c r="H549" s="1745"/>
      <c r="I549" s="1745"/>
      <c r="J549" s="1745"/>
      <c r="K549" s="1745"/>
      <c r="L549" s="1745"/>
      <c r="M549" s="1745"/>
      <c r="N549" s="1745"/>
      <c r="O549" s="1746"/>
      <c r="P549" s="1746"/>
      <c r="Q549" s="1745"/>
      <c r="R549" s="1745"/>
      <c r="S549" s="1745"/>
      <c r="T549" s="1745"/>
      <c r="U549" s="989">
        <f t="shared" si="72"/>
        <v>0</v>
      </c>
      <c r="V549" s="547">
        <v>0</v>
      </c>
      <c r="W549" s="1264">
        <f t="shared" si="75"/>
        <v>0</v>
      </c>
      <c r="X549" s="547">
        <f t="shared" si="76"/>
        <v>0</v>
      </c>
      <c r="Y549" s="566"/>
      <c r="Z549" s="567"/>
      <c r="AA549" s="989">
        <f t="shared" si="73"/>
        <v>0</v>
      </c>
      <c r="AB549" s="812">
        <f t="shared" si="74"/>
        <v>0</v>
      </c>
    </row>
    <row r="550" spans="1:28" ht="27" hidden="1" customHeight="1">
      <c r="A550" s="531"/>
      <c r="B550" s="531">
        <v>406</v>
      </c>
      <c r="C550" s="529">
        <v>11</v>
      </c>
      <c r="D550" s="530" t="s">
        <v>1540</v>
      </c>
      <c r="E550" s="1028" t="s">
        <v>1547</v>
      </c>
      <c r="F550" s="547">
        <v>5567830</v>
      </c>
      <c r="G550" s="1755"/>
      <c r="H550" s="1745"/>
      <c r="I550" s="1745"/>
      <c r="J550" s="1745"/>
      <c r="K550" s="1745"/>
      <c r="L550" s="1745"/>
      <c r="M550" s="1745"/>
      <c r="N550" s="1745"/>
      <c r="O550" s="1746"/>
      <c r="P550" s="1746"/>
      <c r="Q550" s="1745"/>
      <c r="R550" s="1745"/>
      <c r="S550" s="1745"/>
      <c r="T550" s="1745"/>
      <c r="U550" s="989">
        <f t="shared" si="72"/>
        <v>5567830</v>
      </c>
      <c r="V550" s="547">
        <v>5567830</v>
      </c>
      <c r="W550" s="1264">
        <f t="shared" si="75"/>
        <v>6</v>
      </c>
      <c r="X550" s="547">
        <f t="shared" si="76"/>
        <v>6</v>
      </c>
      <c r="Y550" s="566"/>
      <c r="Z550" s="567"/>
      <c r="AA550" s="989">
        <f t="shared" si="73"/>
        <v>5567830</v>
      </c>
      <c r="AB550" s="812">
        <f t="shared" si="74"/>
        <v>6</v>
      </c>
    </row>
    <row r="551" spans="1:28" ht="27" hidden="1" customHeight="1">
      <c r="A551" s="531"/>
      <c r="B551" s="531">
        <v>401</v>
      </c>
      <c r="C551" s="529">
        <v>11</v>
      </c>
      <c r="D551" s="530" t="s">
        <v>846</v>
      </c>
      <c r="E551" s="1028" t="s">
        <v>847</v>
      </c>
      <c r="F551" s="1576"/>
      <c r="G551" s="1755"/>
      <c r="H551" s="1745"/>
      <c r="I551" s="1745"/>
      <c r="J551" s="1745"/>
      <c r="K551" s="1745"/>
      <c r="L551" s="1745"/>
      <c r="M551" s="1745"/>
      <c r="N551" s="1745"/>
      <c r="O551" s="1746"/>
      <c r="P551" s="1746"/>
      <c r="Q551" s="1745"/>
      <c r="R551" s="1745"/>
      <c r="S551" s="1745"/>
      <c r="T551" s="1745"/>
      <c r="U551" s="989">
        <f t="shared" si="72"/>
        <v>0</v>
      </c>
      <c r="V551" s="547">
        <v>0</v>
      </c>
      <c r="W551" s="1264">
        <f t="shared" si="75"/>
        <v>0</v>
      </c>
      <c r="X551" s="547">
        <f t="shared" si="76"/>
        <v>0</v>
      </c>
      <c r="Y551" s="566"/>
      <c r="Z551" s="567"/>
      <c r="AA551" s="989">
        <f t="shared" si="73"/>
        <v>0</v>
      </c>
      <c r="AB551" s="812">
        <f t="shared" si="74"/>
        <v>0</v>
      </c>
    </row>
    <row r="552" spans="1:28" ht="27" hidden="1" customHeight="1">
      <c r="A552" s="531"/>
      <c r="B552" s="531">
        <v>400</v>
      </c>
      <c r="C552" s="529">
        <v>11</v>
      </c>
      <c r="D552" s="530" t="s">
        <v>1329</v>
      </c>
      <c r="E552" s="1028" t="s">
        <v>1570</v>
      </c>
      <c r="F552" s="1579">
        <v>1400010920257</v>
      </c>
      <c r="G552" s="1755"/>
      <c r="H552" s="1745"/>
      <c r="I552" s="1745"/>
      <c r="J552" s="1745"/>
      <c r="K552" s="1745"/>
      <c r="L552" s="1745"/>
      <c r="M552" s="1745"/>
      <c r="N552" s="1745"/>
      <c r="O552" s="1746"/>
      <c r="P552" s="1746"/>
      <c r="Q552" s="1745"/>
      <c r="R552" s="1745"/>
      <c r="S552" s="1745"/>
      <c r="T552" s="1745"/>
      <c r="U552" s="989">
        <f t="shared" si="72"/>
        <v>1400010920257</v>
      </c>
      <c r="V552" s="547">
        <v>1147100430297</v>
      </c>
      <c r="W552" s="1264">
        <f t="shared" si="75"/>
        <v>1400011</v>
      </c>
      <c r="X552" s="547">
        <f t="shared" si="76"/>
        <v>1147100</v>
      </c>
      <c r="Y552" s="566"/>
      <c r="Z552" s="567"/>
      <c r="AA552" s="989">
        <f t="shared" si="73"/>
        <v>1400010920257</v>
      </c>
      <c r="AB552" s="812">
        <f t="shared" si="74"/>
        <v>1400011</v>
      </c>
    </row>
    <row r="553" spans="1:28" ht="27" hidden="1" customHeight="1">
      <c r="A553" s="1742"/>
      <c r="B553" s="1742">
        <v>1001</v>
      </c>
      <c r="C553" s="1743">
        <v>17</v>
      </c>
      <c r="D553" s="1753" t="s">
        <v>1245</v>
      </c>
      <c r="E553" s="1754" t="s">
        <v>2231</v>
      </c>
      <c r="F553" s="1756">
        <v>-2780656042</v>
      </c>
      <c r="G553" s="1755"/>
      <c r="H553" s="1745"/>
      <c r="I553" s="1745"/>
      <c r="J553" s="1745"/>
      <c r="K553" s="1745"/>
      <c r="L553" s="1745"/>
      <c r="M553" s="1745"/>
      <c r="N553" s="1745"/>
      <c r="O553" s="1746"/>
      <c r="P553" s="1746"/>
      <c r="Q553" s="1745"/>
      <c r="R553" s="1745"/>
      <c r="S553" s="1745"/>
      <c r="T553" s="1745"/>
      <c r="U553" s="989">
        <f t="shared" si="72"/>
        <v>-2780656042</v>
      </c>
      <c r="V553" s="547">
        <v>-2780656042</v>
      </c>
      <c r="W553" s="1264">
        <f t="shared" si="75"/>
        <v>-2781</v>
      </c>
      <c r="X553" s="547">
        <f t="shared" si="76"/>
        <v>-2781</v>
      </c>
      <c r="Y553" s="1747"/>
      <c r="Z553" s="1748"/>
      <c r="AA553" s="989">
        <f t="shared" si="73"/>
        <v>-2780656042</v>
      </c>
      <c r="AB553" s="812">
        <f t="shared" si="74"/>
        <v>-2781</v>
      </c>
    </row>
    <row r="554" spans="1:28" ht="27" hidden="1" customHeight="1">
      <c r="A554" s="531"/>
      <c r="B554" s="531"/>
      <c r="C554" s="529">
        <v>11</v>
      </c>
      <c r="D554" s="530" t="s">
        <v>841</v>
      </c>
      <c r="E554" s="1028" t="s">
        <v>1244</v>
      </c>
      <c r="F554" s="1576"/>
      <c r="G554" s="1755"/>
      <c r="H554" s="1745"/>
      <c r="I554" s="1745"/>
      <c r="J554" s="1745"/>
      <c r="K554" s="1745"/>
      <c r="L554" s="1745"/>
      <c r="M554" s="1745"/>
      <c r="N554" s="1745"/>
      <c r="O554" s="1746"/>
      <c r="P554" s="1746"/>
      <c r="Q554" s="1745"/>
      <c r="R554" s="1745"/>
      <c r="S554" s="1745"/>
      <c r="T554" s="1745"/>
      <c r="U554" s="989">
        <f t="shared" si="72"/>
        <v>0</v>
      </c>
      <c r="V554" s="547">
        <v>0</v>
      </c>
      <c r="W554" s="1264">
        <f t="shared" si="75"/>
        <v>0</v>
      </c>
      <c r="X554" s="547">
        <f t="shared" si="76"/>
        <v>0</v>
      </c>
      <c r="Y554" s="566"/>
      <c r="Z554" s="567"/>
      <c r="AA554" s="989">
        <f t="shared" si="73"/>
        <v>0</v>
      </c>
      <c r="AB554" s="812">
        <f t="shared" si="74"/>
        <v>0</v>
      </c>
    </row>
    <row r="555" spans="1:28" ht="27" hidden="1" customHeight="1">
      <c r="A555" s="531"/>
      <c r="B555" s="531">
        <v>0</v>
      </c>
      <c r="C555" s="529">
        <v>15</v>
      </c>
      <c r="D555" s="530" t="s">
        <v>615</v>
      </c>
      <c r="E555" s="1028" t="s">
        <v>616</v>
      </c>
      <c r="F555" s="547">
        <v>-473188</v>
      </c>
      <c r="G555" s="1755"/>
      <c r="H555" s="1745"/>
      <c r="I555" s="1745"/>
      <c r="J555" s="1746"/>
      <c r="K555" s="1745"/>
      <c r="L555" s="1745"/>
      <c r="M555" s="1745"/>
      <c r="N555" s="1745"/>
      <c r="O555" s="1746"/>
      <c r="P555" s="1746"/>
      <c r="Q555" s="1745"/>
      <c r="R555" s="1745"/>
      <c r="S555" s="1745"/>
      <c r="T555" s="1745"/>
      <c r="U555" s="989">
        <f t="shared" si="72"/>
        <v>-473188</v>
      </c>
      <c r="V555" s="547">
        <v>-473188</v>
      </c>
      <c r="W555" s="1264">
        <f t="shared" si="75"/>
        <v>0</v>
      </c>
      <c r="X555" s="547">
        <f t="shared" si="76"/>
        <v>0</v>
      </c>
      <c r="Y555" s="566"/>
      <c r="Z555" s="567"/>
      <c r="AA555" s="989">
        <f t="shared" si="73"/>
        <v>-473188</v>
      </c>
      <c r="AB555" s="812">
        <f t="shared" si="74"/>
        <v>0</v>
      </c>
    </row>
    <row r="556" spans="1:28" ht="27" hidden="1" customHeight="1">
      <c r="A556" s="531"/>
      <c r="B556" s="531"/>
      <c r="C556" s="529">
        <v>20</v>
      </c>
      <c r="D556" s="1575" t="s">
        <v>617</v>
      </c>
      <c r="E556" s="1028" t="s">
        <v>618</v>
      </c>
      <c r="F556" s="1579">
        <v>9052021806465</v>
      </c>
      <c r="G556" s="1758">
        <v>636746685306</v>
      </c>
      <c r="H556" s="1745"/>
      <c r="I556" s="1745">
        <v>621949025</v>
      </c>
      <c r="J556" s="1746"/>
      <c r="K556" s="1745"/>
      <c r="L556" s="1745"/>
      <c r="M556" s="1745"/>
      <c r="N556" s="1745"/>
      <c r="O556" s="1746"/>
      <c r="P556" s="1746"/>
      <c r="Q556" s="1745"/>
      <c r="R556" s="1745"/>
      <c r="S556" s="1745"/>
      <c r="T556" s="1745"/>
      <c r="U556" s="989">
        <f t="shared" si="72"/>
        <v>9689390440796</v>
      </c>
      <c r="V556" s="547">
        <v>5343985407247</v>
      </c>
      <c r="W556" s="1264">
        <f t="shared" si="75"/>
        <v>9689390</v>
      </c>
      <c r="X556" s="547">
        <f t="shared" si="76"/>
        <v>5343985</v>
      </c>
      <c r="Y556" s="566"/>
      <c r="Z556" s="567"/>
      <c r="AA556" s="989">
        <f t="shared" si="73"/>
        <v>9689390440796</v>
      </c>
      <c r="AB556" s="812">
        <f t="shared" si="74"/>
        <v>9689390</v>
      </c>
    </row>
    <row r="557" spans="1:28" ht="27" hidden="1" customHeight="1">
      <c r="A557" s="531">
        <v>3214</v>
      </c>
      <c r="B557" s="531"/>
      <c r="C557" s="529">
        <v>20</v>
      </c>
      <c r="D557" s="1575" t="s">
        <v>1202</v>
      </c>
      <c r="E557" s="1028" t="s">
        <v>1203</v>
      </c>
      <c r="F557" s="1576"/>
      <c r="G557" s="1755"/>
      <c r="H557" s="1745"/>
      <c r="I557" s="1745"/>
      <c r="J557" s="1746"/>
      <c r="K557" s="1745"/>
      <c r="L557" s="1745"/>
      <c r="M557" s="1745"/>
      <c r="N557" s="1745"/>
      <c r="O557" s="1760"/>
      <c r="P557" s="1746"/>
      <c r="Q557" s="1745"/>
      <c r="R557" s="1745"/>
      <c r="S557" s="1745"/>
      <c r="T557" s="1745"/>
      <c r="U557" s="989">
        <f t="shared" si="72"/>
        <v>0</v>
      </c>
      <c r="V557" s="547">
        <v>0</v>
      </c>
      <c r="W557" s="1264">
        <f t="shared" si="75"/>
        <v>0</v>
      </c>
      <c r="X557" s="547">
        <f t="shared" si="76"/>
        <v>0</v>
      </c>
      <c r="Y557" s="566"/>
      <c r="Z557" s="567"/>
      <c r="AA557" s="989">
        <f t="shared" si="73"/>
        <v>0</v>
      </c>
      <c r="AB557" s="812">
        <f t="shared" si="74"/>
        <v>0</v>
      </c>
    </row>
    <row r="558" spans="1:28" ht="27" hidden="1" customHeight="1">
      <c r="A558" s="531"/>
      <c r="B558" s="531"/>
      <c r="C558" s="529">
        <v>20</v>
      </c>
      <c r="D558" s="1575" t="s">
        <v>619</v>
      </c>
      <c r="E558" s="1028" t="s">
        <v>620</v>
      </c>
      <c r="F558" s="1580">
        <v>-9052021806465</v>
      </c>
      <c r="G558" s="1758">
        <v>-636746685306</v>
      </c>
      <c r="H558" s="1745"/>
      <c r="I558" s="1745">
        <v>-621949025</v>
      </c>
      <c r="J558" s="1746"/>
      <c r="K558" s="1745"/>
      <c r="L558" s="1745"/>
      <c r="M558" s="1745"/>
      <c r="N558" s="1745"/>
      <c r="O558" s="1746"/>
      <c r="P558" s="1746"/>
      <c r="Q558" s="1745"/>
      <c r="R558" s="1745"/>
      <c r="S558" s="1745"/>
      <c r="T558" s="1745"/>
      <c r="U558" s="989">
        <f t="shared" si="72"/>
        <v>-9689390440796</v>
      </c>
      <c r="V558" s="547">
        <v>-5343985407247</v>
      </c>
      <c r="W558" s="1264">
        <f t="shared" si="75"/>
        <v>-9689390</v>
      </c>
      <c r="X558" s="547">
        <f t="shared" si="76"/>
        <v>-5343985</v>
      </c>
      <c r="Y558" s="566"/>
      <c r="Z558" s="567"/>
      <c r="AA558" s="989">
        <f t="shared" si="73"/>
        <v>-9689390440796</v>
      </c>
      <c r="AB558" s="812">
        <f t="shared" si="74"/>
        <v>-9689390</v>
      </c>
    </row>
    <row r="559" spans="1:28" ht="27" hidden="1" customHeight="1">
      <c r="A559" s="531"/>
      <c r="B559" s="531"/>
      <c r="C559" s="529">
        <v>20</v>
      </c>
      <c r="D559" s="1575" t="s">
        <v>1204</v>
      </c>
      <c r="E559" s="1028" t="s">
        <v>1205</v>
      </c>
      <c r="F559" s="1576"/>
      <c r="G559" s="1755"/>
      <c r="H559" s="1745"/>
      <c r="I559" s="1745"/>
      <c r="J559" s="1746"/>
      <c r="K559" s="1745"/>
      <c r="L559" s="1745"/>
      <c r="M559" s="1745"/>
      <c r="N559" s="1745"/>
      <c r="O559" s="1760"/>
      <c r="P559" s="1746"/>
      <c r="Q559" s="1745"/>
      <c r="R559" s="1745"/>
      <c r="S559" s="1745"/>
      <c r="T559" s="1745"/>
      <c r="U559" s="989">
        <f t="shared" si="72"/>
        <v>0</v>
      </c>
      <c r="V559" s="547">
        <v>0</v>
      </c>
      <c r="W559" s="1264">
        <f t="shared" si="75"/>
        <v>0</v>
      </c>
      <c r="X559" s="547">
        <f t="shared" si="76"/>
        <v>0</v>
      </c>
      <c r="Y559" s="566"/>
      <c r="Z559" s="567"/>
      <c r="AA559" s="989">
        <f t="shared" si="73"/>
        <v>0</v>
      </c>
      <c r="AB559" s="812">
        <f t="shared" si="74"/>
        <v>0</v>
      </c>
    </row>
    <row r="560" spans="1:28" ht="27" hidden="1" customHeight="1">
      <c r="A560" s="1742">
        <v>3214</v>
      </c>
      <c r="B560" s="1742">
        <v>906</v>
      </c>
      <c r="C560" s="1743">
        <v>8</v>
      </c>
      <c r="D560" s="1777" t="s">
        <v>2426</v>
      </c>
      <c r="E560" s="1754" t="s">
        <v>2427</v>
      </c>
      <c r="F560" s="1755"/>
      <c r="G560" s="1755"/>
      <c r="H560" s="1745"/>
      <c r="I560" s="1745"/>
      <c r="J560" s="1746"/>
      <c r="K560" s="1745"/>
      <c r="L560" s="1745"/>
      <c r="M560" s="1745"/>
      <c r="N560" s="1745"/>
      <c r="O560" s="1746"/>
      <c r="P560" s="1746"/>
      <c r="Q560" s="1745"/>
      <c r="R560" s="1745"/>
      <c r="S560" s="1745"/>
      <c r="T560" s="1745"/>
      <c r="U560" s="989">
        <f t="shared" si="72"/>
        <v>0</v>
      </c>
      <c r="V560" s="1745">
        <v>4364910847493</v>
      </c>
      <c r="W560" s="1264">
        <f t="shared" si="75"/>
        <v>0</v>
      </c>
      <c r="X560" s="547">
        <f t="shared" si="76"/>
        <v>4364911</v>
      </c>
      <c r="Y560" s="1747"/>
      <c r="Z560" s="1748"/>
      <c r="AA560" s="989">
        <f t="shared" si="73"/>
        <v>0</v>
      </c>
      <c r="AB560" s="812">
        <f t="shared" si="74"/>
        <v>0</v>
      </c>
    </row>
    <row r="561" spans="1:28" ht="27" hidden="1" customHeight="1">
      <c r="A561" s="531">
        <v>3214</v>
      </c>
      <c r="B561" s="531"/>
      <c r="C561" s="529">
        <v>20</v>
      </c>
      <c r="D561" s="1575" t="s">
        <v>617</v>
      </c>
      <c r="E561" s="1028" t="s">
        <v>1618</v>
      </c>
      <c r="F561" s="1576"/>
      <c r="G561" s="1755"/>
      <c r="H561" s="1745"/>
      <c r="I561" s="1745"/>
      <c r="J561" s="1746"/>
      <c r="K561" s="1745"/>
      <c r="L561" s="1745"/>
      <c r="M561" s="1745"/>
      <c r="N561" s="1745"/>
      <c r="O561" s="1746"/>
      <c r="P561" s="1746"/>
      <c r="Q561" s="1745"/>
      <c r="R561" s="1745"/>
      <c r="S561" s="1745"/>
      <c r="T561" s="1745"/>
      <c r="U561" s="989">
        <f t="shared" si="72"/>
        <v>0</v>
      </c>
      <c r="V561" s="547">
        <v>33885932352529</v>
      </c>
      <c r="W561" s="1264">
        <f t="shared" si="75"/>
        <v>0</v>
      </c>
      <c r="X561" s="547">
        <f t="shared" si="76"/>
        <v>33885932</v>
      </c>
      <c r="Y561" s="566"/>
      <c r="Z561" s="567"/>
      <c r="AA561" s="989">
        <f t="shared" si="73"/>
        <v>0</v>
      </c>
      <c r="AB561" s="812">
        <f t="shared" si="74"/>
        <v>0</v>
      </c>
    </row>
    <row r="562" spans="1:28" ht="27" hidden="1" customHeight="1">
      <c r="A562" s="531">
        <v>3214</v>
      </c>
      <c r="B562" s="531"/>
      <c r="C562" s="529">
        <v>20</v>
      </c>
      <c r="D562" s="1575" t="s">
        <v>1202</v>
      </c>
      <c r="E562" s="1028" t="s">
        <v>1619</v>
      </c>
      <c r="F562" s="1576"/>
      <c r="G562" s="1755"/>
      <c r="H562" s="1745"/>
      <c r="I562" s="1745"/>
      <c r="J562" s="1746"/>
      <c r="K562" s="1745"/>
      <c r="L562" s="1745"/>
      <c r="M562" s="1745"/>
      <c r="N562" s="1745"/>
      <c r="O562" s="1746"/>
      <c r="P562" s="1746"/>
      <c r="Q562" s="1745"/>
      <c r="R562" s="1745"/>
      <c r="S562" s="1745"/>
      <c r="T562" s="1745"/>
      <c r="U562" s="989">
        <f t="shared" si="72"/>
        <v>0</v>
      </c>
      <c r="V562" s="547">
        <v>3421296166786</v>
      </c>
      <c r="W562" s="1264">
        <f t="shared" si="75"/>
        <v>0</v>
      </c>
      <c r="X562" s="547">
        <f t="shared" si="76"/>
        <v>3421296</v>
      </c>
      <c r="Y562" s="566"/>
      <c r="Z562" s="567"/>
      <c r="AA562" s="989">
        <f t="shared" si="73"/>
        <v>0</v>
      </c>
      <c r="AB562" s="812">
        <f t="shared" si="74"/>
        <v>0</v>
      </c>
    </row>
    <row r="563" spans="1:28" ht="27" hidden="1" customHeight="1">
      <c r="A563" s="531">
        <v>3214</v>
      </c>
      <c r="B563" s="531"/>
      <c r="C563" s="529">
        <v>20</v>
      </c>
      <c r="D563" s="1575" t="s">
        <v>619</v>
      </c>
      <c r="E563" s="1028" t="s">
        <v>1620</v>
      </c>
      <c r="F563" s="1576"/>
      <c r="G563" s="1755"/>
      <c r="H563" s="1745"/>
      <c r="I563" s="1745"/>
      <c r="J563" s="1746"/>
      <c r="K563" s="1745"/>
      <c r="L563" s="1745"/>
      <c r="M563" s="1745"/>
      <c r="N563" s="1745"/>
      <c r="O563" s="1746"/>
      <c r="P563" s="1746"/>
      <c r="Q563" s="1745"/>
      <c r="R563" s="1745"/>
      <c r="S563" s="1745"/>
      <c r="T563" s="1745"/>
      <c r="U563" s="989">
        <f t="shared" si="72"/>
        <v>0</v>
      </c>
      <c r="V563" s="547">
        <v>-33885932352529</v>
      </c>
      <c r="W563" s="1264">
        <f t="shared" si="75"/>
        <v>0</v>
      </c>
      <c r="X563" s="547">
        <f t="shared" si="76"/>
        <v>-33885932</v>
      </c>
      <c r="Y563" s="566"/>
      <c r="Z563" s="567"/>
      <c r="AA563" s="989">
        <f t="shared" si="73"/>
        <v>0</v>
      </c>
      <c r="AB563" s="812">
        <f t="shared" si="74"/>
        <v>0</v>
      </c>
    </row>
    <row r="564" spans="1:28" ht="27" hidden="1" customHeight="1">
      <c r="A564" s="531">
        <v>3214</v>
      </c>
      <c r="B564" s="531"/>
      <c r="C564" s="529">
        <v>20</v>
      </c>
      <c r="D564" s="1575" t="s">
        <v>1204</v>
      </c>
      <c r="E564" s="1028" t="s">
        <v>1621</v>
      </c>
      <c r="F564" s="1576"/>
      <c r="G564" s="1755"/>
      <c r="H564" s="1745"/>
      <c r="I564" s="1745"/>
      <c r="J564" s="1746"/>
      <c r="K564" s="1745"/>
      <c r="L564" s="1745"/>
      <c r="M564" s="1745"/>
      <c r="N564" s="1745"/>
      <c r="O564" s="1746"/>
      <c r="P564" s="1746"/>
      <c r="Q564" s="1745"/>
      <c r="R564" s="1745"/>
      <c r="S564" s="1745"/>
      <c r="T564" s="1745"/>
      <c r="U564" s="989">
        <f t="shared" si="72"/>
        <v>0</v>
      </c>
      <c r="V564" s="547">
        <v>-3421296166786</v>
      </c>
      <c r="W564" s="1264">
        <f t="shared" si="75"/>
        <v>0</v>
      </c>
      <c r="X564" s="547">
        <f t="shared" si="76"/>
        <v>-3421296</v>
      </c>
      <c r="Y564" s="566"/>
      <c r="Z564" s="567"/>
      <c r="AA564" s="989">
        <f t="shared" ref="AA564:AA592" si="77">U564+Z564-Y564</f>
        <v>0</v>
      </c>
      <c r="AB564" s="812">
        <f t="shared" ref="AB564:AB592" si="78">ROUND((AA564/1000000),0)</f>
        <v>0</v>
      </c>
    </row>
    <row r="565" spans="1:28" ht="27" hidden="1" customHeight="1">
      <c r="A565" s="531"/>
      <c r="B565" s="531">
        <v>501</v>
      </c>
      <c r="C565" s="529">
        <v>13</v>
      </c>
      <c r="D565" s="530" t="s">
        <v>1266</v>
      </c>
      <c r="E565" s="1028" t="s">
        <v>1267</v>
      </c>
      <c r="F565" s="1576"/>
      <c r="G565" s="1755"/>
      <c r="H565" s="1745"/>
      <c r="I565" s="1745"/>
      <c r="J565" s="1746"/>
      <c r="K565" s="1745"/>
      <c r="L565" s="1745"/>
      <c r="M565" s="1745"/>
      <c r="N565" s="1745"/>
      <c r="O565" s="1746"/>
      <c r="P565" s="1746"/>
      <c r="Q565" s="1745"/>
      <c r="R565" s="1745"/>
      <c r="S565" s="1745"/>
      <c r="T565" s="1745"/>
      <c r="U565" s="989">
        <f t="shared" si="72"/>
        <v>0</v>
      </c>
      <c r="V565" s="547">
        <v>0</v>
      </c>
      <c r="W565" s="1264">
        <f t="shared" si="75"/>
        <v>0</v>
      </c>
      <c r="X565" s="547">
        <f t="shared" si="76"/>
        <v>0</v>
      </c>
      <c r="Y565" s="566"/>
      <c r="Z565" s="567"/>
      <c r="AA565" s="989">
        <f t="shared" si="77"/>
        <v>0</v>
      </c>
      <c r="AB565" s="812">
        <f t="shared" si="78"/>
        <v>0</v>
      </c>
    </row>
    <row r="566" spans="1:28" ht="27" hidden="1" customHeight="1">
      <c r="A566" s="531"/>
      <c r="B566" s="531">
        <v>406</v>
      </c>
      <c r="C566" s="529">
        <v>11</v>
      </c>
      <c r="D566" s="530" t="s">
        <v>1541</v>
      </c>
      <c r="E566" s="1028" t="s">
        <v>1548</v>
      </c>
      <c r="F566" s="1579">
        <v>10680883</v>
      </c>
      <c r="G566" s="1755"/>
      <c r="H566" s="1745"/>
      <c r="I566" s="1745"/>
      <c r="J566" s="1745"/>
      <c r="K566" s="1745"/>
      <c r="L566" s="1745"/>
      <c r="M566" s="1745"/>
      <c r="N566" s="1745"/>
      <c r="O566" s="1746"/>
      <c r="P566" s="1746"/>
      <c r="Q566" s="1745"/>
      <c r="R566" s="1745"/>
      <c r="S566" s="1745"/>
      <c r="T566" s="1745"/>
      <c r="U566" s="989">
        <f t="shared" si="72"/>
        <v>10680883</v>
      </c>
      <c r="V566" s="547">
        <v>10680883</v>
      </c>
      <c r="W566" s="1264">
        <f t="shared" si="75"/>
        <v>11</v>
      </c>
      <c r="X566" s="547">
        <f t="shared" si="76"/>
        <v>11</v>
      </c>
      <c r="Y566" s="566"/>
      <c r="Z566" s="567"/>
      <c r="AA566" s="989">
        <f t="shared" si="77"/>
        <v>10680883</v>
      </c>
      <c r="AB566" s="812">
        <f t="shared" si="78"/>
        <v>11</v>
      </c>
    </row>
    <row r="567" spans="1:28" ht="27" hidden="1" customHeight="1">
      <c r="A567" s="531"/>
      <c r="B567" s="531">
        <v>406</v>
      </c>
      <c r="C567" s="529">
        <v>11</v>
      </c>
      <c r="D567" s="530" t="s">
        <v>1542</v>
      </c>
      <c r="E567" s="1028" t="s">
        <v>1549</v>
      </c>
      <c r="F567" s="1580">
        <v>9117970</v>
      </c>
      <c r="G567" s="1755"/>
      <c r="H567" s="1745"/>
      <c r="I567" s="1745"/>
      <c r="J567" s="1745"/>
      <c r="K567" s="1745"/>
      <c r="L567" s="1745"/>
      <c r="M567" s="1745"/>
      <c r="N567" s="1745"/>
      <c r="O567" s="1746"/>
      <c r="P567" s="1746"/>
      <c r="Q567" s="1745"/>
      <c r="R567" s="1745"/>
      <c r="S567" s="1745"/>
      <c r="T567" s="1745"/>
      <c r="U567" s="989">
        <f t="shared" si="72"/>
        <v>9117970</v>
      </c>
      <c r="V567" s="547">
        <v>9117970</v>
      </c>
      <c r="W567" s="1264">
        <f t="shared" si="75"/>
        <v>9</v>
      </c>
      <c r="X567" s="547">
        <f t="shared" si="76"/>
        <v>9</v>
      </c>
      <c r="Y567" s="566"/>
      <c r="Z567" s="567"/>
      <c r="AA567" s="989">
        <f t="shared" si="77"/>
        <v>9117970</v>
      </c>
      <c r="AB567" s="812">
        <f t="shared" si="78"/>
        <v>9</v>
      </c>
    </row>
    <row r="568" spans="1:28" ht="27" hidden="1" customHeight="1">
      <c r="A568" s="531"/>
      <c r="B568" s="531">
        <v>406</v>
      </c>
      <c r="C568" s="529">
        <v>11</v>
      </c>
      <c r="D568" s="530" t="s">
        <v>1543</v>
      </c>
      <c r="E568" s="1028" t="s">
        <v>1550</v>
      </c>
      <c r="F568" s="1579">
        <v>1362148</v>
      </c>
      <c r="G568" s="1755"/>
      <c r="H568" s="1745"/>
      <c r="I568" s="1745"/>
      <c r="J568" s="1745"/>
      <c r="K568" s="1745"/>
      <c r="L568" s="1745"/>
      <c r="M568" s="1745"/>
      <c r="N568" s="1745"/>
      <c r="O568" s="1746"/>
      <c r="P568" s="1746"/>
      <c r="Q568" s="1745"/>
      <c r="R568" s="1745"/>
      <c r="S568" s="1745"/>
      <c r="T568" s="1745"/>
      <c r="U568" s="989">
        <f t="shared" si="72"/>
        <v>1362148</v>
      </c>
      <c r="V568" s="547">
        <v>1362148</v>
      </c>
      <c r="W568" s="1264">
        <f t="shared" si="75"/>
        <v>1</v>
      </c>
      <c r="X568" s="547">
        <f t="shared" si="76"/>
        <v>1</v>
      </c>
      <c r="Y568" s="566"/>
      <c r="Z568" s="567"/>
      <c r="AA568" s="989">
        <f t="shared" si="77"/>
        <v>1362148</v>
      </c>
      <c r="AB568" s="812">
        <f t="shared" si="78"/>
        <v>1</v>
      </c>
    </row>
    <row r="569" spans="1:28" ht="27" hidden="1" customHeight="1">
      <c r="A569" s="531"/>
      <c r="B569" s="531">
        <v>406</v>
      </c>
      <c r="C569" s="529">
        <v>11</v>
      </c>
      <c r="D569" s="530" t="s">
        <v>1544</v>
      </c>
      <c r="E569" s="1028" t="s">
        <v>1551</v>
      </c>
      <c r="F569" s="1579">
        <v>6321310</v>
      </c>
      <c r="G569" s="1755"/>
      <c r="H569" s="1745"/>
      <c r="I569" s="1745"/>
      <c r="J569" s="1745"/>
      <c r="K569" s="1745"/>
      <c r="L569" s="1745"/>
      <c r="M569" s="1745"/>
      <c r="N569" s="1745"/>
      <c r="O569" s="1746"/>
      <c r="P569" s="1746"/>
      <c r="Q569" s="1745"/>
      <c r="R569" s="1745"/>
      <c r="S569" s="1745"/>
      <c r="T569" s="1745"/>
      <c r="U569" s="989">
        <f t="shared" si="72"/>
        <v>6321310</v>
      </c>
      <c r="V569" s="547">
        <v>6321310</v>
      </c>
      <c r="W569" s="1264">
        <f>ROUND((U569/1000000),0)</f>
        <v>6</v>
      </c>
      <c r="X569" s="547">
        <f>ROUND((V569/1000000),0)</f>
        <v>6</v>
      </c>
      <c r="Y569" s="566"/>
      <c r="Z569" s="567"/>
      <c r="AA569" s="989">
        <f t="shared" si="77"/>
        <v>6321310</v>
      </c>
      <c r="AB569" s="812">
        <f t="shared" si="78"/>
        <v>6</v>
      </c>
    </row>
    <row r="570" spans="1:28" ht="27" hidden="1" customHeight="1">
      <c r="A570" s="531"/>
      <c r="B570" s="531">
        <v>501</v>
      </c>
      <c r="C570" s="529">
        <v>13</v>
      </c>
      <c r="D570" s="530" t="s">
        <v>1595</v>
      </c>
      <c r="E570" s="1028" t="s">
        <v>1613</v>
      </c>
      <c r="F570" s="1576"/>
      <c r="G570" s="1755"/>
      <c r="H570" s="1745"/>
      <c r="I570" s="1745"/>
      <c r="J570" s="1746"/>
      <c r="K570" s="1745"/>
      <c r="L570" s="1745"/>
      <c r="M570" s="1745"/>
      <c r="N570" s="1745"/>
      <c r="O570" s="1746"/>
      <c r="P570" s="1746"/>
      <c r="Q570" s="1745"/>
      <c r="R570" s="1745"/>
      <c r="S570" s="1745"/>
      <c r="T570" s="1745"/>
      <c r="U570" s="989">
        <f t="shared" si="72"/>
        <v>0</v>
      </c>
      <c r="V570" s="547">
        <v>0</v>
      </c>
      <c r="W570" s="1264">
        <f t="shared" si="75"/>
        <v>0</v>
      </c>
      <c r="X570" s="547">
        <f t="shared" si="76"/>
        <v>0</v>
      </c>
      <c r="Y570" s="566"/>
      <c r="Z570" s="567"/>
      <c r="AA570" s="989">
        <f t="shared" si="77"/>
        <v>0</v>
      </c>
      <c r="AB570" s="812">
        <f t="shared" si="78"/>
        <v>0</v>
      </c>
    </row>
    <row r="571" spans="1:28" ht="27" hidden="1" customHeight="1">
      <c r="A571" s="531"/>
      <c r="B571" s="531">
        <v>501</v>
      </c>
      <c r="C571" s="529">
        <v>13</v>
      </c>
      <c r="D571" s="530" t="s">
        <v>1572</v>
      </c>
      <c r="E571" s="1028" t="s">
        <v>1574</v>
      </c>
      <c r="F571" s="1576"/>
      <c r="G571" s="1755"/>
      <c r="H571" s="1745"/>
      <c r="I571" s="1745"/>
      <c r="J571" s="1746"/>
      <c r="K571" s="1745"/>
      <c r="L571" s="1745"/>
      <c r="M571" s="1745"/>
      <c r="N571" s="1745"/>
      <c r="O571" s="1746"/>
      <c r="P571" s="1746"/>
      <c r="Q571" s="1745"/>
      <c r="R571" s="1745"/>
      <c r="S571" s="1745"/>
      <c r="T571" s="1745"/>
      <c r="U571" s="989">
        <f t="shared" si="72"/>
        <v>0</v>
      </c>
      <c r="V571" s="547">
        <v>0</v>
      </c>
      <c r="W571" s="1264">
        <f t="shared" si="75"/>
        <v>0</v>
      </c>
      <c r="X571" s="547">
        <f t="shared" si="76"/>
        <v>0</v>
      </c>
      <c r="Y571" s="566"/>
      <c r="Z571" s="567"/>
      <c r="AA571" s="989">
        <f t="shared" si="77"/>
        <v>0</v>
      </c>
      <c r="AB571" s="812">
        <f t="shared" si="78"/>
        <v>0</v>
      </c>
    </row>
    <row r="572" spans="1:28" ht="27" hidden="1" customHeight="1">
      <c r="A572" s="531"/>
      <c r="B572" s="531">
        <v>908</v>
      </c>
      <c r="C572" s="529">
        <v>8</v>
      </c>
      <c r="D572" s="530" t="s">
        <v>1573</v>
      </c>
      <c r="E572" s="1028" t="s">
        <v>1575</v>
      </c>
      <c r="F572" s="1576"/>
      <c r="G572" s="1755"/>
      <c r="H572" s="1745"/>
      <c r="I572" s="1745"/>
      <c r="J572" s="1746"/>
      <c r="K572" s="1745"/>
      <c r="L572" s="1745"/>
      <c r="M572" s="1745"/>
      <c r="N572" s="1745"/>
      <c r="O572" s="1746"/>
      <c r="P572" s="1746"/>
      <c r="Q572" s="1745"/>
      <c r="R572" s="1745"/>
      <c r="S572" s="1745"/>
      <c r="T572" s="1745"/>
      <c r="U572" s="989">
        <f t="shared" si="72"/>
        <v>0</v>
      </c>
      <c r="V572" s="547">
        <v>0</v>
      </c>
      <c r="W572" s="1264">
        <f t="shared" ref="W572:W590" si="79">ROUND((U572/1000000),0)</f>
        <v>0</v>
      </c>
      <c r="X572" s="547">
        <f t="shared" si="76"/>
        <v>0</v>
      </c>
      <c r="Y572" s="566"/>
      <c r="Z572" s="567"/>
      <c r="AA572" s="989">
        <f t="shared" si="77"/>
        <v>0</v>
      </c>
      <c r="AB572" s="812">
        <f t="shared" si="78"/>
        <v>0</v>
      </c>
    </row>
    <row r="573" spans="1:28" ht="27" hidden="1" customHeight="1">
      <c r="A573" s="531"/>
      <c r="B573" s="531">
        <v>501</v>
      </c>
      <c r="C573" s="529">
        <v>13</v>
      </c>
      <c r="D573" s="530" t="s">
        <v>593</v>
      </c>
      <c r="E573" s="1028" t="s">
        <v>1614</v>
      </c>
      <c r="F573" s="1576"/>
      <c r="G573" s="1755"/>
      <c r="H573" s="1745"/>
      <c r="I573" s="1745"/>
      <c r="J573" s="1746"/>
      <c r="K573" s="1745"/>
      <c r="L573" s="1745"/>
      <c r="M573" s="1745"/>
      <c r="N573" s="1745"/>
      <c r="O573" s="1746"/>
      <c r="P573" s="1746"/>
      <c r="Q573" s="1745"/>
      <c r="R573" s="1745"/>
      <c r="S573" s="1745"/>
      <c r="T573" s="1745"/>
      <c r="U573" s="989">
        <f t="shared" si="72"/>
        <v>0</v>
      </c>
      <c r="V573" s="547">
        <v>0</v>
      </c>
      <c r="W573" s="1264">
        <f t="shared" si="79"/>
        <v>0</v>
      </c>
      <c r="X573" s="547">
        <f t="shared" si="76"/>
        <v>0</v>
      </c>
      <c r="Y573" s="566"/>
      <c r="Z573" s="567"/>
      <c r="AA573" s="989">
        <f t="shared" si="77"/>
        <v>0</v>
      </c>
      <c r="AB573" s="812">
        <f t="shared" si="78"/>
        <v>0</v>
      </c>
    </row>
    <row r="574" spans="1:28" ht="27" hidden="1" customHeight="1">
      <c r="A574" s="531"/>
      <c r="B574" s="531">
        <v>501</v>
      </c>
      <c r="C574" s="529">
        <v>13</v>
      </c>
      <c r="D574" s="530" t="s">
        <v>101</v>
      </c>
      <c r="E574" s="1028" t="s">
        <v>102</v>
      </c>
      <c r="F574" s="1576"/>
      <c r="G574" s="1755"/>
      <c r="H574" s="1745"/>
      <c r="I574" s="1745"/>
      <c r="J574" s="1746"/>
      <c r="K574" s="1745"/>
      <c r="L574" s="1745"/>
      <c r="M574" s="1745"/>
      <c r="N574" s="1745"/>
      <c r="O574" s="1746"/>
      <c r="P574" s="1746"/>
      <c r="Q574" s="1745"/>
      <c r="R574" s="1745"/>
      <c r="S574" s="1745"/>
      <c r="T574" s="1745"/>
      <c r="U574" s="989">
        <f t="shared" si="72"/>
        <v>0</v>
      </c>
      <c r="V574" s="547">
        <v>0</v>
      </c>
      <c r="W574" s="1264">
        <f t="shared" si="79"/>
        <v>0</v>
      </c>
      <c r="X574" s="547">
        <f t="shared" si="76"/>
        <v>0</v>
      </c>
      <c r="Y574" s="566"/>
      <c r="Z574" s="567"/>
      <c r="AA574" s="989">
        <f t="shared" si="77"/>
        <v>0</v>
      </c>
      <c r="AB574" s="812">
        <f t="shared" si="78"/>
        <v>0</v>
      </c>
    </row>
    <row r="575" spans="1:28" ht="27" hidden="1" customHeight="1">
      <c r="A575" s="531"/>
      <c r="B575" s="531">
        <v>501</v>
      </c>
      <c r="C575" s="529">
        <v>13</v>
      </c>
      <c r="D575" s="530" t="s">
        <v>1599</v>
      </c>
      <c r="E575" s="1028" t="s">
        <v>1600</v>
      </c>
      <c r="F575" s="1576"/>
      <c r="G575" s="1755"/>
      <c r="H575" s="1745"/>
      <c r="I575" s="1745"/>
      <c r="J575" s="1746"/>
      <c r="K575" s="1745"/>
      <c r="L575" s="1745"/>
      <c r="M575" s="1745"/>
      <c r="N575" s="1745"/>
      <c r="O575" s="1746"/>
      <c r="P575" s="1746"/>
      <c r="Q575" s="1745"/>
      <c r="R575" s="1745"/>
      <c r="S575" s="1745"/>
      <c r="T575" s="1745"/>
      <c r="U575" s="989">
        <f t="shared" si="72"/>
        <v>0</v>
      </c>
      <c r="V575" s="547">
        <v>0</v>
      </c>
      <c r="W575" s="1264">
        <f t="shared" si="79"/>
        <v>0</v>
      </c>
      <c r="X575" s="547">
        <f t="shared" si="76"/>
        <v>0</v>
      </c>
      <c r="Y575" s="566"/>
      <c r="Z575" s="567"/>
      <c r="AA575" s="989">
        <f t="shared" si="77"/>
        <v>0</v>
      </c>
      <c r="AB575" s="812">
        <f t="shared" si="78"/>
        <v>0</v>
      </c>
    </row>
    <row r="576" spans="1:28" ht="27" hidden="1" customHeight="1">
      <c r="A576" s="531"/>
      <c r="B576" s="531">
        <v>501</v>
      </c>
      <c r="C576" s="529">
        <v>13</v>
      </c>
      <c r="D576" s="530" t="s">
        <v>1362</v>
      </c>
      <c r="E576" s="1028" t="s">
        <v>1363</v>
      </c>
      <c r="F576" s="1576"/>
      <c r="G576" s="1755"/>
      <c r="H576" s="1745"/>
      <c r="I576" s="1745"/>
      <c r="J576" s="1746"/>
      <c r="K576" s="1745"/>
      <c r="L576" s="1745"/>
      <c r="M576" s="1745"/>
      <c r="N576" s="1745"/>
      <c r="O576" s="1746"/>
      <c r="P576" s="1746"/>
      <c r="Q576" s="1745"/>
      <c r="R576" s="1745"/>
      <c r="S576" s="1745"/>
      <c r="T576" s="1745"/>
      <c r="U576" s="989">
        <f t="shared" si="72"/>
        <v>0</v>
      </c>
      <c r="V576" s="547">
        <v>0</v>
      </c>
      <c r="W576" s="1264">
        <f t="shared" si="79"/>
        <v>0</v>
      </c>
      <c r="X576" s="547">
        <f t="shared" si="76"/>
        <v>0</v>
      </c>
      <c r="Y576" s="566"/>
      <c r="Z576" s="567"/>
      <c r="AA576" s="989">
        <f t="shared" si="77"/>
        <v>0</v>
      </c>
      <c r="AB576" s="812">
        <f t="shared" si="78"/>
        <v>0</v>
      </c>
    </row>
    <row r="577" spans="1:28" ht="27" hidden="1" customHeight="1">
      <c r="A577" s="531"/>
      <c r="B577" s="531">
        <v>501</v>
      </c>
      <c r="C577" s="529">
        <v>13</v>
      </c>
      <c r="D577" s="530" t="s">
        <v>1576</v>
      </c>
      <c r="E577" s="1028" t="s">
        <v>1582</v>
      </c>
      <c r="F577" s="1576"/>
      <c r="G577" s="1755"/>
      <c r="H577" s="1745"/>
      <c r="I577" s="1745"/>
      <c r="J577" s="1746"/>
      <c r="K577" s="1745"/>
      <c r="L577" s="1745"/>
      <c r="M577" s="1745"/>
      <c r="N577" s="1745"/>
      <c r="O577" s="1746"/>
      <c r="P577" s="1746"/>
      <c r="Q577" s="1745"/>
      <c r="R577" s="1745"/>
      <c r="S577" s="1745"/>
      <c r="T577" s="1745"/>
      <c r="U577" s="989">
        <f t="shared" si="72"/>
        <v>0</v>
      </c>
      <c r="V577" s="547">
        <v>0</v>
      </c>
      <c r="W577" s="1264">
        <f t="shared" si="79"/>
        <v>0</v>
      </c>
      <c r="X577" s="547">
        <f t="shared" si="76"/>
        <v>0</v>
      </c>
      <c r="Y577" s="566"/>
      <c r="Z577" s="567"/>
      <c r="AA577" s="989">
        <f t="shared" si="77"/>
        <v>0</v>
      </c>
      <c r="AB577" s="812">
        <f t="shared" si="78"/>
        <v>0</v>
      </c>
    </row>
    <row r="578" spans="1:28" ht="27" hidden="1" customHeight="1">
      <c r="A578" s="531"/>
      <c r="B578" s="531">
        <v>501</v>
      </c>
      <c r="C578" s="529">
        <v>13</v>
      </c>
      <c r="D578" s="530" t="s">
        <v>1577</v>
      </c>
      <c r="E578" s="1028" t="s">
        <v>1583</v>
      </c>
      <c r="F578" s="1576"/>
      <c r="G578" s="1755"/>
      <c r="H578" s="1745"/>
      <c r="I578" s="1745"/>
      <c r="J578" s="1746"/>
      <c r="K578" s="1745"/>
      <c r="L578" s="1745"/>
      <c r="M578" s="1745"/>
      <c r="N578" s="1745"/>
      <c r="O578" s="1746"/>
      <c r="P578" s="1746"/>
      <c r="Q578" s="1745"/>
      <c r="R578" s="1745"/>
      <c r="S578" s="1745"/>
      <c r="T578" s="1745"/>
      <c r="U578" s="989">
        <f t="shared" si="72"/>
        <v>0</v>
      </c>
      <c r="V578" s="547">
        <v>0</v>
      </c>
      <c r="W578" s="1264">
        <f t="shared" si="79"/>
        <v>0</v>
      </c>
      <c r="X578" s="547">
        <f t="shared" si="76"/>
        <v>0</v>
      </c>
      <c r="Y578" s="566"/>
      <c r="Z578" s="567"/>
      <c r="AA578" s="989">
        <f t="shared" si="77"/>
        <v>0</v>
      </c>
      <c r="AB578" s="812">
        <f t="shared" si="78"/>
        <v>0</v>
      </c>
    </row>
    <row r="579" spans="1:28" ht="27" hidden="1" customHeight="1">
      <c r="A579" s="531"/>
      <c r="B579" s="531">
        <v>501</v>
      </c>
      <c r="C579" s="529">
        <v>13</v>
      </c>
      <c r="D579" s="530" t="s">
        <v>1578</v>
      </c>
      <c r="E579" s="1028" t="s">
        <v>1584</v>
      </c>
      <c r="F579" s="1576"/>
      <c r="G579" s="1755"/>
      <c r="H579" s="1745"/>
      <c r="I579" s="1745"/>
      <c r="J579" s="1746"/>
      <c r="K579" s="1745"/>
      <c r="L579" s="1745"/>
      <c r="M579" s="1745"/>
      <c r="N579" s="1745"/>
      <c r="O579" s="1746"/>
      <c r="P579" s="1746"/>
      <c r="Q579" s="1745"/>
      <c r="R579" s="1745"/>
      <c r="S579" s="1745"/>
      <c r="T579" s="1745"/>
      <c r="U579" s="989">
        <f t="shared" si="72"/>
        <v>0</v>
      </c>
      <c r="V579" s="547">
        <v>0</v>
      </c>
      <c r="W579" s="1264">
        <f t="shared" si="79"/>
        <v>0</v>
      </c>
      <c r="X579" s="547">
        <f t="shared" si="76"/>
        <v>0</v>
      </c>
      <c r="Y579" s="566"/>
      <c r="Z579" s="567"/>
      <c r="AA579" s="989">
        <f t="shared" si="77"/>
        <v>0</v>
      </c>
      <c r="AB579" s="812">
        <f t="shared" si="78"/>
        <v>0</v>
      </c>
    </row>
    <row r="580" spans="1:28" ht="27" hidden="1" customHeight="1">
      <c r="A580" s="531"/>
      <c r="B580" s="531">
        <v>501</v>
      </c>
      <c r="C580" s="529">
        <v>13</v>
      </c>
      <c r="D580" s="530" t="s">
        <v>1579</v>
      </c>
      <c r="E580" s="1028" t="s">
        <v>1585</v>
      </c>
      <c r="F580" s="1576"/>
      <c r="G580" s="1755"/>
      <c r="H580" s="1745"/>
      <c r="I580" s="1745"/>
      <c r="J580" s="1746"/>
      <c r="K580" s="1745"/>
      <c r="L580" s="1745"/>
      <c r="M580" s="1745"/>
      <c r="N580" s="1745"/>
      <c r="O580" s="1746"/>
      <c r="P580" s="1746"/>
      <c r="Q580" s="1745"/>
      <c r="R580" s="1745"/>
      <c r="S580" s="1745"/>
      <c r="T580" s="1745"/>
      <c r="U580" s="989">
        <f t="shared" si="72"/>
        <v>0</v>
      </c>
      <c r="V580" s="547">
        <v>0</v>
      </c>
      <c r="W580" s="1264">
        <f t="shared" si="79"/>
        <v>0</v>
      </c>
      <c r="X580" s="547">
        <f t="shared" si="76"/>
        <v>0</v>
      </c>
      <c r="Y580" s="566"/>
      <c r="Z580" s="567"/>
      <c r="AA580" s="989">
        <f t="shared" si="77"/>
        <v>0</v>
      </c>
      <c r="AB580" s="812">
        <f t="shared" si="78"/>
        <v>0</v>
      </c>
    </row>
    <row r="581" spans="1:28" ht="27" hidden="1" customHeight="1">
      <c r="A581" s="531"/>
      <c r="B581" s="531">
        <v>501</v>
      </c>
      <c r="C581" s="529">
        <v>13</v>
      </c>
      <c r="D581" s="530" t="s">
        <v>1580</v>
      </c>
      <c r="E581" s="1028" t="s">
        <v>1586</v>
      </c>
      <c r="F581" s="1576"/>
      <c r="G581" s="1755"/>
      <c r="H581" s="1745"/>
      <c r="I581" s="1745"/>
      <c r="J581" s="1746"/>
      <c r="K581" s="1745"/>
      <c r="L581" s="1745"/>
      <c r="M581" s="1745"/>
      <c r="N581" s="1745"/>
      <c r="O581" s="1746"/>
      <c r="P581" s="1746"/>
      <c r="Q581" s="1745"/>
      <c r="R581" s="1745"/>
      <c r="S581" s="1745"/>
      <c r="T581" s="1745"/>
      <c r="U581" s="989">
        <f t="shared" si="72"/>
        <v>0</v>
      </c>
      <c r="V581" s="547">
        <v>0</v>
      </c>
      <c r="W581" s="1264">
        <f t="shared" si="79"/>
        <v>0</v>
      </c>
      <c r="X581" s="547">
        <f t="shared" si="76"/>
        <v>0</v>
      </c>
      <c r="Y581" s="566"/>
      <c r="Z581" s="567"/>
      <c r="AA581" s="989">
        <f t="shared" si="77"/>
        <v>0</v>
      </c>
      <c r="AB581" s="812">
        <f t="shared" si="78"/>
        <v>0</v>
      </c>
    </row>
    <row r="582" spans="1:28" ht="27" hidden="1" customHeight="1">
      <c r="A582" s="531"/>
      <c r="B582" s="531">
        <v>406</v>
      </c>
      <c r="C582" s="529">
        <v>17</v>
      </c>
      <c r="D582" s="530" t="s">
        <v>1338</v>
      </c>
      <c r="E582" s="1028" t="s">
        <v>1339</v>
      </c>
      <c r="F582" s="1576"/>
      <c r="G582" s="1755"/>
      <c r="H582" s="1745"/>
      <c r="I582" s="1745"/>
      <c r="J582" s="1745"/>
      <c r="K582" s="1745"/>
      <c r="L582" s="1745"/>
      <c r="M582" s="1745"/>
      <c r="N582" s="1745"/>
      <c r="O582" s="1746"/>
      <c r="P582" s="1746"/>
      <c r="Q582" s="1745"/>
      <c r="R582" s="1745"/>
      <c r="S582" s="1745"/>
      <c r="T582" s="1745"/>
      <c r="U582" s="989">
        <f t="shared" si="72"/>
        <v>0</v>
      </c>
      <c r="V582" s="547">
        <v>0</v>
      </c>
      <c r="W582" s="1264">
        <f t="shared" si="79"/>
        <v>0</v>
      </c>
      <c r="X582" s="547">
        <f t="shared" si="76"/>
        <v>0</v>
      </c>
      <c r="Y582" s="566"/>
      <c r="Z582" s="567"/>
      <c r="AA582" s="989">
        <f t="shared" si="77"/>
        <v>0</v>
      </c>
      <c r="AB582" s="812">
        <f t="shared" si="78"/>
        <v>0</v>
      </c>
    </row>
    <row r="583" spans="1:28" ht="27" hidden="1" customHeight="1">
      <c r="A583" s="531">
        <v>1</v>
      </c>
      <c r="B583" s="531">
        <v>415</v>
      </c>
      <c r="C583" s="529">
        <v>11</v>
      </c>
      <c r="D583" s="530" t="s">
        <v>157</v>
      </c>
      <c r="E583" s="1028" t="s">
        <v>558</v>
      </c>
      <c r="F583" s="1580">
        <v>-47575696191</v>
      </c>
      <c r="G583" s="1757">
        <v>-563045912</v>
      </c>
      <c r="H583" s="1946">
        <v>-56797963</v>
      </c>
      <c r="I583" s="552">
        <v>-18284919501</v>
      </c>
      <c r="J583" s="1745">
        <v>66493539271</v>
      </c>
      <c r="K583" s="1745"/>
      <c r="L583" s="552"/>
      <c r="M583" s="552"/>
      <c r="N583" s="1814"/>
      <c r="O583" s="1772"/>
      <c r="P583" s="1772"/>
      <c r="Q583" s="552"/>
      <c r="R583" s="552"/>
      <c r="S583" s="552"/>
      <c r="T583" s="1745"/>
      <c r="U583" s="989">
        <f t="shared" si="72"/>
        <v>13079704</v>
      </c>
      <c r="V583" s="547">
        <v>-7967765484</v>
      </c>
      <c r="W583" s="1264">
        <f t="shared" si="79"/>
        <v>13</v>
      </c>
      <c r="X583" s="547">
        <f t="shared" si="76"/>
        <v>-7968</v>
      </c>
      <c r="Y583" s="566"/>
      <c r="Z583" s="567"/>
      <c r="AA583" s="989">
        <f t="shared" si="77"/>
        <v>13079704</v>
      </c>
      <c r="AB583" s="812">
        <f t="shared" si="78"/>
        <v>13</v>
      </c>
    </row>
    <row r="584" spans="1:28" ht="27" hidden="1" customHeight="1">
      <c r="A584" s="531"/>
      <c r="B584" s="531">
        <v>501</v>
      </c>
      <c r="C584" s="529">
        <v>13</v>
      </c>
      <c r="D584" s="530" t="s">
        <v>1581</v>
      </c>
      <c r="E584" s="1028" t="s">
        <v>1587</v>
      </c>
      <c r="F584" s="1576"/>
      <c r="G584" s="1755"/>
      <c r="H584" s="1745"/>
      <c r="I584" s="1745"/>
      <c r="J584" s="1746"/>
      <c r="K584" s="1745"/>
      <c r="L584" s="1745"/>
      <c r="M584" s="1745"/>
      <c r="N584" s="1745"/>
      <c r="O584" s="1746"/>
      <c r="P584" s="1746"/>
      <c r="Q584" s="1745"/>
      <c r="R584" s="1745"/>
      <c r="S584" s="1745"/>
      <c r="T584" s="1745"/>
      <c r="U584" s="989">
        <f t="shared" si="72"/>
        <v>0</v>
      </c>
      <c r="V584" s="547">
        <v>0</v>
      </c>
      <c r="W584" s="1264">
        <f t="shared" si="79"/>
        <v>0</v>
      </c>
      <c r="X584" s="547">
        <f t="shared" si="76"/>
        <v>0</v>
      </c>
      <c r="Y584" s="566"/>
      <c r="Z584" s="567"/>
      <c r="AA584" s="989">
        <f t="shared" si="77"/>
        <v>0</v>
      </c>
      <c r="AB584" s="812">
        <f t="shared" si="78"/>
        <v>0</v>
      </c>
    </row>
    <row r="585" spans="1:28" ht="27" hidden="1" customHeight="1">
      <c r="A585" s="531"/>
      <c r="B585" s="531">
        <v>501</v>
      </c>
      <c r="C585" s="529">
        <v>13</v>
      </c>
      <c r="D585" s="530" t="s">
        <v>1025</v>
      </c>
      <c r="E585" s="1028" t="s">
        <v>1029</v>
      </c>
      <c r="F585" s="1576"/>
      <c r="G585" s="1755"/>
      <c r="H585" s="1745"/>
      <c r="I585" s="1745"/>
      <c r="J585" s="1746"/>
      <c r="K585" s="1745"/>
      <c r="L585" s="1745"/>
      <c r="M585" s="1745"/>
      <c r="N585" s="1745"/>
      <c r="O585" s="1746"/>
      <c r="P585" s="1746"/>
      <c r="Q585" s="1745"/>
      <c r="R585" s="1745"/>
      <c r="S585" s="1745"/>
      <c r="T585" s="1745"/>
      <c r="U585" s="989">
        <f t="shared" ref="U585:U592" si="80">SUM(F585:T585)</f>
        <v>0</v>
      </c>
      <c r="V585" s="547">
        <v>0</v>
      </c>
      <c r="W585" s="1264">
        <f t="shared" si="79"/>
        <v>0</v>
      </c>
      <c r="X585" s="547">
        <f t="shared" si="76"/>
        <v>0</v>
      </c>
      <c r="Y585" s="566"/>
      <c r="Z585" s="567"/>
      <c r="AA585" s="989">
        <f t="shared" si="77"/>
        <v>0</v>
      </c>
      <c r="AB585" s="812">
        <f t="shared" si="78"/>
        <v>0</v>
      </c>
    </row>
    <row r="586" spans="1:28" ht="27" hidden="1" customHeight="1">
      <c r="A586" s="531">
        <v>1</v>
      </c>
      <c r="B586" s="531">
        <v>414</v>
      </c>
      <c r="C586" s="529">
        <v>11</v>
      </c>
      <c r="D586" s="530" t="s">
        <v>338</v>
      </c>
      <c r="E586" s="1028" t="s">
        <v>152</v>
      </c>
      <c r="F586" s="1580">
        <v>-56378435737</v>
      </c>
      <c r="G586" s="1757">
        <v>784787990</v>
      </c>
      <c r="H586" s="1745"/>
      <c r="I586" s="1745">
        <v>-39255183122</v>
      </c>
      <c r="J586" s="1745">
        <v>59785986089</v>
      </c>
      <c r="K586" s="1760">
        <v>4250000</v>
      </c>
      <c r="L586" s="1745"/>
      <c r="M586" s="1745"/>
      <c r="N586" s="1760"/>
      <c r="O586" s="1760"/>
      <c r="P586" s="1746"/>
      <c r="Q586" s="1745"/>
      <c r="R586" s="1745"/>
      <c r="S586" s="1745"/>
      <c r="T586" s="1745"/>
      <c r="U586" s="989">
        <f t="shared" si="80"/>
        <v>-35058594780</v>
      </c>
      <c r="V586" s="547">
        <v>-15158654167</v>
      </c>
      <c r="W586" s="1264">
        <f t="shared" si="79"/>
        <v>-35059</v>
      </c>
      <c r="X586" s="547">
        <f t="shared" si="76"/>
        <v>-15159</v>
      </c>
      <c r="Y586" s="566"/>
      <c r="Z586" s="567"/>
      <c r="AA586" s="989">
        <f t="shared" si="77"/>
        <v>-35058594780</v>
      </c>
      <c r="AB586" s="812">
        <f t="shared" si="78"/>
        <v>-35059</v>
      </c>
    </row>
    <row r="587" spans="1:28" ht="27" hidden="1" customHeight="1">
      <c r="A587" s="531"/>
      <c r="B587" s="531">
        <v>606</v>
      </c>
      <c r="C587" s="529">
        <v>12</v>
      </c>
      <c r="D587" s="530" t="s">
        <v>621</v>
      </c>
      <c r="E587" s="1028" t="s">
        <v>1602</v>
      </c>
      <c r="F587" s="1579">
        <v>1955886873339</v>
      </c>
      <c r="G587" s="1755"/>
      <c r="H587" s="1745"/>
      <c r="I587" s="1745"/>
      <c r="J587" s="1746"/>
      <c r="K587" s="1745"/>
      <c r="L587" s="1745"/>
      <c r="M587" s="1745"/>
      <c r="N587" s="1745"/>
      <c r="O587" s="1746"/>
      <c r="P587" s="1746"/>
      <c r="Q587" s="1745"/>
      <c r="R587" s="1745"/>
      <c r="S587" s="1745"/>
      <c r="T587" s="1745"/>
      <c r="U587" s="989">
        <f t="shared" si="80"/>
        <v>1955886873339</v>
      </c>
      <c r="V587" s="547">
        <v>1398923480376</v>
      </c>
      <c r="W587" s="1264">
        <f t="shared" si="79"/>
        <v>1955887</v>
      </c>
      <c r="X587" s="547">
        <f t="shared" si="76"/>
        <v>1398923</v>
      </c>
      <c r="Y587" s="566"/>
      <c r="Z587" s="567"/>
      <c r="AA587" s="989">
        <f t="shared" si="77"/>
        <v>1955886873339</v>
      </c>
      <c r="AB587" s="812">
        <f t="shared" si="78"/>
        <v>1955887</v>
      </c>
    </row>
    <row r="588" spans="1:28" ht="27" hidden="1" customHeight="1">
      <c r="A588" s="531"/>
      <c r="B588" s="531">
        <v>606</v>
      </c>
      <c r="C588" s="529">
        <v>12</v>
      </c>
      <c r="D588" s="530" t="s">
        <v>623</v>
      </c>
      <c r="E588" s="1028" t="s">
        <v>1603</v>
      </c>
      <c r="F588" s="1580">
        <v>-1955886873339</v>
      </c>
      <c r="G588" s="1755"/>
      <c r="H588" s="1745"/>
      <c r="I588" s="1745"/>
      <c r="J588" s="1746"/>
      <c r="K588" s="1745"/>
      <c r="L588" s="1745"/>
      <c r="M588" s="1745"/>
      <c r="N588" s="1745"/>
      <c r="O588" s="1746"/>
      <c r="P588" s="1746"/>
      <c r="Q588" s="1745"/>
      <c r="R588" s="1745"/>
      <c r="S588" s="1745"/>
      <c r="T588" s="1745"/>
      <c r="U588" s="989">
        <f t="shared" si="80"/>
        <v>-1955886873339</v>
      </c>
      <c r="V588" s="547">
        <v>-1398923480376</v>
      </c>
      <c r="W588" s="1264">
        <f t="shared" si="79"/>
        <v>-1955887</v>
      </c>
      <c r="X588" s="547">
        <f t="shared" si="76"/>
        <v>-1398923</v>
      </c>
      <c r="Y588" s="566"/>
      <c r="Z588" s="567"/>
      <c r="AA588" s="989">
        <f t="shared" si="77"/>
        <v>-1955886873339</v>
      </c>
      <c r="AB588" s="812">
        <f t="shared" si="78"/>
        <v>-1955887</v>
      </c>
    </row>
    <row r="589" spans="1:28" ht="27" hidden="1" customHeight="1">
      <c r="A589" s="531">
        <v>3214</v>
      </c>
      <c r="B589" s="531">
        <v>606</v>
      </c>
      <c r="C589" s="529">
        <v>12</v>
      </c>
      <c r="D589" s="530" t="s">
        <v>621</v>
      </c>
      <c r="E589" s="1028" t="s">
        <v>1622</v>
      </c>
      <c r="F589" s="1576"/>
      <c r="G589" s="1755"/>
      <c r="H589" s="1745"/>
      <c r="I589" s="1745"/>
      <c r="J589" s="1746"/>
      <c r="K589" s="1745"/>
      <c r="L589" s="1760"/>
      <c r="M589" s="1760"/>
      <c r="N589" s="1745"/>
      <c r="O589" s="1746"/>
      <c r="P589" s="1746"/>
      <c r="Q589" s="1745"/>
      <c r="R589" s="1745"/>
      <c r="S589" s="1745"/>
      <c r="T589" s="1745"/>
      <c r="U589" s="989">
        <f t="shared" si="80"/>
        <v>0</v>
      </c>
      <c r="V589" s="547">
        <v>11163922010837</v>
      </c>
      <c r="W589" s="1264">
        <f t="shared" si="79"/>
        <v>0</v>
      </c>
      <c r="X589" s="547">
        <f t="shared" si="76"/>
        <v>11163922</v>
      </c>
      <c r="Y589" s="566"/>
      <c r="Z589" s="567"/>
      <c r="AA589" s="989">
        <f t="shared" si="77"/>
        <v>0</v>
      </c>
      <c r="AB589" s="812">
        <f t="shared" si="78"/>
        <v>0</v>
      </c>
    </row>
    <row r="590" spans="1:28" ht="27" hidden="1" customHeight="1">
      <c r="A590" s="531">
        <v>3214</v>
      </c>
      <c r="B590" s="531">
        <v>606</v>
      </c>
      <c r="C590" s="529">
        <v>12</v>
      </c>
      <c r="D590" s="530" t="s">
        <v>623</v>
      </c>
      <c r="E590" s="1028" t="s">
        <v>1623</v>
      </c>
      <c r="F590" s="1576"/>
      <c r="G590" s="1755"/>
      <c r="H590" s="1745"/>
      <c r="I590" s="1745"/>
      <c r="J590" s="1746"/>
      <c r="K590" s="1745"/>
      <c r="L590" s="1760"/>
      <c r="M590" s="1760"/>
      <c r="N590" s="1745"/>
      <c r="O590" s="1746"/>
      <c r="P590" s="1746"/>
      <c r="Q590" s="1745"/>
      <c r="R590" s="1745"/>
      <c r="S590" s="1745"/>
      <c r="T590" s="1745"/>
      <c r="U590" s="989">
        <f t="shared" si="80"/>
        <v>0</v>
      </c>
      <c r="V590" s="547">
        <v>-11163922010837</v>
      </c>
      <c r="W590" s="1264">
        <f t="shared" si="79"/>
        <v>0</v>
      </c>
      <c r="X590" s="547">
        <f t="shared" si="76"/>
        <v>-11163922</v>
      </c>
      <c r="Y590" s="566"/>
      <c r="Z590" s="567"/>
      <c r="AA590" s="989">
        <f t="shared" si="77"/>
        <v>0</v>
      </c>
      <c r="AB590" s="812">
        <f t="shared" si="78"/>
        <v>0</v>
      </c>
    </row>
    <row r="591" spans="1:28" ht="27" hidden="1" customHeight="1">
      <c r="A591" s="531"/>
      <c r="B591" s="531">
        <v>501</v>
      </c>
      <c r="C591" s="529">
        <v>13</v>
      </c>
      <c r="D591" s="530" t="s">
        <v>1589</v>
      </c>
      <c r="E591" s="1028" t="s">
        <v>1592</v>
      </c>
      <c r="F591" s="1576"/>
      <c r="G591" s="1755"/>
      <c r="H591" s="1745"/>
      <c r="I591" s="1745"/>
      <c r="J591" s="1746"/>
      <c r="K591" s="1745"/>
      <c r="L591" s="1745"/>
      <c r="M591" s="1745"/>
      <c r="N591" s="1745"/>
      <c r="O591" s="1746"/>
      <c r="P591" s="1746"/>
      <c r="Q591" s="1745"/>
      <c r="R591" s="1745"/>
      <c r="S591" s="1745"/>
      <c r="T591" s="1745"/>
      <c r="U591" s="989">
        <f t="shared" si="80"/>
        <v>0</v>
      </c>
      <c r="V591" s="547">
        <v>0</v>
      </c>
      <c r="W591" s="1264"/>
      <c r="X591" s="547"/>
      <c r="Y591" s="566"/>
      <c r="Z591" s="567"/>
      <c r="AA591" s="989">
        <f t="shared" si="77"/>
        <v>0</v>
      </c>
      <c r="AB591" s="812">
        <f t="shared" si="78"/>
        <v>0</v>
      </c>
    </row>
    <row r="592" spans="1:28" ht="27" hidden="1" customHeight="1">
      <c r="A592" s="531"/>
      <c r="B592" s="531">
        <v>501</v>
      </c>
      <c r="C592" s="529">
        <v>13</v>
      </c>
      <c r="D592" s="530" t="s">
        <v>1590</v>
      </c>
      <c r="E592" s="1028" t="s">
        <v>1593</v>
      </c>
      <c r="F592" s="1576"/>
      <c r="G592" s="1767"/>
      <c r="H592" s="1768"/>
      <c r="I592" s="1768"/>
      <c r="J592" s="1768"/>
      <c r="K592" s="1768"/>
      <c r="L592" s="1768"/>
      <c r="M592" s="1768"/>
      <c r="N592" s="1768"/>
      <c r="O592" s="1769"/>
      <c r="P592" s="1769"/>
      <c r="Q592" s="1768"/>
      <c r="R592" s="1768"/>
      <c r="S592" s="1768"/>
      <c r="T592" s="1768"/>
      <c r="U592" s="989">
        <f t="shared" si="80"/>
        <v>0</v>
      </c>
      <c r="V592" s="547">
        <v>0</v>
      </c>
      <c r="W592" s="1264">
        <f>ROUND((U592/1000000),0)</f>
        <v>0</v>
      </c>
      <c r="X592" s="547">
        <f>ROUND((V592/1000000),0)</f>
        <v>0</v>
      </c>
      <c r="Y592" s="566"/>
      <c r="Z592" s="567"/>
      <c r="AA592" s="989">
        <f t="shared" si="77"/>
        <v>0</v>
      </c>
      <c r="AB592" s="812">
        <f t="shared" si="78"/>
        <v>0</v>
      </c>
    </row>
    <row r="593" spans="1:28" ht="22.5" hidden="1" customHeight="1">
      <c r="C593" s="545"/>
      <c r="D593" s="1751"/>
      <c r="F593" s="1577">
        <f t="shared" ref="F593:L593" si="81">SUBTOTAL(9,F4:F592)</f>
        <v>-20248636323091</v>
      </c>
      <c r="G593" s="1577">
        <f t="shared" si="81"/>
        <v>-2892179234961</v>
      </c>
      <c r="H593" s="836">
        <f t="shared" si="81"/>
        <v>380061996</v>
      </c>
      <c r="I593" s="836">
        <f t="shared" si="81"/>
        <v>1559805261114</v>
      </c>
      <c r="J593" s="836">
        <f t="shared" si="81"/>
        <v>-128317651</v>
      </c>
      <c r="K593" s="836">
        <f t="shared" si="81"/>
        <v>0</v>
      </c>
      <c r="L593" s="836">
        <f t="shared" si="81"/>
        <v>0</v>
      </c>
      <c r="M593" s="2011"/>
      <c r="N593" s="836">
        <f>SUBTOTAL(9,N4:N592)</f>
        <v>0</v>
      </c>
      <c r="O593" s="836">
        <f>SUBTOTAL(9,O4:O592)</f>
        <v>0</v>
      </c>
      <c r="P593" s="836">
        <f>SUBTOTAL(9,P4:P592)</f>
        <v>-187182214000</v>
      </c>
      <c r="Q593" s="836">
        <f>SUBTOTAL(9,Q4:Q592)</f>
        <v>0</v>
      </c>
      <c r="R593" s="836">
        <f>SUBTOTAL(9,R4:R592)</f>
        <v>0</v>
      </c>
      <c r="S593" s="2011"/>
      <c r="T593" s="836">
        <f>SUBTOTAL(9,T4:T592)</f>
        <v>0</v>
      </c>
      <c r="U593" s="1672">
        <f>SUBTOTAL(9,U4:U592)</f>
        <v>-21767940766593</v>
      </c>
      <c r="V593" s="1008">
        <f>SUBTOTAL(9,V4:V592)</f>
        <v>-4012007466862</v>
      </c>
      <c r="W593" s="1008">
        <f>SUBTOTAL(9,W4:W592)</f>
        <v>-21767940</v>
      </c>
      <c r="X593" s="991">
        <f>SUBTOTAL(9,X4:X592)</f>
        <v>-4012007</v>
      </c>
      <c r="AA593" s="992"/>
      <c r="AB593" s="546"/>
    </row>
    <row r="594" spans="1:28" ht="22.5" hidden="1" customHeight="1">
      <c r="A594" s="3350"/>
      <c r="B594" s="3350"/>
      <c r="C594" s="3350"/>
      <c r="D594" s="3350"/>
      <c r="E594" s="3350"/>
      <c r="F594" s="3352"/>
      <c r="G594" s="3352"/>
      <c r="H594" s="3352"/>
      <c r="I594" s="3352"/>
      <c r="J594" s="3352"/>
      <c r="K594" s="3352"/>
      <c r="L594" s="3352"/>
      <c r="M594" s="3350"/>
      <c r="N594" s="3352"/>
      <c r="O594" s="3352"/>
      <c r="P594" s="3352"/>
      <c r="Q594" s="3352"/>
      <c r="R594" s="3352"/>
      <c r="S594" s="3352"/>
      <c r="T594" s="3350"/>
      <c r="U594" s="3350"/>
      <c r="V594" s="3350"/>
      <c r="W594" s="3350"/>
      <c r="X594" s="3350"/>
      <c r="Y594" s="835"/>
      <c r="AA594" s="992"/>
      <c r="AB594" s="546"/>
    </row>
    <row r="595" spans="1:28" ht="19.5" hidden="1" customHeight="1">
      <c r="A595" s="3350"/>
      <c r="B595" s="3350"/>
      <c r="C595" s="3350"/>
      <c r="D595" s="3350"/>
      <c r="E595" s="3350"/>
      <c r="F595" s="3352"/>
      <c r="G595" s="3352"/>
      <c r="H595" s="3352"/>
      <c r="I595" s="3352"/>
      <c r="J595" s="3352"/>
      <c r="K595" s="3352"/>
      <c r="L595" s="3352"/>
      <c r="M595" s="3350"/>
      <c r="N595" s="3352"/>
      <c r="O595" s="3352"/>
      <c r="P595" s="3352"/>
      <c r="Q595" s="3352"/>
      <c r="R595" s="3352"/>
      <c r="S595" s="3352"/>
      <c r="T595" s="3350"/>
      <c r="U595" s="3350"/>
      <c r="V595" s="3350"/>
      <c r="W595" s="3350"/>
      <c r="X595" s="3350"/>
      <c r="Y595" s="546"/>
      <c r="Z595" s="546"/>
      <c r="AA595" s="994"/>
      <c r="AB595" s="561"/>
    </row>
    <row r="596" spans="1:28" ht="19.5" hidden="1" customHeight="1">
      <c r="A596" s="3350"/>
      <c r="B596" s="3350"/>
      <c r="C596" s="3350"/>
      <c r="D596" s="3350"/>
      <c r="E596" s="3350"/>
      <c r="F596" s="3352"/>
      <c r="G596" s="3352"/>
      <c r="H596" s="3352"/>
      <c r="I596" s="3352"/>
      <c r="J596" s="3352"/>
      <c r="K596" s="3352"/>
      <c r="L596" s="3352"/>
      <c r="M596" s="3350"/>
      <c r="N596" s="3352"/>
      <c r="O596" s="3352"/>
      <c r="P596" s="3352"/>
      <c r="Q596" s="3352"/>
      <c r="R596" s="3352"/>
      <c r="S596" s="3352"/>
      <c r="T596" s="3350"/>
      <c r="U596" s="3350"/>
      <c r="V596" s="3350"/>
      <c r="W596" s="3350"/>
      <c r="X596" s="3350"/>
      <c r="Y596" s="546"/>
      <c r="Z596" s="546"/>
      <c r="AA596" s="994"/>
      <c r="AB596" s="561"/>
    </row>
    <row r="597" spans="1:28" ht="19.5" hidden="1" customHeight="1">
      <c r="A597" s="3350"/>
      <c r="B597" s="3350"/>
      <c r="C597" s="3350"/>
      <c r="D597" s="3350"/>
      <c r="E597" s="3350"/>
      <c r="F597" s="3352"/>
      <c r="G597" s="3352"/>
      <c r="H597" s="3352"/>
      <c r="I597" s="3352"/>
      <c r="J597" s="3352"/>
      <c r="K597" s="3352"/>
      <c r="L597" s="3352"/>
      <c r="M597" s="3350"/>
      <c r="N597" s="3352"/>
      <c r="O597" s="3352"/>
      <c r="P597" s="3352"/>
      <c r="Q597" s="3352"/>
      <c r="R597" s="3352"/>
      <c r="S597" s="3352"/>
      <c r="T597" s="3350"/>
      <c r="U597" s="3350"/>
      <c r="V597" s="3350"/>
      <c r="W597" s="3350"/>
      <c r="X597" s="3350"/>
      <c r="Y597" s="546"/>
      <c r="Z597" s="546"/>
      <c r="AA597" s="993"/>
      <c r="AB597" s="560"/>
    </row>
    <row r="598" spans="1:28" ht="19.5" hidden="1" customHeight="1">
      <c r="A598" s="3350"/>
      <c r="B598" s="3350"/>
      <c r="C598" s="3350"/>
      <c r="D598" s="3350"/>
      <c r="E598" s="3350"/>
      <c r="F598" s="3352"/>
      <c r="G598" s="3352"/>
      <c r="H598" s="3352"/>
      <c r="I598" s="3352"/>
      <c r="J598" s="3352"/>
      <c r="K598" s="3352"/>
      <c r="L598" s="3352"/>
      <c r="M598" s="3350"/>
      <c r="N598" s="3352"/>
      <c r="O598" s="3352"/>
      <c r="P598" s="3352"/>
      <c r="Q598" s="3352"/>
      <c r="R598" s="3352"/>
      <c r="S598" s="3352"/>
      <c r="T598" s="3350"/>
      <c r="U598" s="3350"/>
      <c r="V598" s="3350"/>
      <c r="W598" s="3350"/>
      <c r="X598" s="3350"/>
      <c r="AA598" s="994"/>
      <c r="AB598" s="561"/>
    </row>
    <row r="599" spans="1:28" ht="19.5" hidden="1" customHeight="1">
      <c r="A599" s="3350"/>
      <c r="B599" s="3350"/>
      <c r="C599" s="3350"/>
      <c r="D599" s="3350"/>
      <c r="E599" s="3350"/>
      <c r="F599" s="3352"/>
      <c r="G599" s="3352"/>
      <c r="H599" s="3352"/>
      <c r="I599" s="3352"/>
      <c r="J599" s="3352"/>
      <c r="K599" s="3352"/>
      <c r="L599" s="3352"/>
      <c r="M599" s="3350"/>
      <c r="N599" s="3352"/>
      <c r="O599" s="3352"/>
      <c r="P599" s="3352"/>
      <c r="Q599" s="3352"/>
      <c r="R599" s="3352"/>
      <c r="S599" s="3352"/>
      <c r="T599" s="3350"/>
      <c r="U599" s="3350"/>
      <c r="V599" s="3350"/>
      <c r="W599" s="3350"/>
      <c r="X599" s="3350"/>
      <c r="AA599" s="994"/>
      <c r="AB599" s="561"/>
    </row>
    <row r="600" spans="1:28" ht="19.5" hidden="1" customHeight="1">
      <c r="A600" s="3350"/>
      <c r="B600" s="3350"/>
      <c r="C600" s="3350"/>
      <c r="D600" s="3350"/>
      <c r="E600" s="3350"/>
      <c r="F600" s="3352"/>
      <c r="G600" s="3352"/>
      <c r="H600" s="3352"/>
      <c r="I600" s="3352"/>
      <c r="J600" s="3352"/>
      <c r="K600" s="3352"/>
      <c r="L600" s="3352"/>
      <c r="M600" s="3350"/>
      <c r="N600" s="3352"/>
      <c r="O600" s="3352"/>
      <c r="P600" s="3352"/>
      <c r="Q600" s="3352"/>
      <c r="R600" s="3352"/>
      <c r="S600" s="3352"/>
      <c r="T600" s="3350"/>
      <c r="U600" s="3350"/>
      <c r="V600" s="3350"/>
      <c r="W600" s="3350"/>
      <c r="X600" s="3350"/>
      <c r="AA600" s="994"/>
      <c r="AB600" s="561"/>
    </row>
    <row r="601" spans="1:28" ht="19.5" hidden="1" customHeight="1">
      <c r="C601" s="545"/>
      <c r="D601" s="1751"/>
      <c r="J601" s="545" t="s">
        <v>677</v>
      </c>
      <c r="U601" s="1674"/>
      <c r="V601" s="561"/>
      <c r="W601" s="994"/>
      <c r="X601" s="561"/>
      <c r="AA601" s="994"/>
      <c r="AB601" s="561"/>
    </row>
    <row r="602" spans="1:28" ht="19.5" hidden="1" customHeight="1">
      <c r="A602" s="3350"/>
      <c r="B602" s="3350"/>
      <c r="C602" s="3350"/>
      <c r="D602" s="3350"/>
      <c r="E602" s="3350"/>
      <c r="F602" s="3351"/>
      <c r="G602" s="3351"/>
      <c r="H602" s="3351"/>
      <c r="I602" s="3351"/>
      <c r="J602" s="3351"/>
      <c r="K602" s="3351"/>
      <c r="L602" s="3351"/>
      <c r="M602" s="3350"/>
      <c r="N602" s="3351"/>
      <c r="O602" s="3351"/>
      <c r="P602" s="3351"/>
      <c r="Q602" s="3351"/>
      <c r="R602" s="3351"/>
      <c r="S602" s="3351"/>
      <c r="T602" s="3350"/>
      <c r="U602" s="3350"/>
      <c r="V602" s="3350"/>
      <c r="W602" s="3350"/>
      <c r="X602" s="3350"/>
      <c r="Y602" s="3350"/>
      <c r="Z602" s="3350"/>
      <c r="AA602" s="3350"/>
      <c r="AB602" s="3350"/>
    </row>
    <row r="603" spans="1:28" ht="19.5" hidden="1" customHeight="1">
      <c r="A603" s="3350"/>
      <c r="B603" s="3350"/>
      <c r="C603" s="3350"/>
      <c r="D603" s="3350"/>
      <c r="E603" s="3350"/>
      <c r="F603" s="3351"/>
      <c r="G603" s="3351"/>
      <c r="H603" s="3351"/>
      <c r="I603" s="3351"/>
      <c r="J603" s="3351"/>
      <c r="K603" s="3351"/>
      <c r="L603" s="3351"/>
      <c r="M603" s="3350"/>
      <c r="N603" s="3351"/>
      <c r="O603" s="3351"/>
      <c r="P603" s="3351"/>
      <c r="Q603" s="3351"/>
      <c r="R603" s="3351"/>
      <c r="S603" s="3351"/>
      <c r="T603" s="3350"/>
      <c r="U603" s="3350"/>
      <c r="V603" s="3350"/>
      <c r="W603" s="3350"/>
      <c r="X603" s="3350"/>
      <c r="Y603" s="3350"/>
      <c r="Z603" s="3350"/>
      <c r="AA603" s="3350"/>
      <c r="AB603" s="3350"/>
    </row>
    <row r="604" spans="1:28" ht="19.5" hidden="1" customHeight="1">
      <c r="A604" s="3350"/>
      <c r="B604" s="3350"/>
      <c r="C604" s="3350"/>
      <c r="D604" s="3350"/>
      <c r="E604" s="3350"/>
      <c r="F604" s="3351"/>
      <c r="G604" s="3351"/>
      <c r="H604" s="3351"/>
      <c r="I604" s="3351"/>
      <c r="J604" s="3351"/>
      <c r="K604" s="3351"/>
      <c r="L604" s="3351"/>
      <c r="M604" s="3350"/>
      <c r="N604" s="3351"/>
      <c r="O604" s="3351"/>
      <c r="P604" s="3351"/>
      <c r="Q604" s="3351"/>
      <c r="R604" s="3351"/>
      <c r="S604" s="3351"/>
      <c r="T604" s="3350"/>
      <c r="U604" s="3350"/>
      <c r="V604" s="3350"/>
      <c r="W604" s="3350"/>
      <c r="X604" s="3350"/>
      <c r="Y604" s="3350"/>
      <c r="Z604" s="3350"/>
      <c r="AA604" s="3350"/>
      <c r="AB604" s="3350"/>
    </row>
    <row r="605" spans="1:28" ht="19.5" hidden="1" customHeight="1">
      <c r="A605" s="3350"/>
      <c r="B605" s="3350"/>
      <c r="C605" s="3350"/>
      <c r="D605" s="3350"/>
      <c r="E605" s="3350"/>
      <c r="F605" s="3351"/>
      <c r="G605" s="3351"/>
      <c r="H605" s="3351"/>
      <c r="I605" s="3351"/>
      <c r="J605" s="3351"/>
      <c r="K605" s="3351"/>
      <c r="L605" s="3351"/>
      <c r="M605" s="3350"/>
      <c r="N605" s="3351"/>
      <c r="O605" s="3351"/>
      <c r="P605" s="3351"/>
      <c r="Q605" s="3351"/>
      <c r="R605" s="3351"/>
      <c r="S605" s="3351"/>
      <c r="T605" s="3350"/>
      <c r="U605" s="3350"/>
      <c r="V605" s="3350"/>
      <c r="W605" s="3350"/>
      <c r="X605" s="3350"/>
      <c r="Y605" s="3350"/>
      <c r="Z605" s="3350"/>
      <c r="AA605" s="3350"/>
      <c r="AB605" s="3350"/>
    </row>
    <row r="606" spans="1:28" ht="19.5" hidden="1" customHeight="1">
      <c r="A606" s="1774"/>
      <c r="B606" s="1774">
        <v>406</v>
      </c>
      <c r="C606" s="1774">
        <v>11</v>
      </c>
      <c r="D606" s="3195"/>
      <c r="E606" s="3196" t="s">
        <v>2618</v>
      </c>
      <c r="P606" s="1774">
        <v>1000000</v>
      </c>
      <c r="U606" s="989"/>
      <c r="V606" s="3197"/>
      <c r="W606" s="1264">
        <f t="shared" ref="W606" si="82">ROUND((U606/1000000),0)</f>
        <v>0</v>
      </c>
      <c r="X606" s="3197"/>
      <c r="Y606" s="1774"/>
      <c r="Z606" s="1774"/>
      <c r="AA606" s="989">
        <f t="shared" ref="AA606" si="83">U606+Z606-Y606</f>
        <v>0</v>
      </c>
      <c r="AB606" s="812">
        <f t="shared" ref="AB606" si="84">ROUND((AA606/1000000),0)</f>
        <v>0</v>
      </c>
    </row>
    <row r="607" spans="1:28" ht="19.5" customHeight="1">
      <c r="C607" s="545"/>
      <c r="D607" s="1751"/>
      <c r="U607" s="1673"/>
      <c r="V607" s="546"/>
      <c r="W607" s="992"/>
      <c r="X607" s="546"/>
      <c r="AA607" s="992"/>
      <c r="AB607" s="546"/>
    </row>
  </sheetData>
  <autoFilter ref="A2:AB606">
    <filterColumn colId="1">
      <filters>
        <filter val="1027"/>
      </filters>
    </filterColumn>
    <filterColumn colId="2">
      <filters>
        <filter val="17"/>
      </filters>
    </filterColumn>
    <sortState ref="A5:AA598">
      <sortCondition descending="1" ref="B1:B566"/>
    </sortState>
  </autoFilter>
  <mergeCells count="26">
    <mergeCell ref="A602:AB605"/>
    <mergeCell ref="A594:X600"/>
    <mergeCell ref="X2:X3"/>
    <mergeCell ref="Y2:Y3"/>
    <mergeCell ref="Z2:Z3"/>
    <mergeCell ref="AA2:AA3"/>
    <mergeCell ref="AB2:AB3"/>
    <mergeCell ref="W2:W3"/>
    <mergeCell ref="H2:H3"/>
    <mergeCell ref="I2:I3"/>
    <mergeCell ref="J2:J3"/>
    <mergeCell ref="K2:K3"/>
    <mergeCell ref="L2:L3"/>
    <mergeCell ref="N2:N3"/>
    <mergeCell ref="O2:O3"/>
    <mergeCell ref="P2:P3"/>
    <mergeCell ref="Q2:Q3"/>
    <mergeCell ref="U2:U3"/>
    <mergeCell ref="V2:V3"/>
    <mergeCell ref="N1:T1"/>
    <mergeCell ref="G2:G3"/>
    <mergeCell ref="A2:A3"/>
    <mergeCell ref="B2:B3"/>
    <mergeCell ref="C2:C3"/>
    <mergeCell ref="E2:E3"/>
    <mergeCell ref="F2:F3"/>
  </mergeCells>
  <printOptions verticalCentered="1"/>
  <pageMargins left="0" right="0" top="0" bottom="0" header="0" footer="0"/>
  <pageSetup paperSize="9" scale="11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7"/>
  <sheetViews>
    <sheetView rightToLeft="1" view="pageBreakPreview" topLeftCell="A16" zoomScale="66" zoomScaleNormal="60" zoomScaleSheetLayoutView="66" zoomScalePageLayoutView="70" workbookViewId="0">
      <selection activeCell="A30" sqref="A30:XFD30"/>
    </sheetView>
  </sheetViews>
  <sheetFormatPr defaultColWidth="1.375" defaultRowHeight="33.75"/>
  <cols>
    <col min="1" max="2" width="3.75" style="338" customWidth="1"/>
    <col min="3" max="3" width="76.875" style="1295" customWidth="1"/>
    <col min="4" max="4" width="8" style="1295" bestFit="1" customWidth="1"/>
    <col min="5" max="5" width="0.625" style="1295" customWidth="1"/>
    <col min="6" max="6" width="19" style="214" customWidth="1"/>
    <col min="7" max="7" width="1.375" style="214" customWidth="1"/>
    <col min="8" max="8" width="20.75" style="214" customWidth="1"/>
    <col min="9" max="9" width="1.25" style="214" customWidth="1"/>
    <col min="10" max="10" width="20.375" style="394" customWidth="1"/>
    <col min="11" max="16384" width="1.375" style="1295"/>
  </cols>
  <sheetData>
    <row r="1" spans="1:15" ht="11.25" customHeight="1"/>
    <row r="2" spans="1:15" s="371" customFormat="1" ht="39.75" customHeight="1">
      <c r="A2" s="1103"/>
      <c r="B2" s="1103"/>
      <c r="C2" s="3379" t="s">
        <v>612</v>
      </c>
      <c r="D2" s="3379"/>
      <c r="E2" s="3379"/>
      <c r="F2" s="3379"/>
      <c r="G2" s="3379"/>
      <c r="H2" s="3379"/>
      <c r="I2" s="3379"/>
      <c r="J2" s="3379"/>
      <c r="K2" s="370"/>
      <c r="L2" s="370"/>
      <c r="M2" s="370"/>
      <c r="N2" s="370"/>
      <c r="O2" s="370"/>
    </row>
    <row r="3" spans="1:15" s="371" customFormat="1" ht="39.75" customHeight="1">
      <c r="A3" s="1103"/>
      <c r="B3" s="1103"/>
      <c r="C3" s="3390" t="s">
        <v>1896</v>
      </c>
      <c r="D3" s="3390"/>
      <c r="E3" s="3390"/>
      <c r="F3" s="3390"/>
      <c r="G3" s="3390"/>
      <c r="H3" s="3390"/>
      <c r="I3" s="3390"/>
      <c r="J3" s="3390"/>
      <c r="K3" s="370"/>
      <c r="L3" s="370"/>
      <c r="M3" s="370"/>
      <c r="N3" s="370"/>
      <c r="O3" s="370"/>
    </row>
    <row r="4" spans="1:15" s="371" customFormat="1" ht="39.75" customHeight="1">
      <c r="A4" s="1103"/>
      <c r="B4" s="1103"/>
      <c r="C4" s="3390" t="str">
        <f>mafrozat!A3</f>
        <v xml:space="preserve"> سال مالي منتهي به 29 اسفند 1402</v>
      </c>
      <c r="D4" s="3390"/>
      <c r="E4" s="3390"/>
      <c r="F4" s="3390"/>
      <c r="G4" s="3390"/>
      <c r="H4" s="3390"/>
      <c r="I4" s="3390"/>
      <c r="J4" s="3390"/>
      <c r="K4" s="370"/>
      <c r="L4" s="370"/>
      <c r="M4" s="370"/>
      <c r="N4" s="370"/>
      <c r="O4" s="370"/>
    </row>
    <row r="5" spans="1:15" ht="42.75" customHeight="1">
      <c r="C5" s="372"/>
      <c r="D5" s="372"/>
      <c r="E5" s="373"/>
      <c r="F5" s="374"/>
      <c r="G5" s="374"/>
      <c r="H5" s="3393" t="s">
        <v>1879</v>
      </c>
      <c r="I5" s="3393"/>
      <c r="J5" s="3393"/>
      <c r="K5" s="373"/>
      <c r="L5" s="373"/>
      <c r="M5" s="373"/>
      <c r="N5" s="373"/>
      <c r="O5" s="373"/>
    </row>
    <row r="6" spans="1:15" ht="42.75" customHeight="1">
      <c r="C6" s="373"/>
      <c r="D6" s="373"/>
      <c r="E6" s="376"/>
      <c r="F6" s="374"/>
      <c r="G6" s="374"/>
      <c r="H6" s="2143"/>
      <c r="I6" s="2143"/>
      <c r="J6" s="2141"/>
      <c r="K6" s="373"/>
      <c r="L6" s="373"/>
      <c r="M6" s="373"/>
      <c r="N6" s="373"/>
      <c r="O6" s="373"/>
    </row>
    <row r="7" spans="1:15" ht="36" customHeight="1">
      <c r="C7" s="701"/>
      <c r="D7" s="777" t="s">
        <v>478</v>
      </c>
      <c r="E7" s="702"/>
      <c r="F7" s="3391" t="str">
        <f>mafrozat!A10</f>
        <v>سال 1402</v>
      </c>
      <c r="G7" s="3391"/>
      <c r="H7" s="3391"/>
      <c r="I7" s="686"/>
      <c r="J7" s="687" t="s">
        <v>2214</v>
      </c>
      <c r="K7" s="373"/>
      <c r="L7" s="373"/>
      <c r="M7" s="373"/>
      <c r="N7" s="373"/>
      <c r="O7" s="373"/>
    </row>
    <row r="8" spans="1:15" ht="31.5" hidden="1" customHeight="1">
      <c r="C8" s="785"/>
      <c r="D8" s="785"/>
      <c r="E8" s="702"/>
      <c r="F8" s="704"/>
      <c r="G8" s="702"/>
      <c r="H8" s="704"/>
      <c r="I8" s="704"/>
      <c r="J8" s="705"/>
      <c r="K8" s="373"/>
      <c r="L8" s="373"/>
      <c r="M8" s="373"/>
      <c r="N8" s="373"/>
      <c r="O8" s="373"/>
    </row>
    <row r="9" spans="1:15" ht="40.5" customHeight="1">
      <c r="C9" s="890" t="s">
        <v>1989</v>
      </c>
      <c r="D9" s="379"/>
      <c r="E9" s="702"/>
      <c r="F9" s="380"/>
      <c r="G9" s="380"/>
      <c r="H9" s="380"/>
      <c r="I9" s="380"/>
      <c r="J9" s="381"/>
      <c r="K9" s="373"/>
      <c r="L9" s="373"/>
      <c r="M9" s="373"/>
      <c r="N9" s="373"/>
      <c r="O9" s="373"/>
    </row>
    <row r="10" spans="1:15" ht="40.5" customHeight="1">
      <c r="C10" s="889" t="s">
        <v>1990</v>
      </c>
      <c r="D10" s="383">
        <v>21</v>
      </c>
      <c r="E10" s="382"/>
      <c r="F10" s="382"/>
      <c r="G10" s="382"/>
      <c r="H10" s="516">
        <f>'30'!K22</f>
        <v>90447</v>
      </c>
      <c r="I10" s="382"/>
      <c r="J10" s="382">
        <v>1945435</v>
      </c>
      <c r="K10" s="373"/>
      <c r="L10" s="373"/>
      <c r="M10" s="373"/>
      <c r="N10" s="373"/>
      <c r="O10" s="373"/>
    </row>
    <row r="11" spans="1:15" ht="40.5" customHeight="1">
      <c r="C11" s="889" t="s">
        <v>1991</v>
      </c>
      <c r="D11" s="383"/>
      <c r="E11" s="382"/>
      <c r="F11" s="382"/>
      <c r="G11" s="382"/>
      <c r="H11" s="511">
        <f>-'22'!G33</f>
        <v>-71814</v>
      </c>
      <c r="I11" s="382"/>
      <c r="J11" s="511">
        <v>-74424</v>
      </c>
      <c r="K11" s="373"/>
      <c r="L11" s="373"/>
      <c r="M11" s="373"/>
      <c r="N11" s="373"/>
      <c r="O11" s="373"/>
    </row>
    <row r="12" spans="1:15" s="1296" customFormat="1" ht="40.5" customHeight="1">
      <c r="A12" s="338"/>
      <c r="B12" s="338"/>
      <c r="C12" s="889" t="s">
        <v>2797</v>
      </c>
      <c r="D12" s="383"/>
      <c r="E12" s="382"/>
      <c r="F12" s="382"/>
      <c r="G12" s="382"/>
      <c r="H12" s="511">
        <f>H10+H11</f>
        <v>18633</v>
      </c>
      <c r="I12" s="382"/>
      <c r="J12" s="511">
        <f>J10+J11</f>
        <v>1871011</v>
      </c>
      <c r="K12" s="373"/>
      <c r="L12" s="373"/>
      <c r="M12" s="373"/>
      <c r="N12" s="373"/>
      <c r="O12" s="373"/>
    </row>
    <row r="13" spans="1:15" ht="48.75" customHeight="1">
      <c r="C13" s="890" t="s">
        <v>1992</v>
      </c>
      <c r="D13" s="688"/>
      <c r="E13" s="382"/>
      <c r="F13" s="382"/>
      <c r="G13" s="382"/>
      <c r="H13" s="1301"/>
      <c r="I13" s="382"/>
      <c r="J13" s="689"/>
      <c r="K13" s="373"/>
      <c r="L13" s="373"/>
      <c r="M13" s="373"/>
      <c r="N13" s="373"/>
      <c r="O13" s="373"/>
    </row>
    <row r="14" spans="1:15" ht="40.5" hidden="1" customHeight="1">
      <c r="C14" s="889" t="s">
        <v>1993</v>
      </c>
      <c r="D14" s="383"/>
      <c r="E14" s="382"/>
      <c r="G14" s="382"/>
      <c r="H14" s="516">
        <f>'13-14'!H105</f>
        <v>0</v>
      </c>
      <c r="I14" s="382"/>
      <c r="J14" s="517"/>
      <c r="K14" s="373"/>
      <c r="L14" s="373"/>
      <c r="M14" s="373"/>
      <c r="N14" s="373"/>
      <c r="O14" s="373"/>
    </row>
    <row r="15" spans="1:15" ht="40.5" customHeight="1">
      <c r="C15" s="889" t="s">
        <v>1994</v>
      </c>
      <c r="D15" s="383"/>
      <c r="E15" s="382"/>
      <c r="G15" s="382"/>
      <c r="H15" s="516">
        <f>-('15'!O17)</f>
        <v>-808358</v>
      </c>
      <c r="I15" s="382"/>
      <c r="J15" s="769">
        <v>-649179</v>
      </c>
      <c r="K15" s="373"/>
      <c r="L15" s="373"/>
      <c r="M15" s="373"/>
      <c r="N15" s="373"/>
      <c r="O15" s="373"/>
    </row>
    <row r="16" spans="1:15" ht="40.5" customHeight="1">
      <c r="C16" s="889" t="s">
        <v>2044</v>
      </c>
      <c r="D16" s="383"/>
      <c r="E16" s="382"/>
      <c r="G16" s="382"/>
      <c r="H16" s="516">
        <f>-'19'!N12</f>
        <v>10</v>
      </c>
      <c r="I16" s="382"/>
      <c r="J16" s="769">
        <v>95</v>
      </c>
      <c r="K16" s="373"/>
      <c r="L16" s="373"/>
      <c r="M16" s="373"/>
      <c r="N16" s="373"/>
      <c r="O16" s="373"/>
    </row>
    <row r="17" spans="1:16" ht="40.5" customHeight="1">
      <c r="C17" s="889" t="s">
        <v>1995</v>
      </c>
      <c r="D17" s="383"/>
      <c r="E17" s="382"/>
      <c r="G17" s="382"/>
      <c r="H17" s="516">
        <f>-'19'!N11</f>
        <v>-1203</v>
      </c>
      <c r="I17" s="382"/>
      <c r="J17" s="770">
        <v>-161</v>
      </c>
      <c r="K17" s="384"/>
      <c r="L17" s="384"/>
      <c r="M17" s="384"/>
      <c r="N17" s="384"/>
      <c r="O17" s="384"/>
    </row>
    <row r="18" spans="1:16" ht="40.5" customHeight="1">
      <c r="A18" s="706" t="s">
        <v>2061</v>
      </c>
      <c r="C18" s="688" t="s">
        <v>2097</v>
      </c>
      <c r="D18" s="379"/>
      <c r="E18" s="382"/>
      <c r="F18" s="382"/>
      <c r="G18" s="382"/>
      <c r="H18" s="689">
        <f>SUM(H14:H17)</f>
        <v>-809551</v>
      </c>
      <c r="I18" s="382"/>
      <c r="J18" s="689">
        <f>SUM(J14:J17)</f>
        <v>-649245</v>
      </c>
      <c r="K18" s="384"/>
      <c r="L18" s="384"/>
      <c r="M18" s="384"/>
      <c r="N18" s="384"/>
      <c r="O18" s="384"/>
    </row>
    <row r="19" spans="1:16" s="1941" customFormat="1" ht="40.5" customHeight="1">
      <c r="A19" s="706"/>
      <c r="B19" s="338"/>
      <c r="C19" s="688" t="s">
        <v>2361</v>
      </c>
      <c r="D19" s="379"/>
      <c r="E19" s="382"/>
      <c r="F19" s="382"/>
      <c r="G19" s="382"/>
      <c r="H19" s="382">
        <f>H12+H18</f>
        <v>-790918</v>
      </c>
      <c r="I19" s="382"/>
      <c r="J19" s="382">
        <f>J18+J12</f>
        <v>1221766</v>
      </c>
      <c r="K19" s="384"/>
      <c r="L19" s="384"/>
      <c r="M19" s="384"/>
      <c r="N19" s="384"/>
      <c r="O19" s="384"/>
    </row>
    <row r="20" spans="1:16" s="1296" customFormat="1" ht="40.5" customHeight="1">
      <c r="A20" s="338"/>
      <c r="B20" s="338"/>
      <c r="C20" s="890" t="s">
        <v>1996</v>
      </c>
      <c r="D20" s="379"/>
      <c r="E20" s="382"/>
      <c r="F20" s="382"/>
      <c r="G20" s="382"/>
      <c r="H20" s="382"/>
      <c r="I20" s="382"/>
      <c r="J20" s="382"/>
      <c r="K20" s="384"/>
      <c r="L20" s="384"/>
      <c r="M20" s="384"/>
      <c r="N20" s="384"/>
      <c r="O20" s="384"/>
    </row>
    <row r="21" spans="1:16" s="1296" customFormat="1" ht="40.5" customHeight="1">
      <c r="A21" s="338"/>
      <c r="B21" s="338"/>
      <c r="C21" s="889" t="s">
        <v>2404</v>
      </c>
      <c r="D21" s="379"/>
      <c r="E21" s="382"/>
      <c r="F21" s="382"/>
      <c r="G21" s="382"/>
      <c r="H21" s="511">
        <f>'26'!P42</f>
        <v>-37629</v>
      </c>
      <c r="I21" s="382"/>
      <c r="J21" s="511">
        <v>-10333</v>
      </c>
      <c r="K21" s="384"/>
      <c r="L21" s="384"/>
      <c r="M21" s="384"/>
      <c r="N21" s="384"/>
      <c r="O21" s="384"/>
    </row>
    <row r="22" spans="1:16" ht="42" customHeight="1">
      <c r="C22" s="688" t="s">
        <v>2288</v>
      </c>
      <c r="D22" s="379"/>
      <c r="E22" s="382"/>
      <c r="F22" s="382"/>
      <c r="G22" s="382"/>
      <c r="H22" s="382">
        <f>H19+H21</f>
        <v>-828547</v>
      </c>
      <c r="I22" s="382" t="e">
        <f>I18+#REF!+I10+#REF!</f>
        <v>#REF!</v>
      </c>
      <c r="J22" s="382">
        <f>J19+J21</f>
        <v>1211433</v>
      </c>
      <c r="K22" s="384"/>
      <c r="L22" s="384"/>
      <c r="M22" s="384"/>
      <c r="N22" s="384"/>
      <c r="O22" s="384"/>
    </row>
    <row r="23" spans="1:16" ht="0.75" hidden="1" customHeight="1">
      <c r="C23" s="890" t="s">
        <v>1425</v>
      </c>
      <c r="D23" s="379"/>
      <c r="E23" s="382"/>
      <c r="F23" s="382"/>
      <c r="G23" s="382"/>
      <c r="H23" s="706"/>
      <c r="I23" s="382"/>
      <c r="J23" s="382"/>
      <c r="K23" s="384"/>
      <c r="L23" s="384"/>
      <c r="M23" s="384"/>
      <c r="N23" s="384"/>
      <c r="O23" s="384"/>
    </row>
    <row r="24" spans="1:16" ht="40.5" hidden="1" customHeight="1">
      <c r="C24" s="785" t="s">
        <v>1655</v>
      </c>
      <c r="D24" s="379"/>
      <c r="E24" s="382"/>
      <c r="F24" s="382"/>
      <c r="G24" s="382"/>
      <c r="H24" s="511">
        <v>0</v>
      </c>
      <c r="I24" s="382"/>
      <c r="J24" s="511">
        <v>0</v>
      </c>
      <c r="K24" s="384"/>
      <c r="L24" s="384"/>
      <c r="M24" s="384"/>
      <c r="N24" s="384"/>
      <c r="O24" s="384"/>
    </row>
    <row r="25" spans="1:16" ht="40.5" hidden="1" customHeight="1">
      <c r="C25" s="688" t="s">
        <v>1720</v>
      </c>
      <c r="D25" s="379"/>
      <c r="E25" s="382"/>
      <c r="F25" s="382"/>
      <c r="G25" s="382"/>
      <c r="H25" s="382">
        <f>SUM(H22:H24)</f>
        <v>-828547</v>
      </c>
      <c r="I25" s="382"/>
      <c r="J25" s="382">
        <v>-3648054</v>
      </c>
      <c r="K25" s="384"/>
      <c r="L25" s="384"/>
      <c r="M25" s="384"/>
      <c r="N25" s="384"/>
      <c r="O25" s="384"/>
    </row>
    <row r="26" spans="1:16" ht="40.5" customHeight="1">
      <c r="C26" s="378" t="s">
        <v>1997</v>
      </c>
      <c r="D26" s="379"/>
      <c r="E26" s="382"/>
      <c r="F26" s="382"/>
      <c r="G26" s="382" t="s">
        <v>2060</v>
      </c>
      <c r="H26" s="511">
        <f>'23'!L33</f>
        <v>1610502</v>
      </c>
      <c r="I26" s="382"/>
      <c r="J26" s="511">
        <v>399069</v>
      </c>
      <c r="K26" s="384"/>
      <c r="L26" s="384"/>
      <c r="M26" s="384"/>
      <c r="N26" s="384"/>
      <c r="O26" s="384"/>
    </row>
    <row r="27" spans="1:16" ht="40.5" customHeight="1" thickBot="1">
      <c r="C27" s="378" t="s">
        <v>1998</v>
      </c>
      <c r="D27" s="379"/>
      <c r="E27" s="382"/>
      <c r="F27" s="382"/>
      <c r="G27" s="382"/>
      <c r="H27" s="514">
        <f>SUM(H25:H26)</f>
        <v>781955</v>
      </c>
      <c r="I27" s="382"/>
      <c r="J27" s="690">
        <v>1610502</v>
      </c>
      <c r="K27" s="384"/>
      <c r="L27" s="384"/>
      <c r="M27" s="384"/>
      <c r="N27" s="384"/>
      <c r="O27" s="384"/>
    </row>
    <row r="28" spans="1:16" s="2169" customFormat="1" ht="40.5" customHeight="1" thickTop="1">
      <c r="A28" s="338"/>
      <c r="B28" s="338"/>
      <c r="C28" s="378"/>
      <c r="D28" s="379"/>
      <c r="E28" s="382"/>
      <c r="F28" s="382"/>
      <c r="G28" s="382"/>
      <c r="H28" s="382"/>
      <c r="I28" s="382"/>
      <c r="J28" s="2171"/>
      <c r="K28" s="384"/>
      <c r="L28" s="384"/>
      <c r="M28" s="384"/>
      <c r="N28" s="384"/>
      <c r="O28" s="384"/>
    </row>
    <row r="29" spans="1:16" ht="40.5" customHeight="1">
      <c r="C29" s="688" t="s">
        <v>1999</v>
      </c>
      <c r="D29" s="383">
        <v>22</v>
      </c>
      <c r="E29" s="382"/>
      <c r="F29" s="385"/>
      <c r="G29" s="385"/>
      <c r="H29" s="2172">
        <f>'30'!K26</f>
        <v>25735246</v>
      </c>
      <c r="I29" s="485"/>
      <c r="J29" s="2172">
        <v>67781132</v>
      </c>
      <c r="K29" s="384"/>
      <c r="L29" s="384"/>
      <c r="M29" s="384"/>
      <c r="N29" s="384"/>
      <c r="O29" s="384"/>
    </row>
    <row r="30" spans="1:16" s="369" customFormat="1" ht="207" customHeight="1">
      <c r="B30" s="1209">
        <f>-'سود و زیان'!A19</f>
        <v>0</v>
      </c>
      <c r="C30" s="1839"/>
      <c r="D30" s="1840"/>
      <c r="E30" s="1444"/>
      <c r="F30" s="1444"/>
      <c r="G30" s="1444"/>
      <c r="H30" s="1841">
        <f>H27-'23'!J33</f>
        <v>0</v>
      </c>
      <c r="I30" s="1842"/>
      <c r="J30" s="1842">
        <f>J27-'23'!L33</f>
        <v>0</v>
      </c>
      <c r="K30" s="874"/>
      <c r="L30" s="874"/>
      <c r="M30" s="874"/>
      <c r="N30" s="874"/>
      <c r="O30" s="874"/>
    </row>
    <row r="31" spans="1:16" ht="48.75" customHeight="1">
      <c r="C31" s="3392" t="s">
        <v>1475</v>
      </c>
      <c r="D31" s="3392"/>
      <c r="E31" s="3392"/>
      <c r="F31" s="3392"/>
      <c r="G31" s="3392"/>
      <c r="H31" s="3392"/>
      <c r="I31" s="3392"/>
      <c r="J31" s="3392"/>
      <c r="K31" s="373"/>
      <c r="L31" s="373"/>
      <c r="M31" s="373"/>
      <c r="N31" s="940"/>
      <c r="O31" s="940"/>
      <c r="P31" s="369"/>
    </row>
    <row r="32" spans="1:16" ht="48.75" customHeight="1">
      <c r="C32" s="1423"/>
      <c r="D32" s="1423"/>
      <c r="E32" s="1423"/>
      <c r="F32" s="1423"/>
      <c r="G32" s="1423"/>
      <c r="H32" s="1423"/>
      <c r="I32" s="1423"/>
      <c r="J32" s="1423"/>
      <c r="K32" s="373"/>
      <c r="L32" s="373"/>
      <c r="M32" s="373"/>
      <c r="N32" s="940"/>
      <c r="O32" s="940"/>
      <c r="P32" s="369"/>
    </row>
    <row r="33" spans="3:15" ht="222.75" customHeight="1">
      <c r="C33" s="3389">
        <v>5</v>
      </c>
      <c r="D33" s="3389"/>
      <c r="E33" s="3389"/>
      <c r="F33" s="3389"/>
      <c r="G33" s="3389"/>
      <c r="H33" s="3389"/>
      <c r="I33" s="3389"/>
      <c r="J33" s="3389"/>
      <c r="K33" s="373"/>
      <c r="L33" s="373"/>
      <c r="M33" s="373"/>
      <c r="N33" s="373"/>
      <c r="O33" s="373"/>
    </row>
    <row r="34" spans="3:15">
      <c r="C34" s="386"/>
      <c r="D34" s="387"/>
      <c r="E34" s="373"/>
      <c r="F34" s="374"/>
      <c r="G34" s="374"/>
      <c r="H34" s="374"/>
      <c r="I34" s="374"/>
      <c r="J34" s="375"/>
      <c r="K34" s="373"/>
      <c r="L34" s="373"/>
      <c r="M34" s="373"/>
      <c r="N34" s="373"/>
      <c r="O34" s="373"/>
    </row>
    <row r="35" spans="3:15" ht="37.5">
      <c r="C35" s="386"/>
      <c r="D35" s="388"/>
      <c r="E35" s="373"/>
      <c r="F35" s="374"/>
      <c r="G35" s="374"/>
      <c r="H35" s="374"/>
      <c r="I35" s="374"/>
      <c r="J35" s="375"/>
      <c r="K35" s="373"/>
      <c r="L35" s="373"/>
      <c r="M35" s="373"/>
      <c r="N35" s="373"/>
      <c r="O35" s="373"/>
    </row>
    <row r="36" spans="3:15">
      <c r="C36" s="373"/>
      <c r="D36" s="373"/>
      <c r="E36" s="373"/>
      <c r="F36" s="374"/>
      <c r="G36" s="374"/>
      <c r="H36" s="374"/>
      <c r="I36" s="374"/>
      <c r="J36" s="375"/>
      <c r="K36" s="373"/>
      <c r="L36" s="373"/>
      <c r="M36" s="373"/>
      <c r="N36" s="373"/>
      <c r="O36" s="373"/>
    </row>
    <row r="37" spans="3:15" ht="56.25" customHeight="1">
      <c r="C37" s="389"/>
      <c r="D37" s="390"/>
      <c r="E37" s="384"/>
      <c r="F37" s="377"/>
      <c r="G37" s="377"/>
      <c r="H37" s="374"/>
      <c r="I37" s="374"/>
      <c r="J37" s="375"/>
      <c r="K37" s="373"/>
      <c r="L37" s="373"/>
      <c r="M37" s="373"/>
      <c r="N37" s="373"/>
      <c r="O37" s="373"/>
    </row>
    <row r="38" spans="3:15">
      <c r="C38" s="389"/>
      <c r="D38" s="390"/>
      <c r="E38" s="384"/>
      <c r="F38" s="377"/>
      <c r="G38" s="377"/>
      <c r="H38" s="374"/>
      <c r="I38" s="374"/>
      <c r="J38" s="375"/>
      <c r="K38" s="373"/>
      <c r="L38" s="373"/>
      <c r="M38" s="373"/>
      <c r="N38" s="373"/>
      <c r="O38" s="373"/>
    </row>
    <row r="39" spans="3:15">
      <c r="C39" s="389"/>
      <c r="D39" s="390"/>
      <c r="E39" s="384"/>
      <c r="F39" s="377"/>
      <c r="G39" s="377"/>
      <c r="H39" s="374"/>
      <c r="I39" s="374"/>
      <c r="J39" s="375"/>
      <c r="K39" s="373"/>
      <c r="L39" s="373"/>
      <c r="M39" s="373"/>
      <c r="N39" s="373"/>
      <c r="O39" s="373"/>
    </row>
    <row r="40" spans="3:15">
      <c r="C40" s="389"/>
      <c r="D40" s="390"/>
      <c r="E40" s="384"/>
      <c r="F40" s="377"/>
      <c r="G40" s="377"/>
      <c r="H40" s="374"/>
      <c r="I40" s="374"/>
      <c r="J40" s="375"/>
      <c r="K40" s="373"/>
      <c r="L40" s="373"/>
      <c r="M40" s="373"/>
      <c r="N40" s="373"/>
      <c r="O40" s="373"/>
    </row>
    <row r="41" spans="3:15">
      <c r="C41" s="389"/>
      <c r="D41" s="390"/>
      <c r="E41" s="384"/>
      <c r="F41" s="377"/>
      <c r="G41" s="377"/>
      <c r="H41" s="374"/>
      <c r="I41" s="374"/>
      <c r="J41" s="375"/>
      <c r="K41" s="373"/>
      <c r="L41" s="373"/>
      <c r="M41" s="373"/>
      <c r="N41" s="373"/>
      <c r="O41" s="373"/>
    </row>
    <row r="42" spans="3:15">
      <c r="C42" s="389"/>
      <c r="D42" s="390"/>
      <c r="E42" s="384"/>
      <c r="F42" s="377"/>
      <c r="G42" s="377"/>
      <c r="H42" s="374"/>
      <c r="I42" s="374"/>
      <c r="J42" s="375"/>
      <c r="K42" s="373"/>
      <c r="L42" s="373"/>
      <c r="M42" s="373"/>
      <c r="N42" s="373"/>
      <c r="O42" s="373"/>
    </row>
    <row r="43" spans="3:15">
      <c r="C43" s="389"/>
      <c r="D43" s="390"/>
      <c r="E43" s="384"/>
      <c r="F43" s="377"/>
      <c r="G43" s="391"/>
      <c r="H43" s="374"/>
      <c r="I43" s="374"/>
      <c r="J43" s="375"/>
      <c r="K43" s="373"/>
      <c r="L43" s="373"/>
      <c r="M43" s="373"/>
      <c r="N43" s="373"/>
      <c r="O43" s="373"/>
    </row>
    <row r="44" spans="3:15">
      <c r="C44" s="389"/>
      <c r="D44" s="390"/>
      <c r="E44" s="384"/>
      <c r="F44" s="377"/>
      <c r="G44" s="391"/>
      <c r="H44" s="374"/>
      <c r="I44" s="374"/>
      <c r="J44" s="375"/>
      <c r="K44" s="373"/>
      <c r="L44" s="373"/>
      <c r="M44" s="373"/>
      <c r="N44" s="373"/>
      <c r="O44" s="373"/>
    </row>
    <row r="45" spans="3:15">
      <c r="C45" s="386"/>
      <c r="D45" s="392"/>
      <c r="E45" s="392"/>
      <c r="F45" s="391"/>
      <c r="G45" s="374"/>
      <c r="H45" s="374"/>
      <c r="I45" s="374"/>
      <c r="J45" s="375"/>
      <c r="K45" s="373"/>
      <c r="L45" s="373"/>
      <c r="M45" s="373"/>
      <c r="N45" s="373"/>
      <c r="O45" s="373"/>
    </row>
    <row r="46" spans="3:15">
      <c r="C46" s="386"/>
      <c r="D46" s="393"/>
      <c r="E46" s="393"/>
      <c r="F46" s="391"/>
      <c r="G46" s="374"/>
      <c r="H46" s="374"/>
      <c r="I46" s="374"/>
      <c r="J46" s="375"/>
      <c r="K46" s="373"/>
      <c r="L46" s="373"/>
      <c r="M46" s="373"/>
      <c r="N46" s="373"/>
      <c r="O46" s="373"/>
    </row>
    <row r="57" spans="10:10">
      <c r="J57" s="394">
        <v>-7717613</v>
      </c>
    </row>
  </sheetData>
  <mergeCells count="7">
    <mergeCell ref="C33:J33"/>
    <mergeCell ref="C2:J2"/>
    <mergeCell ref="C3:J3"/>
    <mergeCell ref="C4:J4"/>
    <mergeCell ref="F7:H7"/>
    <mergeCell ref="C31:J31"/>
    <mergeCell ref="H5:J5"/>
  </mergeCells>
  <printOptions horizontalCentered="1" verticalCentered="1"/>
  <pageMargins left="0" right="0" top="0" bottom="0" header="0" footer="0"/>
  <pageSetup paperSize="9" scale="5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40"/>
  <sheetViews>
    <sheetView rightToLeft="1" view="pageBreakPreview" topLeftCell="A7" zoomScale="60" zoomScaleNormal="60" workbookViewId="0">
      <selection activeCell="L24" sqref="L24"/>
    </sheetView>
  </sheetViews>
  <sheetFormatPr defaultColWidth="8.75" defaultRowHeight="31.5" customHeight="1"/>
  <cols>
    <col min="1" max="1" width="8.75" style="800"/>
    <col min="2" max="2" width="6.25" customWidth="1"/>
    <col min="3" max="3" width="28.125" customWidth="1"/>
    <col min="4" max="4" width="6.875" customWidth="1"/>
    <col min="5" max="5" width="9.125" customWidth="1"/>
    <col min="6" max="6" width="11" customWidth="1"/>
    <col min="7" max="7" width="5.25" customWidth="1"/>
    <col min="8" max="8" width="23.75" customWidth="1"/>
    <col min="9" max="9" width="18" customWidth="1"/>
    <col min="10" max="10" width="33.875" customWidth="1"/>
    <col min="11" max="16384" width="8.75" style="800"/>
  </cols>
  <sheetData>
    <row r="1" spans="2:10" customFormat="1" ht="125.25" customHeight="1">
      <c r="B1" s="3399"/>
      <c r="C1" s="3399"/>
      <c r="D1" s="3399"/>
      <c r="E1" s="3399"/>
      <c r="F1" s="3399"/>
      <c r="G1" s="3399"/>
      <c r="H1" s="3399"/>
      <c r="I1" s="3399"/>
      <c r="J1" s="3399"/>
    </row>
    <row r="2" spans="2:10" customFormat="1" ht="34.5" customHeight="1">
      <c r="B2" s="3400" t="s">
        <v>2197</v>
      </c>
      <c r="C2" s="3400"/>
      <c r="D2" s="3400"/>
      <c r="E2" s="3400"/>
      <c r="F2" s="3400"/>
      <c r="G2" s="3400"/>
      <c r="H2" s="3400"/>
      <c r="I2" s="3400"/>
      <c r="J2" s="3400"/>
    </row>
    <row r="3" spans="2:10" customFormat="1" ht="33" customHeight="1">
      <c r="B3" s="3400" t="s">
        <v>2188</v>
      </c>
      <c r="C3" s="3400"/>
      <c r="D3" s="3400"/>
      <c r="E3" s="3400"/>
      <c r="F3" s="3400"/>
      <c r="G3" s="3400"/>
      <c r="H3" s="3400"/>
      <c r="I3" s="3400"/>
      <c r="J3" s="3400"/>
    </row>
    <row r="4" spans="2:10" customFormat="1" ht="33" customHeight="1">
      <c r="B4" s="3400" t="s">
        <v>2628</v>
      </c>
      <c r="C4" s="3400"/>
      <c r="D4" s="3400"/>
      <c r="E4" s="3400"/>
      <c r="F4" s="3400"/>
      <c r="G4" s="3400"/>
      <c r="H4" s="3400"/>
      <c r="I4" s="3400"/>
      <c r="J4" s="3400"/>
    </row>
    <row r="5" spans="2:10" customFormat="1" ht="60.75" customHeight="1">
      <c r="B5" s="3397" t="s">
        <v>2189</v>
      </c>
      <c r="C5" s="3397"/>
      <c r="D5" s="3397"/>
      <c r="E5" s="3397"/>
      <c r="F5" s="3397"/>
      <c r="G5" s="3397"/>
      <c r="H5" s="3397"/>
      <c r="I5" s="3397"/>
      <c r="J5" s="3397"/>
    </row>
    <row r="6" spans="2:10" customFormat="1" ht="50.25" customHeight="1">
      <c r="B6" s="3397" t="s">
        <v>2190</v>
      </c>
      <c r="C6" s="3397"/>
      <c r="D6" s="3397"/>
      <c r="E6" s="3397"/>
      <c r="F6" s="3397"/>
      <c r="G6" s="3397"/>
      <c r="H6" s="3397"/>
      <c r="I6" s="3397"/>
      <c r="J6" s="3397"/>
    </row>
    <row r="7" spans="2:10" customFormat="1" ht="50.25" customHeight="1">
      <c r="B7" s="3397" t="s">
        <v>2643</v>
      </c>
      <c r="C7" s="3397"/>
      <c r="D7" s="3397"/>
      <c r="E7" s="3397"/>
      <c r="F7" s="3397"/>
      <c r="G7" s="3397"/>
      <c r="H7" s="3397"/>
      <c r="I7" s="3397"/>
      <c r="J7" s="3397"/>
    </row>
    <row r="8" spans="2:10" customFormat="1" ht="50.25" customHeight="1">
      <c r="B8" s="3397" t="s">
        <v>2191</v>
      </c>
      <c r="C8" s="3397"/>
      <c r="D8" s="3397"/>
      <c r="E8" s="3397"/>
      <c r="F8" s="3397"/>
      <c r="G8" s="3397"/>
      <c r="H8" s="3397"/>
      <c r="I8" s="3397"/>
      <c r="J8" s="3397"/>
    </row>
    <row r="9" spans="2:10" customFormat="1" ht="17.25" customHeight="1">
      <c r="B9" s="1994"/>
      <c r="C9" s="357"/>
      <c r="D9" s="357"/>
      <c r="E9" s="357"/>
      <c r="F9" s="357"/>
      <c r="G9" s="357"/>
      <c r="H9" s="357"/>
      <c r="I9" s="357"/>
      <c r="J9" s="357"/>
    </row>
    <row r="10" spans="2:10" customFormat="1" ht="43.5" customHeight="1">
      <c r="B10" s="1995"/>
      <c r="C10" s="893"/>
      <c r="D10" s="893"/>
      <c r="E10" s="893"/>
      <c r="F10" s="893"/>
      <c r="G10" s="893"/>
      <c r="H10" s="2002"/>
      <c r="I10" s="1996"/>
      <c r="J10" s="2001" t="s">
        <v>731</v>
      </c>
    </row>
    <row r="11" spans="2:10" customFormat="1" ht="43.5" customHeight="1">
      <c r="B11" s="1995"/>
      <c r="C11" s="1998" t="s">
        <v>2280</v>
      </c>
      <c r="D11" s="893"/>
      <c r="E11" s="893"/>
      <c r="F11" s="893"/>
      <c r="G11" s="893"/>
      <c r="H11" s="2003"/>
      <c r="I11" s="1995"/>
      <c r="J11" s="1999">
        <v>2</v>
      </c>
    </row>
    <row r="12" spans="2:10" customFormat="1" ht="43.5" customHeight="1">
      <c r="B12" s="1995"/>
      <c r="C12" s="1998" t="s">
        <v>2281</v>
      </c>
      <c r="D12" s="893"/>
      <c r="E12" s="893"/>
      <c r="F12" s="893"/>
      <c r="G12" s="893"/>
      <c r="H12" s="1999"/>
      <c r="I12" s="1995"/>
      <c r="J12" s="1999">
        <v>3</v>
      </c>
    </row>
    <row r="13" spans="2:10" customFormat="1" ht="43.5" customHeight="1">
      <c r="B13" s="1995"/>
      <c r="C13" s="3396" t="s">
        <v>2283</v>
      </c>
      <c r="D13" s="3396"/>
      <c r="E13" s="3396"/>
      <c r="F13" s="893"/>
      <c r="G13" s="893"/>
      <c r="H13" s="1999"/>
      <c r="I13" s="1995"/>
      <c r="J13" s="1999">
        <v>4</v>
      </c>
    </row>
    <row r="14" spans="2:10" customFormat="1" ht="43.5" customHeight="1">
      <c r="B14" s="1995"/>
      <c r="C14" s="1998" t="s">
        <v>2282</v>
      </c>
      <c r="D14" s="893"/>
      <c r="E14" s="893"/>
      <c r="F14" s="893"/>
      <c r="G14" s="893"/>
      <c r="H14" s="1999"/>
      <c r="I14" s="1995"/>
      <c r="J14" s="1999">
        <v>5</v>
      </c>
    </row>
    <row r="15" spans="2:10" customFormat="1" ht="43.5" customHeight="1">
      <c r="B15" s="1995"/>
      <c r="C15" s="3396" t="s">
        <v>2284</v>
      </c>
      <c r="D15" s="3396"/>
      <c r="E15" s="3396"/>
      <c r="F15" s="893"/>
      <c r="G15" s="893"/>
      <c r="H15" s="2000"/>
      <c r="I15" s="1995"/>
      <c r="J15" s="2000" t="s">
        <v>2586</v>
      </c>
    </row>
    <row r="16" spans="2:10" customFormat="1" ht="60.75" customHeight="1">
      <c r="B16" s="1995"/>
      <c r="C16" s="1995"/>
      <c r="D16" s="1995"/>
      <c r="E16" s="1995"/>
      <c r="F16" s="1995"/>
      <c r="G16" s="1995"/>
      <c r="H16" s="1995"/>
      <c r="I16" s="1995"/>
      <c r="J16" s="1995"/>
    </row>
    <row r="17" spans="2:10" customFormat="1" ht="60.75" customHeight="1">
      <c r="B17" s="3397" t="s">
        <v>2696</v>
      </c>
      <c r="C17" s="3397"/>
      <c r="D17" s="3397"/>
      <c r="E17" s="3397"/>
      <c r="F17" s="3397"/>
      <c r="G17" s="3397"/>
      <c r="H17" s="3397"/>
      <c r="I17" s="3397"/>
      <c r="J17" s="3397"/>
    </row>
    <row r="18" spans="2:10" customFormat="1" ht="60.75" customHeight="1">
      <c r="B18" s="1995"/>
      <c r="C18" s="2001" t="s">
        <v>2192</v>
      </c>
      <c r="D18" s="2005"/>
      <c r="E18" s="3398" t="s">
        <v>729</v>
      </c>
      <c r="F18" s="3398"/>
      <c r="G18" s="3398"/>
      <c r="H18" s="3398"/>
      <c r="I18" s="1995"/>
      <c r="J18" s="1997" t="s">
        <v>730</v>
      </c>
    </row>
    <row r="19" spans="2:10" customFormat="1" ht="76.5" customHeight="1">
      <c r="B19" s="1995"/>
      <c r="C19" s="1998" t="s">
        <v>2010</v>
      </c>
      <c r="D19" s="2004"/>
      <c r="E19" s="3394" t="s">
        <v>2193</v>
      </c>
      <c r="F19" s="3394"/>
      <c r="G19" s="3394"/>
      <c r="H19" s="3394"/>
      <c r="I19" s="1995"/>
      <c r="J19" s="1995"/>
    </row>
    <row r="20" spans="2:10" customFormat="1" ht="76.5" customHeight="1">
      <c r="B20" s="1995"/>
      <c r="C20" s="1998" t="s">
        <v>2238</v>
      </c>
      <c r="D20" s="2004"/>
      <c r="E20" s="3394" t="s">
        <v>2291</v>
      </c>
      <c r="F20" s="3394"/>
      <c r="G20" s="3394"/>
      <c r="H20" s="3394"/>
      <c r="I20" s="1995"/>
      <c r="J20" s="1995"/>
    </row>
    <row r="21" spans="2:10" customFormat="1" ht="76.5" customHeight="1">
      <c r="B21" s="1995"/>
      <c r="C21" s="1998" t="s">
        <v>2277</v>
      </c>
      <c r="D21" s="2004"/>
      <c r="E21" s="3394" t="s">
        <v>2290</v>
      </c>
      <c r="F21" s="3394"/>
      <c r="G21" s="3394"/>
      <c r="H21" s="3394"/>
      <c r="I21" s="1995"/>
      <c r="J21" s="1995"/>
    </row>
    <row r="22" spans="2:10" customFormat="1" ht="76.5" customHeight="1">
      <c r="B22" s="1995"/>
      <c r="C22" s="1998" t="s">
        <v>1871</v>
      </c>
      <c r="D22" s="2004"/>
      <c r="E22" s="3394" t="s">
        <v>2194</v>
      </c>
      <c r="F22" s="3394"/>
      <c r="G22" s="3394"/>
      <c r="H22" s="3394"/>
      <c r="I22" s="1995"/>
      <c r="J22" s="1995"/>
    </row>
    <row r="23" spans="2:10" customFormat="1" ht="76.5" customHeight="1">
      <c r="B23" s="1995"/>
      <c r="C23" s="1998" t="s">
        <v>2239</v>
      </c>
      <c r="D23" s="2004"/>
      <c r="E23" s="3394" t="s">
        <v>2242</v>
      </c>
      <c r="F23" s="3394"/>
      <c r="G23" s="3394"/>
      <c r="H23" s="3394"/>
      <c r="I23" s="1995"/>
      <c r="J23" s="1995"/>
    </row>
    <row r="24" spans="2:10" customFormat="1" ht="60.75" customHeight="1">
      <c r="B24" s="1995"/>
      <c r="C24" s="2092" t="s">
        <v>2292</v>
      </c>
      <c r="D24" s="1995"/>
      <c r="E24" s="3394" t="s">
        <v>2429</v>
      </c>
      <c r="F24" s="3394"/>
      <c r="G24" s="3394"/>
      <c r="H24" s="3394"/>
      <c r="I24" s="1995"/>
      <c r="J24" s="1995"/>
    </row>
    <row r="25" spans="2:10" customFormat="1" ht="42" customHeight="1">
      <c r="B25" s="3395" t="s">
        <v>2195</v>
      </c>
      <c r="C25" s="3395"/>
      <c r="D25" s="3395"/>
      <c r="E25" s="3395"/>
      <c r="F25" s="3395"/>
      <c r="G25" s="3395"/>
      <c r="H25" s="3395"/>
      <c r="I25" s="3395"/>
      <c r="J25" s="3395"/>
    </row>
    <row r="26" spans="2:10" customFormat="1" ht="36" customHeight="1">
      <c r="B26" s="3395" t="s">
        <v>2196</v>
      </c>
      <c r="C26" s="3395"/>
      <c r="D26" s="3395"/>
      <c r="E26" s="3395"/>
      <c r="F26" s="3395"/>
      <c r="G26" s="3395"/>
      <c r="H26" s="3395"/>
      <c r="I26" s="3395"/>
      <c r="J26" s="3395"/>
    </row>
    <row r="40" ht="26.25"/>
  </sheetData>
  <mergeCells count="20">
    <mergeCell ref="C13:E13"/>
    <mergeCell ref="B1:J1"/>
    <mergeCell ref="B2:J2"/>
    <mergeCell ref="B3:J3"/>
    <mergeCell ref="B4:J4"/>
    <mergeCell ref="B5:J5"/>
    <mergeCell ref="B6:J6"/>
    <mergeCell ref="B7:J7"/>
    <mergeCell ref="B8:J8"/>
    <mergeCell ref="E22:H22"/>
    <mergeCell ref="E23:H23"/>
    <mergeCell ref="B25:J25"/>
    <mergeCell ref="B26:J26"/>
    <mergeCell ref="C15:E15"/>
    <mergeCell ref="B17:J17"/>
    <mergeCell ref="E18:H18"/>
    <mergeCell ref="E19:H19"/>
    <mergeCell ref="E20:H20"/>
    <mergeCell ref="E21:H21"/>
    <mergeCell ref="E24:H24"/>
  </mergeCells>
  <printOptions horizontalCentered="1" verticalCentered="1"/>
  <pageMargins left="0" right="0" top="0" bottom="0" header="0" footer="0"/>
  <pageSetup paperSize="9" scale="55" orientation="portrait" r:id="rId1"/>
  <headerFooter>
    <oddFooter>&amp;C&amp;"B Koodak,Bold"&amp;18 1</oddFooter>
  </headerFooter>
  <colBreaks count="1" manualBreakCount="1">
    <brk id="16" max="2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55"/>
  <sheetViews>
    <sheetView rightToLeft="1" view="pageBreakPreview" topLeftCell="A13" zoomScale="66" zoomScaleNormal="100" zoomScaleSheetLayoutView="66" zoomScalePageLayoutView="60" workbookViewId="0">
      <selection activeCell="F18" sqref="F18"/>
    </sheetView>
  </sheetViews>
  <sheetFormatPr defaultColWidth="1.25" defaultRowHeight="21"/>
  <cols>
    <col min="1" max="1" width="11.625" style="338" customWidth="1"/>
    <col min="2" max="2" width="50.25" style="150" customWidth="1"/>
    <col min="3" max="3" width="2.625" style="150" customWidth="1"/>
    <col min="4" max="4" width="8.625" style="150" customWidth="1"/>
    <col min="5" max="5" width="1.125" style="150" customWidth="1"/>
    <col min="6" max="6" width="16.625" style="150" customWidth="1"/>
    <col min="7" max="7" width="2.125" style="150" customWidth="1"/>
    <col min="8" max="8" width="20.125" style="150" customWidth="1"/>
    <col min="9" max="9" width="17.625" style="150" customWidth="1"/>
    <col min="10" max="10" width="49" style="150" customWidth="1"/>
    <col min="11" max="11" width="2.625" style="338" customWidth="1"/>
    <col min="12" max="12" width="6.125" style="150" customWidth="1"/>
    <col min="13" max="13" width="2.25" style="338" customWidth="1"/>
    <col min="14" max="14" width="16.625" style="150" customWidth="1"/>
    <col min="15" max="15" width="2" style="150" customWidth="1"/>
    <col min="16" max="16" width="16.875" style="150" customWidth="1"/>
    <col min="17" max="17" width="24.875" style="150" bestFit="1" customWidth="1"/>
    <col min="18" max="18" width="1.25" style="150"/>
    <col min="19" max="19" width="18.125" style="150" customWidth="1"/>
    <col min="20" max="20" width="1.25" style="150"/>
    <col min="21" max="21" width="33.25" style="150" customWidth="1"/>
    <col min="22" max="22" width="1.25" style="150"/>
    <col min="23" max="23" width="16.25" style="150" bestFit="1" customWidth="1"/>
    <col min="24" max="16384" width="1.25" style="150"/>
  </cols>
  <sheetData>
    <row r="1" spans="2:23" ht="41.25" customHeight="1">
      <c r="B1" s="109"/>
    </row>
    <row r="2" spans="2:23" ht="35.25" customHeight="1">
      <c r="B2" s="3401" t="s">
        <v>612</v>
      </c>
      <c r="C2" s="3401"/>
      <c r="D2" s="3401"/>
      <c r="E2" s="3401"/>
      <c r="F2" s="3401"/>
      <c r="G2" s="3401"/>
      <c r="H2" s="3401"/>
      <c r="I2" s="3401"/>
      <c r="J2" s="3401"/>
      <c r="K2" s="3401"/>
      <c r="L2" s="3401"/>
      <c r="M2" s="3401"/>
      <c r="N2" s="3401"/>
      <c r="O2" s="3401"/>
      <c r="P2" s="3401"/>
      <c r="Q2" s="259"/>
      <c r="R2" s="260"/>
      <c r="S2" s="260"/>
      <c r="T2" s="260"/>
      <c r="U2" s="260"/>
      <c r="V2" s="260"/>
      <c r="W2" s="260"/>
    </row>
    <row r="3" spans="2:23" ht="35.25" customHeight="1">
      <c r="B3" s="3401" t="s">
        <v>351</v>
      </c>
      <c r="C3" s="3401"/>
      <c r="D3" s="3401"/>
      <c r="E3" s="3401"/>
      <c r="F3" s="3401"/>
      <c r="G3" s="3401"/>
      <c r="H3" s="3401"/>
      <c r="I3" s="3401"/>
      <c r="J3" s="3401"/>
      <c r="K3" s="3401"/>
      <c r="L3" s="3401"/>
      <c r="M3" s="3401"/>
      <c r="N3" s="3401"/>
      <c r="O3" s="3401"/>
      <c r="P3" s="3401"/>
      <c r="Q3" s="259"/>
      <c r="R3" s="260"/>
      <c r="S3" s="260"/>
      <c r="T3" s="260"/>
      <c r="U3" s="260"/>
      <c r="V3" s="260"/>
      <c r="W3" s="260"/>
    </row>
    <row r="4" spans="2:23" ht="35.25" customHeight="1">
      <c r="B4" s="3401" t="str">
        <f>مفروضات!A4</f>
        <v>در 29 اسفند 1401</v>
      </c>
      <c r="C4" s="3401"/>
      <c r="D4" s="3401"/>
      <c r="E4" s="3401"/>
      <c r="F4" s="3401"/>
      <c r="G4" s="3401"/>
      <c r="H4" s="3401"/>
      <c r="I4" s="3401"/>
      <c r="J4" s="3401"/>
      <c r="K4" s="3401"/>
      <c r="L4" s="3401"/>
      <c r="M4" s="3401"/>
      <c r="N4" s="3401"/>
      <c r="O4" s="3401"/>
      <c r="P4" s="3401"/>
      <c r="Q4" s="259"/>
      <c r="R4" s="260"/>
      <c r="S4" s="260" t="s">
        <v>728</v>
      </c>
      <c r="T4" s="260"/>
      <c r="U4" s="260"/>
      <c r="V4" s="260"/>
      <c r="W4" s="260" t="s">
        <v>727</v>
      </c>
    </row>
    <row r="5" spans="2:23" ht="40.5" customHeight="1">
      <c r="B5" s="684"/>
      <c r="C5" s="684"/>
      <c r="D5" s="684"/>
      <c r="E5" s="684"/>
      <c r="F5" s="684"/>
      <c r="G5" s="684"/>
      <c r="H5" s="684"/>
      <c r="I5" s="684"/>
      <c r="J5" s="684"/>
      <c r="K5" s="818"/>
      <c r="L5" s="684"/>
      <c r="M5" s="818"/>
      <c r="N5" s="684"/>
      <c r="O5" s="684"/>
      <c r="P5" s="684"/>
      <c r="Q5" s="259"/>
      <c r="R5" s="260"/>
      <c r="S5" s="260"/>
      <c r="T5" s="260"/>
      <c r="U5" s="260"/>
      <c r="V5" s="260"/>
      <c r="W5" s="260"/>
    </row>
    <row r="6" spans="2:23" ht="26.25">
      <c r="B6" s="261"/>
      <c r="C6" s="261"/>
      <c r="D6" s="262"/>
      <c r="E6" s="262"/>
      <c r="F6" s="261"/>
      <c r="G6" s="261"/>
      <c r="H6" s="263" t="s">
        <v>1409</v>
      </c>
      <c r="I6" s="264"/>
      <c r="J6" s="264"/>
      <c r="K6" s="821"/>
      <c r="L6" s="265"/>
      <c r="M6" s="821"/>
      <c r="N6" s="266"/>
      <c r="O6" s="264"/>
      <c r="P6" s="263" t="s">
        <v>1410</v>
      </c>
      <c r="Q6" s="261"/>
      <c r="R6" s="262"/>
      <c r="S6" s="261"/>
      <c r="T6" s="261"/>
      <c r="U6" s="261"/>
      <c r="V6" s="261"/>
      <c r="W6" s="267"/>
    </row>
    <row r="7" spans="2:23" ht="27.75" customHeight="1" thickBot="1">
      <c r="B7" s="268" t="s">
        <v>1209</v>
      </c>
      <c r="C7" s="269"/>
      <c r="D7" s="270" t="s">
        <v>478</v>
      </c>
      <c r="E7" s="271"/>
      <c r="F7" s="272" t="str">
        <f>مفروضات!A5</f>
        <v>1401/12/29</v>
      </c>
      <c r="G7" s="273"/>
      <c r="H7" s="272" t="str">
        <f>مفروضات!C5</f>
        <v>1400/12/29</v>
      </c>
      <c r="I7" s="267"/>
      <c r="J7" s="268" t="s">
        <v>1296</v>
      </c>
      <c r="K7" s="822"/>
      <c r="L7" s="270" t="s">
        <v>478</v>
      </c>
      <c r="M7" s="822"/>
      <c r="N7" s="272" t="str">
        <f>مفروضات!A5</f>
        <v>1401/12/29</v>
      </c>
      <c r="O7" s="273"/>
      <c r="P7" s="272" t="str">
        <f>مفروضات!C5</f>
        <v>1400/12/29</v>
      </c>
      <c r="Q7" s="268" t="s">
        <v>81</v>
      </c>
      <c r="R7" s="271"/>
      <c r="S7" s="272" t="s">
        <v>244</v>
      </c>
      <c r="T7" s="273"/>
      <c r="U7" s="268" t="s">
        <v>517</v>
      </c>
      <c r="V7" s="269"/>
      <c r="W7" s="272" t="s">
        <v>244</v>
      </c>
    </row>
    <row r="8" spans="2:23" ht="26.25" customHeight="1">
      <c r="B8" s="274"/>
      <c r="C8" s="274"/>
      <c r="D8" s="275"/>
      <c r="E8" s="275"/>
      <c r="F8" s="276" t="s">
        <v>675</v>
      </c>
      <c r="G8" s="276"/>
      <c r="H8" s="276" t="str">
        <f>F8</f>
        <v>ميليون ريال</v>
      </c>
      <c r="I8" s="276"/>
      <c r="J8" s="276"/>
      <c r="K8" s="823"/>
      <c r="L8" s="276"/>
      <c r="M8" s="823"/>
      <c r="N8" s="277" t="str">
        <f>F8</f>
        <v>ميليون ريال</v>
      </c>
      <c r="O8" s="276"/>
      <c r="P8" s="276" t="str">
        <f>F8</f>
        <v>ميليون ريال</v>
      </c>
      <c r="Q8" s="274"/>
      <c r="R8" s="275"/>
      <c r="S8" s="276" t="s">
        <v>364</v>
      </c>
      <c r="T8" s="276"/>
      <c r="U8" s="276"/>
      <c r="V8" s="276"/>
      <c r="W8" s="276" t="s">
        <v>364</v>
      </c>
    </row>
    <row r="9" spans="2:23" ht="26.25" customHeight="1">
      <c r="B9" s="278" t="s">
        <v>1210</v>
      </c>
      <c r="C9" s="279"/>
      <c r="D9" s="271"/>
      <c r="E9" s="280"/>
      <c r="F9" s="281"/>
      <c r="G9" s="282"/>
      <c r="H9" s="282"/>
      <c r="I9" s="282"/>
      <c r="J9" s="278" t="s">
        <v>861</v>
      </c>
      <c r="K9" s="824"/>
      <c r="L9" s="283"/>
      <c r="M9" s="831"/>
      <c r="N9" s="281"/>
      <c r="O9" s="282"/>
      <c r="P9" s="282"/>
      <c r="Q9" s="278" t="s">
        <v>1210</v>
      </c>
      <c r="R9" s="280"/>
      <c r="S9" s="282"/>
      <c r="T9" s="282"/>
      <c r="U9" s="278" t="s">
        <v>861</v>
      </c>
      <c r="V9" s="279"/>
      <c r="W9" s="282"/>
    </row>
    <row r="10" spans="2:23" ht="26.25" customHeight="1">
      <c r="B10" s="708" t="s">
        <v>365</v>
      </c>
      <c r="C10" s="285"/>
      <c r="D10" s="286">
        <v>3</v>
      </c>
      <c r="E10" s="287"/>
      <c r="F10" s="288">
        <f>'23'!J33</f>
        <v>781955</v>
      </c>
      <c r="G10" s="289"/>
      <c r="H10" s="290">
        <f>'23'!L33</f>
        <v>1610502</v>
      </c>
      <c r="I10" s="285"/>
      <c r="J10" s="708" t="s">
        <v>1319</v>
      </c>
      <c r="K10" s="324"/>
      <c r="L10" s="286">
        <v>10</v>
      </c>
      <c r="M10" s="324"/>
      <c r="N10" s="288">
        <f>'24'!P46</f>
        <v>22011623</v>
      </c>
      <c r="O10" s="289"/>
      <c r="P10" s="290">
        <f>'24'!R46</f>
        <v>12491862</v>
      </c>
      <c r="Q10" s="284" t="s">
        <v>365</v>
      </c>
      <c r="R10" s="291"/>
      <c r="S10" s="288">
        <f>F10-H10</f>
        <v>-828547</v>
      </c>
      <c r="T10" s="292"/>
      <c r="U10" s="284" t="s">
        <v>1319</v>
      </c>
      <c r="V10" s="292"/>
      <c r="W10" s="288">
        <f>N10-P10</f>
        <v>9519761</v>
      </c>
    </row>
    <row r="11" spans="2:23" ht="26.25" customHeight="1">
      <c r="B11" s="708" t="s">
        <v>1211</v>
      </c>
      <c r="C11" s="285"/>
      <c r="D11" s="286">
        <v>4</v>
      </c>
      <c r="E11" s="287"/>
      <c r="F11" s="288">
        <f>'20'!J28</f>
        <v>35904054</v>
      </c>
      <c r="G11" s="1073"/>
      <c r="H11" s="290">
        <f>'20'!L28</f>
        <v>10129835</v>
      </c>
      <c r="I11" s="285"/>
      <c r="J11" s="708"/>
      <c r="L11" s="286"/>
      <c r="N11" s="288"/>
      <c r="P11" s="295"/>
      <c r="Q11" s="284" t="s">
        <v>1211</v>
      </c>
      <c r="R11" s="291"/>
      <c r="S11" s="1071">
        <f>F11-H11</f>
        <v>25774219</v>
      </c>
      <c r="T11" s="292"/>
      <c r="U11" s="284" t="s">
        <v>1217</v>
      </c>
      <c r="V11" s="292"/>
      <c r="W11" s="288">
        <f t="shared" ref="W11:W27" si="0">N11-P11</f>
        <v>0</v>
      </c>
    </row>
    <row r="12" spans="2:23" ht="26.25" customHeight="1">
      <c r="B12" s="708" t="s">
        <v>94</v>
      </c>
      <c r="C12" s="285"/>
      <c r="D12" s="286">
        <v>5</v>
      </c>
      <c r="E12" s="287"/>
      <c r="F12" s="288">
        <f>'23'!J13</f>
        <v>6997560</v>
      </c>
      <c r="G12" s="290"/>
      <c r="H12" s="290">
        <f>'23'!L13</f>
        <v>5177850</v>
      </c>
      <c r="I12" s="285"/>
      <c r="J12" s="284"/>
      <c r="L12" s="286"/>
      <c r="N12" s="288"/>
      <c r="P12" s="295"/>
      <c r="Q12" s="284" t="s">
        <v>94</v>
      </c>
      <c r="R12" s="291"/>
      <c r="S12" s="288">
        <f>F12-H12</f>
        <v>1819710</v>
      </c>
      <c r="T12" s="293"/>
      <c r="U12" s="284"/>
      <c r="V12" s="292"/>
      <c r="W12" s="288">
        <f t="shared" si="0"/>
        <v>0</v>
      </c>
    </row>
    <row r="13" spans="2:23" ht="26.25" customHeight="1">
      <c r="B13" s="708" t="s">
        <v>1421</v>
      </c>
      <c r="C13" s="285"/>
      <c r="D13" s="286">
        <v>6</v>
      </c>
      <c r="E13" s="287"/>
      <c r="F13" s="288">
        <f>'22'!G27</f>
        <v>547380</v>
      </c>
      <c r="G13" s="288"/>
      <c r="H13" s="288">
        <f>'22'!I27</f>
        <v>457055</v>
      </c>
      <c r="I13" s="285"/>
      <c r="N13" s="250"/>
      <c r="Q13" s="284" t="s">
        <v>1421</v>
      </c>
      <c r="R13" s="291"/>
      <c r="S13" s="288">
        <f>F13-H13</f>
        <v>90325</v>
      </c>
      <c r="T13" s="293"/>
      <c r="V13" s="292"/>
      <c r="W13" s="250">
        <f t="shared" si="0"/>
        <v>0</v>
      </c>
    </row>
    <row r="14" spans="2:23" ht="26.25" customHeight="1">
      <c r="B14" s="284" t="s">
        <v>1212</v>
      </c>
      <c r="C14" s="944"/>
      <c r="D14" s="297"/>
      <c r="E14" s="298"/>
      <c r="F14" s="299">
        <f>SUM(F10:F13)</f>
        <v>44230949</v>
      </c>
      <c r="G14" s="290"/>
      <c r="H14" s="300">
        <f>SUM(H10:H13)</f>
        <v>17375242</v>
      </c>
      <c r="I14" s="285"/>
      <c r="J14" s="284" t="s">
        <v>1301</v>
      </c>
      <c r="K14" s="324"/>
      <c r="L14" s="301"/>
      <c r="M14" s="829"/>
      <c r="N14" s="299">
        <f>SUM(N10:N11)</f>
        <v>22011623</v>
      </c>
      <c r="O14" s="290"/>
      <c r="P14" s="300">
        <f>SUM(P10:P11)</f>
        <v>12491862</v>
      </c>
      <c r="Q14" s="284" t="s">
        <v>1212</v>
      </c>
      <c r="S14" s="299">
        <f t="shared" ref="S14:S27" si="1">F14-H14</f>
        <v>26855707</v>
      </c>
      <c r="T14" s="293"/>
      <c r="U14" s="284" t="s">
        <v>1301</v>
      </c>
      <c r="V14" s="292"/>
      <c r="W14" s="299">
        <f t="shared" si="0"/>
        <v>9519761</v>
      </c>
    </row>
    <row r="15" spans="2:23" ht="26.25" customHeight="1">
      <c r="B15" s="302" t="s">
        <v>1213</v>
      </c>
      <c r="C15" s="294"/>
      <c r="D15" s="297"/>
      <c r="E15" s="952"/>
      <c r="F15" s="288"/>
      <c r="G15" s="290"/>
      <c r="H15" s="290"/>
      <c r="I15" s="285"/>
      <c r="J15" s="302" t="s">
        <v>1297</v>
      </c>
      <c r="K15" s="825"/>
      <c r="L15" s="301"/>
      <c r="M15" s="829"/>
      <c r="N15" s="288"/>
      <c r="O15" s="290"/>
      <c r="P15" s="290"/>
      <c r="Q15" s="302" t="s">
        <v>1213</v>
      </c>
      <c r="R15" s="291"/>
      <c r="S15" s="288">
        <f t="shared" si="1"/>
        <v>0</v>
      </c>
      <c r="T15" s="293"/>
      <c r="U15" s="302" t="s">
        <v>1297</v>
      </c>
      <c r="V15" s="303"/>
      <c r="W15" s="288">
        <f t="shared" si="0"/>
        <v>0</v>
      </c>
    </row>
    <row r="16" spans="2:23" ht="26.25" customHeight="1">
      <c r="B16" s="709" t="s">
        <v>1278</v>
      </c>
      <c r="C16" s="285"/>
      <c r="D16" s="286">
        <v>4</v>
      </c>
      <c r="E16" s="305"/>
      <c r="F16" s="288" t="e">
        <f>'21'!#REF!</f>
        <v>#REF!</v>
      </c>
      <c r="G16" s="306"/>
      <c r="H16" s="306" t="e">
        <f>'21'!#REF!</f>
        <v>#REF!</v>
      </c>
      <c r="I16" s="296"/>
      <c r="J16" s="708" t="s">
        <v>1218</v>
      </c>
      <c r="K16" s="324"/>
      <c r="L16" s="286">
        <v>10</v>
      </c>
      <c r="M16" s="829"/>
      <c r="N16" s="776" t="e">
        <f>'27'!#REF!</f>
        <v>#REF!</v>
      </c>
      <c r="O16" s="290"/>
      <c r="P16" s="290" t="e">
        <f>'27'!#REF!</f>
        <v>#REF!</v>
      </c>
      <c r="Q16" s="269" t="s">
        <v>1278</v>
      </c>
      <c r="R16" s="291"/>
      <c r="S16" s="288" t="e">
        <f t="shared" si="1"/>
        <v>#REF!</v>
      </c>
      <c r="T16" s="293"/>
      <c r="U16" s="284" t="s">
        <v>1218</v>
      </c>
      <c r="V16" s="292"/>
      <c r="W16" s="288" t="e">
        <f t="shared" si="0"/>
        <v>#REF!</v>
      </c>
    </row>
    <row r="17" spans="1:23" ht="26.25" customHeight="1">
      <c r="B17" s="708" t="s">
        <v>1262</v>
      </c>
      <c r="C17" s="285"/>
      <c r="D17" s="286">
        <v>7</v>
      </c>
      <c r="E17" s="287"/>
      <c r="F17" s="288">
        <f>'19'!L26</f>
        <v>48</v>
      </c>
      <c r="G17" s="290"/>
      <c r="H17" s="290">
        <f>'19'!N26</f>
        <v>48</v>
      </c>
      <c r="I17" s="285"/>
      <c r="J17" s="708" t="s">
        <v>16</v>
      </c>
      <c r="K17" s="324"/>
      <c r="L17" s="286">
        <v>11</v>
      </c>
      <c r="M17" s="829"/>
      <c r="N17" s="288" t="e">
        <f>#REF!</f>
        <v>#REF!</v>
      </c>
      <c r="O17" s="290"/>
      <c r="P17" s="288" t="e">
        <f>#REF!</f>
        <v>#REF!</v>
      </c>
      <c r="Q17" s="284" t="s">
        <v>1262</v>
      </c>
      <c r="R17" s="303"/>
      <c r="S17" s="288">
        <f t="shared" si="1"/>
        <v>0</v>
      </c>
      <c r="T17" s="293"/>
      <c r="U17" s="284" t="s">
        <v>1219</v>
      </c>
      <c r="V17" s="304"/>
      <c r="W17" s="288" t="e">
        <f t="shared" si="0"/>
        <v>#REF!</v>
      </c>
    </row>
    <row r="18" spans="1:23" ht="26.25" customHeight="1">
      <c r="B18" s="708" t="s">
        <v>666</v>
      </c>
      <c r="C18" s="285"/>
      <c r="D18" s="286">
        <v>8</v>
      </c>
      <c r="E18" s="298"/>
      <c r="F18" s="288">
        <f>'19'!L11</f>
        <v>0</v>
      </c>
      <c r="G18" s="290"/>
      <c r="H18" s="290">
        <f>'19'!N11</f>
        <v>1203</v>
      </c>
      <c r="I18" s="285"/>
      <c r="Q18" s="284" t="s">
        <v>666</v>
      </c>
      <c r="R18" s="291"/>
      <c r="S18" s="288">
        <f t="shared" si="1"/>
        <v>-1203</v>
      </c>
      <c r="T18" s="293"/>
      <c r="U18" s="284" t="s">
        <v>16</v>
      </c>
      <c r="W18" s="288">
        <f t="shared" si="0"/>
        <v>0</v>
      </c>
    </row>
    <row r="19" spans="1:23" ht="26.25" customHeight="1">
      <c r="B19" s="708" t="s">
        <v>1214</v>
      </c>
      <c r="C19" s="285"/>
      <c r="D19" s="286">
        <v>9</v>
      </c>
      <c r="E19" s="298"/>
      <c r="F19" s="288">
        <f>'15'!W38</f>
        <v>89766994</v>
      </c>
      <c r="G19" s="290"/>
      <c r="H19" s="290">
        <f>'15'!W37</f>
        <v>88470584</v>
      </c>
      <c r="I19" s="296"/>
      <c r="J19" s="709" t="s">
        <v>1300</v>
      </c>
      <c r="K19" s="826"/>
      <c r="L19" s="308"/>
      <c r="M19" s="826"/>
      <c r="N19" s="309" t="e">
        <f>SUM(N16:N17)</f>
        <v>#REF!</v>
      </c>
      <c r="O19" s="306"/>
      <c r="P19" s="310" t="e">
        <f>SUM(P16:P17)</f>
        <v>#REF!</v>
      </c>
      <c r="Q19" s="284" t="s">
        <v>1214</v>
      </c>
      <c r="R19" s="307"/>
      <c r="S19" s="288">
        <f t="shared" si="1"/>
        <v>1296410</v>
      </c>
      <c r="T19" s="293"/>
      <c r="U19" s="269" t="s">
        <v>1300</v>
      </c>
      <c r="V19" s="292"/>
      <c r="W19" s="309" t="e">
        <f>N19-P19</f>
        <v>#REF!</v>
      </c>
    </row>
    <row r="20" spans="1:23" ht="26.25" customHeight="1">
      <c r="B20" s="269" t="s">
        <v>1215</v>
      </c>
      <c r="C20" s="292"/>
      <c r="D20" s="286"/>
      <c r="E20" s="305"/>
      <c r="F20" s="299" t="e">
        <f>SUM(F16:F19)</f>
        <v>#REF!</v>
      </c>
      <c r="G20" s="306"/>
      <c r="H20" s="311" t="e">
        <f>SUM(H16:H19)</f>
        <v>#REF!</v>
      </c>
      <c r="I20" s="296"/>
      <c r="J20" s="269" t="s">
        <v>1299</v>
      </c>
      <c r="K20" s="826"/>
      <c r="L20" s="308"/>
      <c r="M20" s="826"/>
      <c r="N20" s="299" t="e">
        <f>N19+N14</f>
        <v>#REF!</v>
      </c>
      <c r="O20" s="306"/>
      <c r="P20" s="311" t="e">
        <f>P19+P14</f>
        <v>#REF!</v>
      </c>
      <c r="Q20" s="269" t="s">
        <v>1215</v>
      </c>
      <c r="R20" s="303"/>
      <c r="S20" s="299" t="e">
        <f t="shared" si="1"/>
        <v>#REF!</v>
      </c>
      <c r="T20" s="293"/>
      <c r="U20" s="269" t="s">
        <v>1299</v>
      </c>
      <c r="V20" s="292"/>
      <c r="W20" s="299" t="e">
        <f>N20-P20</f>
        <v>#REF!</v>
      </c>
    </row>
    <row r="21" spans="1:23" ht="26.25" customHeight="1">
      <c r="I21" s="296"/>
      <c r="J21" s="278" t="s">
        <v>370</v>
      </c>
      <c r="K21" s="827"/>
      <c r="L21" s="297"/>
      <c r="M21" s="827"/>
      <c r="N21" s="288"/>
      <c r="O21" s="306"/>
      <c r="P21" s="306"/>
      <c r="R21" s="303"/>
      <c r="S21" s="150">
        <f t="shared" si="1"/>
        <v>0</v>
      </c>
      <c r="T21" s="293"/>
      <c r="U21" s="278" t="s">
        <v>370</v>
      </c>
      <c r="V21" s="292"/>
      <c r="W21" s="288">
        <f t="shared" si="0"/>
        <v>0</v>
      </c>
    </row>
    <row r="22" spans="1:23" ht="26.25" customHeight="1">
      <c r="F22" s="430"/>
      <c r="I22" s="285"/>
      <c r="J22" s="314" t="s">
        <v>1449</v>
      </c>
      <c r="K22" s="828"/>
      <c r="L22" s="286">
        <v>12</v>
      </c>
      <c r="M22" s="827"/>
      <c r="N22" s="315">
        <f>-'95'!S330</f>
        <v>12000000</v>
      </c>
      <c r="O22" s="316"/>
      <c r="P22" s="315">
        <v>12000000</v>
      </c>
      <c r="R22" s="303"/>
      <c r="S22" s="150">
        <f t="shared" si="1"/>
        <v>0</v>
      </c>
      <c r="T22" s="293"/>
      <c r="U22" s="314" t="s">
        <v>1403</v>
      </c>
      <c r="V22" s="313"/>
      <c r="W22" s="315">
        <f t="shared" si="0"/>
        <v>0</v>
      </c>
    </row>
    <row r="23" spans="1:23" ht="26.25" customHeight="1">
      <c r="B23" s="284"/>
      <c r="C23" s="303"/>
      <c r="D23" s="308"/>
      <c r="E23" s="308"/>
      <c r="F23" s="298"/>
      <c r="G23" s="308"/>
      <c r="H23" s="308"/>
      <c r="I23" s="313"/>
      <c r="J23" s="767" t="s">
        <v>1460</v>
      </c>
      <c r="K23" s="828"/>
      <c r="L23" s="286">
        <v>13</v>
      </c>
      <c r="M23" s="827"/>
      <c r="N23" s="317">
        <v>0.5</v>
      </c>
      <c r="O23" s="316"/>
      <c r="P23" s="317">
        <v>0.5</v>
      </c>
      <c r="Q23" s="303"/>
      <c r="R23" s="291"/>
      <c r="S23" s="766"/>
      <c r="T23" s="293"/>
      <c r="U23" s="767" t="s">
        <v>1460</v>
      </c>
      <c r="V23" s="313"/>
      <c r="W23" s="293">
        <f t="shared" si="0"/>
        <v>0</v>
      </c>
    </row>
    <row r="24" spans="1:23" ht="26.25" customHeight="1">
      <c r="B24" s="269"/>
      <c r="C24" s="292"/>
      <c r="D24" s="318"/>
      <c r="E24" s="319"/>
      <c r="F24" s="290"/>
      <c r="G24" s="306"/>
      <c r="H24" s="306"/>
      <c r="I24" s="292"/>
      <c r="J24" s="709" t="s">
        <v>1220</v>
      </c>
      <c r="K24" s="827"/>
      <c r="L24" s="286">
        <v>13</v>
      </c>
      <c r="M24" s="828"/>
      <c r="N24" s="315">
        <v>2736</v>
      </c>
      <c r="O24" s="316"/>
      <c r="P24" s="315">
        <v>2736</v>
      </c>
      <c r="Q24" s="269"/>
      <c r="R24" s="291"/>
      <c r="S24" s="290">
        <f t="shared" si="1"/>
        <v>0</v>
      </c>
      <c r="T24" s="293"/>
      <c r="U24" s="269" t="s">
        <v>1220</v>
      </c>
      <c r="V24" s="313"/>
      <c r="W24" s="315">
        <f t="shared" si="0"/>
        <v>0</v>
      </c>
    </row>
    <row r="25" spans="1:23" ht="26.25" customHeight="1">
      <c r="B25" s="269"/>
      <c r="C25" s="313"/>
      <c r="D25" s="320"/>
      <c r="E25" s="321"/>
      <c r="F25" s="290"/>
      <c r="G25" s="306"/>
      <c r="H25" s="306"/>
      <c r="I25" s="313"/>
      <c r="J25" s="708" t="s">
        <v>1422</v>
      </c>
      <c r="K25" s="829"/>
      <c r="L25" s="322"/>
      <c r="M25" s="324"/>
      <c r="N25" s="323" t="e">
        <f>'3'!G27</f>
        <v>#REF!</v>
      </c>
      <c r="O25" s="290"/>
      <c r="P25" s="316" t="e">
        <f>'3'!I27</f>
        <v>#REF!</v>
      </c>
      <c r="Q25" s="269"/>
      <c r="R25" s="304"/>
      <c r="S25" s="290">
        <f t="shared" si="1"/>
        <v>0</v>
      </c>
      <c r="T25" s="293"/>
      <c r="U25" s="284" t="s">
        <v>1422</v>
      </c>
      <c r="V25" s="313"/>
      <c r="W25" s="323" t="e">
        <f t="shared" si="0"/>
        <v>#REF!</v>
      </c>
    </row>
    <row r="26" spans="1:23" ht="26.25" customHeight="1">
      <c r="B26" s="269"/>
      <c r="C26" s="324"/>
      <c r="D26" s="325"/>
      <c r="E26" s="325"/>
      <c r="F26" s="290"/>
      <c r="G26" s="326"/>
      <c r="H26" s="326"/>
      <c r="I26" s="313"/>
      <c r="J26" s="269" t="s">
        <v>371</v>
      </c>
      <c r="K26" s="828"/>
      <c r="L26" s="328"/>
      <c r="M26" s="828"/>
      <c r="N26" s="329" t="e">
        <f>SUM(N22:N25)</f>
        <v>#REF!</v>
      </c>
      <c r="O26" s="316"/>
      <c r="P26" s="330" t="e">
        <f>SUM(P22:P25)</f>
        <v>#REF!</v>
      </c>
      <c r="Q26" s="269"/>
      <c r="R26" s="307"/>
      <c r="S26" s="290">
        <f t="shared" si="1"/>
        <v>0</v>
      </c>
      <c r="T26" s="293"/>
      <c r="U26" s="269" t="s">
        <v>371</v>
      </c>
      <c r="V26" s="292"/>
      <c r="W26" s="329" t="e">
        <f t="shared" si="0"/>
        <v>#REF!</v>
      </c>
    </row>
    <row r="27" spans="1:23" ht="26.25" customHeight="1" thickBot="1">
      <c r="B27" s="269" t="s">
        <v>1216</v>
      </c>
      <c r="F27" s="333" t="e">
        <f>F20+F14</f>
        <v>#REF!</v>
      </c>
      <c r="H27" s="334" t="e">
        <f>H20+H14</f>
        <v>#REF!</v>
      </c>
      <c r="I27" s="327"/>
      <c r="J27" s="269" t="s">
        <v>1298</v>
      </c>
      <c r="K27" s="828"/>
      <c r="L27" s="335"/>
      <c r="M27" s="827"/>
      <c r="N27" s="336" t="e">
        <f>N26+N20</f>
        <v>#REF!</v>
      </c>
      <c r="O27" s="316"/>
      <c r="P27" s="337" t="e">
        <f>P26+P20</f>
        <v>#REF!</v>
      </c>
      <c r="Q27" s="269" t="s">
        <v>1216</v>
      </c>
      <c r="R27" s="331"/>
      <c r="S27" s="333" t="e">
        <f t="shared" si="1"/>
        <v>#REF!</v>
      </c>
      <c r="T27" s="293"/>
      <c r="U27" s="269" t="s">
        <v>1298</v>
      </c>
      <c r="V27" s="332"/>
      <c r="W27" s="336" t="e">
        <f t="shared" si="0"/>
        <v>#REF!</v>
      </c>
    </row>
    <row r="28" spans="1:23" ht="42" customHeight="1" thickTop="1">
      <c r="B28" s="338"/>
      <c r="C28" s="338"/>
      <c r="D28" s="338"/>
      <c r="E28" s="338"/>
      <c r="F28" s="338"/>
      <c r="G28" s="338"/>
      <c r="H28" s="338"/>
      <c r="I28" s="338"/>
      <c r="J28" s="339"/>
      <c r="L28" s="338"/>
      <c r="N28" s="1278" t="e">
        <f>F27-N27</f>
        <v>#REF!</v>
      </c>
      <c r="O28" s="1279"/>
      <c r="P28" s="1279" t="e">
        <f>P27-H27</f>
        <v>#REF!</v>
      </c>
      <c r="Q28" s="340"/>
      <c r="R28" s="331"/>
      <c r="S28" s="332"/>
      <c r="T28" s="332"/>
      <c r="U28" s="331"/>
      <c r="V28" s="332"/>
      <c r="W28" s="341"/>
    </row>
    <row r="29" spans="1:23" ht="30.75" customHeight="1">
      <c r="B29" s="3402" t="s">
        <v>1476</v>
      </c>
      <c r="C29" s="3402"/>
      <c r="D29" s="3402"/>
      <c r="E29" s="3402"/>
      <c r="F29" s="3402"/>
      <c r="G29" s="3402"/>
      <c r="H29" s="3402"/>
      <c r="I29" s="3402"/>
      <c r="J29" s="3402"/>
      <c r="K29" s="3402"/>
      <c r="L29" s="3402"/>
      <c r="M29" s="3402"/>
      <c r="N29" s="3402"/>
      <c r="O29" s="3402"/>
      <c r="P29" s="3402"/>
      <c r="Q29" s="340"/>
      <c r="R29" s="331"/>
      <c r="S29" s="332"/>
      <c r="T29" s="332"/>
      <c r="U29" s="331"/>
      <c r="V29" s="332"/>
      <c r="W29" s="341"/>
    </row>
    <row r="30" spans="1:23" ht="26.25" customHeight="1">
      <c r="B30" s="685"/>
      <c r="C30" s="685"/>
      <c r="D30" s="685"/>
      <c r="E30" s="685"/>
      <c r="F30" s="685"/>
      <c r="G30" s="685"/>
      <c r="H30" s="1082" t="e">
        <f>F27-N27</f>
        <v>#REF!</v>
      </c>
      <c r="I30" s="1082" t="e">
        <f>H27-P27</f>
        <v>#REF!</v>
      </c>
      <c r="J30" s="1045"/>
      <c r="K30" s="816"/>
      <c r="L30" s="685"/>
      <c r="M30" s="816"/>
      <c r="N30" s="1085"/>
      <c r="O30" s="685"/>
      <c r="P30" s="685"/>
      <c r="Q30" s="340"/>
      <c r="R30" s="331"/>
      <c r="S30" s="332"/>
      <c r="T30" s="332"/>
      <c r="U30" s="331"/>
      <c r="V30" s="332"/>
      <c r="W30" s="341"/>
    </row>
    <row r="31" spans="1:23" ht="31.5" customHeight="1">
      <c r="B31" s="3403"/>
      <c r="C31" s="3403"/>
      <c r="D31" s="3403"/>
      <c r="E31" s="3403"/>
      <c r="F31" s="3403"/>
      <c r="G31" s="3403"/>
      <c r="H31" s="3403"/>
      <c r="I31" s="3403"/>
      <c r="J31" s="3403"/>
      <c r="K31" s="3403"/>
      <c r="L31" s="3403"/>
      <c r="M31" s="3403"/>
      <c r="N31" s="3403"/>
      <c r="O31" s="3403"/>
      <c r="P31" s="3403"/>
      <c r="Q31" s="340"/>
      <c r="R31" s="331"/>
      <c r="S31" s="332"/>
      <c r="T31" s="332"/>
      <c r="U31" s="331"/>
      <c r="V31" s="332"/>
      <c r="W31" s="341"/>
    </row>
    <row r="32" spans="1:23" ht="35.25" customHeight="1">
      <c r="A32" s="1094">
        <v>2</v>
      </c>
      <c r="B32" s="342"/>
      <c r="C32" s="342"/>
      <c r="D32" s="342"/>
      <c r="E32" s="342"/>
      <c r="F32" s="342"/>
      <c r="G32" s="342"/>
      <c r="H32" s="342"/>
      <c r="J32" s="342"/>
      <c r="K32" s="830"/>
      <c r="L32" s="342"/>
      <c r="M32" s="830"/>
      <c r="N32" s="342"/>
      <c r="O32" s="342"/>
      <c r="P32" s="342"/>
    </row>
    <row r="33" spans="1:21" s="342" customFormat="1" ht="35.25" customHeight="1">
      <c r="A33" s="338"/>
      <c r="D33" s="946" t="s">
        <v>1662</v>
      </c>
      <c r="K33" s="830"/>
      <c r="M33" s="830"/>
    </row>
    <row r="34" spans="1:21" s="342" customFormat="1" ht="35.25" customHeight="1">
      <c r="A34" s="830"/>
      <c r="K34" s="830"/>
      <c r="M34" s="830"/>
    </row>
    <row r="35" spans="1:21" s="342" customFormat="1" ht="35.25" customHeight="1">
      <c r="A35" s="830"/>
      <c r="K35" s="830"/>
      <c r="M35" s="830"/>
      <c r="O35" s="676" t="s">
        <v>855</v>
      </c>
      <c r="P35" s="677"/>
      <c r="Q35" s="677"/>
      <c r="R35" s="312"/>
      <c r="S35" s="312"/>
      <c r="T35" s="344"/>
      <c r="U35" s="343">
        <f>H10</f>
        <v>1610502</v>
      </c>
    </row>
    <row r="36" spans="1:21" s="342" customFormat="1" ht="56.25" customHeight="1">
      <c r="A36" s="830"/>
      <c r="K36" s="830"/>
      <c r="M36" s="830"/>
      <c r="O36" s="676" t="str">
        <f>B11</f>
        <v xml:space="preserve"> دريافتني هاي تجاري و غير تجاري</v>
      </c>
      <c r="P36" s="677"/>
      <c r="Q36" s="677"/>
      <c r="R36" s="312"/>
      <c r="S36" s="312"/>
      <c r="T36" s="344"/>
      <c r="U36" s="345">
        <f>-S11</f>
        <v>-25774219</v>
      </c>
    </row>
    <row r="37" spans="1:21" s="342" customFormat="1" ht="35.25" customHeight="1">
      <c r="A37" s="830"/>
      <c r="K37" s="830"/>
      <c r="M37" s="830"/>
      <c r="O37" s="676" t="str">
        <f>B12</f>
        <v>موجودي مواد و كالا</v>
      </c>
      <c r="P37" s="677"/>
      <c r="Q37" s="677"/>
      <c r="R37" s="312"/>
      <c r="S37" s="312"/>
      <c r="T37" s="344"/>
      <c r="U37" s="346">
        <f>-S12</f>
        <v>-1819710</v>
      </c>
    </row>
    <row r="38" spans="1:21" s="342" customFormat="1" ht="35.25" customHeight="1">
      <c r="A38" s="830"/>
      <c r="K38" s="830"/>
      <c r="M38" s="830"/>
      <c r="O38" s="676" t="str">
        <f>B13</f>
        <v xml:space="preserve"> پيش پرداخت ها</v>
      </c>
      <c r="P38" s="677"/>
      <c r="Q38" s="677"/>
      <c r="R38" s="312"/>
      <c r="S38" s="312"/>
      <c r="T38" s="344"/>
      <c r="U38" s="346">
        <f>S13</f>
        <v>90325</v>
      </c>
    </row>
    <row r="39" spans="1:21" s="342" customFormat="1" ht="35.25" customHeight="1">
      <c r="A39" s="830"/>
      <c r="K39" s="830"/>
      <c r="M39" s="830"/>
      <c r="O39" s="676" t="s">
        <v>1294</v>
      </c>
      <c r="P39" s="677"/>
      <c r="Q39" s="677"/>
      <c r="R39" s="312"/>
      <c r="S39" s="312"/>
      <c r="T39" s="344"/>
      <c r="U39" s="347">
        <f>-S18</f>
        <v>1203</v>
      </c>
    </row>
    <row r="40" spans="1:21" s="342" customFormat="1" ht="35.25" customHeight="1">
      <c r="A40" s="830"/>
      <c r="K40" s="830"/>
      <c r="M40" s="830"/>
      <c r="O40" s="676" t="str">
        <f>B17</f>
        <v>سرمايه گذاري هاي بلند مدت</v>
      </c>
      <c r="P40" s="677"/>
      <c r="Q40" s="677"/>
      <c r="R40" s="312"/>
      <c r="S40" s="312"/>
      <c r="T40" s="344"/>
      <c r="U40" s="346">
        <f>-S19</f>
        <v>-1296410</v>
      </c>
    </row>
    <row r="41" spans="1:21" s="342" customFormat="1" ht="35.25" customHeight="1">
      <c r="A41" s="830"/>
      <c r="K41" s="830"/>
      <c r="M41" s="830"/>
      <c r="O41" s="676" t="str">
        <f>B18</f>
        <v>دارايي هاي نامشهود</v>
      </c>
      <c r="P41" s="677"/>
      <c r="Q41" s="677"/>
      <c r="R41" s="312"/>
      <c r="S41" s="312"/>
      <c r="T41" s="344"/>
      <c r="U41" s="346" t="e">
        <f>-S20</f>
        <v>#REF!</v>
      </c>
    </row>
    <row r="42" spans="1:21" s="342" customFormat="1" ht="35.25" customHeight="1">
      <c r="A42" s="830"/>
      <c r="K42" s="830"/>
      <c r="M42" s="830"/>
      <c r="O42" s="676" t="str">
        <f>B19</f>
        <v>دارايي هاي ثابت مشهود</v>
      </c>
      <c r="P42" s="677"/>
      <c r="Q42" s="677"/>
      <c r="R42" s="312"/>
      <c r="S42" s="312"/>
      <c r="T42" s="344"/>
      <c r="U42" s="346">
        <f>-S21</f>
        <v>0</v>
      </c>
    </row>
    <row r="43" spans="1:21" s="342" customFormat="1" ht="35.25" customHeight="1">
      <c r="A43" s="830"/>
      <c r="K43" s="830"/>
      <c r="M43" s="830"/>
      <c r="O43" s="676" t="str">
        <f>B16</f>
        <v>دريافتني هاي بلند مدت</v>
      </c>
      <c r="P43" s="312"/>
      <c r="Q43" s="677"/>
      <c r="R43" s="312"/>
      <c r="S43" s="312"/>
      <c r="T43" s="344"/>
      <c r="U43" s="346">
        <f>-S18</f>
        <v>1203</v>
      </c>
    </row>
    <row r="44" spans="1:21" s="342" customFormat="1" ht="35.25" customHeight="1">
      <c r="A44" s="830"/>
      <c r="K44" s="830"/>
      <c r="M44" s="830"/>
      <c r="O44" s="676" t="str">
        <f>B20</f>
        <v>جمع دارايي هاي غير جاري</v>
      </c>
      <c r="P44" s="312"/>
      <c r="Q44" s="312"/>
      <c r="R44" s="312"/>
      <c r="S44" s="312"/>
      <c r="T44" s="344"/>
      <c r="U44" s="346"/>
    </row>
    <row r="45" spans="1:21" s="342" customFormat="1" ht="35.25" customHeight="1">
      <c r="A45" s="830"/>
      <c r="B45" s="150"/>
      <c r="C45" s="150"/>
      <c r="D45" s="150"/>
      <c r="E45" s="150"/>
      <c r="F45" s="150"/>
      <c r="G45" s="150"/>
      <c r="H45" s="150"/>
      <c r="J45" s="150"/>
      <c r="K45" s="338"/>
      <c r="L45" s="150"/>
      <c r="M45" s="338"/>
      <c r="N45" s="150"/>
      <c r="O45" s="676" t="str">
        <f>J10</f>
        <v xml:space="preserve"> پرداختني هاي غير تجاري</v>
      </c>
      <c r="P45" s="312"/>
      <c r="Q45" s="312"/>
      <c r="R45" s="312"/>
      <c r="S45" s="312"/>
      <c r="T45" s="344"/>
      <c r="U45" s="346">
        <f>W10</f>
        <v>9519761</v>
      </c>
    </row>
    <row r="46" spans="1:21" ht="35.25" customHeight="1">
      <c r="A46" s="830"/>
      <c r="O46" s="676" t="s">
        <v>1206</v>
      </c>
      <c r="P46" s="312"/>
      <c r="Q46" s="312"/>
      <c r="R46" s="312"/>
      <c r="S46" s="312"/>
      <c r="T46" s="344"/>
      <c r="U46" s="346"/>
    </row>
    <row r="47" spans="1:21" ht="35.25" customHeight="1">
      <c r="O47" s="676" t="str">
        <f>J16</f>
        <v xml:space="preserve"> پرداختني هاي  بلندمدت</v>
      </c>
      <c r="P47" s="312"/>
      <c r="Q47" s="312"/>
      <c r="R47" s="312"/>
      <c r="S47" s="312"/>
      <c r="T47" s="344"/>
      <c r="U47" s="346" t="e">
        <f>W16</f>
        <v>#REF!</v>
      </c>
    </row>
    <row r="48" spans="1:21" ht="35.25" customHeight="1">
      <c r="O48" s="676" t="str">
        <f>J17</f>
        <v xml:space="preserve">ذخيره مزاياي پايان خدمت كاركنان  </v>
      </c>
      <c r="P48" s="312"/>
      <c r="Q48" s="312"/>
      <c r="R48" s="312"/>
      <c r="S48" s="312"/>
      <c r="T48" s="344"/>
      <c r="U48" s="346" t="e">
        <f>W19</f>
        <v>#REF!</v>
      </c>
    </row>
    <row r="49" spans="10:21" ht="26.25">
      <c r="O49" s="676" t="str">
        <f>J25</f>
        <v>(زيان )انباشته</v>
      </c>
      <c r="P49" s="312"/>
      <c r="Q49" s="312"/>
      <c r="R49" s="312"/>
      <c r="S49" s="312"/>
      <c r="T49" s="344"/>
      <c r="U49" s="346" t="e">
        <f>W26</f>
        <v>#REF!</v>
      </c>
    </row>
    <row r="50" spans="10:21" ht="26.25">
      <c r="O50" s="676" t="s">
        <v>856</v>
      </c>
      <c r="P50" s="677"/>
      <c r="Q50" s="677"/>
      <c r="R50" s="312"/>
      <c r="S50" s="312"/>
      <c r="T50" s="344"/>
      <c r="U50" s="343" t="e">
        <f>SUM(U35:U49)</f>
        <v>#REF!</v>
      </c>
    </row>
    <row r="51" spans="10:21" ht="26.25">
      <c r="Q51" s="674"/>
      <c r="R51" s="674"/>
      <c r="S51" s="674"/>
      <c r="T51" s="674"/>
    </row>
    <row r="52" spans="10:21" ht="33.75">
      <c r="U52" s="348" t="e">
        <f>U50-F10</f>
        <v>#REF!</v>
      </c>
    </row>
    <row r="55" spans="10:21">
      <c r="J55" s="150">
        <v>-7717613</v>
      </c>
    </row>
  </sheetData>
  <mergeCells count="5">
    <mergeCell ref="B2:P2"/>
    <mergeCell ref="B3:P3"/>
    <mergeCell ref="B4:P4"/>
    <mergeCell ref="B29:P29"/>
    <mergeCell ref="B31:P31"/>
  </mergeCells>
  <printOptions horizontalCentered="1"/>
  <pageMargins left="0" right="0.31496062992125984" top="0.39370078740157483" bottom="0.35433070866141736" header="0.35433070866141736" footer="0.19685039370078741"/>
  <pageSetup paperSize="9" scale="55" orientation="landscape" r:id="rId1"/>
  <headerFooter>
    <oddFooter>&amp;C&amp;"B Koodak,Bold"&amp;18 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P55"/>
  <sheetViews>
    <sheetView rightToLeft="1" view="pageBreakPreview" zoomScale="66" zoomScaleNormal="90" zoomScaleSheetLayoutView="66" workbookViewId="0">
      <selection activeCell="G28" sqref="G28"/>
    </sheetView>
  </sheetViews>
  <sheetFormatPr defaultColWidth="1.375" defaultRowHeight="21"/>
  <cols>
    <col min="1" max="1" width="52.75" style="338" bestFit="1" customWidth="1"/>
    <col min="2" max="2" width="14.125" style="150" customWidth="1"/>
    <col min="3" max="3" width="7.75" style="150" customWidth="1"/>
    <col min="4" max="4" width="2.625" style="150" customWidth="1"/>
    <col min="5" max="5" width="21.25" style="150" customWidth="1"/>
    <col min="6" max="6" width="2.875" style="150" customWidth="1"/>
    <col min="7" max="7" width="22" style="150" customWidth="1"/>
    <col min="8" max="8" width="2.625" style="150" customWidth="1"/>
    <col min="9" max="9" width="21.625" style="150" customWidth="1"/>
    <col min="10" max="10" width="23.875" style="150" customWidth="1"/>
    <col min="11" max="11" width="3" style="150" customWidth="1"/>
    <col min="12" max="16384" width="1.375" style="150"/>
  </cols>
  <sheetData>
    <row r="1" spans="1:10" s="179" customFormat="1" ht="41.25" customHeight="1">
      <c r="A1" s="3404" t="s">
        <v>612</v>
      </c>
      <c r="B1" s="3404"/>
      <c r="C1" s="3404"/>
      <c r="D1" s="3404"/>
      <c r="E1" s="3404"/>
      <c r="F1" s="3404"/>
      <c r="G1" s="3404"/>
      <c r="H1" s="3404"/>
      <c r="I1" s="3404"/>
    </row>
    <row r="2" spans="1:10" s="179" customFormat="1" ht="41.25" customHeight="1">
      <c r="A2" s="3404" t="s">
        <v>526</v>
      </c>
      <c r="B2" s="3404"/>
      <c r="C2" s="3404"/>
      <c r="D2" s="3404"/>
      <c r="E2" s="3404"/>
      <c r="F2" s="3404"/>
      <c r="G2" s="3404"/>
      <c r="H2" s="3404"/>
      <c r="I2" s="3404"/>
    </row>
    <row r="3" spans="1:10" s="179" customFormat="1" ht="41.25" customHeight="1">
      <c r="A3" s="3404" t="str">
        <f>مفروضات!A6</f>
        <v xml:space="preserve"> سال مالي منتهي به 29 اسفند 1401</v>
      </c>
      <c r="B3" s="3404"/>
      <c r="C3" s="3404"/>
      <c r="D3" s="3404"/>
      <c r="E3" s="3404"/>
      <c r="F3" s="3404"/>
      <c r="G3" s="3404"/>
      <c r="H3" s="3404"/>
      <c r="I3" s="3404"/>
    </row>
    <row r="4" spans="1:10" ht="27.75" customHeight="1">
      <c r="A4" s="1095"/>
      <c r="B4" s="500"/>
      <c r="C4" s="500"/>
      <c r="D4" s="500"/>
      <c r="E4" s="500"/>
      <c r="F4" s="500"/>
      <c r="G4" s="500"/>
      <c r="H4" s="500"/>
      <c r="I4" s="500"/>
    </row>
    <row r="5" spans="1:10" ht="30.75" customHeight="1">
      <c r="A5" s="1096"/>
      <c r="B5" s="502"/>
      <c r="C5" s="503"/>
      <c r="D5" s="504"/>
      <c r="E5" s="501"/>
      <c r="F5" s="501"/>
      <c r="G5" s="501"/>
      <c r="H5" s="501"/>
      <c r="I5" s="263" t="s">
        <v>1410</v>
      </c>
    </row>
    <row r="6" spans="1:10" ht="31.5" customHeight="1">
      <c r="A6" s="1097" t="s">
        <v>397</v>
      </c>
      <c r="B6" s="505"/>
      <c r="C6" s="691" t="s">
        <v>478</v>
      </c>
      <c r="D6" s="692"/>
      <c r="E6" s="3405" t="str">
        <f>مفروضات!A10</f>
        <v>سال 1401</v>
      </c>
      <c r="F6" s="3405"/>
      <c r="G6" s="3405"/>
      <c r="H6" s="693"/>
      <c r="I6" s="694" t="str">
        <f>مفروضات!C10</f>
        <v>سال 1400</v>
      </c>
    </row>
    <row r="7" spans="1:10" ht="31.5" customHeight="1">
      <c r="A7" s="1097"/>
      <c r="B7" s="505"/>
      <c r="C7" s="695"/>
      <c r="D7" s="693"/>
      <c r="E7" s="696" t="s">
        <v>675</v>
      </c>
      <c r="F7" s="696"/>
      <c r="G7" s="696" t="s">
        <v>675</v>
      </c>
      <c r="H7" s="696"/>
      <c r="I7" s="696" t="s">
        <v>675</v>
      </c>
    </row>
    <row r="8" spans="1:10">
      <c r="A8" s="1098"/>
      <c r="B8" s="506"/>
      <c r="C8" s="507"/>
      <c r="D8" s="508"/>
      <c r="E8" s="509"/>
      <c r="F8" s="509"/>
      <c r="G8" s="509"/>
      <c r="H8" s="509"/>
      <c r="I8" s="509"/>
    </row>
    <row r="9" spans="1:10" ht="39" customHeight="1">
      <c r="A9" s="1099" t="s">
        <v>1221</v>
      </c>
      <c r="B9" s="697"/>
      <c r="C9" s="510" t="s">
        <v>1713</v>
      </c>
      <c r="D9" s="382"/>
      <c r="E9" s="382"/>
      <c r="F9" s="382"/>
      <c r="G9" s="382">
        <f>'11'!K34</f>
        <v>101531462</v>
      </c>
      <c r="H9" s="382"/>
      <c r="I9" s="382">
        <f>'11'!R34</f>
        <v>53677665.610940002</v>
      </c>
    </row>
    <row r="10" spans="1:10" ht="39" customHeight="1">
      <c r="A10" s="1099" t="s">
        <v>1222</v>
      </c>
      <c r="B10" s="382"/>
      <c r="C10" s="510" t="s">
        <v>1660</v>
      </c>
      <c r="D10" s="382"/>
      <c r="E10" s="382"/>
      <c r="F10" s="382"/>
      <c r="G10" s="518">
        <f>J10</f>
        <v>-20674457</v>
      </c>
      <c r="H10" s="382"/>
      <c r="I10" s="511">
        <f>-'12'!N30</f>
        <v>-50452416</v>
      </c>
      <c r="J10" s="1109">
        <f>-('98'!U444+'98'!U503+'98'!U504)</f>
        <v>-20674457</v>
      </c>
    </row>
    <row r="11" spans="1:10" ht="39" customHeight="1">
      <c r="A11" s="1099" t="s">
        <v>225</v>
      </c>
      <c r="B11" s="382"/>
      <c r="C11" s="510"/>
      <c r="D11" s="382"/>
      <c r="E11" s="382"/>
      <c r="F11" s="382"/>
      <c r="G11" s="382">
        <f>SUM(G9:G10)</f>
        <v>80857005</v>
      </c>
      <c r="H11" s="382"/>
      <c r="I11" s="382">
        <f>SUM(I9:I10)</f>
        <v>3225249.6109400019</v>
      </c>
    </row>
    <row r="12" spans="1:10" ht="39" customHeight="1">
      <c r="A12" s="1099" t="s">
        <v>1515</v>
      </c>
      <c r="B12" s="382"/>
      <c r="C12" s="510" t="s">
        <v>1660</v>
      </c>
      <c r="D12" s="382"/>
      <c r="E12" s="523"/>
      <c r="F12" s="382"/>
      <c r="G12" s="516">
        <v>0</v>
      </c>
      <c r="H12" s="382"/>
      <c r="I12" s="511">
        <f>-'12'!Z30</f>
        <v>-5804244</v>
      </c>
    </row>
    <row r="13" spans="1:10" ht="39" customHeight="1">
      <c r="A13" s="1099" t="s">
        <v>1739</v>
      </c>
      <c r="B13" s="698"/>
      <c r="C13" s="510"/>
      <c r="D13" s="382"/>
      <c r="E13" s="382"/>
      <c r="F13" s="382"/>
      <c r="G13" s="1036">
        <f>SUM(G11:G12)</f>
        <v>80857005</v>
      </c>
      <c r="H13" s="512"/>
      <c r="I13" s="512">
        <f>SUM(I11:I12)</f>
        <v>-2578994.3890599981</v>
      </c>
    </row>
    <row r="14" spans="1:10" ht="39" customHeight="1">
      <c r="A14" s="1099" t="s">
        <v>1223</v>
      </c>
      <c r="B14" s="382"/>
      <c r="C14" s="510" t="s">
        <v>1279</v>
      </c>
      <c r="D14" s="382"/>
      <c r="E14" s="382"/>
      <c r="F14" s="382"/>
      <c r="G14" s="511">
        <f>'13-14'!H107</f>
        <v>1178338</v>
      </c>
      <c r="H14" s="511" t="e">
        <f>#REF!</f>
        <v>#REF!</v>
      </c>
      <c r="I14" s="511">
        <f>'13-14'!J107</f>
        <v>893307</v>
      </c>
    </row>
    <row r="15" spans="1:10" ht="39" customHeight="1">
      <c r="A15" s="1099" t="s">
        <v>1718</v>
      </c>
      <c r="B15" s="382"/>
      <c r="C15" s="510"/>
      <c r="D15" s="382"/>
      <c r="E15" s="951"/>
      <c r="F15" s="382"/>
      <c r="G15" s="382">
        <f>SUM(G13:G14)</f>
        <v>82035343</v>
      </c>
      <c r="H15" s="382"/>
      <c r="I15" s="382">
        <f>SUM(I13:I14)</f>
        <v>-1685687.3890599981</v>
      </c>
    </row>
    <row r="16" spans="1:10" ht="39" customHeight="1">
      <c r="A16" s="1099" t="s">
        <v>782</v>
      </c>
      <c r="B16" s="382"/>
      <c r="C16" s="510"/>
      <c r="D16" s="382"/>
      <c r="E16" s="382"/>
      <c r="F16" s="382"/>
      <c r="G16" s="382">
        <f>-G15*25%</f>
        <v>-20508835.75</v>
      </c>
      <c r="H16" s="382"/>
      <c r="I16" s="382"/>
    </row>
    <row r="17" spans="1:16" ht="39" customHeight="1" thickBot="1">
      <c r="A17" s="1099" t="s">
        <v>1778</v>
      </c>
      <c r="B17" s="382"/>
      <c r="C17" s="510"/>
      <c r="D17" s="382"/>
      <c r="E17" s="382"/>
      <c r="F17" s="382"/>
      <c r="G17" s="513">
        <f>G15+G16</f>
        <v>61526507.25</v>
      </c>
      <c r="H17" s="382"/>
      <c r="I17" s="514">
        <f>SUM(I15:I16)</f>
        <v>-1685687.3890599981</v>
      </c>
    </row>
    <row r="18" spans="1:16" ht="34.5" customHeight="1" thickTop="1">
      <c r="A18" s="1100"/>
      <c r="B18" s="382"/>
      <c r="C18" s="510"/>
      <c r="D18" s="382"/>
      <c r="E18" s="382"/>
      <c r="F18" s="382"/>
      <c r="G18" s="382"/>
      <c r="H18" s="382"/>
      <c r="I18" s="382"/>
    </row>
    <row r="19" spans="1:16" ht="39" customHeight="1">
      <c r="A19" s="3406" t="s">
        <v>1054</v>
      </c>
      <c r="B19" s="3406"/>
      <c r="C19" s="3406"/>
      <c r="D19" s="3406"/>
      <c r="E19" s="3406"/>
      <c r="F19" s="3406"/>
      <c r="G19" s="3406"/>
      <c r="H19" s="3406"/>
      <c r="I19" s="3406"/>
    </row>
    <row r="20" spans="1:16" ht="31.5" customHeight="1">
      <c r="A20" s="1100"/>
      <c r="B20" s="382"/>
      <c r="C20" s="510"/>
      <c r="D20" s="382"/>
      <c r="E20" s="382"/>
      <c r="F20" s="382"/>
      <c r="G20" s="382"/>
      <c r="H20" s="382"/>
      <c r="I20" s="382"/>
    </row>
    <row r="21" spans="1:16" ht="38.25" customHeight="1" thickBot="1">
      <c r="A21" s="1099" t="s">
        <v>1778</v>
      </c>
      <c r="B21" s="699"/>
      <c r="C21" s="510"/>
      <c r="D21" s="382"/>
      <c r="E21" s="382"/>
      <c r="F21" s="382"/>
      <c r="G21" s="382">
        <f>G17</f>
        <v>61526507.25</v>
      </c>
      <c r="H21" s="382"/>
      <c r="I21" s="382">
        <f>I17</f>
        <v>-1685687.3890599981</v>
      </c>
    </row>
    <row r="22" spans="1:16" ht="3" hidden="1" customHeight="1" thickBot="1">
      <c r="A22" s="1099" t="s">
        <v>1507</v>
      </c>
      <c r="B22" s="699"/>
      <c r="C22" s="510"/>
      <c r="D22" s="382"/>
      <c r="E22" s="382"/>
      <c r="F22" s="382"/>
      <c r="G22" s="511">
        <f>G16*2</f>
        <v>-41017671.5</v>
      </c>
      <c r="H22" s="382"/>
      <c r="I22" s="511">
        <v>0</v>
      </c>
    </row>
    <row r="23" spans="1:16" ht="39" hidden="1" customHeight="1" thickBot="1">
      <c r="A23" s="1099" t="s">
        <v>1719</v>
      </c>
      <c r="B23" s="699"/>
      <c r="C23" s="988"/>
      <c r="D23" s="382"/>
      <c r="E23" s="382"/>
      <c r="F23" s="382"/>
      <c r="G23" s="1076">
        <f>G21+G22</f>
        <v>20508835.75</v>
      </c>
      <c r="H23" s="515"/>
      <c r="I23" s="382">
        <f>I21+I22</f>
        <v>-1685687.3890599981</v>
      </c>
    </row>
    <row r="24" spans="1:16" ht="39" customHeight="1">
      <c r="A24" s="1099" t="s">
        <v>1478</v>
      </c>
      <c r="B24" s="699"/>
      <c r="C24" s="510"/>
      <c r="D24" s="382"/>
      <c r="E24" s="516">
        <v>-2528744</v>
      </c>
      <c r="F24" s="382"/>
      <c r="G24" s="382"/>
      <c r="H24" s="382"/>
      <c r="I24" s="887">
        <v>-1358826</v>
      </c>
    </row>
    <row r="25" spans="1:16" ht="39" customHeight="1" thickBot="1">
      <c r="A25" s="1099" t="s">
        <v>1050</v>
      </c>
      <c r="B25" s="699"/>
      <c r="C25" s="510" t="s">
        <v>1280</v>
      </c>
      <c r="D25" s="382"/>
      <c r="E25" s="518" t="e">
        <f>#REF!</f>
        <v>#REF!</v>
      </c>
      <c r="F25" s="382"/>
      <c r="G25" s="382"/>
      <c r="H25" s="382"/>
      <c r="I25" s="888" t="e">
        <f>#REF!</f>
        <v>#REF!</v>
      </c>
    </row>
    <row r="26" spans="1:16" s="109" customFormat="1" ht="39" customHeight="1">
      <c r="A26" s="1099" t="s">
        <v>1320</v>
      </c>
      <c r="B26" s="699"/>
      <c r="C26" s="510"/>
      <c r="D26" s="382"/>
      <c r="E26" s="382"/>
      <c r="F26" s="382"/>
      <c r="G26" s="382" t="e">
        <f>SUM(E24:E25)</f>
        <v>#REF!</v>
      </c>
      <c r="H26" s="382"/>
      <c r="I26" s="382" t="e">
        <f>I25+I24</f>
        <v>#REF!</v>
      </c>
    </row>
    <row r="27" spans="1:16" s="109" customFormat="1" ht="39" customHeight="1" thickBot="1">
      <c r="A27" s="1099" t="s">
        <v>1477</v>
      </c>
      <c r="B27" s="382"/>
      <c r="C27" s="510"/>
      <c r="D27" s="382"/>
      <c r="E27" s="382"/>
      <c r="F27" s="382"/>
      <c r="G27" s="514" t="e">
        <f>G21+G26</f>
        <v>#REF!</v>
      </c>
      <c r="H27" s="382"/>
      <c r="I27" s="514" t="e">
        <f>I26+I22+I21</f>
        <v>#REF!</v>
      </c>
      <c r="K27" s="519"/>
    </row>
    <row r="28" spans="1:16" ht="24.75" customHeight="1" thickTop="1">
      <c r="A28" s="1047"/>
      <c r="B28" s="1041"/>
      <c r="C28" s="1042"/>
      <c r="D28" s="1041"/>
      <c r="E28" s="1047"/>
      <c r="F28" s="1047"/>
      <c r="G28" s="1047"/>
      <c r="H28" s="1047"/>
      <c r="I28" s="1047" t="e">
        <f>I27-G26</f>
        <v>#REF!</v>
      </c>
      <c r="J28" s="338"/>
      <c r="K28" s="430"/>
      <c r="N28" s="369"/>
      <c r="O28" s="369"/>
      <c r="P28" s="369"/>
    </row>
    <row r="29" spans="1:16" ht="37.5" customHeight="1">
      <c r="A29" s="3407" t="s">
        <v>1738</v>
      </c>
      <c r="B29" s="3407"/>
      <c r="C29" s="3407"/>
      <c r="D29" s="3407"/>
      <c r="E29" s="3407"/>
      <c r="F29" s="3407"/>
      <c r="G29" s="3407"/>
      <c r="H29" s="3407"/>
      <c r="I29" s="3407"/>
      <c r="J29" s="700"/>
      <c r="N29" s="369"/>
      <c r="O29" s="369"/>
      <c r="P29" s="369"/>
    </row>
    <row r="30" spans="1:16" ht="23.25" customHeight="1">
      <c r="A30" s="520"/>
      <c r="B30" s="520"/>
      <c r="C30" s="520"/>
      <c r="D30" s="520"/>
      <c r="E30" s="520"/>
      <c r="F30" s="520"/>
      <c r="G30" s="520"/>
      <c r="H30" s="520"/>
      <c r="I30" s="520"/>
      <c r="J30" s="338"/>
    </row>
    <row r="31" spans="1:16" ht="28.5" customHeight="1">
      <c r="A31" s="3377" t="s">
        <v>1474</v>
      </c>
      <c r="B31" s="3377"/>
      <c r="C31" s="3377"/>
      <c r="D31" s="3377"/>
      <c r="E31" s="3377"/>
      <c r="F31" s="3377"/>
      <c r="G31" s="3377"/>
      <c r="H31" s="3377"/>
      <c r="I31" s="3377"/>
    </row>
    <row r="32" spans="1:16" ht="28.5" customHeight="1">
      <c r="A32" s="1101"/>
      <c r="B32" s="790"/>
      <c r="C32" s="790"/>
      <c r="D32" s="790"/>
      <c r="E32" s="790"/>
      <c r="F32" s="790"/>
      <c r="G32" s="790"/>
      <c r="H32" s="790"/>
      <c r="I32" s="790"/>
    </row>
    <row r="33" spans="1:10" ht="28.5" customHeight="1">
      <c r="A33" s="1101"/>
      <c r="B33" s="790"/>
      <c r="C33" s="790"/>
      <c r="D33" s="947"/>
      <c r="E33" s="790"/>
      <c r="F33" s="790"/>
      <c r="G33" s="790"/>
      <c r="H33" s="790"/>
      <c r="I33" s="790"/>
    </row>
    <row r="34" spans="1:10" ht="55.5" customHeight="1">
      <c r="A34" s="1102"/>
      <c r="B34" s="521"/>
      <c r="C34" s="522"/>
      <c r="D34" s="523"/>
      <c r="E34" s="523"/>
      <c r="F34" s="523"/>
      <c r="G34" s="523"/>
      <c r="H34" s="523"/>
      <c r="I34" s="523"/>
    </row>
    <row r="35" spans="1:10" ht="39.75">
      <c r="A35" s="3378"/>
      <c r="B35" s="3378"/>
      <c r="C35" s="3378"/>
      <c r="D35" s="3378"/>
      <c r="E35" s="3378"/>
      <c r="F35" s="3378"/>
      <c r="G35" s="3378"/>
      <c r="H35" s="3378"/>
      <c r="I35" s="3378"/>
      <c r="J35" s="707"/>
    </row>
    <row r="36" spans="1:10" ht="33.75">
      <c r="E36" s="382"/>
    </row>
    <row r="37" spans="1:10" ht="33.75">
      <c r="E37" s="382"/>
    </row>
    <row r="38" spans="1:10" ht="33.75">
      <c r="E38" s="382"/>
    </row>
    <row r="40" spans="1:10" ht="37.5">
      <c r="E40" s="342"/>
    </row>
    <row r="41" spans="1:10" ht="37.5">
      <c r="E41" s="524"/>
    </row>
    <row r="42" spans="1:10">
      <c r="B42" s="1037"/>
    </row>
    <row r="55" spans="10:10">
      <c r="J55" s="150">
        <v>-7717613</v>
      </c>
    </row>
  </sheetData>
  <mergeCells count="8">
    <mergeCell ref="A35:I35"/>
    <mergeCell ref="A1:I1"/>
    <mergeCell ref="A2:I2"/>
    <mergeCell ref="A3:I3"/>
    <mergeCell ref="A31:I31"/>
    <mergeCell ref="E6:G6"/>
    <mergeCell ref="A19:I19"/>
    <mergeCell ref="A29:I29"/>
  </mergeCells>
  <printOptions horizontalCentered="1" verticalCentered="1"/>
  <pageMargins left="0" right="0.59055118110236227" top="0.35433070866141736" bottom="0.36" header="0.51181102362204722" footer="0.2"/>
  <pageSetup paperSize="9" scale="59" orientation="portrait" r:id="rId1"/>
  <headerFooter>
    <oddFooter>&amp;C&amp;"B Koodak,Bold"&amp;18 3</oddFooter>
  </headerFooter>
  <ignoredErrors>
    <ignoredError sqref="C14:C15 C25 C9:C1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P57"/>
  <sheetViews>
    <sheetView rightToLeft="1" view="pageBreakPreview" topLeftCell="A13" zoomScale="66" zoomScaleNormal="60" zoomScaleSheetLayoutView="66" zoomScalePageLayoutView="70" workbookViewId="0">
      <selection activeCell="F17" sqref="F17"/>
    </sheetView>
  </sheetViews>
  <sheetFormatPr defaultColWidth="1.375" defaultRowHeight="33.75"/>
  <cols>
    <col min="1" max="1" width="6.25" style="338" customWidth="1"/>
    <col min="2" max="2" width="77.125" style="150" customWidth="1"/>
    <col min="3" max="3" width="0.625" style="150" customWidth="1"/>
    <col min="4" max="4" width="4.75" style="150" customWidth="1"/>
    <col min="5" max="5" width="0.625" style="150" customWidth="1"/>
    <col min="6" max="6" width="19" style="214" customWidth="1"/>
    <col min="7" max="7" width="1.375" style="214" customWidth="1"/>
    <col min="8" max="8" width="23.375" style="214" customWidth="1"/>
    <col min="9" max="9" width="1.25" style="214" customWidth="1"/>
    <col min="10" max="10" width="19.625" style="394" customWidth="1"/>
    <col min="11" max="16384" width="1.375" style="150"/>
  </cols>
  <sheetData>
    <row r="2" spans="1:15" s="371" customFormat="1" ht="43.5" customHeight="1">
      <c r="A2" s="1103"/>
      <c r="B2" s="3404" t="s">
        <v>612</v>
      </c>
      <c r="C2" s="3404"/>
      <c r="D2" s="3404"/>
      <c r="E2" s="3404"/>
      <c r="F2" s="3404"/>
      <c r="G2" s="3404"/>
      <c r="H2" s="3404"/>
      <c r="I2" s="3404"/>
      <c r="J2" s="3404"/>
      <c r="K2" s="370"/>
      <c r="L2" s="370"/>
      <c r="M2" s="370"/>
      <c r="N2" s="370"/>
      <c r="O2" s="370"/>
    </row>
    <row r="3" spans="1:15" s="371" customFormat="1" ht="43.5" customHeight="1">
      <c r="A3" s="1103"/>
      <c r="B3" s="3408" t="s">
        <v>631</v>
      </c>
      <c r="C3" s="3408"/>
      <c r="D3" s="3408"/>
      <c r="E3" s="3408"/>
      <c r="F3" s="3408"/>
      <c r="G3" s="3408"/>
      <c r="H3" s="3408"/>
      <c r="I3" s="3408"/>
      <c r="J3" s="3408"/>
      <c r="K3" s="370"/>
      <c r="L3" s="370"/>
      <c r="M3" s="370"/>
      <c r="N3" s="370"/>
      <c r="O3" s="370"/>
    </row>
    <row r="4" spans="1:15" s="371" customFormat="1" ht="43.5" customHeight="1">
      <c r="A4" s="1103"/>
      <c r="B4" s="3408" t="str">
        <f>مفروضات!A6</f>
        <v xml:space="preserve"> سال مالي منتهي به 29 اسفند 1401</v>
      </c>
      <c r="C4" s="3408"/>
      <c r="D4" s="3408"/>
      <c r="E4" s="3408"/>
      <c r="F4" s="3408"/>
      <c r="G4" s="3408"/>
      <c r="H4" s="3408"/>
      <c r="I4" s="3408"/>
      <c r="J4" s="3408"/>
      <c r="K4" s="370"/>
      <c r="L4" s="370"/>
      <c r="M4" s="370"/>
      <c r="N4" s="370"/>
      <c r="O4" s="370"/>
    </row>
    <row r="5" spans="1:15" ht="44.25" customHeight="1">
      <c r="B5" s="372"/>
      <c r="C5" s="372"/>
      <c r="D5" s="372"/>
      <c r="E5" s="373"/>
      <c r="F5" s="374"/>
      <c r="G5" s="374"/>
      <c r="H5" s="374"/>
      <c r="I5" s="374"/>
      <c r="J5" s="375"/>
      <c r="K5" s="373"/>
      <c r="L5" s="373"/>
      <c r="M5" s="373"/>
      <c r="N5" s="373"/>
      <c r="O5" s="373"/>
    </row>
    <row r="6" spans="1:15" ht="39" customHeight="1">
      <c r="B6" s="373"/>
      <c r="C6" s="373"/>
      <c r="D6" s="373"/>
      <c r="E6" s="376"/>
      <c r="F6" s="374"/>
      <c r="G6" s="374"/>
      <c r="H6" s="374"/>
      <c r="I6" s="374"/>
      <c r="J6" s="263"/>
      <c r="K6" s="373"/>
      <c r="L6" s="373"/>
      <c r="M6" s="373"/>
      <c r="N6" s="373"/>
      <c r="O6" s="373"/>
    </row>
    <row r="7" spans="1:15" ht="40.5" customHeight="1">
      <c r="B7" s="701"/>
      <c r="C7" s="701"/>
      <c r="D7" s="777" t="s">
        <v>478</v>
      </c>
      <c r="E7" s="702"/>
      <c r="F7" s="3391" t="str">
        <f>مفروضات!A10</f>
        <v>سال 1401</v>
      </c>
      <c r="G7" s="3391"/>
      <c r="H7" s="3391"/>
      <c r="I7" s="686"/>
      <c r="J7" s="687" t="str">
        <f>مفروضات!C10</f>
        <v>سال 1400</v>
      </c>
      <c r="K7" s="373"/>
      <c r="L7" s="373"/>
      <c r="M7" s="373"/>
      <c r="N7" s="373"/>
      <c r="O7" s="373"/>
    </row>
    <row r="8" spans="1:15" ht="40.5" customHeight="1">
      <c r="B8" s="703"/>
      <c r="C8" s="703"/>
      <c r="D8" s="703"/>
      <c r="E8" s="702"/>
      <c r="F8" s="704" t="s">
        <v>675</v>
      </c>
      <c r="G8" s="702"/>
      <c r="H8" s="704" t="str">
        <f>F8</f>
        <v>ميليون ريال</v>
      </c>
      <c r="I8" s="704"/>
      <c r="J8" s="705" t="str">
        <f>F8</f>
        <v>ميليون ريال</v>
      </c>
      <c r="K8" s="373"/>
      <c r="L8" s="373"/>
      <c r="M8" s="373"/>
      <c r="N8" s="373"/>
      <c r="O8" s="373"/>
    </row>
    <row r="9" spans="1:15" ht="40.5" customHeight="1">
      <c r="B9" s="890" t="s">
        <v>1424</v>
      </c>
      <c r="C9" s="379"/>
      <c r="D9" s="379"/>
      <c r="E9" s="702"/>
      <c r="F9" s="380"/>
      <c r="G9" s="380"/>
      <c r="H9" s="380"/>
      <c r="I9" s="380"/>
      <c r="J9" s="381"/>
      <c r="K9" s="373"/>
      <c r="L9" s="373"/>
      <c r="M9" s="373"/>
      <c r="N9" s="373"/>
      <c r="O9" s="373"/>
    </row>
    <row r="10" spans="1:15" ht="40.5" customHeight="1">
      <c r="B10" s="889" t="s">
        <v>1423</v>
      </c>
      <c r="C10" s="379"/>
      <c r="D10" s="383">
        <v>18</v>
      </c>
      <c r="E10" s="382"/>
      <c r="F10" s="382"/>
      <c r="G10" s="382"/>
      <c r="H10" s="516" t="e">
        <f>#REF!</f>
        <v>#REF!</v>
      </c>
      <c r="I10" s="382"/>
      <c r="J10" s="382" t="e">
        <f>#REF!</f>
        <v>#REF!</v>
      </c>
      <c r="K10" s="373"/>
      <c r="L10" s="373"/>
      <c r="M10" s="373"/>
      <c r="N10" s="373"/>
      <c r="O10" s="373"/>
    </row>
    <row r="11" spans="1:15" ht="48.75" customHeight="1">
      <c r="B11" s="890" t="s">
        <v>1277</v>
      </c>
      <c r="C11" s="688"/>
      <c r="D11" s="688"/>
      <c r="E11" s="382"/>
      <c r="F11" s="382"/>
      <c r="G11" s="382"/>
      <c r="H11" s="516"/>
      <c r="I11" s="382"/>
      <c r="J11" s="382"/>
      <c r="K11" s="373"/>
      <c r="L11" s="373"/>
      <c r="M11" s="373"/>
      <c r="N11" s="373"/>
      <c r="O11" s="373"/>
    </row>
    <row r="12" spans="1:15" ht="40.5" customHeight="1">
      <c r="B12" s="889" t="s">
        <v>1302</v>
      </c>
      <c r="C12" s="688"/>
      <c r="D12" s="688"/>
      <c r="E12" s="382"/>
      <c r="G12" s="382"/>
      <c r="H12" s="516">
        <f>-'21'!N10</f>
        <v>0</v>
      </c>
      <c r="I12" s="382"/>
      <c r="J12" s="382">
        <v>-15000</v>
      </c>
      <c r="K12" s="373"/>
      <c r="L12" s="373"/>
      <c r="M12" s="373"/>
      <c r="N12" s="373"/>
      <c r="O12" s="373"/>
    </row>
    <row r="13" spans="1:15" ht="40.5" customHeight="1">
      <c r="B13" s="890" t="s">
        <v>708</v>
      </c>
      <c r="C13" s="379"/>
      <c r="D13" s="379"/>
      <c r="E13" s="382"/>
      <c r="F13" s="382"/>
      <c r="G13" s="382"/>
      <c r="H13" s="1189"/>
      <c r="I13" s="382"/>
      <c r="J13" s="382"/>
      <c r="K13" s="373"/>
      <c r="L13" s="373"/>
      <c r="M13" s="373"/>
      <c r="N13" s="373"/>
      <c r="O13" s="373"/>
    </row>
    <row r="14" spans="1:15" ht="46.5" customHeight="1">
      <c r="B14" s="889" t="s">
        <v>634</v>
      </c>
      <c r="C14" s="943"/>
      <c r="D14" s="383"/>
      <c r="E14" s="382"/>
      <c r="F14" s="382"/>
      <c r="G14" s="382"/>
      <c r="H14" s="516"/>
      <c r="I14" s="382"/>
      <c r="J14" s="382">
        <v>-111712</v>
      </c>
      <c r="K14" s="373"/>
      <c r="L14" s="373"/>
      <c r="M14" s="373"/>
      <c r="N14" s="373"/>
      <c r="O14" s="373"/>
    </row>
    <row r="15" spans="1:15" ht="40.5" customHeight="1">
      <c r="B15" s="890" t="s">
        <v>1428</v>
      </c>
      <c r="C15" s="379"/>
      <c r="D15" s="379"/>
      <c r="E15" s="951"/>
      <c r="F15" s="385"/>
      <c r="G15" s="382"/>
      <c r="H15" s="382"/>
      <c r="I15" s="382"/>
      <c r="J15" s="382"/>
      <c r="K15" s="373"/>
      <c r="L15" s="373"/>
      <c r="M15" s="373"/>
      <c r="N15" s="373"/>
      <c r="O15" s="373"/>
    </row>
    <row r="16" spans="1:15" ht="40.5" customHeight="1">
      <c r="B16" s="889" t="s">
        <v>1427</v>
      </c>
      <c r="C16" s="379"/>
      <c r="D16" s="383"/>
      <c r="E16" s="382"/>
      <c r="F16" s="382"/>
      <c r="G16" s="382"/>
      <c r="H16" s="706"/>
      <c r="I16" s="382"/>
      <c r="J16" s="517">
        <v>-2435578</v>
      </c>
      <c r="K16" s="373"/>
      <c r="L16" s="373"/>
      <c r="M16" s="373"/>
      <c r="N16" s="373"/>
      <c r="O16" s="373"/>
    </row>
    <row r="17" spans="1:16" ht="40.5" customHeight="1">
      <c r="B17" s="889" t="s">
        <v>1654</v>
      </c>
      <c r="C17" s="379"/>
      <c r="D17" s="383"/>
      <c r="E17" s="382"/>
      <c r="F17" s="516" t="e">
        <f>-'19'!#REF!</f>
        <v>#REF!</v>
      </c>
      <c r="G17" s="382"/>
      <c r="H17" s="382"/>
      <c r="I17" s="382"/>
      <c r="J17" s="769">
        <v>-1247</v>
      </c>
      <c r="K17" s="373"/>
      <c r="L17" s="373"/>
      <c r="M17" s="373"/>
      <c r="N17" s="373"/>
      <c r="O17" s="373"/>
    </row>
    <row r="18" spans="1:16" s="1255" customFormat="1" ht="40.5" customHeight="1">
      <c r="A18" s="338"/>
      <c r="B18" s="889" t="s">
        <v>1779</v>
      </c>
      <c r="C18" s="379"/>
      <c r="D18" s="383"/>
      <c r="E18" s="382"/>
      <c r="F18" s="516" t="e">
        <f>-'19'!#REF!</f>
        <v>#REF!</v>
      </c>
      <c r="G18" s="382"/>
      <c r="H18" s="382"/>
      <c r="I18" s="382"/>
      <c r="J18" s="769">
        <v>20</v>
      </c>
      <c r="K18" s="373"/>
      <c r="L18" s="373"/>
      <c r="M18" s="373"/>
      <c r="N18" s="373"/>
      <c r="O18" s="373"/>
    </row>
    <row r="19" spans="1:16" ht="40.5" customHeight="1">
      <c r="B19" s="889" t="s">
        <v>1493</v>
      </c>
      <c r="C19" s="379"/>
      <c r="D19" s="383"/>
      <c r="E19" s="382"/>
      <c r="F19" s="518" t="e">
        <f>#REF!</f>
        <v>#REF!</v>
      </c>
      <c r="G19" s="382"/>
      <c r="H19" s="382"/>
      <c r="I19" s="382"/>
      <c r="J19" s="770">
        <v>165697</v>
      </c>
      <c r="K19" s="384"/>
      <c r="L19" s="384"/>
      <c r="M19" s="384"/>
      <c r="N19" s="384"/>
      <c r="O19" s="384"/>
    </row>
    <row r="20" spans="1:16" ht="40.5" customHeight="1">
      <c r="B20" s="688" t="s">
        <v>1426</v>
      </c>
      <c r="C20" s="379"/>
      <c r="D20" s="379"/>
      <c r="E20" s="382"/>
      <c r="F20" s="382"/>
      <c r="G20" s="382"/>
      <c r="H20" s="511" t="e">
        <f>SUM(F16:F19)</f>
        <v>#REF!</v>
      </c>
      <c r="I20" s="382"/>
      <c r="J20" s="689">
        <f>SUM(J16:J19)</f>
        <v>-2271108</v>
      </c>
      <c r="K20" s="384"/>
      <c r="L20" s="384"/>
      <c r="M20" s="384"/>
      <c r="N20" s="384"/>
      <c r="O20" s="384"/>
    </row>
    <row r="21" spans="1:16" ht="40.5" customHeight="1">
      <c r="B21" s="688" t="s">
        <v>1786</v>
      </c>
      <c r="C21" s="379"/>
      <c r="D21" s="379"/>
      <c r="E21" s="382"/>
      <c r="F21" s="382"/>
      <c r="G21" s="382"/>
      <c r="H21" s="382" t="e">
        <f>H20+H14+H12+H10</f>
        <v>#REF!</v>
      </c>
      <c r="I21" s="382">
        <f>I20+I14+I10+I12</f>
        <v>0</v>
      </c>
      <c r="J21" s="382" t="e">
        <f>J20+J14+J10+J12</f>
        <v>#REF!</v>
      </c>
      <c r="K21" s="384"/>
      <c r="L21" s="384"/>
      <c r="M21" s="384"/>
      <c r="N21" s="384"/>
      <c r="O21" s="384"/>
    </row>
    <row r="22" spans="1:16" ht="0.75" customHeight="1">
      <c r="B22" s="890" t="s">
        <v>1425</v>
      </c>
      <c r="C22" s="379"/>
      <c r="D22" s="379"/>
      <c r="E22" s="382"/>
      <c r="F22" s="382"/>
      <c r="G22" s="382"/>
      <c r="H22" s="706"/>
      <c r="I22" s="382"/>
      <c r="J22" s="382"/>
      <c r="K22" s="384"/>
      <c r="L22" s="384"/>
      <c r="M22" s="384"/>
      <c r="N22" s="384"/>
      <c r="O22" s="384"/>
    </row>
    <row r="23" spans="1:16" ht="40.5" hidden="1" customHeight="1">
      <c r="B23" s="785" t="s">
        <v>1655</v>
      </c>
      <c r="C23" s="379"/>
      <c r="D23" s="379"/>
      <c r="E23" s="382"/>
      <c r="F23" s="382"/>
      <c r="G23" s="382"/>
      <c r="H23" s="511">
        <v>0</v>
      </c>
      <c r="I23" s="382"/>
      <c r="J23" s="511">
        <v>0</v>
      </c>
      <c r="K23" s="384"/>
      <c r="L23" s="384"/>
      <c r="M23" s="384"/>
      <c r="N23" s="384"/>
      <c r="O23" s="384"/>
    </row>
    <row r="24" spans="1:16" ht="40.5" hidden="1" customHeight="1">
      <c r="B24" s="688" t="s">
        <v>1720</v>
      </c>
      <c r="C24" s="987" t="s">
        <v>1677</v>
      </c>
      <c r="D24" s="379"/>
      <c r="E24" s="382"/>
      <c r="F24" s="382"/>
      <c r="G24" s="382"/>
      <c r="H24" s="382" t="e">
        <f>SUM(H21:H23)</f>
        <v>#REF!</v>
      </c>
      <c r="I24" s="382"/>
      <c r="J24" s="382" t="e">
        <f>J23+J21</f>
        <v>#REF!</v>
      </c>
      <c r="K24" s="384"/>
      <c r="L24" s="384"/>
      <c r="M24" s="384"/>
      <c r="N24" s="384"/>
      <c r="O24" s="384"/>
    </row>
    <row r="25" spans="1:16" ht="40.5" customHeight="1">
      <c r="B25" s="378" t="s">
        <v>1721</v>
      </c>
      <c r="C25" s="379"/>
      <c r="D25" s="379"/>
      <c r="E25" s="382"/>
      <c r="F25" s="382"/>
      <c r="G25" s="382"/>
      <c r="H25" s="511">
        <f>'23'!L33</f>
        <v>1610502</v>
      </c>
      <c r="I25" s="382"/>
      <c r="J25" s="511">
        <v>151538</v>
      </c>
      <c r="K25" s="384"/>
      <c r="L25" s="384"/>
      <c r="M25" s="384"/>
      <c r="N25" s="384"/>
      <c r="O25" s="384"/>
    </row>
    <row r="26" spans="1:16" ht="40.5" customHeight="1" thickBot="1">
      <c r="B26" s="378" t="s">
        <v>1722</v>
      </c>
      <c r="C26" s="379"/>
      <c r="D26" s="379"/>
      <c r="E26" s="382"/>
      <c r="F26" s="382"/>
      <c r="G26" s="382"/>
      <c r="H26" s="690" t="e">
        <f>SUM(H24:H25)</f>
        <v>#REF!</v>
      </c>
      <c r="I26" s="382"/>
      <c r="J26" s="690" t="e">
        <f>SUM(J24:J25)</f>
        <v>#REF!</v>
      </c>
      <c r="K26" s="384"/>
      <c r="L26" s="384"/>
      <c r="M26" s="384"/>
      <c r="N26" s="384"/>
      <c r="O26" s="384"/>
    </row>
    <row r="27" spans="1:16" ht="40.5" customHeight="1" thickTop="1" thickBot="1">
      <c r="B27" s="688" t="s">
        <v>1494</v>
      </c>
      <c r="C27" s="379"/>
      <c r="D27" s="383">
        <v>19</v>
      </c>
      <c r="E27" s="382"/>
      <c r="F27" s="385"/>
      <c r="G27" s="385"/>
      <c r="H27" s="789" t="e">
        <f>'32'!#REF!</f>
        <v>#REF!</v>
      </c>
      <c r="I27" s="485"/>
      <c r="J27" s="789" t="e">
        <f>'32'!#REF!</f>
        <v>#REF!</v>
      </c>
      <c r="K27" s="384"/>
      <c r="L27" s="384"/>
      <c r="M27" s="384"/>
      <c r="N27" s="384"/>
      <c r="O27" s="384"/>
    </row>
    <row r="28" spans="1:16" ht="40.5" customHeight="1" thickTop="1">
      <c r="B28" s="1038"/>
      <c r="C28" s="1039"/>
      <c r="D28" s="1039"/>
      <c r="E28" s="1040"/>
      <c r="F28" s="1040"/>
      <c r="G28" s="1040"/>
      <c r="H28" s="1280" t="e">
        <f>H26-'23'!J33</f>
        <v>#REF!</v>
      </c>
      <c r="I28" s="1280"/>
      <c r="J28" s="1280" t="e">
        <f>J26-'23'!L33</f>
        <v>#REF!</v>
      </c>
      <c r="K28" s="384"/>
      <c r="L28" s="384"/>
      <c r="M28" s="384"/>
      <c r="N28" s="874"/>
      <c r="O28" s="874"/>
      <c r="P28" s="369"/>
    </row>
    <row r="29" spans="1:16" ht="48.75" customHeight="1">
      <c r="B29" s="3409" t="s">
        <v>1475</v>
      </c>
      <c r="C29" s="3409"/>
      <c r="D29" s="3409"/>
      <c r="E29" s="3409"/>
      <c r="F29" s="3409"/>
      <c r="G29" s="3409"/>
      <c r="H29" s="3409"/>
      <c r="I29" s="3409"/>
      <c r="J29" s="3409"/>
      <c r="K29" s="373"/>
      <c r="L29" s="373"/>
      <c r="M29" s="373"/>
      <c r="N29" s="940"/>
      <c r="O29" s="940"/>
      <c r="P29" s="369"/>
    </row>
    <row r="30" spans="1:16" s="1260" customFormat="1" ht="48.75" customHeight="1">
      <c r="A30" s="338"/>
      <c r="B30" s="1259"/>
      <c r="C30" s="1259"/>
      <c r="D30" s="1259"/>
      <c r="E30" s="1259"/>
      <c r="F30" s="1259"/>
      <c r="G30" s="1259"/>
      <c r="H30" s="1259"/>
      <c r="I30" s="1259"/>
      <c r="J30" s="1259"/>
      <c r="K30" s="373"/>
      <c r="L30" s="373"/>
      <c r="M30" s="373"/>
      <c r="N30" s="940"/>
      <c r="O30" s="940"/>
      <c r="P30" s="369"/>
    </row>
    <row r="31" spans="1:16" s="1260" customFormat="1" ht="48.75" customHeight="1">
      <c r="A31" s="338"/>
      <c r="B31" s="1259"/>
      <c r="C31" s="1259"/>
      <c r="D31" s="1259"/>
      <c r="E31" s="1259"/>
      <c r="F31" s="1259"/>
      <c r="G31" s="1259"/>
      <c r="H31" s="1259"/>
      <c r="I31" s="1259"/>
      <c r="J31" s="1259"/>
      <c r="K31" s="373"/>
      <c r="L31" s="373"/>
      <c r="M31" s="373"/>
      <c r="N31" s="940"/>
      <c r="O31" s="940"/>
      <c r="P31" s="369"/>
    </row>
    <row r="32" spans="1:16" ht="39" customHeight="1">
      <c r="B32" s="791"/>
      <c r="C32" s="791"/>
      <c r="D32" s="791"/>
      <c r="E32" s="791"/>
      <c r="F32" s="791"/>
      <c r="G32" s="791"/>
      <c r="H32" s="1043"/>
      <c r="I32" s="791"/>
      <c r="J32" s="791"/>
      <c r="K32" s="373"/>
      <c r="L32" s="373"/>
      <c r="M32" s="373"/>
      <c r="N32" s="373"/>
      <c r="O32" s="373"/>
    </row>
    <row r="33" spans="2:15" ht="52.5" customHeight="1">
      <c r="B33" s="3389">
        <v>4</v>
      </c>
      <c r="C33" s="3389"/>
      <c r="D33" s="3389"/>
      <c r="E33" s="3389"/>
      <c r="F33" s="3389"/>
      <c r="G33" s="3389"/>
      <c r="H33" s="3389"/>
      <c r="I33" s="3389"/>
      <c r="J33" s="3389"/>
      <c r="K33" s="373"/>
      <c r="L33" s="373"/>
      <c r="M33" s="373"/>
      <c r="N33" s="373"/>
      <c r="O33" s="373"/>
    </row>
    <row r="34" spans="2:15">
      <c r="B34" s="386"/>
      <c r="C34" s="387"/>
      <c r="D34" s="387"/>
      <c r="E34" s="373"/>
      <c r="F34" s="374"/>
      <c r="G34" s="374"/>
      <c r="H34" s="374"/>
      <c r="I34" s="374"/>
      <c r="J34" s="375"/>
      <c r="K34" s="373"/>
      <c r="L34" s="373"/>
      <c r="M34" s="373"/>
      <c r="N34" s="373"/>
      <c r="O34" s="373"/>
    </row>
    <row r="35" spans="2:15" ht="37.5">
      <c r="B35" s="386"/>
      <c r="C35" s="388"/>
      <c r="D35" s="388"/>
      <c r="E35" s="373"/>
      <c r="F35" s="374"/>
      <c r="G35" s="374"/>
      <c r="H35" s="374"/>
      <c r="I35" s="374"/>
      <c r="J35" s="375"/>
      <c r="K35" s="373"/>
      <c r="L35" s="373"/>
      <c r="M35" s="373"/>
      <c r="N35" s="373"/>
      <c r="O35" s="373"/>
    </row>
    <row r="36" spans="2:15">
      <c r="B36" s="373"/>
      <c r="C36" s="373"/>
      <c r="D36" s="373"/>
      <c r="E36" s="373"/>
      <c r="F36" s="374"/>
      <c r="G36" s="374"/>
      <c r="H36" s="374"/>
      <c r="I36" s="374"/>
      <c r="J36" s="375"/>
      <c r="K36" s="373"/>
      <c r="L36" s="373"/>
      <c r="M36" s="373"/>
      <c r="N36" s="373"/>
      <c r="O36" s="373"/>
    </row>
    <row r="37" spans="2:15" ht="56.25" customHeight="1">
      <c r="B37" s="389"/>
      <c r="C37" s="389"/>
      <c r="D37" s="390"/>
      <c r="E37" s="384"/>
      <c r="F37" s="377"/>
      <c r="G37" s="377"/>
      <c r="H37" s="374"/>
      <c r="I37" s="374"/>
      <c r="J37" s="375"/>
      <c r="K37" s="373"/>
      <c r="L37" s="373"/>
      <c r="M37" s="373"/>
      <c r="N37" s="373"/>
      <c r="O37" s="373"/>
    </row>
    <row r="38" spans="2:15">
      <c r="B38" s="389"/>
      <c r="C38" s="389"/>
      <c r="D38" s="390"/>
      <c r="E38" s="384"/>
      <c r="F38" s="377"/>
      <c r="G38" s="377"/>
      <c r="H38" s="374"/>
      <c r="I38" s="374"/>
      <c r="J38" s="375"/>
      <c r="K38" s="373"/>
      <c r="L38" s="373"/>
      <c r="M38" s="373"/>
      <c r="N38" s="373"/>
      <c r="O38" s="373"/>
    </row>
    <row r="39" spans="2:15">
      <c r="B39" s="389"/>
      <c r="C39" s="389"/>
      <c r="D39" s="390"/>
      <c r="E39" s="384"/>
      <c r="F39" s="377"/>
      <c r="G39" s="377"/>
      <c r="H39" s="374"/>
      <c r="I39" s="374"/>
      <c r="J39" s="375"/>
      <c r="K39" s="373"/>
      <c r="L39" s="373"/>
      <c r="M39" s="373"/>
      <c r="N39" s="373"/>
      <c r="O39" s="373"/>
    </row>
    <row r="40" spans="2:15">
      <c r="B40" s="389"/>
      <c r="C40" s="389"/>
      <c r="D40" s="390"/>
      <c r="E40" s="384"/>
      <c r="F40" s="377"/>
      <c r="G40" s="377"/>
      <c r="H40" s="374"/>
      <c r="I40" s="374"/>
      <c r="J40" s="375"/>
      <c r="K40" s="373"/>
      <c r="L40" s="373"/>
      <c r="M40" s="373"/>
      <c r="N40" s="373"/>
      <c r="O40" s="373"/>
    </row>
    <row r="41" spans="2:15">
      <c r="B41" s="389"/>
      <c r="C41" s="389"/>
      <c r="D41" s="390"/>
      <c r="E41" s="384"/>
      <c r="F41" s="377"/>
      <c r="G41" s="377"/>
      <c r="H41" s="374"/>
      <c r="I41" s="374"/>
      <c r="J41" s="375"/>
      <c r="K41" s="373"/>
      <c r="L41" s="373"/>
      <c r="M41" s="373"/>
      <c r="N41" s="373"/>
      <c r="O41" s="373"/>
    </row>
    <row r="42" spans="2:15">
      <c r="B42" s="389"/>
      <c r="C42" s="389"/>
      <c r="D42" s="390"/>
      <c r="E42" s="384"/>
      <c r="F42" s="377"/>
      <c r="G42" s="377"/>
      <c r="H42" s="374"/>
      <c r="I42" s="374"/>
      <c r="J42" s="375"/>
      <c r="K42" s="373"/>
      <c r="L42" s="373"/>
      <c r="M42" s="373"/>
      <c r="N42" s="373"/>
      <c r="O42" s="373"/>
    </row>
    <row r="43" spans="2:15">
      <c r="B43" s="389"/>
      <c r="C43" s="389"/>
      <c r="D43" s="390"/>
      <c r="E43" s="384"/>
      <c r="F43" s="377"/>
      <c r="G43" s="391"/>
      <c r="H43" s="374"/>
      <c r="I43" s="374"/>
      <c r="J43" s="375"/>
      <c r="K43" s="373"/>
      <c r="L43" s="373"/>
      <c r="M43" s="373"/>
      <c r="N43" s="373"/>
      <c r="O43" s="373"/>
    </row>
    <row r="44" spans="2:15">
      <c r="B44" s="389"/>
      <c r="C44" s="389"/>
      <c r="D44" s="390"/>
      <c r="E44" s="384"/>
      <c r="F44" s="377"/>
      <c r="G44" s="391"/>
      <c r="H44" s="374"/>
      <c r="I44" s="374"/>
      <c r="J44" s="375"/>
      <c r="K44" s="373"/>
      <c r="L44" s="373"/>
      <c r="M44" s="373"/>
      <c r="N44" s="373"/>
      <c r="O44" s="373"/>
    </row>
    <row r="45" spans="2:15">
      <c r="B45" s="386"/>
      <c r="C45" s="386"/>
      <c r="D45" s="392"/>
      <c r="E45" s="392"/>
      <c r="F45" s="391"/>
      <c r="G45" s="374"/>
      <c r="H45" s="374"/>
      <c r="I45" s="374"/>
      <c r="J45" s="375"/>
      <c r="K45" s="373"/>
      <c r="L45" s="373"/>
      <c r="M45" s="373"/>
      <c r="N45" s="373"/>
      <c r="O45" s="373"/>
    </row>
    <row r="46" spans="2:15">
      <c r="B46" s="386"/>
      <c r="C46" s="386"/>
      <c r="D46" s="393"/>
      <c r="E46" s="393"/>
      <c r="F46" s="391"/>
      <c r="G46" s="374"/>
      <c r="H46" s="374"/>
      <c r="I46" s="374"/>
      <c r="J46" s="375"/>
      <c r="K46" s="373"/>
      <c r="L46" s="373"/>
      <c r="M46" s="373"/>
      <c r="N46" s="373"/>
      <c r="O46" s="373"/>
    </row>
    <row r="57" spans="10:10">
      <c r="J57" s="394">
        <v>-7717613</v>
      </c>
    </row>
  </sheetData>
  <mergeCells count="6">
    <mergeCell ref="B33:J33"/>
    <mergeCell ref="B2:J2"/>
    <mergeCell ref="B3:J3"/>
    <mergeCell ref="B4:J4"/>
    <mergeCell ref="F7:H7"/>
    <mergeCell ref="B29:J29"/>
  </mergeCells>
  <printOptions horizontalCentered="1" verticalCentered="1"/>
  <pageMargins left="0.15748031496062992" right="0" top="0.17" bottom="0.19685039370078741" header="0.3" footer="0.23622047244094491"/>
  <pageSetup paperSize="9"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R60"/>
  <sheetViews>
    <sheetView rightToLeft="1" view="pageBreakPreview" topLeftCell="A20" zoomScale="70" zoomScaleNormal="49" zoomScaleSheetLayoutView="70" workbookViewId="0">
      <selection activeCell="AD32" sqref="AD32"/>
    </sheetView>
  </sheetViews>
  <sheetFormatPr defaultColWidth="1.375" defaultRowHeight="21"/>
  <cols>
    <col min="1" max="1" width="5.375" style="820" customWidth="1"/>
    <col min="2" max="2" width="5.5" style="820" customWidth="1"/>
    <col min="3" max="3" width="8.75" style="169" customWidth="1"/>
    <col min="4" max="4" width="27" style="169" customWidth="1"/>
    <col min="5" max="5" width="12.625" style="169" customWidth="1"/>
    <col min="6" max="6" width="1.75" style="169" customWidth="1"/>
    <col min="7" max="7" width="16.5" style="669" customWidth="1"/>
    <col min="8" max="8" width="2.25" style="169" customWidth="1"/>
    <col min="9" max="9" width="13.625" style="169" customWidth="1"/>
    <col min="10" max="10" width="2.25" style="169" customWidth="1"/>
    <col min="11" max="11" width="18.25" style="670" customWidth="1"/>
    <col min="12" max="12" width="0.25" style="169" customWidth="1"/>
    <col min="13" max="13" width="3.375" style="169" customWidth="1"/>
    <col min="14" max="14" width="20.125" style="671" customWidth="1"/>
    <col min="15" max="15" width="2.125" style="177" customWidth="1"/>
    <col min="16" max="16" width="14.125" style="169" customWidth="1"/>
    <col min="17" max="17" width="2" style="169" customWidth="1"/>
    <col min="18" max="18" width="19.25" style="670" customWidth="1"/>
    <col min="19" max="16384" width="1.375" style="169"/>
  </cols>
  <sheetData>
    <row r="1" spans="1:18" s="605" customFormat="1" ht="29.25" customHeight="1">
      <c r="A1" s="3419" t="s">
        <v>612</v>
      </c>
      <c r="B1" s="3419"/>
      <c r="C1" s="3419"/>
      <c r="D1" s="3419"/>
      <c r="E1" s="3419"/>
      <c r="F1" s="3419"/>
      <c r="G1" s="3419"/>
      <c r="H1" s="3419"/>
      <c r="I1" s="3419"/>
      <c r="J1" s="3419"/>
      <c r="K1" s="3419"/>
      <c r="L1" s="3419"/>
      <c r="M1" s="3419"/>
      <c r="N1" s="3419"/>
      <c r="O1" s="3419"/>
      <c r="P1" s="3419"/>
      <c r="Q1" s="3419"/>
      <c r="R1" s="3419"/>
    </row>
    <row r="2" spans="1:18" s="605" customFormat="1" ht="29.25" customHeight="1">
      <c r="A2" s="3420" t="str">
        <f>مفروضات!A2</f>
        <v>يادداشت هاي توضيحي صورت هاي مالي</v>
      </c>
      <c r="B2" s="3420"/>
      <c r="C2" s="3420"/>
      <c r="D2" s="3420"/>
      <c r="E2" s="3420"/>
      <c r="F2" s="3420"/>
      <c r="G2" s="3420"/>
      <c r="H2" s="3420"/>
      <c r="I2" s="3420"/>
      <c r="J2" s="3420"/>
      <c r="K2" s="3420"/>
      <c r="L2" s="3420"/>
      <c r="M2" s="3420"/>
      <c r="N2" s="3420"/>
      <c r="O2" s="3420"/>
      <c r="P2" s="3420"/>
      <c r="Q2" s="3420"/>
      <c r="R2" s="3420"/>
    </row>
    <row r="3" spans="1:18" s="605" customFormat="1" ht="28.5" customHeight="1">
      <c r="A3" s="3420" t="str">
        <f>mafrozat!A3</f>
        <v xml:space="preserve"> سال مالي منتهي به 29 اسفند 1402</v>
      </c>
      <c r="B3" s="3420"/>
      <c r="C3" s="3420"/>
      <c r="D3" s="3420"/>
      <c r="E3" s="3420"/>
      <c r="F3" s="3420"/>
      <c r="G3" s="3420"/>
      <c r="H3" s="3420"/>
      <c r="I3" s="3420"/>
      <c r="J3" s="3420"/>
      <c r="K3" s="3420"/>
      <c r="L3" s="3420"/>
      <c r="M3" s="3420"/>
      <c r="N3" s="3420"/>
      <c r="O3" s="3420"/>
      <c r="P3" s="3420"/>
      <c r="Q3" s="3420"/>
      <c r="R3" s="3420"/>
    </row>
    <row r="4" spans="1:18" ht="40.5" customHeight="1">
      <c r="A4" s="997"/>
      <c r="B4" s="2165" t="s">
        <v>1913</v>
      </c>
      <c r="C4" s="1677" t="s">
        <v>1960</v>
      </c>
      <c r="D4" s="607"/>
      <c r="E4" s="607"/>
      <c r="F4" s="607"/>
      <c r="G4" s="607"/>
      <c r="H4" s="607"/>
      <c r="I4" s="607"/>
      <c r="J4" s="606"/>
      <c r="K4" s="608"/>
      <c r="L4" s="606"/>
      <c r="M4" s="606"/>
      <c r="N4" s="610"/>
      <c r="O4" s="609"/>
      <c r="P4" s="606" t="s">
        <v>1310</v>
      </c>
      <c r="Q4" s="606"/>
      <c r="R4" s="1796" t="s">
        <v>1879</v>
      </c>
    </row>
    <row r="5" spans="1:18" ht="3" customHeight="1">
      <c r="A5" s="998"/>
      <c r="B5" s="1110"/>
      <c r="C5" s="607"/>
      <c r="D5" s="607"/>
      <c r="E5" s="775"/>
      <c r="F5" s="775"/>
      <c r="G5" s="3422"/>
      <c r="H5" s="3422"/>
      <c r="I5" s="3422"/>
      <c r="J5" s="3422"/>
      <c r="K5" s="3422"/>
      <c r="L5" s="606"/>
      <c r="M5" s="606"/>
      <c r="N5" s="610"/>
      <c r="O5" s="609"/>
      <c r="P5" s="606"/>
      <c r="Q5" s="606"/>
      <c r="R5" s="608"/>
    </row>
    <row r="6" spans="1:18" ht="20.25" customHeight="1" thickBot="1">
      <c r="A6" s="999"/>
      <c r="B6" s="1111"/>
      <c r="C6" s="611"/>
      <c r="D6" s="612"/>
      <c r="E6" s="775"/>
      <c r="F6" s="775"/>
      <c r="G6" s="3417">
        <v>1402</v>
      </c>
      <c r="H6" s="3417"/>
      <c r="I6" s="3417"/>
      <c r="J6" s="3417"/>
      <c r="K6" s="3417"/>
      <c r="L6" s="613"/>
      <c r="M6" s="775"/>
      <c r="N6" s="3417">
        <v>1401</v>
      </c>
      <c r="O6" s="3417"/>
      <c r="P6" s="3417"/>
      <c r="Q6" s="3417"/>
      <c r="R6" s="3417"/>
    </row>
    <row r="7" spans="1:18" ht="23.25" customHeight="1">
      <c r="A7" s="999"/>
      <c r="C7" s="611"/>
      <c r="E7" s="809" t="s">
        <v>2273</v>
      </c>
      <c r="F7" s="2091"/>
      <c r="G7" s="809" t="s">
        <v>1509</v>
      </c>
      <c r="H7" s="775"/>
      <c r="I7" s="809" t="s">
        <v>2285</v>
      </c>
      <c r="J7" s="775"/>
      <c r="K7" s="809" t="s">
        <v>2074</v>
      </c>
      <c r="L7" s="613"/>
      <c r="M7" s="804"/>
      <c r="N7" s="809" t="s">
        <v>1509</v>
      </c>
      <c r="O7" s="775"/>
      <c r="P7" s="809" t="s">
        <v>780</v>
      </c>
      <c r="Q7" s="775"/>
      <c r="R7" s="808" t="s">
        <v>2074</v>
      </c>
    </row>
    <row r="8" spans="1:18" ht="28.5" customHeight="1">
      <c r="A8" s="1000" t="s">
        <v>630</v>
      </c>
      <c r="D8" s="607"/>
      <c r="E8" s="2091"/>
      <c r="F8" s="2091"/>
      <c r="G8" s="807"/>
      <c r="H8" s="805"/>
      <c r="I8" s="806" t="s">
        <v>1520</v>
      </c>
      <c r="J8" s="805"/>
      <c r="K8" s="806"/>
      <c r="L8" s="805"/>
      <c r="M8" s="807"/>
      <c r="N8" s="807"/>
      <c r="O8" s="806"/>
      <c r="P8" s="806" t="s">
        <v>1520</v>
      </c>
      <c r="Q8" s="617"/>
      <c r="R8" s="804"/>
    </row>
    <row r="9" spans="1:18" ht="29.25" customHeight="1">
      <c r="A9" s="1000"/>
      <c r="C9" s="638" t="s">
        <v>1434</v>
      </c>
      <c r="D9" s="621"/>
      <c r="E9" s="2077"/>
      <c r="F9" s="2077"/>
      <c r="G9" s="616"/>
      <c r="H9" s="620"/>
      <c r="I9" s="618"/>
      <c r="J9" s="617"/>
      <c r="K9" s="619"/>
      <c r="L9" s="617"/>
      <c r="M9" s="620"/>
      <c r="N9" s="620"/>
      <c r="O9" s="618"/>
      <c r="P9" s="618"/>
      <c r="Q9" s="617"/>
      <c r="R9" s="619"/>
    </row>
    <row r="10" spans="1:18" ht="31.5" customHeight="1">
      <c r="A10" s="1000"/>
      <c r="C10" s="615"/>
      <c r="D10" s="621" t="s">
        <v>1506</v>
      </c>
      <c r="E10" s="2084" t="s">
        <v>2274</v>
      </c>
      <c r="F10" s="2084"/>
      <c r="G10" s="622">
        <v>22415118</v>
      </c>
      <c r="H10" s="623"/>
      <c r="I10" s="793">
        <v>746</v>
      </c>
      <c r="J10" s="617"/>
      <c r="K10" s="625">
        <f>G10*I10/1000</f>
        <v>16721678.028000001</v>
      </c>
      <c r="L10" s="617"/>
      <c r="M10" s="626"/>
      <c r="N10" s="622">
        <v>20578641</v>
      </c>
      <c r="O10" s="618"/>
      <c r="P10" s="628">
        <v>417.85</v>
      </c>
      <c r="Q10" s="617"/>
      <c r="R10" s="625">
        <v>8598785.1418500002</v>
      </c>
    </row>
    <row r="11" spans="1:18" ht="31.5" customHeight="1">
      <c r="A11" s="1000"/>
      <c r="C11" s="615"/>
      <c r="D11" s="621" t="s">
        <v>152</v>
      </c>
      <c r="E11" s="2084" t="s">
        <v>2274</v>
      </c>
      <c r="F11" s="2084"/>
      <c r="G11" s="622">
        <v>12897754</v>
      </c>
      <c r="H11" s="623"/>
      <c r="I11" s="793">
        <v>746</v>
      </c>
      <c r="J11" s="617"/>
      <c r="K11" s="625">
        <f>G11*I11/1000</f>
        <v>9621724.4839999992</v>
      </c>
      <c r="L11" s="617"/>
      <c r="M11" s="626"/>
      <c r="N11" s="622">
        <v>13511374</v>
      </c>
      <c r="O11" s="618"/>
      <c r="P11" s="628">
        <v>417.85</v>
      </c>
      <c r="Q11" s="793"/>
      <c r="R11" s="625">
        <v>5645727.6259000003</v>
      </c>
    </row>
    <row r="12" spans="1:18" ht="31.5" customHeight="1">
      <c r="A12" s="1000"/>
      <c r="C12" s="615"/>
      <c r="D12" s="2075" t="s">
        <v>1661</v>
      </c>
      <c r="E12" s="2084" t="s">
        <v>2274</v>
      </c>
      <c r="F12" s="2084"/>
      <c r="G12" s="622">
        <v>15223913</v>
      </c>
      <c r="H12" s="623"/>
      <c r="I12" s="793">
        <v>746</v>
      </c>
      <c r="J12" s="617"/>
      <c r="K12" s="625">
        <f t="shared" ref="K12:K14" si="0">G12*I12/1000</f>
        <v>11357039.097999999</v>
      </c>
      <c r="L12" s="617"/>
      <c r="M12" s="626"/>
      <c r="N12" s="622">
        <v>14438650</v>
      </c>
      <c r="O12" s="618"/>
      <c r="P12" s="628">
        <v>417.85</v>
      </c>
      <c r="Q12" s="793"/>
      <c r="R12" s="625">
        <v>6033189.9024999999</v>
      </c>
    </row>
    <row r="13" spans="1:18" ht="31.5" customHeight="1">
      <c r="A13" s="1000"/>
      <c r="C13" s="178"/>
      <c r="D13" s="621" t="s">
        <v>1398</v>
      </c>
      <c r="E13" s="2084" t="s">
        <v>2274</v>
      </c>
      <c r="F13" s="2084"/>
      <c r="G13" s="622">
        <v>9964946</v>
      </c>
      <c r="H13" s="623"/>
      <c r="I13" s="793">
        <v>746</v>
      </c>
      <c r="J13" s="617"/>
      <c r="K13" s="625">
        <f>(G13*I13/1000)</f>
        <v>7433849.716</v>
      </c>
      <c r="L13" s="617"/>
      <c r="M13" s="626"/>
      <c r="N13" s="622">
        <v>9229281</v>
      </c>
      <c r="O13" s="618"/>
      <c r="P13" s="628">
        <v>417.85</v>
      </c>
      <c r="Q13" s="793"/>
      <c r="R13" s="625">
        <v>3856454.4658500003</v>
      </c>
    </row>
    <row r="14" spans="1:18" ht="31.5" customHeight="1">
      <c r="A14" s="1000"/>
      <c r="C14" s="615"/>
      <c r="D14" s="621" t="s">
        <v>558</v>
      </c>
      <c r="E14" s="2084" t="s">
        <v>2274</v>
      </c>
      <c r="F14" s="2084"/>
      <c r="G14" s="622">
        <v>5764293</v>
      </c>
      <c r="H14" s="623"/>
      <c r="I14" s="793">
        <v>746</v>
      </c>
      <c r="J14" s="617"/>
      <c r="K14" s="625">
        <f t="shared" si="0"/>
        <v>4300162.5779999997</v>
      </c>
      <c r="L14" s="617"/>
      <c r="M14" s="626"/>
      <c r="N14" s="622">
        <v>6151094</v>
      </c>
      <c r="O14" s="618"/>
      <c r="P14" s="628">
        <v>417.85</v>
      </c>
      <c r="Q14" s="793"/>
      <c r="R14" s="625">
        <v>2570234.6279000002</v>
      </c>
    </row>
    <row r="15" spans="1:18" ht="31.5" customHeight="1">
      <c r="A15" s="1000"/>
      <c r="C15" s="615"/>
      <c r="D15" s="621" t="s">
        <v>528</v>
      </c>
      <c r="E15" s="2084" t="s">
        <v>2274</v>
      </c>
      <c r="F15" s="2084"/>
      <c r="G15" s="622">
        <v>3365932</v>
      </c>
      <c r="H15" s="623"/>
      <c r="I15" s="793">
        <v>746</v>
      </c>
      <c r="J15" s="617"/>
      <c r="K15" s="625">
        <f>G15*I15/1000</f>
        <v>2510985.2719999999</v>
      </c>
      <c r="L15" s="617"/>
      <c r="M15" s="626"/>
      <c r="N15" s="622">
        <v>3011875</v>
      </c>
      <c r="O15" s="618"/>
      <c r="P15" s="628">
        <v>417.85</v>
      </c>
      <c r="Q15" s="793"/>
      <c r="R15" s="625">
        <v>1258511.96875</v>
      </c>
    </row>
    <row r="16" spans="1:18" ht="31.5" customHeight="1">
      <c r="A16" s="1000"/>
      <c r="C16" s="615"/>
      <c r="D16" s="621" t="s">
        <v>159</v>
      </c>
      <c r="E16" s="2084" t="s">
        <v>2274</v>
      </c>
      <c r="F16" s="2084"/>
      <c r="G16" s="629">
        <v>1126676</v>
      </c>
      <c r="H16" s="623"/>
      <c r="I16" s="793">
        <v>746</v>
      </c>
      <c r="J16" s="617"/>
      <c r="K16" s="625">
        <f>G16*I16/1000</f>
        <v>840500.29599999997</v>
      </c>
      <c r="L16" s="617"/>
      <c r="M16" s="626"/>
      <c r="N16" s="629">
        <v>1272367</v>
      </c>
      <c r="O16" s="618"/>
      <c r="P16" s="628">
        <v>417.85</v>
      </c>
      <c r="Q16" s="793"/>
      <c r="R16" s="625">
        <v>531657.55095000006</v>
      </c>
    </row>
    <row r="17" spans="1:18" ht="24" customHeight="1">
      <c r="A17" s="1000"/>
      <c r="B17" s="1112"/>
      <c r="C17" s="615"/>
      <c r="D17" s="615"/>
      <c r="E17" s="607"/>
      <c r="F17" s="607"/>
      <c r="G17" s="631">
        <f>SUM(G10:G16)</f>
        <v>70758632</v>
      </c>
      <c r="H17" s="623"/>
      <c r="I17" s="793"/>
      <c r="J17" s="617"/>
      <c r="K17" s="632">
        <f>-'1402'!W541</f>
        <v>52785939</v>
      </c>
      <c r="L17" s="617"/>
      <c r="M17" s="626"/>
      <c r="N17" s="762">
        <f>SUM(N10:N16)</f>
        <v>68193282</v>
      </c>
      <c r="O17" s="618"/>
      <c r="P17" s="793"/>
      <c r="Q17" s="617"/>
      <c r="R17" s="632">
        <f>SUM(R10:R16)+1</f>
        <v>28494562.283699997</v>
      </c>
    </row>
    <row r="18" spans="1:18" ht="36" customHeight="1">
      <c r="A18" s="1857" t="s">
        <v>2063</v>
      </c>
      <c r="B18" s="1112"/>
      <c r="C18" s="638" t="s">
        <v>1383</v>
      </c>
      <c r="E18" s="607"/>
      <c r="F18" s="607"/>
      <c r="G18" s="633"/>
      <c r="H18" s="623"/>
      <c r="I18" s="793"/>
      <c r="J18" s="617"/>
      <c r="K18" s="625"/>
      <c r="L18" s="617"/>
      <c r="M18" s="626"/>
      <c r="N18" s="627"/>
      <c r="O18" s="618"/>
      <c r="P18" s="628"/>
      <c r="Q18" s="617"/>
      <c r="R18" s="625"/>
    </row>
    <row r="19" spans="1:18" ht="26.25" customHeight="1">
      <c r="A19" s="1000"/>
      <c r="D19" s="2074" t="s">
        <v>1782</v>
      </c>
      <c r="E19" s="2084" t="s">
        <v>2274</v>
      </c>
      <c r="F19" s="2084"/>
      <c r="G19" s="622">
        <v>52367289</v>
      </c>
      <c r="H19" s="623"/>
      <c r="I19" s="2039">
        <v>737</v>
      </c>
      <c r="J19" s="617"/>
      <c r="K19" s="625">
        <f>(G19*I19/1000)</f>
        <v>38594691.993000001</v>
      </c>
      <c r="L19" s="617"/>
      <c r="M19" s="626"/>
      <c r="N19" s="622">
        <v>50917423</v>
      </c>
      <c r="O19" s="623"/>
      <c r="P19" s="793">
        <v>395</v>
      </c>
      <c r="Q19" s="617"/>
      <c r="R19" s="625">
        <v>20112382.685000002</v>
      </c>
    </row>
    <row r="20" spans="1:18" ht="26.25" customHeight="1">
      <c r="A20" s="1000"/>
      <c r="D20" s="2074" t="s">
        <v>1700</v>
      </c>
      <c r="E20" s="2084" t="s">
        <v>2274</v>
      </c>
      <c r="F20" s="2084"/>
      <c r="G20" s="622">
        <v>12987354</v>
      </c>
      <c r="H20" s="623"/>
      <c r="I20" s="2039">
        <v>737</v>
      </c>
      <c r="J20" s="617"/>
      <c r="K20" s="625">
        <f>G20*I20/1000</f>
        <v>9571679.898</v>
      </c>
      <c r="L20" s="617"/>
      <c r="M20" s="626"/>
      <c r="N20" s="622">
        <v>11750824</v>
      </c>
      <c r="O20" s="623"/>
      <c r="P20" s="793">
        <v>395</v>
      </c>
      <c r="Q20" s="617"/>
      <c r="R20" s="625">
        <v>4641575.4800000004</v>
      </c>
    </row>
    <row r="21" spans="1:18" ht="24" hidden="1" customHeight="1">
      <c r="A21" s="1000"/>
      <c r="D21" s="2074" t="s">
        <v>1701</v>
      </c>
      <c r="E21" s="2073"/>
      <c r="F21" s="2073"/>
      <c r="G21" s="622"/>
      <c r="H21" s="623"/>
      <c r="I21" s="2039"/>
      <c r="J21" s="617"/>
      <c r="K21" s="625">
        <v>0</v>
      </c>
      <c r="L21" s="617"/>
      <c r="M21" s="626"/>
      <c r="N21" s="622">
        <v>0</v>
      </c>
      <c r="O21" s="623"/>
      <c r="P21" s="793"/>
      <c r="Q21" s="617"/>
      <c r="R21" s="625">
        <v>0</v>
      </c>
    </row>
    <row r="22" spans="1:18" ht="26.25" hidden="1" customHeight="1">
      <c r="A22" s="1000"/>
      <c r="D22" s="2074" t="s">
        <v>1774</v>
      </c>
      <c r="E22" s="2073"/>
      <c r="F22" s="2073"/>
      <c r="G22" s="622"/>
      <c r="H22" s="623"/>
      <c r="I22" s="2039"/>
      <c r="J22" s="617"/>
      <c r="K22" s="625"/>
      <c r="L22" s="617"/>
      <c r="M22" s="626"/>
      <c r="N22" s="622"/>
      <c r="O22" s="623"/>
      <c r="P22" s="793">
        <v>395</v>
      </c>
      <c r="Q22" s="617"/>
      <c r="R22" s="625"/>
    </row>
    <row r="23" spans="1:18" ht="26.25" hidden="1" customHeight="1">
      <c r="A23" s="1000"/>
      <c r="D23" s="2074" t="s">
        <v>1783</v>
      </c>
      <c r="E23" s="2073"/>
      <c r="F23" s="2073"/>
      <c r="G23" s="622"/>
      <c r="H23" s="623"/>
      <c r="I23" s="2039"/>
      <c r="J23" s="617"/>
      <c r="K23" s="625"/>
      <c r="L23" s="617"/>
      <c r="M23" s="626"/>
      <c r="N23" s="622"/>
      <c r="O23" s="623"/>
      <c r="P23" s="793">
        <v>395</v>
      </c>
      <c r="Q23" s="617"/>
      <c r="R23" s="625"/>
    </row>
    <row r="24" spans="1:18" ht="32.25" customHeight="1">
      <c r="A24" s="1000"/>
      <c r="C24" s="985"/>
      <c r="D24" s="2075" t="s">
        <v>1734</v>
      </c>
      <c r="E24" s="2076" t="s">
        <v>2270</v>
      </c>
      <c r="F24" s="2076"/>
      <c r="G24" s="622"/>
      <c r="H24" s="623"/>
      <c r="I24" s="2085"/>
      <c r="J24" s="617"/>
      <c r="K24" s="625">
        <f>I24*G24/1000000</f>
        <v>0</v>
      </c>
      <c r="L24" s="617"/>
      <c r="M24" s="626"/>
      <c r="N24" s="622">
        <v>8856</v>
      </c>
      <c r="O24" s="623"/>
      <c r="P24" s="2085">
        <v>3160733</v>
      </c>
      <c r="Q24" s="2085"/>
      <c r="R24" s="625">
        <v>27992.451448</v>
      </c>
    </row>
    <row r="25" spans="1:18" ht="32.25" customHeight="1">
      <c r="A25" s="1000"/>
      <c r="D25" s="2075" t="s">
        <v>1735</v>
      </c>
      <c r="E25" s="2076" t="s">
        <v>2270</v>
      </c>
      <c r="F25" s="2076"/>
      <c r="G25" s="622">
        <v>7239</v>
      </c>
      <c r="H25" s="623"/>
      <c r="I25" s="2085">
        <v>2948400</v>
      </c>
      <c r="J25" s="617"/>
      <c r="K25" s="625">
        <f>I25*G25/1000000</f>
        <v>21343.4676</v>
      </c>
      <c r="L25" s="617"/>
      <c r="M25" s="626"/>
      <c r="N25" s="622">
        <v>39640</v>
      </c>
      <c r="O25" s="623"/>
      <c r="P25" s="2085">
        <v>1948049</v>
      </c>
      <c r="Q25" s="2085"/>
      <c r="R25" s="625">
        <v>77220.662360000002</v>
      </c>
    </row>
    <row r="26" spans="1:18" ht="32.25" hidden="1" customHeight="1">
      <c r="A26" s="1000"/>
      <c r="D26" s="2075" t="s">
        <v>2004</v>
      </c>
      <c r="E26" s="2076" t="s">
        <v>2270</v>
      </c>
      <c r="F26" s="2076"/>
      <c r="G26" s="622"/>
      <c r="H26" s="623"/>
      <c r="I26" s="2085"/>
      <c r="J26" s="617"/>
      <c r="K26" s="625">
        <v>0</v>
      </c>
      <c r="L26" s="617"/>
      <c r="M26" s="626"/>
      <c r="N26" s="622">
        <v>0</v>
      </c>
      <c r="O26" s="623"/>
      <c r="P26" s="2085"/>
      <c r="Q26" s="2085"/>
      <c r="R26" s="625">
        <v>0</v>
      </c>
    </row>
    <row r="27" spans="1:18" ht="32.25" customHeight="1">
      <c r="A27" s="1000"/>
      <c r="D27" s="2075" t="s">
        <v>2005</v>
      </c>
      <c r="E27" s="2076" t="s">
        <v>2270</v>
      </c>
      <c r="F27" s="2076"/>
      <c r="G27" s="622"/>
      <c r="H27" s="623"/>
      <c r="I27" s="2085"/>
      <c r="J27" s="617"/>
      <c r="K27" s="625">
        <f>I27*G27/1000000</f>
        <v>0</v>
      </c>
      <c r="L27" s="617"/>
      <c r="M27" s="626"/>
      <c r="N27" s="622">
        <v>39842</v>
      </c>
      <c r="O27" s="623"/>
      <c r="P27" s="2085">
        <v>2765896</v>
      </c>
      <c r="Q27" s="2085"/>
      <c r="R27" s="625">
        <v>110198.82843199999</v>
      </c>
    </row>
    <row r="28" spans="1:18" ht="32.25" customHeight="1">
      <c r="A28" s="1000"/>
      <c r="D28" s="2075" t="s">
        <v>2409</v>
      </c>
      <c r="E28" s="2084" t="s">
        <v>2274</v>
      </c>
      <c r="F28" s="2084"/>
      <c r="G28" s="2658"/>
      <c r="H28" s="623"/>
      <c r="I28" s="2039"/>
      <c r="J28" s="617"/>
      <c r="K28" s="625">
        <f>I28*G28/1000</f>
        <v>0</v>
      </c>
      <c r="L28" s="617"/>
      <c r="M28" s="626"/>
      <c r="N28" s="2658">
        <v>21916</v>
      </c>
      <c r="O28" s="1166"/>
      <c r="P28" s="793">
        <v>395</v>
      </c>
      <c r="Q28" s="1166"/>
      <c r="R28" s="2658">
        <v>8656.82</v>
      </c>
    </row>
    <row r="29" spans="1:18" ht="32.25" customHeight="1">
      <c r="A29" s="1000"/>
      <c r="D29" s="2075" t="s">
        <v>2271</v>
      </c>
      <c r="E29" s="2084" t="s">
        <v>2274</v>
      </c>
      <c r="F29" s="2084"/>
      <c r="G29" s="2658"/>
      <c r="H29" s="623"/>
      <c r="I29" s="2039"/>
      <c r="J29" s="617"/>
      <c r="K29" s="625">
        <f>G29*I29/1000</f>
        <v>0</v>
      </c>
      <c r="L29" s="617"/>
      <c r="M29" s="626"/>
      <c r="N29" s="2658">
        <v>275920</v>
      </c>
      <c r="O29" s="1166"/>
      <c r="P29" s="793">
        <v>395</v>
      </c>
      <c r="Q29" s="1166"/>
      <c r="R29" s="2658">
        <v>108988.4</v>
      </c>
    </row>
    <row r="30" spans="1:18" ht="32.25" customHeight="1">
      <c r="A30" s="1000"/>
      <c r="D30" s="2075" t="s">
        <v>2732</v>
      </c>
      <c r="E30" s="2084" t="s">
        <v>2274</v>
      </c>
      <c r="F30" s="2084"/>
      <c r="G30" s="2658">
        <v>1074431</v>
      </c>
      <c r="H30" s="623"/>
      <c r="I30" s="628">
        <v>293.76850000000002</v>
      </c>
      <c r="J30" s="617"/>
      <c r="K30" s="625">
        <f>G30*I30/1000</f>
        <v>315633.98322350002</v>
      </c>
      <c r="L30" s="617"/>
      <c r="M30" s="626"/>
      <c r="N30" s="2658">
        <v>0</v>
      </c>
      <c r="O30" s="1166"/>
      <c r="P30" s="2658">
        <v>0</v>
      </c>
      <c r="Q30" s="1166"/>
      <c r="R30" s="2658">
        <v>0</v>
      </c>
    </row>
    <row r="31" spans="1:18" ht="28.5" customHeight="1">
      <c r="A31" s="1000"/>
      <c r="B31" s="1113"/>
      <c r="C31" s="636"/>
      <c r="D31" s="1584"/>
      <c r="E31" s="636"/>
      <c r="F31" s="2089"/>
      <c r="G31" s="637">
        <f>SUM(G19:G30)</f>
        <v>66436313</v>
      </c>
      <c r="H31" s="623"/>
      <c r="I31" s="624"/>
      <c r="J31" s="617"/>
      <c r="K31" s="632">
        <f>-'1402'!W542</f>
        <v>48503349</v>
      </c>
      <c r="L31" s="617"/>
      <c r="M31" s="626"/>
      <c r="N31" s="761">
        <f>SUM(N19:N30)</f>
        <v>63054421</v>
      </c>
      <c r="O31" s="870"/>
      <c r="P31" s="871"/>
      <c r="Q31" s="872"/>
      <c r="R31" s="632">
        <f>SUM(R19:R30)</f>
        <v>25087015.327240005</v>
      </c>
    </row>
    <row r="32" spans="1:18" ht="27.75" customHeight="1" thickBot="1">
      <c r="A32" s="1000"/>
      <c r="C32" s="638"/>
      <c r="D32" s="634"/>
      <c r="E32" s="636"/>
      <c r="F32" s="2089"/>
      <c r="G32" s="639">
        <f>G31+G17</f>
        <v>137194945</v>
      </c>
      <c r="H32" s="640"/>
      <c r="I32" s="641"/>
      <c r="J32" s="617"/>
      <c r="K32" s="642">
        <f>K17+K31</f>
        <v>101289288</v>
      </c>
      <c r="L32" s="617"/>
      <c r="M32" s="635"/>
      <c r="N32" s="639">
        <f>N17+N31</f>
        <v>131247703</v>
      </c>
      <c r="O32" s="618"/>
      <c r="P32" s="618"/>
      <c r="Q32" s="617"/>
      <c r="R32" s="642">
        <f>R31+R17-1</f>
        <v>53581576.610940002</v>
      </c>
    </row>
    <row r="33" spans="1:18" ht="29.25" customHeight="1" thickTop="1">
      <c r="A33" s="1000"/>
      <c r="C33" s="638" t="s">
        <v>2592</v>
      </c>
      <c r="D33" s="615"/>
      <c r="E33" s="614"/>
      <c r="F33" s="614"/>
      <c r="G33" s="672"/>
      <c r="H33" s="175"/>
      <c r="I33" s="175"/>
      <c r="J33" s="175"/>
      <c r="K33" s="630">
        <f>N56</f>
        <v>242174</v>
      </c>
      <c r="L33" s="175"/>
      <c r="M33" s="175"/>
      <c r="N33" s="643"/>
      <c r="O33" s="175"/>
      <c r="P33" s="175"/>
      <c r="Q33" s="175"/>
      <c r="R33" s="630">
        <v>96089</v>
      </c>
    </row>
    <row r="34" spans="1:18" ht="26.25" customHeight="1" thickBot="1">
      <c r="A34" s="1000"/>
      <c r="B34" s="1114"/>
      <c r="C34" s="644"/>
      <c r="D34" s="644"/>
      <c r="E34" s="614"/>
      <c r="F34" s="614"/>
      <c r="G34" s="175"/>
      <c r="H34" s="175"/>
      <c r="I34" s="175"/>
      <c r="J34" s="175"/>
      <c r="K34" s="645">
        <f>SUM(K32:K33)</f>
        <v>101531462</v>
      </c>
      <c r="L34" s="175"/>
      <c r="M34" s="175"/>
      <c r="N34" s="643"/>
      <c r="O34" s="175"/>
      <c r="P34" s="175"/>
      <c r="Q34" s="175"/>
      <c r="R34" s="645">
        <f>(R33+R32)</f>
        <v>53677665.610940002</v>
      </c>
    </row>
    <row r="35" spans="1:18" ht="20.25" customHeight="1" thickTop="1">
      <c r="A35" s="996"/>
      <c r="B35" s="3411"/>
      <c r="C35" s="3412"/>
      <c r="D35" s="3412"/>
      <c r="E35" s="3412"/>
      <c r="F35" s="3412"/>
      <c r="G35" s="3412"/>
      <c r="H35" s="3412"/>
      <c r="I35" s="3412"/>
      <c r="J35" s="3412"/>
      <c r="K35" s="3412"/>
      <c r="L35" s="3412"/>
      <c r="M35" s="3412"/>
      <c r="N35" s="3412"/>
      <c r="O35" s="3412"/>
      <c r="P35" s="3412"/>
      <c r="Q35" s="3412"/>
      <c r="R35" s="3412"/>
    </row>
    <row r="36" spans="1:18" ht="154.5" customHeight="1">
      <c r="B36" s="1115"/>
      <c r="C36" s="646" t="s">
        <v>1914</v>
      </c>
      <c r="D36" s="3413" t="s">
        <v>2731</v>
      </c>
      <c r="E36" s="3413"/>
      <c r="F36" s="3413"/>
      <c r="G36" s="3413"/>
      <c r="H36" s="3413"/>
      <c r="I36" s="3413"/>
      <c r="J36" s="3413"/>
      <c r="K36" s="3413"/>
      <c r="L36" s="3413"/>
      <c r="M36" s="3413"/>
      <c r="N36" s="3413"/>
      <c r="O36" s="3413"/>
      <c r="P36" s="3413"/>
      <c r="Q36" s="3413"/>
      <c r="R36" s="3413"/>
    </row>
    <row r="37" spans="1:18" ht="27.75" customHeight="1">
      <c r="B37" s="1115"/>
      <c r="C37" s="1499" t="s">
        <v>1915</v>
      </c>
      <c r="D37" s="3421" t="s">
        <v>1934</v>
      </c>
      <c r="E37" s="3421"/>
      <c r="F37" s="2090"/>
      <c r="G37" s="1497"/>
      <c r="H37" s="1497"/>
      <c r="I37" s="1497"/>
      <c r="J37" s="1497"/>
      <c r="K37" s="1497"/>
      <c r="L37" s="1497"/>
      <c r="M37" s="1497"/>
      <c r="N37" s="1497"/>
      <c r="O37" s="1497"/>
      <c r="P37" s="1497"/>
      <c r="Q37" s="1497"/>
      <c r="R37" s="1497" t="s">
        <v>1879</v>
      </c>
    </row>
    <row r="38" spans="1:18" ht="28.5" customHeight="1" thickBot="1">
      <c r="B38" s="1115"/>
      <c r="C38" s="1499"/>
      <c r="D38" s="1500"/>
      <c r="E38" s="1500"/>
      <c r="F38" s="2090"/>
      <c r="G38" s="3417">
        <v>1402</v>
      </c>
      <c r="H38" s="3417"/>
      <c r="I38" s="3417"/>
      <c r="J38" s="3417"/>
      <c r="K38" s="3417"/>
      <c r="L38" s="1497"/>
      <c r="M38" s="1497"/>
      <c r="N38" s="3418">
        <v>1401</v>
      </c>
      <c r="O38" s="3418"/>
      <c r="P38" s="3418"/>
      <c r="Q38" s="3418"/>
      <c r="R38" s="3418"/>
    </row>
    <row r="39" spans="1:18" ht="28.5" customHeight="1">
      <c r="B39" s="1115"/>
      <c r="C39" s="1499"/>
      <c r="D39" s="1500"/>
      <c r="E39" s="1500"/>
      <c r="F39" s="2090"/>
      <c r="G39" s="1503" t="s">
        <v>1936</v>
      </c>
      <c r="H39" s="1504"/>
      <c r="I39" s="3415" t="s">
        <v>1937</v>
      </c>
      <c r="J39" s="3415"/>
      <c r="K39" s="3415"/>
      <c r="L39" s="1498"/>
      <c r="M39" s="1498"/>
      <c r="N39" s="3312" t="s">
        <v>1936</v>
      </c>
      <c r="O39" s="1507"/>
      <c r="P39" s="3416" t="s">
        <v>1937</v>
      </c>
      <c r="Q39" s="3416"/>
      <c r="R39" s="3416"/>
    </row>
    <row r="40" spans="1:18" ht="28.5" customHeight="1">
      <c r="B40" s="1115"/>
      <c r="C40" s="1499"/>
      <c r="D40" s="1506"/>
      <c r="E40" s="1506"/>
      <c r="F40" s="2090"/>
      <c r="G40" s="804"/>
      <c r="H40" s="1507"/>
      <c r="I40" s="1507"/>
      <c r="J40" s="1507"/>
      <c r="K40" s="1507"/>
      <c r="L40" s="1498"/>
      <c r="M40" s="1498"/>
      <c r="N40" s="804"/>
      <c r="O40" s="1507"/>
      <c r="P40" s="1507"/>
      <c r="Q40" s="1507"/>
      <c r="R40" s="1507"/>
    </row>
    <row r="41" spans="1:18" ht="31.5" customHeight="1">
      <c r="B41" s="1115"/>
      <c r="C41" s="646"/>
      <c r="D41" s="1497" t="s">
        <v>1497</v>
      </c>
      <c r="E41" s="1497"/>
      <c r="F41" s="2088"/>
      <c r="G41" s="622">
        <f>K12+K13+K19+K20+K21+K29+K30</f>
        <v>67272894.688223496</v>
      </c>
      <c r="H41" s="1497"/>
      <c r="I41" s="1497"/>
      <c r="J41" s="1497"/>
      <c r="K41" s="1501">
        <f>G41/G43*100</f>
        <v>66.416592984353557</v>
      </c>
      <c r="L41" s="1497"/>
      <c r="M41" s="1497"/>
      <c r="N41" s="622">
        <v>34752590.933350004</v>
      </c>
      <c r="O41" s="1497"/>
      <c r="P41" s="1497"/>
      <c r="Q41" s="1497"/>
      <c r="R41" s="1501">
        <v>64.859216789553003</v>
      </c>
    </row>
    <row r="42" spans="1:18" ht="30" customHeight="1">
      <c r="B42" s="1115"/>
      <c r="C42" s="646"/>
      <c r="D42" s="1497" t="s">
        <v>1935</v>
      </c>
      <c r="E42" s="1497"/>
      <c r="F42" s="2088"/>
      <c r="G42" s="622">
        <f>K27+K26+K25+K24+K15+K14+K11+K10+K28+K16</f>
        <v>34016394.125599995</v>
      </c>
      <c r="H42" s="1497"/>
      <c r="I42" s="1497"/>
      <c r="J42" s="1497"/>
      <c r="K42" s="1501">
        <f>G42/G43*100</f>
        <v>33.583407015646451</v>
      </c>
      <c r="L42" s="1497"/>
      <c r="M42" s="1497"/>
      <c r="N42" s="622">
        <v>18828985.677589998</v>
      </c>
      <c r="O42" s="1497"/>
      <c r="P42" s="1497"/>
      <c r="Q42" s="1497"/>
      <c r="R42" s="1501">
        <v>35.140783210446997</v>
      </c>
    </row>
    <row r="43" spans="1:18" ht="34.5" customHeight="1" thickBot="1">
      <c r="B43" s="1115"/>
      <c r="C43" s="646"/>
      <c r="D43" s="1496"/>
      <c r="E43" s="1496"/>
      <c r="F43" s="2088"/>
      <c r="G43" s="1505">
        <f>SUM(G41:G42)</f>
        <v>101289288.81382349</v>
      </c>
      <c r="H43" s="1496"/>
      <c r="I43" s="1496"/>
      <c r="J43" s="1496"/>
      <c r="K43" s="1502"/>
      <c r="L43" s="1496"/>
      <c r="M43" s="1496"/>
      <c r="N43" s="1505">
        <f>SUM(N41:N42)</f>
        <v>53581576.610940002</v>
      </c>
      <c r="O43" s="1496"/>
      <c r="P43" s="1496"/>
      <c r="Q43" s="1496"/>
      <c r="R43" s="1502"/>
    </row>
    <row r="44" spans="1:18" s="545" customFormat="1" ht="41.25" customHeight="1" thickTop="1">
      <c r="A44" s="1508"/>
      <c r="B44" s="1509"/>
      <c r="C44" s="615" t="s">
        <v>1916</v>
      </c>
      <c r="D44" s="3414" t="s">
        <v>1486</v>
      </c>
      <c r="E44" s="3414"/>
      <c r="F44" s="3414"/>
      <c r="G44" s="3414"/>
      <c r="H44" s="3414"/>
      <c r="I44" s="3414"/>
      <c r="J44" s="3414"/>
      <c r="K44" s="3414"/>
      <c r="L44" s="3414"/>
      <c r="M44" s="3414"/>
      <c r="N44" s="3414"/>
      <c r="O44" s="3414"/>
      <c r="P44" s="3414"/>
      <c r="Q44" s="3414"/>
      <c r="R44" s="3414"/>
    </row>
    <row r="45" spans="1:18" ht="21.75" customHeight="1">
      <c r="A45" s="1002"/>
      <c r="B45" s="1001"/>
      <c r="C45" s="647"/>
      <c r="D45" s="647"/>
      <c r="E45" s="647"/>
      <c r="F45" s="647"/>
      <c r="G45" s="648"/>
      <c r="H45" s="647"/>
      <c r="I45" s="647"/>
      <c r="J45" s="648"/>
      <c r="K45" s="649"/>
      <c r="L45" s="650"/>
      <c r="M45" s="483"/>
      <c r="N45" s="1803"/>
      <c r="O45" s="651"/>
      <c r="Q45" s="652"/>
      <c r="R45" s="1796" t="s">
        <v>1879</v>
      </c>
    </row>
    <row r="46" spans="1:18" ht="18.75" customHeight="1">
      <c r="A46" s="1003"/>
      <c r="B46" s="1116"/>
      <c r="C46" s="653"/>
      <c r="D46" s="653"/>
      <c r="E46" s="653"/>
      <c r="F46" s="653"/>
      <c r="G46" s="654"/>
      <c r="H46" s="653"/>
      <c r="I46" s="653"/>
      <c r="J46" s="654"/>
      <c r="K46" s="655"/>
      <c r="L46" s="656"/>
      <c r="M46" s="656"/>
      <c r="N46" s="1804">
        <v>1402</v>
      </c>
      <c r="O46" s="657"/>
      <c r="Q46" s="653"/>
      <c r="R46" s="1804">
        <v>1401</v>
      </c>
    </row>
    <row r="47" spans="1:18" ht="25.5" customHeight="1">
      <c r="A47" s="1004"/>
      <c r="B47" s="1117"/>
      <c r="C47" s="658"/>
      <c r="D47" s="659" t="s">
        <v>2553</v>
      </c>
      <c r="E47" s="658"/>
      <c r="F47" s="658"/>
      <c r="G47" s="660"/>
      <c r="H47" s="658"/>
      <c r="I47" s="658"/>
      <c r="J47" s="658"/>
      <c r="K47" s="658"/>
      <c r="L47" s="661"/>
      <c r="M47" s="175"/>
      <c r="N47" s="625">
        <v>97787</v>
      </c>
      <c r="O47" s="662"/>
      <c r="Q47" s="663"/>
      <c r="R47" s="625">
        <v>23671</v>
      </c>
    </row>
    <row r="48" spans="1:18" ht="25.5" customHeight="1">
      <c r="A48" s="1004"/>
      <c r="B48" s="1117"/>
      <c r="C48" s="658"/>
      <c r="D48" s="659" t="s">
        <v>2552</v>
      </c>
      <c r="E48" s="658"/>
      <c r="F48" s="658"/>
      <c r="G48" s="660"/>
      <c r="H48" s="658"/>
      <c r="I48" s="658"/>
      <c r="J48" s="658"/>
      <c r="K48" s="658"/>
      <c r="L48" s="661"/>
      <c r="M48" s="175"/>
      <c r="N48" s="625">
        <v>19895</v>
      </c>
      <c r="O48" s="662"/>
      <c r="Q48" s="663"/>
      <c r="R48" s="625">
        <v>17867</v>
      </c>
    </row>
    <row r="49" spans="1:18" ht="25.5" customHeight="1">
      <c r="A49" s="1004"/>
      <c r="B49" s="1117"/>
      <c r="C49" s="658"/>
      <c r="D49" s="659" t="s">
        <v>2355</v>
      </c>
      <c r="E49" s="658"/>
      <c r="F49" s="658"/>
      <c r="G49" s="660"/>
      <c r="H49" s="658"/>
      <c r="I49" s="658"/>
      <c r="J49" s="658"/>
      <c r="K49" s="658"/>
      <c r="L49" s="660"/>
      <c r="M49" s="175"/>
      <c r="N49" s="625">
        <v>67944</v>
      </c>
      <c r="O49" s="662"/>
      <c r="Q49" s="663"/>
      <c r="R49" s="625">
        <v>16079</v>
      </c>
    </row>
    <row r="50" spans="1:18" ht="25.5" customHeight="1">
      <c r="A50" s="1004"/>
      <c r="B50" s="1117"/>
      <c r="C50" s="658"/>
      <c r="D50" s="659" t="s">
        <v>1510</v>
      </c>
      <c r="E50" s="658"/>
      <c r="F50" s="658"/>
      <c r="G50" s="660"/>
      <c r="H50" s="658"/>
      <c r="I50" s="658"/>
      <c r="J50" s="658"/>
      <c r="K50" s="658"/>
      <c r="L50" s="661"/>
      <c r="M50" s="175"/>
      <c r="N50" s="625">
        <v>23596</v>
      </c>
      <c r="O50" s="662"/>
      <c r="Q50" s="663"/>
      <c r="R50" s="625">
        <v>8186</v>
      </c>
    </row>
    <row r="51" spans="1:18" ht="25.5" customHeight="1">
      <c r="A51" s="1004"/>
      <c r="B51" s="1117"/>
      <c r="C51" s="658"/>
      <c r="D51" s="659" t="s">
        <v>1702</v>
      </c>
      <c r="E51" s="658"/>
      <c r="F51" s="658"/>
      <c r="G51" s="660"/>
      <c r="H51" s="658"/>
      <c r="I51" s="658"/>
      <c r="J51" s="658"/>
      <c r="K51" s="876"/>
      <c r="L51" s="661"/>
      <c r="M51" s="175"/>
      <c r="N51" s="625">
        <v>3805</v>
      </c>
      <c r="O51" s="662"/>
      <c r="Q51" s="663"/>
      <c r="R51" s="625">
        <v>9533</v>
      </c>
    </row>
    <row r="52" spans="1:18" ht="25.5" customHeight="1">
      <c r="A52" s="1004"/>
      <c r="B52" s="1117"/>
      <c r="C52" s="658"/>
      <c r="D52" s="659" t="s">
        <v>1505</v>
      </c>
      <c r="E52" s="658"/>
      <c r="F52" s="658"/>
      <c r="G52" s="660"/>
      <c r="H52" s="658"/>
      <c r="I52" s="658"/>
      <c r="J52" s="658"/>
      <c r="K52" s="658"/>
      <c r="L52" s="661"/>
      <c r="M52" s="175"/>
      <c r="N52" s="625">
        <v>2234</v>
      </c>
      <c r="O52" s="662"/>
      <c r="Q52" s="663"/>
      <c r="R52" s="625">
        <v>2849</v>
      </c>
    </row>
    <row r="53" spans="1:18" ht="25.5" customHeight="1">
      <c r="A53" s="1004"/>
      <c r="B53" s="1117"/>
      <c r="C53" s="658"/>
      <c r="D53" s="659" t="s">
        <v>1504</v>
      </c>
      <c r="E53" s="658"/>
      <c r="F53" s="658"/>
      <c r="G53" s="660"/>
      <c r="H53" s="658"/>
      <c r="I53" s="658"/>
      <c r="J53" s="658"/>
      <c r="K53" s="658"/>
      <c r="L53" s="660"/>
      <c r="M53" s="175"/>
      <c r="N53" s="625">
        <v>5541</v>
      </c>
      <c r="O53" s="662"/>
      <c r="Q53" s="663"/>
      <c r="R53" s="625">
        <v>4062</v>
      </c>
    </row>
    <row r="54" spans="1:18" ht="25.5" customHeight="1">
      <c r="A54" s="1004"/>
      <c r="B54" s="1117"/>
      <c r="C54" s="658"/>
      <c r="D54" s="659" t="s">
        <v>1768</v>
      </c>
      <c r="E54" s="658"/>
      <c r="F54" s="658"/>
      <c r="G54" s="660"/>
      <c r="H54" s="658"/>
      <c r="I54" s="658"/>
      <c r="J54" s="658"/>
      <c r="K54" s="658"/>
      <c r="L54" s="660"/>
      <c r="M54" s="175"/>
      <c r="N54" s="625">
        <v>20569</v>
      </c>
      <c r="O54" s="662"/>
      <c r="Q54" s="663"/>
      <c r="R54" s="625">
        <v>10456</v>
      </c>
    </row>
    <row r="55" spans="1:18" ht="25.5" customHeight="1">
      <c r="A55" s="1004"/>
      <c r="B55" s="1117"/>
      <c r="C55" s="658"/>
      <c r="D55" s="659" t="s">
        <v>673</v>
      </c>
      <c r="E55" s="658"/>
      <c r="F55" s="658"/>
      <c r="G55" s="664"/>
      <c r="H55" s="661"/>
      <c r="I55" s="658"/>
      <c r="J55" s="658"/>
      <c r="K55" s="658"/>
      <c r="L55" s="661"/>
      <c r="M55" s="175"/>
      <c r="N55" s="625">
        <v>803</v>
      </c>
      <c r="O55" s="662"/>
      <c r="Q55" s="663"/>
      <c r="R55" s="625">
        <v>3386</v>
      </c>
    </row>
    <row r="56" spans="1:18" ht="25.5" customHeight="1" thickBot="1">
      <c r="A56" s="1005"/>
      <c r="B56" s="1004"/>
      <c r="C56" s="658"/>
      <c r="D56" s="658"/>
      <c r="E56" s="658"/>
      <c r="F56" s="658"/>
      <c r="G56" s="665"/>
      <c r="H56" s="666"/>
      <c r="I56" s="658"/>
      <c r="J56" s="660"/>
      <c r="K56" s="1585"/>
      <c r="L56" s="661"/>
      <c r="M56" s="667"/>
      <c r="N56" s="668">
        <f>-'1402'!W546</f>
        <v>242174</v>
      </c>
      <c r="O56" s="662"/>
      <c r="Q56" s="663"/>
      <c r="R56" s="668">
        <f>SUM(R47:R55)</f>
        <v>96089</v>
      </c>
    </row>
    <row r="57" spans="1:18" ht="20.25" customHeight="1" thickTop="1">
      <c r="A57" s="1005"/>
      <c r="B57" s="1004"/>
      <c r="C57" s="658"/>
      <c r="D57" s="658"/>
      <c r="E57" s="658"/>
      <c r="F57" s="658"/>
      <c r="G57" s="665"/>
      <c r="H57" s="666"/>
      <c r="I57" s="658"/>
      <c r="J57" s="660"/>
      <c r="K57" s="658"/>
      <c r="L57" s="661"/>
      <c r="M57" s="667"/>
      <c r="N57" s="667"/>
      <c r="O57" s="662"/>
      <c r="Q57" s="663"/>
      <c r="R57" s="667"/>
    </row>
    <row r="58" spans="1:18" ht="28.5" customHeight="1">
      <c r="A58" s="1005"/>
      <c r="B58" s="169"/>
      <c r="C58" s="646" t="s">
        <v>2003</v>
      </c>
      <c r="D58" s="663" t="s">
        <v>1777</v>
      </c>
      <c r="E58" s="658"/>
      <c r="F58" s="658"/>
      <c r="G58" s="665"/>
      <c r="H58" s="666"/>
      <c r="I58" s="658"/>
      <c r="J58" s="660"/>
      <c r="K58" s="658"/>
      <c r="L58" s="661"/>
      <c r="M58" s="667"/>
      <c r="N58" s="667"/>
      <c r="O58" s="662"/>
      <c r="Q58" s="663"/>
      <c r="R58" s="667"/>
    </row>
    <row r="59" spans="1:18" ht="78.75" customHeight="1">
      <c r="A59" s="3410">
        <v>11</v>
      </c>
      <c r="B59" s="3410"/>
      <c r="C59" s="3410"/>
      <c r="D59" s="3410"/>
      <c r="E59" s="3410"/>
      <c r="F59" s="3410"/>
      <c r="G59" s="3410"/>
      <c r="H59" s="3410"/>
      <c r="I59" s="3410"/>
      <c r="J59" s="3410"/>
      <c r="K59" s="3410"/>
      <c r="L59" s="3410"/>
      <c r="M59" s="3410"/>
      <c r="N59" s="3410"/>
      <c r="O59" s="3410"/>
      <c r="P59" s="3410"/>
      <c r="Q59" s="3410"/>
      <c r="R59" s="3410"/>
    </row>
    <row r="60" spans="1:18" ht="39.75">
      <c r="C60" s="1019"/>
      <c r="D60" s="1019"/>
      <c r="E60" s="1019"/>
      <c r="F60" s="2087"/>
      <c r="G60" s="1019"/>
      <c r="H60" s="1019"/>
      <c r="I60" s="1019"/>
      <c r="J60" s="1019"/>
      <c r="K60" s="1019"/>
      <c r="L60" s="1019"/>
    </row>
  </sheetData>
  <mergeCells count="15">
    <mergeCell ref="A1:R1"/>
    <mergeCell ref="A2:R2"/>
    <mergeCell ref="A3:R3"/>
    <mergeCell ref="N6:R6"/>
    <mergeCell ref="D37:E37"/>
    <mergeCell ref="G6:K6"/>
    <mergeCell ref="G5:K5"/>
    <mergeCell ref="A59:R59"/>
    <mergeCell ref="B35:R35"/>
    <mergeCell ref="D36:R36"/>
    <mergeCell ref="D44:R44"/>
    <mergeCell ref="I39:K39"/>
    <mergeCell ref="P39:R39"/>
    <mergeCell ref="G38:K38"/>
    <mergeCell ref="N38:R38"/>
  </mergeCells>
  <printOptions horizontalCentered="1" verticalCentered="1"/>
  <pageMargins left="0.19685039370078741" right="0.15748031496062992" top="0.19685039370078741" bottom="0" header="0.15748031496062992" footer="0.19685039370078741"/>
  <pageSetup paperSize="9"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N63"/>
  <sheetViews>
    <sheetView rightToLeft="1" view="pageBreakPreview" topLeftCell="C16" zoomScale="57" zoomScaleNormal="62" zoomScaleSheetLayoutView="57" workbookViewId="0">
      <selection activeCell="T30" activeCellId="1" sqref="H30 T30"/>
    </sheetView>
  </sheetViews>
  <sheetFormatPr defaultColWidth="0.5" defaultRowHeight="21"/>
  <cols>
    <col min="1" max="1" width="5.125" style="338" customWidth="1"/>
    <col min="2" max="2" width="9.125" style="338" customWidth="1"/>
    <col min="3" max="3" width="34.375" style="150" customWidth="1"/>
    <col min="4" max="4" width="31.75" style="150" bestFit="1" customWidth="1"/>
    <col min="5" max="5" width="1.5" style="150" customWidth="1"/>
    <col min="6" max="6" width="14.625" style="150" bestFit="1" customWidth="1"/>
    <col min="7" max="7" width="1.5" style="150" customWidth="1"/>
    <col min="8" max="8" width="19.25" style="150" bestFit="1" customWidth="1"/>
    <col min="9" max="9" width="1.25" style="150" customWidth="1"/>
    <col min="10" max="10" width="19.75" style="150" customWidth="1"/>
    <col min="11" max="11" width="3.25" style="150" customWidth="1"/>
    <col min="12" max="12" width="18.75" style="150" customWidth="1"/>
    <col min="13" max="13" width="1.5" style="150" customWidth="1"/>
    <col min="14" max="14" width="19.25" style="150" bestFit="1" customWidth="1"/>
    <col min="15" max="15" width="4.75" style="150" customWidth="1"/>
    <col min="16" max="16" width="16.75" style="150" customWidth="1"/>
    <col min="17" max="17" width="0.875" style="150" hidden="1" customWidth="1"/>
    <col min="18" max="18" width="20.625" style="150" customWidth="1"/>
    <col min="19" max="19" width="1.875" style="150" customWidth="1"/>
    <col min="20" max="20" width="19" style="150" customWidth="1"/>
    <col min="21" max="21" width="1.25" style="150" customWidth="1"/>
    <col min="22" max="22" width="19.75" style="150" customWidth="1"/>
    <col min="23" max="23" width="2.375" style="150" customWidth="1"/>
    <col min="24" max="24" width="19" style="150" customWidth="1"/>
    <col min="25" max="25" width="0.875" style="150" customWidth="1"/>
    <col min="26" max="26" width="21" style="150" customWidth="1"/>
    <col min="27" max="27" width="2.75" style="150" customWidth="1"/>
    <col min="28" max="42" width="0.5" style="150"/>
    <col min="43" max="43" width="19.875" style="150" customWidth="1"/>
    <col min="44" max="16384" width="0.5" style="150"/>
  </cols>
  <sheetData>
    <row r="1" spans="1:39" s="149" customFormat="1" ht="42.75" customHeight="1">
      <c r="A1" s="3427" t="s">
        <v>612</v>
      </c>
      <c r="B1" s="3427"/>
      <c r="C1" s="3427"/>
      <c r="D1" s="3427"/>
      <c r="E1" s="3427"/>
      <c r="F1" s="3427"/>
      <c r="G1" s="3427"/>
      <c r="H1" s="3427"/>
      <c r="I1" s="3427"/>
      <c r="J1" s="3427"/>
      <c r="K1" s="3427"/>
      <c r="L1" s="3427"/>
      <c r="M1" s="3427"/>
      <c r="N1" s="3427"/>
      <c r="O1" s="3427"/>
      <c r="P1" s="3427"/>
      <c r="Q1" s="3427"/>
      <c r="R1" s="3427"/>
      <c r="S1" s="3427"/>
      <c r="T1" s="3427"/>
      <c r="U1" s="3427"/>
      <c r="V1" s="3427"/>
      <c r="W1" s="3427"/>
      <c r="X1" s="3427"/>
      <c r="Y1" s="3427"/>
      <c r="Z1" s="3427"/>
      <c r="AA1" s="148"/>
      <c r="AB1" s="148"/>
      <c r="AC1" s="148"/>
      <c r="AD1" s="148"/>
      <c r="AE1" s="148"/>
      <c r="AF1" s="148"/>
      <c r="AG1" s="148"/>
      <c r="AH1" s="148"/>
      <c r="AI1" s="148"/>
      <c r="AJ1" s="148"/>
      <c r="AK1" s="148"/>
      <c r="AL1" s="148"/>
      <c r="AM1" s="148"/>
    </row>
    <row r="2" spans="1:39" s="149" customFormat="1" ht="42.75" customHeight="1">
      <c r="A2" s="3427" t="str">
        <f>مفروضات!A2</f>
        <v>يادداشت هاي توضيحي صورت هاي مالي</v>
      </c>
      <c r="B2" s="3427"/>
      <c r="C2" s="3427"/>
      <c r="D2" s="3427"/>
      <c r="E2" s="3427"/>
      <c r="F2" s="3427"/>
      <c r="G2" s="3427"/>
      <c r="H2" s="3427"/>
      <c r="I2" s="3427"/>
      <c r="J2" s="3427"/>
      <c r="K2" s="3427"/>
      <c r="L2" s="3427"/>
      <c r="M2" s="3427"/>
      <c r="N2" s="3427"/>
      <c r="O2" s="3427"/>
      <c r="P2" s="3427"/>
      <c r="Q2" s="3427"/>
      <c r="R2" s="3427"/>
      <c r="S2" s="3427"/>
      <c r="T2" s="3427"/>
      <c r="U2" s="3427"/>
      <c r="V2" s="3427"/>
      <c r="W2" s="3427"/>
      <c r="X2" s="3427"/>
      <c r="Y2" s="3427"/>
      <c r="Z2" s="3427"/>
      <c r="AA2" s="148"/>
      <c r="AB2" s="148"/>
      <c r="AC2" s="148"/>
      <c r="AD2" s="148"/>
      <c r="AE2" s="148"/>
      <c r="AF2" s="148"/>
      <c r="AG2" s="148"/>
      <c r="AH2" s="148"/>
      <c r="AI2" s="148"/>
      <c r="AJ2" s="148"/>
      <c r="AK2" s="148"/>
      <c r="AL2" s="148"/>
      <c r="AM2" s="148"/>
    </row>
    <row r="3" spans="1:39" s="149" customFormat="1" ht="42.75" customHeight="1">
      <c r="A3" s="3427" t="str">
        <f>mafrozat!A3</f>
        <v xml:space="preserve"> سال مالي منتهي به 29 اسفند 1402</v>
      </c>
      <c r="B3" s="3427"/>
      <c r="C3" s="3427"/>
      <c r="D3" s="3427"/>
      <c r="E3" s="3427"/>
      <c r="F3" s="3427"/>
      <c r="G3" s="3427"/>
      <c r="H3" s="3427"/>
      <c r="I3" s="3427"/>
      <c r="J3" s="3427"/>
      <c r="K3" s="3427"/>
      <c r="L3" s="3427"/>
      <c r="M3" s="3427"/>
      <c r="N3" s="3427"/>
      <c r="O3" s="3427"/>
      <c r="P3" s="3427"/>
      <c r="Q3" s="3427"/>
      <c r="R3" s="3427"/>
      <c r="S3" s="3427"/>
      <c r="T3" s="3427"/>
      <c r="U3" s="3427"/>
      <c r="V3" s="3427"/>
      <c r="W3" s="3427"/>
      <c r="X3" s="3427"/>
      <c r="Y3" s="3427"/>
      <c r="Z3" s="3427"/>
      <c r="AA3" s="148"/>
      <c r="AB3" s="148"/>
      <c r="AC3" s="148"/>
      <c r="AD3" s="148"/>
      <c r="AE3" s="148"/>
      <c r="AF3" s="148"/>
      <c r="AG3" s="148"/>
      <c r="AH3" s="148"/>
      <c r="AI3" s="148"/>
      <c r="AJ3" s="148"/>
      <c r="AK3" s="148"/>
      <c r="AL3" s="148"/>
      <c r="AM3" s="148"/>
    </row>
    <row r="4" spans="1:39" s="149" customFormat="1" ht="42.75" customHeight="1">
      <c r="A4" s="818"/>
      <c r="B4" s="1441" t="s">
        <v>1917</v>
      </c>
      <c r="C4" s="497"/>
      <c r="D4" s="497"/>
      <c r="E4" s="497"/>
      <c r="F4" s="497"/>
      <c r="G4" s="497"/>
      <c r="H4" s="497"/>
      <c r="I4" s="497"/>
      <c r="J4" s="497"/>
      <c r="K4" s="497"/>
      <c r="L4" s="497"/>
      <c r="M4" s="1054"/>
      <c r="N4" s="1054"/>
      <c r="O4" s="1054"/>
      <c r="P4" s="1054"/>
      <c r="Q4" s="1054"/>
      <c r="R4" s="1054"/>
      <c r="S4" s="1054"/>
      <c r="T4" s="1054"/>
      <c r="U4" s="1054"/>
      <c r="V4" s="1054"/>
      <c r="W4" s="1054"/>
      <c r="X4" s="1054"/>
      <c r="Y4" s="1054"/>
      <c r="Z4" s="1793" t="s">
        <v>1879</v>
      </c>
      <c r="AA4" s="148"/>
      <c r="AB4" s="148"/>
      <c r="AC4" s="148"/>
      <c r="AD4" s="148"/>
      <c r="AE4" s="148"/>
      <c r="AF4" s="148"/>
      <c r="AG4" s="148"/>
      <c r="AH4" s="148"/>
      <c r="AI4" s="148"/>
      <c r="AJ4" s="148"/>
      <c r="AK4" s="148"/>
      <c r="AL4" s="148"/>
      <c r="AM4" s="148"/>
    </row>
    <row r="5" spans="1:39" s="149" customFormat="1" ht="6" customHeight="1">
      <c r="A5" s="818"/>
      <c r="B5" s="1127"/>
      <c r="C5" s="497"/>
      <c r="D5" s="497"/>
      <c r="E5" s="497"/>
      <c r="F5" s="497"/>
      <c r="G5" s="497"/>
      <c r="H5" s="497"/>
      <c r="I5" s="497"/>
      <c r="J5" s="497"/>
      <c r="K5" s="497"/>
      <c r="L5" s="497"/>
      <c r="M5" s="1054"/>
      <c r="N5" s="1054"/>
      <c r="O5" s="1054"/>
      <c r="P5" s="1054"/>
      <c r="Q5" s="1054"/>
      <c r="R5" s="1054"/>
      <c r="S5" s="1054"/>
      <c r="T5" s="1054"/>
      <c r="U5" s="1054"/>
      <c r="V5" s="1054"/>
      <c r="W5" s="1054"/>
      <c r="X5" s="1054"/>
      <c r="Y5" s="1054"/>
      <c r="Z5" s="1054"/>
      <c r="AA5" s="148"/>
      <c r="AB5" s="148"/>
      <c r="AC5" s="148"/>
      <c r="AD5" s="148"/>
      <c r="AE5" s="148"/>
      <c r="AF5" s="148"/>
      <c r="AG5" s="148"/>
      <c r="AH5" s="148"/>
      <c r="AI5" s="148"/>
      <c r="AJ5" s="148"/>
      <c r="AK5" s="148"/>
      <c r="AL5" s="148"/>
      <c r="AM5" s="148"/>
    </row>
    <row r="6" spans="1:39" s="149" customFormat="1" ht="35.25" customHeight="1" thickBot="1">
      <c r="A6" s="818"/>
      <c r="B6" s="818"/>
      <c r="C6" s="1054"/>
      <c r="M6" s="1054"/>
      <c r="N6" s="1054"/>
      <c r="O6" s="1054"/>
      <c r="P6" s="1054"/>
      <c r="Q6" s="1054"/>
      <c r="R6" s="3429">
        <v>1402</v>
      </c>
      <c r="S6" s="3429"/>
      <c r="T6" s="3429"/>
      <c r="U6" s="3429"/>
      <c r="V6" s="3429"/>
      <c r="W6" s="3429"/>
      <c r="X6" s="3429"/>
      <c r="Y6" s="1068"/>
      <c r="Z6" s="1066">
        <v>1401</v>
      </c>
      <c r="AA6" s="148"/>
      <c r="AB6" s="148"/>
      <c r="AC6" s="148"/>
      <c r="AD6" s="148"/>
      <c r="AE6" s="148"/>
      <c r="AF6" s="148"/>
      <c r="AG6" s="148"/>
      <c r="AH6" s="148"/>
      <c r="AI6" s="148"/>
      <c r="AJ6" s="148"/>
      <c r="AK6" s="148"/>
      <c r="AL6" s="148"/>
      <c r="AM6" s="148"/>
    </row>
    <row r="7" spans="1:39" s="149" customFormat="1" ht="59.25" customHeight="1">
      <c r="A7" s="818"/>
      <c r="B7" s="818"/>
      <c r="C7" s="1054"/>
      <c r="Q7" s="1054"/>
      <c r="R7" s="1063" t="s">
        <v>1726</v>
      </c>
      <c r="S7" s="1060"/>
      <c r="T7" s="1063" t="s">
        <v>1727</v>
      </c>
      <c r="U7" s="1061"/>
      <c r="V7" s="1063" t="s">
        <v>864</v>
      </c>
      <c r="W7" s="1062"/>
      <c r="X7" s="1070" t="s">
        <v>1728</v>
      </c>
      <c r="Y7" s="771"/>
      <c r="Z7" s="1070" t="s">
        <v>1729</v>
      </c>
      <c r="AA7" s="148"/>
      <c r="AB7" s="148"/>
      <c r="AC7" s="148"/>
      <c r="AD7" s="148"/>
      <c r="AE7" s="148"/>
      <c r="AF7" s="148"/>
      <c r="AG7" s="148"/>
      <c r="AH7" s="148"/>
      <c r="AI7" s="148"/>
      <c r="AJ7" s="148"/>
      <c r="AK7" s="148"/>
      <c r="AL7" s="148"/>
      <c r="AM7" s="148"/>
    </row>
    <row r="8" spans="1:39" s="149" customFormat="1" ht="29.25" customHeight="1">
      <c r="A8" s="818"/>
      <c r="B8" s="818"/>
      <c r="C8" s="1054"/>
      <c r="O8" s="1054"/>
      <c r="P8" s="1054"/>
      <c r="Q8" s="1054"/>
      <c r="R8" s="1064"/>
      <c r="S8" s="1064"/>
      <c r="T8" s="1064"/>
      <c r="U8" s="1064"/>
      <c r="V8" s="1064"/>
      <c r="W8" s="1059"/>
      <c r="X8" s="1064"/>
      <c r="Y8" s="1054"/>
      <c r="Z8" s="1054"/>
      <c r="AA8" s="148"/>
      <c r="AB8" s="148"/>
      <c r="AC8" s="148"/>
      <c r="AD8" s="148"/>
      <c r="AE8" s="148"/>
      <c r="AF8" s="148"/>
      <c r="AG8" s="148"/>
      <c r="AH8" s="148"/>
      <c r="AI8" s="148"/>
      <c r="AJ8" s="148"/>
      <c r="AK8" s="148"/>
      <c r="AL8" s="148"/>
      <c r="AM8" s="148"/>
    </row>
    <row r="9" spans="1:39" s="149" customFormat="1" ht="9.75" customHeight="1">
      <c r="A9" s="818"/>
      <c r="B9" s="818"/>
      <c r="M9" s="1054"/>
      <c r="N9" s="1054"/>
      <c r="O9" s="1054"/>
      <c r="P9" s="1054"/>
      <c r="Q9" s="1054"/>
      <c r="R9" s="1065"/>
      <c r="S9" s="1054"/>
      <c r="T9" s="1054"/>
      <c r="U9" s="1054"/>
      <c r="V9" s="1054"/>
      <c r="W9" s="1054"/>
      <c r="X9" s="1054"/>
      <c r="Y9" s="1054"/>
      <c r="Z9" s="1054"/>
      <c r="AA9" s="148"/>
      <c r="AB9" s="148"/>
      <c r="AC9" s="148"/>
      <c r="AD9" s="148"/>
      <c r="AE9" s="148"/>
      <c r="AF9" s="148"/>
      <c r="AG9" s="148"/>
      <c r="AH9" s="148"/>
      <c r="AI9" s="148"/>
      <c r="AJ9" s="148"/>
      <c r="AK9" s="148"/>
      <c r="AL9" s="148"/>
      <c r="AM9" s="148"/>
    </row>
    <row r="10" spans="1:39" s="149" customFormat="1" ht="43.5" customHeight="1">
      <c r="A10" s="818"/>
      <c r="B10" s="818"/>
      <c r="C10" s="3430" t="s">
        <v>1750</v>
      </c>
      <c r="D10" s="3430"/>
      <c r="E10" s="3430"/>
      <c r="M10" s="1054"/>
      <c r="Q10" s="1054"/>
      <c r="R10" s="593">
        <f>'11'!K32</f>
        <v>101289288</v>
      </c>
      <c r="S10" s="593"/>
      <c r="T10" s="593">
        <f>D30</f>
        <v>91985327</v>
      </c>
      <c r="U10" s="593"/>
      <c r="V10" s="593">
        <f>R10-T10</f>
        <v>9303961</v>
      </c>
      <c r="W10" s="1054"/>
      <c r="X10" s="593">
        <f>V10/R10*100</f>
        <v>9.1855330249729867</v>
      </c>
      <c r="Y10" s="1054"/>
      <c r="Z10" s="593">
        <v>6</v>
      </c>
      <c r="AA10" s="148"/>
      <c r="AB10" s="148"/>
      <c r="AC10" s="148"/>
      <c r="AD10" s="148"/>
      <c r="AE10" s="148"/>
      <c r="AF10" s="148"/>
      <c r="AG10" s="148"/>
      <c r="AH10" s="148"/>
      <c r="AI10" s="148"/>
      <c r="AJ10" s="148"/>
      <c r="AK10" s="148"/>
      <c r="AL10" s="148"/>
      <c r="AM10" s="148"/>
    </row>
    <row r="11" spans="1:39" s="149" customFormat="1" ht="37.5" customHeight="1" thickBot="1">
      <c r="A11" s="818"/>
      <c r="B11" s="818"/>
      <c r="C11" s="3430" t="s">
        <v>1751</v>
      </c>
      <c r="D11" s="3430"/>
      <c r="E11" s="3430"/>
      <c r="M11" s="1054"/>
      <c r="Q11" s="1054"/>
      <c r="R11" s="593">
        <f>'11'!K33</f>
        <v>242174</v>
      </c>
      <c r="S11" s="593"/>
      <c r="T11" s="593">
        <f>F30</f>
        <v>219931</v>
      </c>
      <c r="U11" s="593"/>
      <c r="V11" s="593">
        <f>R11-T11</f>
        <v>22243</v>
      </c>
      <c r="W11" s="1054"/>
      <c r="X11" s="593">
        <f>V11/R11*100</f>
        <v>9.18471842559482</v>
      </c>
      <c r="Y11" s="1054"/>
      <c r="Z11" s="593">
        <v>1</v>
      </c>
      <c r="AA11" s="148"/>
      <c r="AB11" s="148"/>
      <c r="AC11" s="148"/>
      <c r="AD11" s="148"/>
      <c r="AE11" s="148"/>
      <c r="AF11" s="148"/>
      <c r="AG11" s="148"/>
      <c r="AH11" s="148"/>
      <c r="AI11" s="148"/>
      <c r="AJ11" s="148"/>
      <c r="AK11" s="148"/>
      <c r="AL11" s="148"/>
      <c r="AM11" s="148"/>
    </row>
    <row r="12" spans="1:39" s="149" customFormat="1" ht="36" customHeight="1" thickBot="1">
      <c r="A12" s="818"/>
      <c r="B12" s="818"/>
      <c r="C12" s="1067"/>
      <c r="M12" s="1054"/>
      <c r="N12" s="1054"/>
      <c r="O12" s="1054"/>
      <c r="P12" s="1054"/>
      <c r="Q12" s="1054"/>
      <c r="R12" s="1074">
        <f>SUM(R10:R11)</f>
        <v>101531462</v>
      </c>
      <c r="S12" s="593"/>
      <c r="T12" s="1074">
        <f>SUM(T10:T11)</f>
        <v>92205258</v>
      </c>
      <c r="U12" s="593"/>
      <c r="V12" s="1074">
        <f>R12-T12</f>
        <v>9326204</v>
      </c>
      <c r="W12" s="1054"/>
      <c r="X12" s="593"/>
      <c r="Y12" s="593"/>
      <c r="Z12" s="593"/>
      <c r="AA12" s="148"/>
      <c r="AB12" s="148"/>
      <c r="AC12" s="148"/>
      <c r="AD12" s="148"/>
      <c r="AE12" s="148"/>
      <c r="AF12" s="148"/>
      <c r="AG12" s="148"/>
      <c r="AH12" s="148"/>
      <c r="AI12" s="148"/>
      <c r="AJ12" s="148"/>
      <c r="AK12" s="148"/>
      <c r="AL12" s="148"/>
      <c r="AM12" s="148"/>
    </row>
    <row r="13" spans="1:39" s="149" customFormat="1" ht="30.75" customHeight="1" thickTop="1">
      <c r="A13" s="818"/>
      <c r="B13" s="818"/>
      <c r="C13" s="1067"/>
      <c r="D13" s="1067"/>
      <c r="E13" s="1055"/>
      <c r="F13" s="1067"/>
      <c r="G13" s="1054"/>
      <c r="H13" s="1054"/>
      <c r="I13" s="1054"/>
      <c r="J13" s="1054"/>
      <c r="K13" s="1054"/>
      <c r="L13" s="1054"/>
      <c r="M13" s="1054"/>
      <c r="N13" s="1054"/>
      <c r="O13" s="1054"/>
      <c r="P13" s="1054"/>
      <c r="Q13" s="1054"/>
      <c r="R13" s="1054"/>
      <c r="S13" s="1054"/>
      <c r="T13" s="1054"/>
      <c r="U13" s="1054"/>
      <c r="V13" s="1054"/>
      <c r="W13" s="1054"/>
      <c r="X13" s="1054"/>
      <c r="Y13" s="1054"/>
      <c r="Z13" s="1054"/>
      <c r="AA13" s="148"/>
      <c r="AB13" s="148"/>
      <c r="AC13" s="148"/>
      <c r="AD13" s="148"/>
      <c r="AE13" s="148"/>
      <c r="AF13" s="148"/>
      <c r="AG13" s="148"/>
      <c r="AH13" s="148"/>
      <c r="AI13" s="148"/>
      <c r="AJ13" s="148"/>
      <c r="AK13" s="148"/>
      <c r="AL13" s="148"/>
      <c r="AM13" s="148"/>
    </row>
    <row r="14" spans="1:39" s="149" customFormat="1" ht="17.25" customHeight="1">
      <c r="A14" s="818"/>
      <c r="B14" s="818"/>
      <c r="C14" s="1055"/>
      <c r="D14" s="1055"/>
      <c r="E14" s="1055"/>
      <c r="F14" s="1055"/>
      <c r="G14" s="1054"/>
      <c r="H14" s="1054"/>
      <c r="I14" s="1054"/>
      <c r="J14" s="1054"/>
      <c r="K14" s="1054"/>
      <c r="L14" s="1054"/>
      <c r="M14" s="1054"/>
      <c r="N14" s="1054"/>
      <c r="O14" s="1054"/>
      <c r="P14" s="1054"/>
      <c r="Q14" s="1054"/>
      <c r="R14" s="1054"/>
      <c r="S14" s="1054"/>
      <c r="T14" s="1054"/>
      <c r="U14" s="1054"/>
      <c r="V14" s="1054"/>
      <c r="W14" s="1054"/>
      <c r="X14" s="1054"/>
      <c r="Y14" s="1054"/>
      <c r="Z14" s="1054"/>
      <c r="AA14" s="148"/>
      <c r="AB14" s="148"/>
      <c r="AC14" s="148"/>
      <c r="AD14" s="148"/>
      <c r="AE14" s="148"/>
      <c r="AF14" s="148"/>
      <c r="AG14" s="148"/>
      <c r="AH14" s="148"/>
      <c r="AI14" s="148"/>
      <c r="AJ14" s="148"/>
      <c r="AK14" s="148"/>
      <c r="AL14" s="148"/>
      <c r="AM14" s="148"/>
    </row>
    <row r="15" spans="1:39" ht="51.75" customHeight="1">
      <c r="B15" s="2166" t="s">
        <v>1918</v>
      </c>
      <c r="C15" s="497" t="s">
        <v>1516</v>
      </c>
      <c r="D15" s="153"/>
      <c r="E15" s="151"/>
      <c r="F15" s="151"/>
      <c r="G15" s="151"/>
      <c r="H15" s="151"/>
      <c r="I15" s="151"/>
      <c r="J15" s="151"/>
      <c r="K15" s="151"/>
      <c r="L15" s="151"/>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2"/>
      <c r="AK15" s="152"/>
      <c r="AL15" s="152"/>
      <c r="AM15" s="152"/>
    </row>
    <row r="16" spans="1:39" ht="29.25" customHeight="1">
      <c r="C16" s="154"/>
      <c r="D16" s="772"/>
      <c r="E16" s="773"/>
      <c r="F16" s="773"/>
      <c r="G16" s="773"/>
      <c r="H16" s="773"/>
      <c r="I16" s="773"/>
      <c r="J16" s="773"/>
      <c r="K16" s="773"/>
      <c r="L16" s="773"/>
      <c r="M16" s="773"/>
      <c r="N16" s="773"/>
      <c r="O16" s="154"/>
      <c r="P16" s="154"/>
      <c r="Q16" s="154"/>
      <c r="R16" s="154"/>
      <c r="S16" s="154"/>
      <c r="T16" s="155"/>
      <c r="U16" s="155"/>
      <c r="V16" s="154"/>
      <c r="W16" s="155"/>
      <c r="X16" s="154"/>
      <c r="Y16" s="3428" t="s">
        <v>1402</v>
      </c>
      <c r="Z16" s="3428"/>
      <c r="AA16" s="155"/>
      <c r="AB16" s="155"/>
      <c r="AC16" s="154"/>
      <c r="AD16" s="154"/>
      <c r="AE16" s="154"/>
      <c r="AF16" s="154"/>
      <c r="AG16" s="154"/>
      <c r="AH16" s="154"/>
      <c r="AI16" s="154"/>
      <c r="AJ16" s="155"/>
      <c r="AK16" s="155"/>
      <c r="AL16" s="155"/>
      <c r="AM16" s="155"/>
    </row>
    <row r="17" spans="1:40" ht="29.25" customHeight="1" thickBot="1">
      <c r="C17" s="587"/>
      <c r="D17" s="3424" t="s">
        <v>1281</v>
      </c>
      <c r="E17" s="3424"/>
      <c r="F17" s="3424"/>
      <c r="G17" s="3424"/>
      <c r="H17" s="3424"/>
      <c r="I17" s="3424"/>
      <c r="J17" s="3424"/>
      <c r="K17" s="3424"/>
      <c r="L17" s="3424"/>
      <c r="M17" s="3424"/>
      <c r="N17" s="3424"/>
      <c r="O17" s="588"/>
      <c r="P17" s="3424" t="s">
        <v>1517</v>
      </c>
      <c r="Q17" s="3424"/>
      <c r="R17" s="3424"/>
      <c r="S17" s="3424"/>
      <c r="T17" s="3424"/>
      <c r="U17" s="3424"/>
      <c r="V17" s="3424"/>
      <c r="W17" s="3424"/>
      <c r="X17" s="3424"/>
      <c r="Y17" s="3424"/>
      <c r="Z17" s="3424"/>
      <c r="AA17" s="154"/>
      <c r="AB17" s="154"/>
      <c r="AC17" s="154"/>
      <c r="AD17" s="154"/>
      <c r="AE17" s="154"/>
      <c r="AF17" s="154"/>
      <c r="AG17" s="154"/>
      <c r="AH17" s="154"/>
      <c r="AI17" s="154"/>
      <c r="AJ17" s="155"/>
      <c r="AK17" s="155"/>
      <c r="AL17" s="155"/>
      <c r="AM17" s="155"/>
    </row>
    <row r="18" spans="1:40" ht="30.75" customHeight="1" thickBot="1">
      <c r="A18" s="706" t="s">
        <v>2063</v>
      </c>
      <c r="C18" s="589"/>
      <c r="D18" s="3425">
        <v>1402</v>
      </c>
      <c r="E18" s="3425"/>
      <c r="F18" s="3425"/>
      <c r="G18" s="3425"/>
      <c r="H18" s="3425"/>
      <c r="J18" s="3425">
        <v>1401</v>
      </c>
      <c r="K18" s="3425"/>
      <c r="L18" s="3425"/>
      <c r="M18" s="3425"/>
      <c r="N18" s="3425"/>
      <c r="O18" s="592"/>
      <c r="P18" s="3425">
        <f>D18</f>
        <v>1402</v>
      </c>
      <c r="Q18" s="3425"/>
      <c r="R18" s="3425"/>
      <c r="S18" s="3425"/>
      <c r="T18" s="3425"/>
      <c r="V18" s="3425">
        <f>J18</f>
        <v>1401</v>
      </c>
      <c r="W18" s="3425"/>
      <c r="X18" s="3425"/>
      <c r="Y18" s="3425">
        <f>T18</f>
        <v>0</v>
      </c>
      <c r="Z18" s="3425"/>
      <c r="AA18" s="154"/>
      <c r="AB18" s="154"/>
      <c r="AC18" s="154"/>
      <c r="AD18" s="154"/>
      <c r="AE18" s="154"/>
      <c r="AF18" s="154"/>
      <c r="AG18" s="154"/>
      <c r="AH18" s="154"/>
      <c r="AI18" s="154"/>
      <c r="AJ18" s="155"/>
      <c r="AK18" s="155"/>
      <c r="AL18" s="155"/>
      <c r="AM18" s="155"/>
    </row>
    <row r="19" spans="1:40" ht="44.25" customHeight="1">
      <c r="C19" s="589"/>
      <c r="D19" s="1069" t="s">
        <v>1732</v>
      </c>
      <c r="E19" s="771"/>
      <c r="F19" s="781" t="s">
        <v>672</v>
      </c>
      <c r="G19" s="590"/>
      <c r="H19" s="781" t="s">
        <v>679</v>
      </c>
      <c r="J19" s="1069" t="s">
        <v>1731</v>
      </c>
      <c r="K19" s="771"/>
      <c r="L19" s="781" t="s">
        <v>672</v>
      </c>
      <c r="M19" s="590"/>
      <c r="N19" s="781" t="s">
        <v>679</v>
      </c>
      <c r="O19" s="591"/>
      <c r="P19" s="1069" t="s">
        <v>1730</v>
      </c>
      <c r="Q19" s="771"/>
      <c r="R19" s="781" t="s">
        <v>672</v>
      </c>
      <c r="S19" s="590"/>
      <c r="T19" s="781" t="s">
        <v>679</v>
      </c>
      <c r="U19" s="774"/>
      <c r="V19" s="1069" t="s">
        <v>1732</v>
      </c>
      <c r="W19" s="771"/>
      <c r="X19" s="781" t="s">
        <v>672</v>
      </c>
      <c r="Y19" s="590"/>
      <c r="Z19" s="781" t="s">
        <v>679</v>
      </c>
      <c r="AA19" s="154"/>
      <c r="AB19" s="154"/>
      <c r="AC19" s="154"/>
      <c r="AD19" s="154"/>
      <c r="AE19" s="154"/>
      <c r="AF19" s="154"/>
      <c r="AG19" s="154"/>
      <c r="AH19" s="154"/>
      <c r="AI19" s="154"/>
      <c r="AJ19" s="155"/>
      <c r="AK19" s="155"/>
      <c r="AL19" s="155"/>
      <c r="AM19" s="155"/>
    </row>
    <row r="20" spans="1:40" ht="39.950000000000003" customHeight="1">
      <c r="C20" s="153" t="s">
        <v>1315</v>
      </c>
      <c r="D20" s="174">
        <v>3855505</v>
      </c>
      <c r="E20" s="594"/>
      <c r="F20" s="593">
        <v>15303</v>
      </c>
      <c r="G20" s="594"/>
      <c r="H20" s="594">
        <f>F20+D20</f>
        <v>3870808</v>
      </c>
      <c r="J20" s="174">
        <v>2764163</v>
      </c>
      <c r="K20" s="594"/>
      <c r="L20" s="593">
        <v>5248</v>
      </c>
      <c r="M20" s="594"/>
      <c r="N20" s="594">
        <v>2769411</v>
      </c>
      <c r="O20" s="594"/>
      <c r="P20" s="174">
        <v>295880</v>
      </c>
      <c r="Q20" s="594"/>
      <c r="R20" s="593">
        <v>24314</v>
      </c>
      <c r="S20" s="593"/>
      <c r="T20" s="594">
        <f>R20+P20</f>
        <v>320194</v>
      </c>
      <c r="U20" s="594"/>
      <c r="V20" s="174">
        <v>140793</v>
      </c>
      <c r="W20" s="594"/>
      <c r="X20" s="593">
        <v>10015</v>
      </c>
      <c r="Y20" s="593"/>
      <c r="Z20" s="594">
        <v>150808</v>
      </c>
      <c r="AA20" s="594"/>
      <c r="AB20" s="157"/>
      <c r="AC20" s="157"/>
      <c r="AD20" s="157"/>
      <c r="AE20" s="157"/>
      <c r="AF20" s="157"/>
      <c r="AG20" s="157"/>
      <c r="AH20" s="157"/>
      <c r="AI20" s="158"/>
      <c r="AJ20" s="158"/>
      <c r="AK20" s="159"/>
      <c r="AL20" s="159"/>
      <c r="AM20" s="159"/>
      <c r="AN20" s="159"/>
    </row>
    <row r="21" spans="1:40" ht="39.950000000000003" customHeight="1">
      <c r="C21" s="595" t="s">
        <v>1303</v>
      </c>
      <c r="D21" s="593">
        <v>3700139</v>
      </c>
      <c r="E21" s="594"/>
      <c r="F21" s="593">
        <v>21176</v>
      </c>
      <c r="G21" s="594"/>
      <c r="H21" s="594">
        <f t="shared" ref="H21:H26" si="0">F21+D21</f>
        <v>3721315</v>
      </c>
      <c r="J21" s="593">
        <v>2579329</v>
      </c>
      <c r="K21" s="594"/>
      <c r="L21" s="593">
        <v>8184</v>
      </c>
      <c r="M21" s="594"/>
      <c r="N21" s="594">
        <v>2587513</v>
      </c>
      <c r="O21" s="594"/>
      <c r="P21" s="174">
        <v>519998</v>
      </c>
      <c r="Q21" s="594"/>
      <c r="R21" s="593">
        <v>103252</v>
      </c>
      <c r="S21" s="593"/>
      <c r="T21" s="594">
        <f t="shared" ref="T21:T26" si="1">R21+P21</f>
        <v>623250</v>
      </c>
      <c r="U21" s="594"/>
      <c r="V21" s="174">
        <v>392031</v>
      </c>
      <c r="W21" s="594"/>
      <c r="X21" s="593">
        <v>33894</v>
      </c>
      <c r="Y21" s="593"/>
      <c r="Z21" s="594">
        <v>425925</v>
      </c>
      <c r="AA21" s="594"/>
      <c r="AB21" s="157"/>
      <c r="AC21" s="157"/>
      <c r="AD21" s="157"/>
      <c r="AE21" s="157"/>
      <c r="AF21" s="157"/>
      <c r="AG21" s="157"/>
      <c r="AH21" s="157"/>
      <c r="AI21" s="158"/>
      <c r="AJ21" s="158"/>
      <c r="AK21" s="159"/>
      <c r="AL21" s="159"/>
      <c r="AM21" s="159"/>
      <c r="AN21" s="159"/>
    </row>
    <row r="22" spans="1:40" ht="39.950000000000003" customHeight="1">
      <c r="C22" s="595" t="s">
        <v>1316</v>
      </c>
      <c r="D22" s="593">
        <v>16295528</v>
      </c>
      <c r="E22" s="594"/>
      <c r="F22" s="593">
        <v>80328</v>
      </c>
      <c r="G22" s="594"/>
      <c r="H22" s="594">
        <f t="shared" si="0"/>
        <v>16375856</v>
      </c>
      <c r="J22" s="593">
        <v>11907456</v>
      </c>
      <c r="K22" s="594"/>
      <c r="L22" s="593">
        <v>30281</v>
      </c>
      <c r="M22" s="594"/>
      <c r="N22" s="594">
        <v>11937737</v>
      </c>
      <c r="O22" s="594"/>
      <c r="P22" s="174">
        <v>2062160</v>
      </c>
      <c r="Q22" s="594"/>
      <c r="R22" s="593">
        <v>354035</v>
      </c>
      <c r="S22" s="593"/>
      <c r="T22" s="594">
        <f t="shared" si="1"/>
        <v>2416195</v>
      </c>
      <c r="U22" s="594"/>
      <c r="V22" s="174">
        <v>1571902</v>
      </c>
      <c r="W22" s="594"/>
      <c r="X22" s="593">
        <v>110075</v>
      </c>
      <c r="Y22" s="593"/>
      <c r="Z22" s="594">
        <v>1681977</v>
      </c>
      <c r="AA22" s="594"/>
      <c r="AB22" s="157"/>
      <c r="AC22" s="157"/>
      <c r="AD22" s="157"/>
      <c r="AE22" s="157"/>
      <c r="AF22" s="157"/>
      <c r="AG22" s="157"/>
      <c r="AH22" s="157"/>
      <c r="AI22" s="158"/>
      <c r="AJ22" s="158"/>
      <c r="AK22" s="159"/>
      <c r="AL22" s="159"/>
      <c r="AM22" s="159"/>
      <c r="AN22" s="159"/>
    </row>
    <row r="23" spans="1:40" ht="39.950000000000003" customHeight="1">
      <c r="C23" s="595" t="s">
        <v>1317</v>
      </c>
      <c r="D23" s="593">
        <v>18249880</v>
      </c>
      <c r="E23" s="594"/>
      <c r="F23" s="593">
        <v>2240</v>
      </c>
      <c r="G23" s="594"/>
      <c r="H23" s="594">
        <f t="shared" si="0"/>
        <v>18252120</v>
      </c>
      <c r="J23" s="593">
        <v>6607886</v>
      </c>
      <c r="K23" s="594"/>
      <c r="L23" s="593">
        <v>270</v>
      </c>
      <c r="M23" s="594"/>
      <c r="N23" s="594">
        <v>6608156</v>
      </c>
      <c r="O23" s="594"/>
      <c r="P23" s="174">
        <v>3640208</v>
      </c>
      <c r="Q23" s="594"/>
      <c r="R23" s="593">
        <v>40881</v>
      </c>
      <c r="S23" s="593"/>
      <c r="T23" s="594">
        <f t="shared" si="1"/>
        <v>3681089</v>
      </c>
      <c r="U23" s="594"/>
      <c r="V23" s="174">
        <v>1135362</v>
      </c>
      <c r="W23" s="594"/>
      <c r="X23" s="593">
        <v>1147</v>
      </c>
      <c r="Y23" s="593"/>
      <c r="Z23" s="594">
        <v>1136509</v>
      </c>
      <c r="AA23" s="594"/>
      <c r="AB23" s="157"/>
      <c r="AC23" s="157"/>
      <c r="AD23" s="157"/>
      <c r="AE23" s="157"/>
      <c r="AF23" s="157"/>
      <c r="AG23" s="157"/>
      <c r="AH23" s="157"/>
      <c r="AI23" s="158"/>
      <c r="AJ23" s="158"/>
      <c r="AK23" s="159"/>
      <c r="AL23" s="159"/>
      <c r="AM23" s="159"/>
      <c r="AN23" s="159"/>
    </row>
    <row r="24" spans="1:40" ht="39.950000000000003" customHeight="1">
      <c r="C24" s="595" t="s">
        <v>1311</v>
      </c>
      <c r="D24" s="593">
        <v>18270727</v>
      </c>
      <c r="E24" s="594"/>
      <c r="F24" s="593">
        <v>84065</v>
      </c>
      <c r="G24" s="594"/>
      <c r="H24" s="594">
        <f t="shared" si="0"/>
        <v>18354792</v>
      </c>
      <c r="J24" s="593">
        <v>13854393</v>
      </c>
      <c r="K24" s="594"/>
      <c r="L24" s="593">
        <v>42550</v>
      </c>
      <c r="M24" s="594"/>
      <c r="N24" s="594">
        <v>13896943</v>
      </c>
      <c r="O24" s="594"/>
      <c r="P24" s="174">
        <v>1845990</v>
      </c>
      <c r="Q24" s="594"/>
      <c r="R24" s="593">
        <v>350829</v>
      </c>
      <c r="S24" s="593"/>
      <c r="T24" s="594">
        <f t="shared" si="1"/>
        <v>2196819</v>
      </c>
      <c r="U24" s="594"/>
      <c r="V24" s="174">
        <v>1107145</v>
      </c>
      <c r="W24" s="594"/>
      <c r="X24" s="593">
        <v>244902</v>
      </c>
      <c r="Y24" s="593"/>
      <c r="Z24" s="594">
        <v>1352047</v>
      </c>
      <c r="AA24" s="594"/>
      <c r="AB24" s="157"/>
      <c r="AC24" s="157"/>
      <c r="AD24" s="157"/>
      <c r="AE24" s="157"/>
      <c r="AF24" s="157"/>
      <c r="AG24" s="157"/>
      <c r="AH24" s="157"/>
      <c r="AI24" s="158"/>
      <c r="AJ24" s="158"/>
      <c r="AK24" s="159"/>
      <c r="AL24" s="159"/>
      <c r="AM24" s="159"/>
      <c r="AN24" s="159"/>
    </row>
    <row r="25" spans="1:40" ht="39.950000000000003" customHeight="1">
      <c r="C25" s="595" t="s">
        <v>1312</v>
      </c>
      <c r="D25" s="593">
        <v>2787183</v>
      </c>
      <c r="E25" s="594"/>
      <c r="F25" s="593">
        <v>7976</v>
      </c>
      <c r="G25" s="594" t="s">
        <v>2060</v>
      </c>
      <c r="H25" s="594">
        <f t="shared" si="0"/>
        <v>2795159</v>
      </c>
      <c r="J25" s="593">
        <v>2584445</v>
      </c>
      <c r="K25" s="594"/>
      <c r="L25" s="593">
        <v>4417</v>
      </c>
      <c r="M25" s="594"/>
      <c r="N25" s="594">
        <v>2588862</v>
      </c>
      <c r="O25" s="594"/>
      <c r="P25" s="174">
        <v>116938</v>
      </c>
      <c r="Q25" s="594"/>
      <c r="R25" s="593">
        <v>68117</v>
      </c>
      <c r="S25" s="593"/>
      <c r="T25" s="594">
        <f t="shared" si="1"/>
        <v>185055</v>
      </c>
      <c r="U25" s="594"/>
      <c r="V25" s="174">
        <v>79898</v>
      </c>
      <c r="W25" s="594"/>
      <c r="X25" s="593">
        <v>71724</v>
      </c>
      <c r="Y25" s="593"/>
      <c r="Z25" s="594">
        <v>151622</v>
      </c>
      <c r="AA25" s="594"/>
      <c r="AB25" s="157"/>
      <c r="AC25" s="157"/>
      <c r="AD25" s="157"/>
      <c r="AE25" s="157"/>
      <c r="AF25" s="157"/>
      <c r="AG25" s="157"/>
      <c r="AH25" s="157"/>
      <c r="AI25" s="158"/>
      <c r="AJ25" s="158"/>
      <c r="AK25" s="159"/>
      <c r="AL25" s="159"/>
      <c r="AM25" s="159"/>
      <c r="AN25" s="159"/>
    </row>
    <row r="26" spans="1:40" ht="39.950000000000003" customHeight="1">
      <c r="C26" s="595" t="s">
        <v>1313</v>
      </c>
      <c r="D26" s="593">
        <v>1151461</v>
      </c>
      <c r="E26" s="949"/>
      <c r="F26" s="593">
        <v>854</v>
      </c>
      <c r="G26" s="594"/>
      <c r="H26" s="594">
        <f t="shared" si="0"/>
        <v>1152315</v>
      </c>
      <c r="J26" s="593">
        <v>878156</v>
      </c>
      <c r="K26" s="594"/>
      <c r="L26" s="593">
        <v>0</v>
      </c>
      <c r="M26" s="594"/>
      <c r="N26" s="594">
        <v>878156</v>
      </c>
      <c r="O26" s="594"/>
      <c r="P26" s="174">
        <v>297504</v>
      </c>
      <c r="Q26" s="594"/>
      <c r="R26" s="593">
        <v>0</v>
      </c>
      <c r="S26" s="593"/>
      <c r="T26" s="594">
        <f t="shared" si="1"/>
        <v>297504</v>
      </c>
      <c r="U26" s="594"/>
      <c r="V26" s="174">
        <v>239537</v>
      </c>
      <c r="W26" s="594"/>
      <c r="X26" s="593">
        <v>0</v>
      </c>
      <c r="Y26" s="593"/>
      <c r="Z26" s="594">
        <v>239537</v>
      </c>
      <c r="AA26" s="594"/>
      <c r="AB26" s="157"/>
      <c r="AC26" s="157"/>
      <c r="AD26" s="158"/>
      <c r="AE26" s="157"/>
      <c r="AF26" s="157"/>
      <c r="AG26" s="157"/>
      <c r="AH26" s="157"/>
      <c r="AI26" s="157"/>
      <c r="AJ26" s="157"/>
      <c r="AK26" s="159"/>
      <c r="AL26" s="159"/>
      <c r="AM26" s="159"/>
      <c r="AN26" s="159"/>
    </row>
    <row r="27" spans="1:40" ht="39.950000000000003" customHeight="1">
      <c r="C27" s="595" t="s">
        <v>1314</v>
      </c>
      <c r="D27" s="593">
        <v>27742350</v>
      </c>
      <c r="E27" s="594"/>
      <c r="F27" s="593">
        <v>7992</v>
      </c>
      <c r="G27" s="594"/>
      <c r="H27" s="594">
        <f>F27+D27</f>
        <v>27750342</v>
      </c>
      <c r="J27" s="593">
        <v>9247126</v>
      </c>
      <c r="K27" s="594"/>
      <c r="L27" s="593">
        <v>4200</v>
      </c>
      <c r="M27" s="594"/>
      <c r="N27" s="594">
        <v>9251326</v>
      </c>
      <c r="O27" s="594"/>
      <c r="P27" s="174">
        <f>1104439+1751</f>
        <v>1106190</v>
      </c>
      <c r="Q27" s="594"/>
      <c r="R27" s="593">
        <v>17321</v>
      </c>
      <c r="S27" s="593"/>
      <c r="T27" s="594">
        <f>R27+P27</f>
        <v>1123511</v>
      </c>
      <c r="U27" s="594"/>
      <c r="V27" s="174">
        <v>890703</v>
      </c>
      <c r="W27" s="594"/>
      <c r="X27" s="593">
        <v>10945</v>
      </c>
      <c r="Y27" s="593"/>
      <c r="Z27" s="594">
        <v>901648</v>
      </c>
      <c r="AA27" s="594"/>
      <c r="AB27" s="157"/>
      <c r="AC27" s="157"/>
      <c r="AD27" s="157"/>
      <c r="AE27" s="157"/>
      <c r="AF27" s="157"/>
      <c r="AG27" s="157"/>
      <c r="AH27" s="157"/>
      <c r="AI27" s="158"/>
      <c r="AJ27" s="158"/>
      <c r="AK27" s="159"/>
      <c r="AL27" s="159"/>
      <c r="AM27" s="159"/>
      <c r="AN27" s="159"/>
    </row>
    <row r="28" spans="1:40" ht="39.950000000000003" customHeight="1">
      <c r="C28" s="596"/>
      <c r="D28" s="597">
        <f>SUM(D20:D27)</f>
        <v>92052773</v>
      </c>
      <c r="E28" s="594"/>
      <c r="F28" s="597">
        <f>SUM(F20:F27)</f>
        <v>219934</v>
      </c>
      <c r="G28" s="594"/>
      <c r="H28" s="598">
        <f>SUM(H20:H27)</f>
        <v>92272707</v>
      </c>
      <c r="J28" s="597">
        <f>SUM(J20:J27)</f>
        <v>50422954</v>
      </c>
      <c r="L28" s="597">
        <f>SUM(L20:L27)</f>
        <v>95150</v>
      </c>
      <c r="M28" s="594"/>
      <c r="N28" s="598">
        <f>SUM(N20:N27)</f>
        <v>50518104</v>
      </c>
      <c r="O28" s="594"/>
      <c r="P28" s="597">
        <f>SUM(P20:P27)</f>
        <v>9884868</v>
      </c>
      <c r="Q28" s="594"/>
      <c r="R28" s="597">
        <f>SUM(R20:R27)</f>
        <v>958749</v>
      </c>
      <c r="S28" s="597"/>
      <c r="T28" s="598">
        <f>SUM(T20:T27)</f>
        <v>10843617</v>
      </c>
      <c r="U28" s="598"/>
      <c r="V28" s="840">
        <f>SUM(V20:V27)</f>
        <v>5557371</v>
      </c>
      <c r="W28" s="594"/>
      <c r="X28" s="597">
        <f>SUM(X20:X27)</f>
        <v>482702</v>
      </c>
      <c r="Z28" s="598">
        <f>SUM(Z20:Z27)</f>
        <v>6040073</v>
      </c>
      <c r="AA28" s="594"/>
      <c r="AB28" s="161"/>
      <c r="AC28" s="157"/>
      <c r="AD28" s="157"/>
      <c r="AE28" s="157"/>
      <c r="AF28" s="157"/>
      <c r="AG28" s="157"/>
      <c r="AH28" s="157"/>
      <c r="AI28" s="158"/>
      <c r="AJ28" s="158"/>
      <c r="AK28" s="159"/>
      <c r="AL28" s="159"/>
      <c r="AM28" s="159"/>
      <c r="AN28" s="159"/>
    </row>
    <row r="29" spans="1:40" ht="39.950000000000003" customHeight="1">
      <c r="C29" s="595" t="s">
        <v>1657</v>
      </c>
      <c r="D29" s="593">
        <v>-67446</v>
      </c>
      <c r="E29" s="594"/>
      <c r="F29" s="593">
        <v>-3</v>
      </c>
      <c r="G29" s="594"/>
      <c r="H29" s="594">
        <f>F29+D29</f>
        <v>-67449</v>
      </c>
      <c r="J29" s="593">
        <v>-65678</v>
      </c>
      <c r="K29" s="594"/>
      <c r="L29" s="593">
        <v>-10</v>
      </c>
      <c r="M29" s="594"/>
      <c r="N29" s="594">
        <f>J29+L29</f>
        <v>-65688</v>
      </c>
      <c r="O29" s="594"/>
      <c r="P29" s="174">
        <v>-295852</v>
      </c>
      <c r="Q29" s="594"/>
      <c r="R29" s="593">
        <v>-127847</v>
      </c>
      <c r="S29" s="593"/>
      <c r="T29" s="594">
        <f>P29+R29</f>
        <v>-423699</v>
      </c>
      <c r="U29" s="594"/>
      <c r="V29" s="593">
        <v>-147661</v>
      </c>
      <c r="W29" s="594"/>
      <c r="X29" s="593">
        <v>-88168</v>
      </c>
      <c r="Y29" s="593"/>
      <c r="Z29" s="594">
        <v>-235829</v>
      </c>
      <c r="AA29" s="594"/>
      <c r="AB29" s="158"/>
      <c r="AC29" s="157"/>
      <c r="AD29" s="157"/>
      <c r="AE29" s="157"/>
      <c r="AF29" s="157"/>
      <c r="AG29" s="157"/>
      <c r="AH29" s="157"/>
      <c r="AI29" s="157"/>
      <c r="AJ29" s="158"/>
      <c r="AK29" s="159"/>
      <c r="AL29" s="159"/>
      <c r="AM29" s="159"/>
      <c r="AN29" s="159"/>
    </row>
    <row r="30" spans="1:40" ht="39.950000000000003" customHeight="1" thickBot="1">
      <c r="C30" s="599"/>
      <c r="D30" s="600">
        <f>SUM(D28:D29)</f>
        <v>91985327</v>
      </c>
      <c r="E30" s="594"/>
      <c r="F30" s="600">
        <f>SUM(F28:F29)</f>
        <v>219931</v>
      </c>
      <c r="G30" s="594"/>
      <c r="H30" s="848">
        <f>SUM(H28:H29)</f>
        <v>92205258</v>
      </c>
      <c r="J30" s="600">
        <f>SUM(J28:J29)</f>
        <v>50357276</v>
      </c>
      <c r="L30" s="600">
        <f>SUM(L28:L29)</f>
        <v>95140</v>
      </c>
      <c r="M30" s="594"/>
      <c r="N30" s="600">
        <f>SUM(N28:N29)+0</f>
        <v>50452416</v>
      </c>
      <c r="O30" s="594"/>
      <c r="P30" s="600">
        <f>SUM(P28:P29)</f>
        <v>9589016</v>
      </c>
      <c r="Q30" s="600">
        <f>SUM(Q28:Q29)</f>
        <v>0</v>
      </c>
      <c r="R30" s="600">
        <f>SUM(R28:R29)</f>
        <v>830902</v>
      </c>
      <c r="S30" s="594"/>
      <c r="T30" s="848">
        <f>SUM(T28:T29)</f>
        <v>10419918</v>
      </c>
      <c r="U30" s="594"/>
      <c r="V30" s="600">
        <f>SUM(V28:V29)</f>
        <v>5409710</v>
      </c>
      <c r="W30" s="594"/>
      <c r="X30" s="600">
        <f>SUM(X28:X29)</f>
        <v>394534</v>
      </c>
      <c r="Z30" s="600">
        <f>SUM(Z28:Z29)</f>
        <v>5804244</v>
      </c>
      <c r="AA30" s="594"/>
      <c r="AB30" s="162"/>
      <c r="AC30" s="157"/>
      <c r="AD30" s="161"/>
      <c r="AE30" s="157"/>
      <c r="AF30" s="161"/>
      <c r="AG30" s="157"/>
      <c r="AH30" s="161"/>
      <c r="AI30" s="158"/>
      <c r="AJ30" s="158"/>
      <c r="AK30" s="159"/>
      <c r="AL30" s="159"/>
      <c r="AM30" s="159"/>
      <c r="AN30" s="159"/>
    </row>
    <row r="31" spans="1:40" ht="45" customHeight="1" thickTop="1">
      <c r="C31" s="163"/>
      <c r="D31" s="159"/>
      <c r="E31" s="159"/>
      <c r="F31" s="164"/>
      <c r="G31" s="877"/>
      <c r="H31" s="877"/>
      <c r="I31" s="369"/>
      <c r="J31" s="877"/>
      <c r="K31" s="369"/>
      <c r="L31" s="877"/>
      <c r="M31" s="877"/>
      <c r="N31" s="877">
        <f>9598760</f>
        <v>9598760</v>
      </c>
      <c r="O31" s="877"/>
      <c r="P31" s="877"/>
      <c r="Q31" s="877"/>
      <c r="R31" s="877"/>
      <c r="S31" s="877"/>
      <c r="T31" s="877"/>
      <c r="U31" s="877"/>
      <c r="V31" s="877">
        <v>1608044</v>
      </c>
      <c r="W31" s="877"/>
      <c r="X31" s="877"/>
      <c r="Y31" s="369"/>
      <c r="Z31" s="877">
        <v>1608044</v>
      </c>
      <c r="AA31" s="158"/>
      <c r="AB31" s="158"/>
      <c r="AC31" s="158"/>
      <c r="AD31" s="158"/>
      <c r="AE31" s="158"/>
      <c r="AF31" s="158"/>
      <c r="AG31" s="158"/>
      <c r="AH31" s="158"/>
      <c r="AI31" s="158"/>
      <c r="AJ31" s="159"/>
      <c r="AK31" s="159"/>
      <c r="AL31" s="159"/>
      <c r="AM31" s="159"/>
    </row>
    <row r="32" spans="1:40" s="369" customFormat="1" ht="33" customHeight="1">
      <c r="A32" s="338"/>
      <c r="C32" s="3426" t="s">
        <v>2650</v>
      </c>
      <c r="D32" s="3426"/>
      <c r="E32" s="3426"/>
      <c r="F32" s="3426"/>
      <c r="G32" s="3426"/>
      <c r="H32" s="3426"/>
      <c r="I32" s="3426"/>
      <c r="J32" s="3426"/>
      <c r="K32" s="3426"/>
      <c r="L32" s="3426"/>
      <c r="M32" s="3426"/>
      <c r="N32" s="3426"/>
      <c r="O32" s="3426"/>
      <c r="P32" s="3426"/>
      <c r="Q32" s="3426"/>
      <c r="R32" s="3426"/>
      <c r="S32" s="3426"/>
      <c r="T32" s="3426"/>
      <c r="U32" s="3426"/>
      <c r="V32" s="3426"/>
      <c r="W32" s="3426"/>
      <c r="X32" s="3426"/>
      <c r="Y32" s="3426"/>
      <c r="Z32" s="3426"/>
    </row>
    <row r="33" spans="1:38" s="369" customFormat="1" ht="33" customHeight="1">
      <c r="A33" s="338"/>
      <c r="C33" s="3426" t="s">
        <v>2599</v>
      </c>
      <c r="D33" s="3426"/>
      <c r="E33" s="3426"/>
      <c r="F33" s="3426"/>
      <c r="G33" s="3426"/>
      <c r="H33" s="3426"/>
      <c r="I33" s="3426"/>
      <c r="J33" s="3426"/>
      <c r="K33" s="3426"/>
      <c r="L33" s="3426"/>
      <c r="M33" s="3426"/>
      <c r="N33" s="3426"/>
      <c r="O33" s="3426"/>
      <c r="P33" s="3426"/>
      <c r="Q33" s="3426"/>
      <c r="R33" s="3426"/>
      <c r="S33" s="3426"/>
      <c r="T33" s="3426"/>
      <c r="U33" s="3426"/>
      <c r="V33" s="3426"/>
      <c r="W33" s="3426"/>
      <c r="X33" s="3426"/>
      <c r="Y33" s="3426"/>
      <c r="Z33" s="3426"/>
    </row>
    <row r="34" spans="1:38" ht="97.5" customHeight="1">
      <c r="C34" s="3423">
        <v>12</v>
      </c>
      <c r="D34" s="3423"/>
      <c r="E34" s="3423"/>
      <c r="F34" s="3423"/>
      <c r="G34" s="3423"/>
      <c r="H34" s="3423"/>
      <c r="I34" s="3423"/>
      <c r="J34" s="3423"/>
      <c r="K34" s="3423"/>
      <c r="L34" s="3423"/>
      <c r="M34" s="3423"/>
      <c r="N34" s="3423"/>
      <c r="O34" s="3423"/>
      <c r="P34" s="3423"/>
      <c r="Q34" s="3423"/>
      <c r="R34" s="3423"/>
      <c r="S34" s="3423"/>
      <c r="T34" s="3423"/>
      <c r="U34" s="3423"/>
      <c r="V34" s="3423"/>
      <c r="W34" s="3423"/>
      <c r="X34" s="3423"/>
      <c r="Y34" s="3423"/>
      <c r="Z34" s="3423"/>
      <c r="AA34" s="167"/>
      <c r="AB34" s="167"/>
      <c r="AC34" s="167"/>
      <c r="AD34" s="167"/>
      <c r="AE34" s="167"/>
      <c r="AF34" s="167"/>
      <c r="AG34" s="167"/>
      <c r="AH34" s="167"/>
      <c r="AI34" s="167"/>
      <c r="AJ34" s="167"/>
      <c r="AK34" s="167"/>
      <c r="AL34" s="167"/>
    </row>
    <row r="37" spans="1:38">
      <c r="N37" s="369"/>
      <c r="O37" s="369"/>
      <c r="P37" s="369"/>
    </row>
    <row r="38" spans="1:38">
      <c r="N38" s="369"/>
      <c r="O38" s="369"/>
      <c r="P38" s="369"/>
    </row>
    <row r="63" spans="10:10">
      <c r="J63" s="150">
        <v>-7717613</v>
      </c>
    </row>
  </sheetData>
  <mergeCells count="16">
    <mergeCell ref="A1:Z1"/>
    <mergeCell ref="A2:Z2"/>
    <mergeCell ref="A3:Z3"/>
    <mergeCell ref="Y16:Z16"/>
    <mergeCell ref="R6:X6"/>
    <mergeCell ref="C10:E10"/>
    <mergeCell ref="C11:E11"/>
    <mergeCell ref="C34:Z34"/>
    <mergeCell ref="D17:N17"/>
    <mergeCell ref="P17:Z17"/>
    <mergeCell ref="D18:H18"/>
    <mergeCell ref="J18:N18"/>
    <mergeCell ref="P18:T18"/>
    <mergeCell ref="V18:Z18"/>
    <mergeCell ref="C32:Z32"/>
    <mergeCell ref="C33:Z33"/>
  </mergeCells>
  <printOptions horizontalCentered="1" verticalCentered="1"/>
  <pageMargins left="0" right="0" top="0.31496062992125984" bottom="0.15748031496062992" header="0.15748031496062992" footer="0.15748031496062992"/>
  <pageSetup paperSize="9" scale="4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I116"/>
  <sheetViews>
    <sheetView rightToLeft="1" view="pageBreakPreview" topLeftCell="A82" zoomScale="66" zoomScaleNormal="47" zoomScaleSheetLayoutView="66" workbookViewId="0">
      <selection activeCell="H99" sqref="H99:H106"/>
    </sheetView>
  </sheetViews>
  <sheetFormatPr defaultColWidth="1.375" defaultRowHeight="21"/>
  <cols>
    <col min="1" max="1" width="9.625" style="369" customWidth="1"/>
    <col min="2" max="2" width="2.625" style="338" customWidth="1"/>
    <col min="3" max="3" width="7.75" style="150" customWidth="1"/>
    <col min="4" max="4" width="9" style="150" customWidth="1"/>
    <col min="5" max="5" width="72.25" style="150" customWidth="1"/>
    <col min="6" max="6" width="7.5" style="150" customWidth="1"/>
    <col min="7" max="7" width="7.375" style="150" customWidth="1"/>
    <col min="8" max="8" width="16.75" style="219" customWidth="1"/>
    <col min="9" max="9" width="2.125" style="219" customWidth="1"/>
    <col min="10" max="10" width="26" style="219" customWidth="1"/>
    <col min="11" max="13" width="1.375" style="150"/>
    <col min="14" max="14" width="14.875" style="150" customWidth="1"/>
    <col min="15" max="16384" width="1.375" style="150"/>
  </cols>
  <sheetData>
    <row r="1" spans="1:11" s="179" customFormat="1" ht="24.75" customHeight="1">
      <c r="A1" s="3435" t="s">
        <v>612</v>
      </c>
      <c r="B1" s="3435"/>
      <c r="C1" s="3435"/>
      <c r="D1" s="3435"/>
      <c r="E1" s="3435"/>
      <c r="F1" s="3435"/>
      <c r="G1" s="3435"/>
      <c r="H1" s="3435"/>
      <c r="I1" s="3435"/>
      <c r="J1" s="3435"/>
      <c r="K1" s="3435"/>
    </row>
    <row r="2" spans="1:11" s="179" customFormat="1" ht="24" customHeight="1">
      <c r="A2" s="3435" t="str">
        <f>مفروضات!A2</f>
        <v>يادداشت هاي توضيحي صورت هاي مالي</v>
      </c>
      <c r="B2" s="3435"/>
      <c r="C2" s="3435"/>
      <c r="D2" s="3435"/>
      <c r="E2" s="3435"/>
      <c r="F2" s="3435"/>
      <c r="G2" s="3435"/>
      <c r="H2" s="3435"/>
      <c r="I2" s="3435"/>
      <c r="J2" s="3435"/>
      <c r="K2" s="3435"/>
    </row>
    <row r="3" spans="1:11" s="179" customFormat="1" ht="29.25" customHeight="1">
      <c r="A3" s="3435" t="str">
        <f>mafrozat!A3</f>
        <v xml:space="preserve"> سال مالي منتهي به 29 اسفند 1402</v>
      </c>
      <c r="B3" s="3435"/>
      <c r="C3" s="3435"/>
      <c r="D3" s="3435"/>
      <c r="E3" s="3435"/>
      <c r="F3" s="3435"/>
      <c r="G3" s="3435"/>
      <c r="H3" s="3435"/>
      <c r="I3" s="3435"/>
      <c r="J3" s="3435"/>
      <c r="K3" s="3435"/>
    </row>
    <row r="4" spans="1:11" ht="8.25" customHeight="1">
      <c r="C4" s="180"/>
      <c r="D4" s="180"/>
      <c r="E4" s="181"/>
      <c r="F4" s="181"/>
      <c r="G4" s="182"/>
      <c r="H4" s="183"/>
      <c r="I4" s="184"/>
      <c r="J4" s="183"/>
    </row>
    <row r="5" spans="1:11" ht="28.5" customHeight="1">
      <c r="C5" s="185" t="s">
        <v>2001</v>
      </c>
      <c r="D5" s="578" t="s">
        <v>1385</v>
      </c>
      <c r="E5" s="186"/>
      <c r="F5" s="186"/>
      <c r="G5" s="187"/>
      <c r="H5" s="3433" t="s">
        <v>1879</v>
      </c>
      <c r="I5" s="3433"/>
      <c r="J5" s="3433"/>
    </row>
    <row r="6" spans="1:11" ht="42" customHeight="1">
      <c r="C6" s="189"/>
      <c r="D6" s="189"/>
      <c r="E6" s="190"/>
      <c r="F6" s="190"/>
      <c r="G6" s="187"/>
      <c r="H6" s="1552">
        <v>1402</v>
      </c>
      <c r="I6" s="192"/>
      <c r="J6" s="191">
        <v>1401</v>
      </c>
    </row>
    <row r="7" spans="1:11" ht="24.75" hidden="1" customHeight="1">
      <c r="C7" s="189"/>
      <c r="D7" s="189"/>
      <c r="E7" s="190"/>
      <c r="F7" s="190"/>
      <c r="G7" s="193"/>
      <c r="H7" s="194"/>
      <c r="I7" s="192"/>
      <c r="J7" s="194"/>
    </row>
    <row r="8" spans="1:11" ht="24.75" customHeight="1">
      <c r="C8" s="189"/>
      <c r="D8" s="189"/>
      <c r="E8" s="216" t="s">
        <v>2480</v>
      </c>
      <c r="F8" s="195"/>
      <c r="G8" s="196"/>
      <c r="H8" s="175">
        <v>1018721</v>
      </c>
      <c r="I8" s="197"/>
      <c r="J8" s="175">
        <v>814614</v>
      </c>
    </row>
    <row r="9" spans="1:11" ht="24.75" customHeight="1">
      <c r="C9" s="189"/>
      <c r="D9" s="189"/>
      <c r="E9" s="216" t="s">
        <v>724</v>
      </c>
      <c r="F9" s="195"/>
      <c r="G9" s="196"/>
      <c r="H9" s="156">
        <v>76987</v>
      </c>
      <c r="I9" s="198"/>
      <c r="J9" s="156">
        <v>143101</v>
      </c>
    </row>
    <row r="10" spans="1:11" ht="24.75" customHeight="1">
      <c r="C10" s="189"/>
      <c r="D10" s="189"/>
      <c r="E10" s="216" t="s">
        <v>720</v>
      </c>
      <c r="F10" s="195"/>
      <c r="G10" s="196"/>
      <c r="H10" s="175">
        <v>771377</v>
      </c>
      <c r="I10" s="198"/>
      <c r="J10" s="175">
        <v>393890</v>
      </c>
    </row>
    <row r="11" spans="1:11" ht="24.75" customHeight="1">
      <c r="C11" s="189"/>
      <c r="D11" s="189"/>
      <c r="E11" s="216" t="s">
        <v>721</v>
      </c>
      <c r="F11" s="195"/>
      <c r="G11" s="196"/>
      <c r="H11" s="156">
        <v>464499</v>
      </c>
      <c r="I11" s="197"/>
      <c r="J11" s="156">
        <v>356540</v>
      </c>
    </row>
    <row r="12" spans="1:11" ht="24.75" customHeight="1">
      <c r="C12" s="189"/>
      <c r="D12" s="189"/>
      <c r="E12" s="216" t="s">
        <v>722</v>
      </c>
      <c r="F12" s="195"/>
      <c r="G12" s="196"/>
      <c r="H12" s="175">
        <v>300768</v>
      </c>
      <c r="I12" s="198"/>
      <c r="J12" s="175">
        <v>159407</v>
      </c>
    </row>
    <row r="13" spans="1:11" ht="24.75" customHeight="1">
      <c r="C13" s="189"/>
      <c r="D13" s="189"/>
      <c r="E13" s="216" t="s">
        <v>723</v>
      </c>
      <c r="F13" s="195"/>
      <c r="G13" s="196"/>
      <c r="H13" s="156">
        <v>99075</v>
      </c>
      <c r="I13" s="198"/>
      <c r="J13" s="156">
        <v>84887</v>
      </c>
    </row>
    <row r="14" spans="1:11" s="2170" customFormat="1" ht="24.75" customHeight="1">
      <c r="A14" s="369"/>
      <c r="B14" s="338"/>
      <c r="C14" s="189"/>
      <c r="D14" s="189"/>
      <c r="E14" s="216" t="s">
        <v>2478</v>
      </c>
      <c r="F14" s="195"/>
      <c r="G14" s="196"/>
      <c r="H14" s="156">
        <v>144422</v>
      </c>
      <c r="I14" s="198"/>
      <c r="J14" s="156">
        <v>150061</v>
      </c>
    </row>
    <row r="15" spans="1:11" s="2170" customFormat="1" ht="24.75" customHeight="1">
      <c r="A15" s="369"/>
      <c r="B15" s="338"/>
      <c r="C15" s="189"/>
      <c r="D15" s="189"/>
      <c r="E15" s="216" t="s">
        <v>2479</v>
      </c>
      <c r="F15" s="195"/>
      <c r="G15" s="196"/>
      <c r="H15" s="156">
        <v>207597</v>
      </c>
      <c r="I15" s="198"/>
      <c r="J15" s="156">
        <v>141447</v>
      </c>
    </row>
    <row r="16" spans="1:11" s="2170" customFormat="1" ht="24.75" customHeight="1">
      <c r="A16" s="369"/>
      <c r="B16" s="338"/>
      <c r="C16" s="189"/>
      <c r="D16" s="189"/>
      <c r="E16" s="216" t="s">
        <v>2365</v>
      </c>
      <c r="F16" s="195"/>
      <c r="G16" s="196"/>
      <c r="H16" s="156">
        <v>155155</v>
      </c>
      <c r="I16" s="198"/>
      <c r="J16" s="156">
        <v>113633</v>
      </c>
    </row>
    <row r="17" spans="1:16" ht="24.75" customHeight="1">
      <c r="C17" s="942"/>
      <c r="D17" s="189"/>
      <c r="E17" s="216" t="s">
        <v>674</v>
      </c>
      <c r="F17" s="195"/>
      <c r="G17" s="196"/>
      <c r="H17" s="1210">
        <v>952401</v>
      </c>
      <c r="I17" s="198"/>
      <c r="J17" s="1210">
        <v>562639</v>
      </c>
    </row>
    <row r="18" spans="1:16" ht="24.75" customHeight="1">
      <c r="C18" s="189"/>
      <c r="D18" s="189"/>
      <c r="E18" s="196"/>
      <c r="F18" s="200"/>
      <c r="G18" s="190"/>
      <c r="H18" s="156">
        <f>H20-H19</f>
        <v>4191002</v>
      </c>
      <c r="I18" s="156">
        <f>SUM(I8:I17)</f>
        <v>0</v>
      </c>
      <c r="J18" s="156">
        <f>SUM(J8:J17)</f>
        <v>2920219</v>
      </c>
    </row>
    <row r="19" spans="1:16" ht="24.75" customHeight="1">
      <c r="C19" s="189"/>
      <c r="D19" s="189"/>
      <c r="E19" s="209" t="s">
        <v>2593</v>
      </c>
      <c r="F19" s="195"/>
      <c r="G19" s="196"/>
      <c r="H19" s="156">
        <f>-'12'!T20</f>
        <v>-320194</v>
      </c>
      <c r="I19" s="1805"/>
      <c r="J19" s="156">
        <f>-'12'!Z20</f>
        <v>-150808</v>
      </c>
    </row>
    <row r="20" spans="1:16" ht="26.25" customHeight="1" thickBot="1">
      <c r="C20" s="189"/>
      <c r="D20" s="189"/>
      <c r="E20" s="202"/>
      <c r="F20" s="202"/>
      <c r="G20" s="190"/>
      <c r="H20" s="203">
        <f>'12'!H20</f>
        <v>3870808</v>
      </c>
      <c r="I20" s="156">
        <f>'12'!I20</f>
        <v>0</v>
      </c>
      <c r="J20" s="203">
        <f>SUM(J18:J19)</f>
        <v>2769411</v>
      </c>
    </row>
    <row r="21" spans="1:16" s="1400" customFormat="1" ht="26.25" customHeight="1" thickTop="1">
      <c r="A21" s="706" t="s">
        <v>2065</v>
      </c>
      <c r="B21" s="338"/>
      <c r="C21" s="185" t="s">
        <v>2594</v>
      </c>
      <c r="D21" s="2237" t="s">
        <v>2554</v>
      </c>
      <c r="E21" s="202"/>
      <c r="F21" s="202"/>
      <c r="G21" s="190"/>
      <c r="H21" s="156"/>
      <c r="I21" s="201"/>
      <c r="J21" s="156"/>
    </row>
    <row r="22" spans="1:16" ht="27.75" customHeight="1">
      <c r="C22" s="1401"/>
      <c r="D22" s="842"/>
      <c r="E22" s="3437"/>
      <c r="F22" s="3438"/>
      <c r="G22" s="3438"/>
      <c r="H22" s="3438"/>
      <c r="I22" s="3438"/>
      <c r="J22" s="3438"/>
      <c r="K22" s="3438"/>
    </row>
    <row r="23" spans="1:16" ht="27" customHeight="1">
      <c r="C23" s="185" t="s">
        <v>2595</v>
      </c>
      <c r="D23" s="578" t="s">
        <v>1386</v>
      </c>
      <c r="E23" s="204"/>
      <c r="F23" s="204"/>
      <c r="G23" s="193"/>
      <c r="H23" s="3433" t="s">
        <v>1879</v>
      </c>
      <c r="I23" s="3433"/>
      <c r="J23" s="3433"/>
    </row>
    <row r="24" spans="1:16" ht="40.5" customHeight="1">
      <c r="C24" s="189"/>
      <c r="D24" s="189"/>
      <c r="E24" s="196"/>
      <c r="F24" s="196"/>
      <c r="G24" s="187"/>
      <c r="H24" s="191">
        <v>1402</v>
      </c>
      <c r="I24" s="192"/>
      <c r="J24" s="191">
        <v>1401</v>
      </c>
    </row>
    <row r="25" spans="1:16" ht="22.5" hidden="1" customHeight="1">
      <c r="C25" s="189"/>
      <c r="D25" s="189"/>
      <c r="E25" s="205"/>
      <c r="F25" s="205"/>
      <c r="G25" s="193"/>
      <c r="H25" s="194"/>
      <c r="I25" s="192"/>
      <c r="J25" s="194"/>
    </row>
    <row r="26" spans="1:16" ht="22.5" customHeight="1">
      <c r="C26" s="189"/>
      <c r="D26" s="189"/>
      <c r="E26" s="216" t="s">
        <v>1306</v>
      </c>
      <c r="F26" s="195"/>
      <c r="G26" s="196"/>
      <c r="H26" s="175">
        <v>11981533</v>
      </c>
      <c r="I26" s="198"/>
      <c r="J26" s="175">
        <v>9029303</v>
      </c>
    </row>
    <row r="27" spans="1:16" ht="22.5" customHeight="1">
      <c r="C27" s="984"/>
      <c r="D27" s="189"/>
      <c r="E27" s="216" t="s">
        <v>2309</v>
      </c>
      <c r="F27" s="195"/>
      <c r="G27" s="196"/>
      <c r="H27" s="175">
        <v>1905018</v>
      </c>
      <c r="I27" s="198"/>
      <c r="J27" s="175">
        <v>1374253</v>
      </c>
    </row>
    <row r="28" spans="1:16" ht="22.5" customHeight="1">
      <c r="C28" s="189"/>
      <c r="D28" s="189"/>
      <c r="E28" s="216" t="s">
        <v>1307</v>
      </c>
      <c r="F28" s="195"/>
      <c r="G28" s="193"/>
      <c r="H28" s="175">
        <v>4134706</v>
      </c>
      <c r="I28" s="206"/>
      <c r="J28" s="175">
        <v>2816135</v>
      </c>
    </row>
    <row r="29" spans="1:16" ht="22.5" hidden="1" customHeight="1">
      <c r="C29" s="189"/>
      <c r="D29" s="189"/>
      <c r="E29" s="216" t="s">
        <v>718</v>
      </c>
      <c r="F29" s="195"/>
      <c r="G29" s="196"/>
      <c r="H29" s="156">
        <v>0</v>
      </c>
      <c r="I29" s="198"/>
      <c r="J29" s="156">
        <v>0</v>
      </c>
    </row>
    <row r="30" spans="1:16" ht="22.5" customHeight="1">
      <c r="C30" s="189"/>
      <c r="D30" s="189"/>
      <c r="E30" s="216" t="s">
        <v>1308</v>
      </c>
      <c r="F30" s="195"/>
      <c r="G30" s="193"/>
      <c r="H30" s="156">
        <v>260858</v>
      </c>
      <c r="I30" s="206"/>
      <c r="J30" s="156">
        <v>160474</v>
      </c>
    </row>
    <row r="31" spans="1:16" ht="22.5" customHeight="1">
      <c r="C31" s="189"/>
      <c r="D31" s="189"/>
      <c r="E31" s="216" t="s">
        <v>1309</v>
      </c>
      <c r="F31" s="195"/>
      <c r="G31" s="196"/>
      <c r="H31" s="156">
        <v>53073</v>
      </c>
      <c r="I31" s="198"/>
      <c r="J31" s="156">
        <v>167926</v>
      </c>
      <c r="N31" s="369"/>
      <c r="O31" s="369"/>
      <c r="P31" s="369"/>
    </row>
    <row r="32" spans="1:16" ht="22.5" customHeight="1">
      <c r="C32" s="189"/>
      <c r="D32" s="189"/>
      <c r="E32" s="216" t="s">
        <v>674</v>
      </c>
      <c r="F32" s="195"/>
      <c r="G32" s="196"/>
      <c r="H32" s="199">
        <v>456863</v>
      </c>
      <c r="I32" s="198"/>
      <c r="J32" s="199">
        <v>71623</v>
      </c>
      <c r="N32" s="369"/>
      <c r="O32" s="369"/>
      <c r="P32" s="369"/>
    </row>
    <row r="33" spans="1:35" ht="22.5" customHeight="1">
      <c r="C33" s="189"/>
      <c r="D33" s="189"/>
      <c r="E33" s="195"/>
      <c r="F33" s="195"/>
      <c r="G33" s="193"/>
      <c r="H33" s="156">
        <f>H35-H34</f>
        <v>18792051</v>
      </c>
      <c r="I33" s="156">
        <f>I35-I34</f>
        <v>0</v>
      </c>
      <c r="J33" s="156">
        <f>SUM(J26:J32)</f>
        <v>13619714</v>
      </c>
    </row>
    <row r="34" spans="1:35" ht="22.5" customHeight="1">
      <c r="C34" s="189"/>
      <c r="D34" s="189"/>
      <c r="E34" s="209" t="s">
        <v>2593</v>
      </c>
      <c r="F34" s="195"/>
      <c r="G34" s="196"/>
      <c r="H34" s="156">
        <f>-'12'!T22</f>
        <v>-2416195</v>
      </c>
      <c r="I34" s="198"/>
      <c r="J34" s="156">
        <v>-1681977</v>
      </c>
    </row>
    <row r="35" spans="1:35" ht="22.5" customHeight="1" thickBot="1">
      <c r="C35" s="189"/>
      <c r="D35" s="189"/>
      <c r="E35" s="202"/>
      <c r="F35" s="202"/>
      <c r="G35" s="190"/>
      <c r="H35" s="203">
        <f>'12'!H22</f>
        <v>16375856</v>
      </c>
      <c r="I35" s="201"/>
      <c r="J35" s="841">
        <f>SUM(J33:J34)</f>
        <v>11937737</v>
      </c>
    </row>
    <row r="36" spans="1:35" ht="22.5" customHeight="1" thickTop="1">
      <c r="C36" s="189"/>
      <c r="D36" s="945"/>
      <c r="E36" s="202"/>
      <c r="F36" s="202"/>
      <c r="G36" s="190"/>
      <c r="H36" s="156"/>
      <c r="I36" s="201"/>
      <c r="J36" s="156"/>
    </row>
    <row r="37" spans="1:35" s="166" customFormat="1" ht="395.25" customHeight="1">
      <c r="A37" s="1564"/>
      <c r="B37" s="833"/>
      <c r="C37" s="842" t="s">
        <v>2596</v>
      </c>
      <c r="D37" s="3436" t="s">
        <v>2798</v>
      </c>
      <c r="E37" s="3436"/>
      <c r="F37" s="3436"/>
      <c r="G37" s="3436"/>
      <c r="H37" s="3436"/>
      <c r="I37" s="3436"/>
      <c r="J37" s="3436"/>
      <c r="K37" s="207"/>
      <c r="L37" s="207"/>
      <c r="M37" s="207"/>
      <c r="N37" s="207"/>
      <c r="O37" s="207"/>
      <c r="P37" s="207"/>
      <c r="Q37" s="207"/>
      <c r="R37" s="207"/>
      <c r="S37" s="207"/>
      <c r="T37" s="207"/>
      <c r="U37" s="207"/>
      <c r="V37" s="207"/>
      <c r="W37" s="165"/>
      <c r="X37" s="165"/>
      <c r="Y37" s="165"/>
      <c r="Z37" s="165"/>
      <c r="AA37" s="165"/>
      <c r="AB37" s="165"/>
      <c r="AC37" s="165"/>
      <c r="AD37" s="165"/>
      <c r="AE37" s="165"/>
      <c r="AF37" s="165"/>
      <c r="AG37" s="165"/>
      <c r="AH37" s="165"/>
      <c r="AI37" s="165"/>
    </row>
    <row r="38" spans="1:35" ht="30" customHeight="1">
      <c r="C38" s="185" t="s">
        <v>2597</v>
      </c>
      <c r="D38" s="578" t="s">
        <v>1400</v>
      </c>
      <c r="G38" s="193"/>
      <c r="H38" s="3433" t="s">
        <v>1879</v>
      </c>
      <c r="I38" s="3433"/>
      <c r="J38" s="3433"/>
    </row>
    <row r="39" spans="1:35" ht="49.5" customHeight="1">
      <c r="C39" s="189"/>
      <c r="D39" s="189"/>
      <c r="E39" s="196"/>
      <c r="F39" s="196"/>
      <c r="G39" s="187"/>
      <c r="H39" s="191">
        <f>H6</f>
        <v>1402</v>
      </c>
      <c r="I39" s="192"/>
      <c r="J39" s="191">
        <f>J6</f>
        <v>1401</v>
      </c>
    </row>
    <row r="40" spans="1:35" ht="21.75" hidden="1" customHeight="1">
      <c r="C40" s="189"/>
      <c r="D40" s="189"/>
      <c r="E40" s="205"/>
      <c r="F40" s="205"/>
      <c r="G40" s="193"/>
      <c r="H40" s="194"/>
      <c r="I40" s="192"/>
      <c r="J40" s="194"/>
    </row>
    <row r="41" spans="1:35" ht="24" customHeight="1">
      <c r="C41" s="189"/>
      <c r="D41" s="189"/>
      <c r="E41" s="210" t="s">
        <v>1046</v>
      </c>
      <c r="F41" s="210"/>
      <c r="G41" s="211"/>
      <c r="H41" s="175">
        <v>6845561</v>
      </c>
      <c r="I41" s="198"/>
      <c r="J41" s="175">
        <v>5218281</v>
      </c>
    </row>
    <row r="42" spans="1:35" ht="21.75" customHeight="1">
      <c r="C42" s="189"/>
      <c r="D42" s="189"/>
      <c r="E42" s="210" t="s">
        <v>1045</v>
      </c>
      <c r="F42" s="210"/>
      <c r="G42" s="211"/>
      <c r="H42" s="175">
        <v>3601813</v>
      </c>
      <c r="I42" s="198"/>
      <c r="J42" s="175">
        <v>2894353</v>
      </c>
    </row>
    <row r="43" spans="1:35" ht="21.75" customHeight="1">
      <c r="C43" s="189"/>
      <c r="D43" s="189"/>
      <c r="E43" s="210" t="s">
        <v>1047</v>
      </c>
      <c r="F43" s="210"/>
      <c r="G43" s="211"/>
      <c r="H43" s="175">
        <v>2882376</v>
      </c>
      <c r="I43" s="198"/>
      <c r="J43" s="175">
        <v>1811807</v>
      </c>
    </row>
    <row r="44" spans="1:35" ht="21.75" customHeight="1">
      <c r="C44" s="189"/>
      <c r="D44" s="189"/>
      <c r="E44" s="210" t="s">
        <v>719</v>
      </c>
      <c r="F44" s="210"/>
      <c r="G44" s="193"/>
      <c r="H44" s="175">
        <v>3220874</v>
      </c>
      <c r="I44" s="206"/>
      <c r="J44" s="175">
        <v>2391409</v>
      </c>
    </row>
    <row r="45" spans="1:35" s="2170" customFormat="1" ht="21.75" customHeight="1">
      <c r="A45" s="369"/>
      <c r="B45" s="338"/>
      <c r="C45" s="189"/>
      <c r="D45" s="189"/>
      <c r="E45" s="210" t="s">
        <v>2366</v>
      </c>
      <c r="F45" s="210"/>
      <c r="G45" s="193"/>
      <c r="H45" s="175">
        <v>1900990</v>
      </c>
      <c r="I45" s="206"/>
      <c r="J45" s="175">
        <v>1459597</v>
      </c>
    </row>
    <row r="46" spans="1:35" s="2170" customFormat="1" ht="21.75" customHeight="1">
      <c r="A46" s="369"/>
      <c r="B46" s="338"/>
      <c r="C46" s="189"/>
      <c r="D46" s="189"/>
      <c r="E46" s="210" t="s">
        <v>2367</v>
      </c>
      <c r="F46" s="210"/>
      <c r="G46" s="193"/>
      <c r="H46" s="175">
        <v>810933</v>
      </c>
      <c r="I46" s="206"/>
      <c r="J46" s="175">
        <v>512550</v>
      </c>
    </row>
    <row r="47" spans="1:35" ht="21.75" customHeight="1">
      <c r="C47" s="189"/>
      <c r="D47" s="189"/>
      <c r="E47" s="210" t="s">
        <v>1716</v>
      </c>
      <c r="F47" s="210"/>
      <c r="G47" s="211"/>
      <c r="H47" s="175">
        <v>1025214</v>
      </c>
      <c r="I47" s="206"/>
      <c r="J47" s="175">
        <v>755778</v>
      </c>
    </row>
    <row r="48" spans="1:35" ht="21.75" customHeight="1">
      <c r="C48" s="189"/>
      <c r="D48" s="189"/>
      <c r="E48" s="210" t="s">
        <v>674</v>
      </c>
      <c r="F48" s="210"/>
      <c r="G48" s="211"/>
      <c r="H48" s="1210">
        <v>263850</v>
      </c>
      <c r="I48" s="1805"/>
      <c r="J48" s="1210">
        <v>205215</v>
      </c>
    </row>
    <row r="49" spans="1:35" ht="21.75" customHeight="1">
      <c r="C49" s="189"/>
      <c r="D49" s="189"/>
      <c r="E49" s="210"/>
      <c r="F49" s="210"/>
      <c r="G49" s="193"/>
      <c r="H49" s="160">
        <f>H51-H50</f>
        <v>20551611</v>
      </c>
      <c r="I49" s="156">
        <f>SUM(I41:I48)</f>
        <v>0</v>
      </c>
      <c r="J49" s="160">
        <f>SUM(J41:J48)</f>
        <v>15248990</v>
      </c>
    </row>
    <row r="50" spans="1:35" ht="21.75" customHeight="1">
      <c r="C50" s="189"/>
      <c r="D50" s="189"/>
      <c r="E50" s="209" t="s">
        <v>2593</v>
      </c>
      <c r="F50" s="210"/>
      <c r="G50" s="211"/>
      <c r="H50" s="156">
        <f>-'12'!T24</f>
        <v>-2196819</v>
      </c>
      <c r="I50" s="1805"/>
      <c r="J50" s="156">
        <v>-1352047</v>
      </c>
    </row>
    <row r="51" spans="1:35" ht="21.75" customHeight="1" thickBot="1">
      <c r="C51" s="189"/>
      <c r="D51" s="189"/>
      <c r="E51" s="193"/>
      <c r="F51" s="193"/>
      <c r="G51" s="190"/>
      <c r="H51" s="203">
        <f>'12'!H24</f>
        <v>18354792</v>
      </c>
      <c r="I51" s="156">
        <f>'12'!I24</f>
        <v>0</v>
      </c>
      <c r="J51" s="203">
        <f>SUM(J49:J50)</f>
        <v>13896943</v>
      </c>
    </row>
    <row r="52" spans="1:35" ht="24" customHeight="1" thickTop="1">
      <c r="C52" s="189"/>
      <c r="D52" s="189"/>
      <c r="E52" s="193"/>
      <c r="F52" s="193"/>
      <c r="G52" s="190"/>
      <c r="H52" s="156"/>
      <c r="I52" s="201"/>
      <c r="J52" s="156"/>
    </row>
    <row r="53" spans="1:35" s="166" customFormat="1" ht="74.25" customHeight="1">
      <c r="A53" s="1564"/>
      <c r="B53" s="833"/>
      <c r="D53" s="212" t="s">
        <v>2598</v>
      </c>
      <c r="E53" s="3434" t="s">
        <v>2686</v>
      </c>
      <c r="F53" s="3434"/>
      <c r="G53" s="3434"/>
      <c r="H53" s="3434"/>
      <c r="I53" s="3434"/>
      <c r="J53" s="3434"/>
      <c r="K53" s="207"/>
      <c r="L53" s="207"/>
      <c r="M53" s="207"/>
      <c r="N53" s="207"/>
      <c r="O53" s="207"/>
      <c r="P53" s="207"/>
      <c r="Q53" s="207"/>
      <c r="R53" s="207"/>
      <c r="S53" s="207"/>
      <c r="T53" s="207"/>
      <c r="U53" s="207"/>
      <c r="V53" s="207"/>
      <c r="W53" s="165"/>
      <c r="X53" s="165"/>
      <c r="Y53" s="165"/>
      <c r="Z53" s="165"/>
      <c r="AA53" s="165"/>
      <c r="AB53" s="165"/>
      <c r="AC53" s="165"/>
      <c r="AD53" s="165"/>
      <c r="AE53" s="165"/>
      <c r="AF53" s="165"/>
      <c r="AG53" s="165"/>
      <c r="AH53" s="165"/>
      <c r="AI53" s="165"/>
    </row>
    <row r="54" spans="1:35" s="166" customFormat="1" ht="15" customHeight="1">
      <c r="A54" s="1564"/>
      <c r="B54" s="833"/>
      <c r="D54" s="212"/>
      <c r="E54" s="1261"/>
      <c r="F54" s="1261"/>
      <c r="G54" s="1261"/>
      <c r="H54" s="1261"/>
      <c r="I54" s="1261"/>
      <c r="J54" s="1261"/>
      <c r="K54" s="207"/>
      <c r="L54" s="207"/>
      <c r="M54" s="207"/>
      <c r="N54" s="207"/>
      <c r="O54" s="207"/>
      <c r="P54" s="207"/>
      <c r="Q54" s="207"/>
      <c r="R54" s="207"/>
      <c r="S54" s="207"/>
      <c r="T54" s="207"/>
      <c r="U54" s="207"/>
      <c r="V54" s="207"/>
      <c r="W54" s="165"/>
      <c r="X54" s="165"/>
      <c r="Y54" s="165"/>
      <c r="Z54" s="165"/>
      <c r="AA54" s="165"/>
      <c r="AB54" s="165"/>
      <c r="AC54" s="165"/>
      <c r="AD54" s="165"/>
      <c r="AE54" s="165"/>
      <c r="AF54" s="165"/>
      <c r="AG54" s="165"/>
      <c r="AH54" s="165"/>
      <c r="AI54" s="165"/>
    </row>
    <row r="55" spans="1:35" s="214" customFormat="1" ht="120.75" customHeight="1">
      <c r="A55" s="1565"/>
      <c r="B55" s="834"/>
      <c r="C55" s="3423">
        <v>13</v>
      </c>
      <c r="D55" s="3423"/>
      <c r="E55" s="3423"/>
      <c r="F55" s="3423"/>
      <c r="G55" s="3423"/>
      <c r="H55" s="3423"/>
      <c r="I55" s="3423"/>
      <c r="J55" s="3423"/>
    </row>
    <row r="56" spans="1:35" s="179" customFormat="1" ht="28.5" customHeight="1">
      <c r="A56" s="3435" t="s">
        <v>612</v>
      </c>
      <c r="B56" s="3435"/>
      <c r="C56" s="3435"/>
      <c r="D56" s="3435"/>
      <c r="E56" s="3435"/>
      <c r="F56" s="3435"/>
      <c r="G56" s="3435"/>
      <c r="H56" s="3435"/>
      <c r="I56" s="3435"/>
      <c r="J56" s="3435"/>
      <c r="K56" s="3435"/>
    </row>
    <row r="57" spans="1:35" s="179" customFormat="1" ht="27" customHeight="1">
      <c r="A57" s="3435" t="str">
        <f>مفروضات!A2</f>
        <v>يادداشت هاي توضيحي صورت هاي مالي</v>
      </c>
      <c r="B57" s="3435"/>
      <c r="C57" s="3435"/>
      <c r="D57" s="3435"/>
      <c r="E57" s="3435"/>
      <c r="F57" s="3435"/>
      <c r="G57" s="3435"/>
      <c r="H57" s="3435"/>
      <c r="I57" s="3435"/>
      <c r="J57" s="3435"/>
      <c r="K57" s="3435"/>
    </row>
    <row r="58" spans="1:35" s="179" customFormat="1" ht="32.25" customHeight="1">
      <c r="A58" s="3435" t="str">
        <f>A3</f>
        <v xml:space="preserve"> سال مالي منتهي به 29 اسفند 1402</v>
      </c>
      <c r="B58" s="3435"/>
      <c r="C58" s="3435"/>
      <c r="D58" s="3435"/>
      <c r="E58" s="3435"/>
      <c r="F58" s="3435"/>
      <c r="G58" s="3435"/>
      <c r="H58" s="3435"/>
      <c r="I58" s="3435"/>
      <c r="J58" s="3435"/>
      <c r="K58" s="3435"/>
    </row>
    <row r="59" spans="1:35" ht="50.25" customHeight="1">
      <c r="C59" s="1726" t="s">
        <v>2600</v>
      </c>
      <c r="D59" s="1727" t="s">
        <v>1490</v>
      </c>
      <c r="E59" s="1728"/>
      <c r="G59" s="193"/>
      <c r="H59" s="3433" t="s">
        <v>1879</v>
      </c>
      <c r="I59" s="3433"/>
      <c r="J59" s="3433"/>
    </row>
    <row r="60" spans="1:35" ht="24.75" customHeight="1">
      <c r="C60" s="189"/>
      <c r="D60" s="189"/>
      <c r="E60" s="196"/>
      <c r="F60" s="196"/>
      <c r="G60" s="187"/>
      <c r="H60" s="191">
        <v>1402</v>
      </c>
      <c r="I60" s="192"/>
      <c r="J60" s="191">
        <v>1401</v>
      </c>
    </row>
    <row r="61" spans="1:35" ht="30" hidden="1" customHeight="1">
      <c r="C61" s="189"/>
      <c r="D61" s="189"/>
      <c r="E61" s="200"/>
      <c r="F61" s="200"/>
      <c r="G61" s="193"/>
      <c r="H61" s="194"/>
      <c r="I61" s="192"/>
      <c r="J61" s="194"/>
    </row>
    <row r="62" spans="1:35" ht="33.75" customHeight="1">
      <c r="C62" s="189"/>
      <c r="D62" s="189"/>
      <c r="E62" s="216" t="s">
        <v>2482</v>
      </c>
      <c r="F62" s="216"/>
      <c r="G62" s="196"/>
      <c r="H62" s="175">
        <v>73587</v>
      </c>
      <c r="I62" s="198"/>
      <c r="J62" s="175">
        <v>6450</v>
      </c>
    </row>
    <row r="63" spans="1:35" ht="25.5" customHeight="1">
      <c r="C63" s="189"/>
      <c r="D63" s="189"/>
      <c r="E63" s="216" t="s">
        <v>2483</v>
      </c>
      <c r="F63" s="216"/>
      <c r="G63" s="196"/>
      <c r="H63" s="175">
        <v>50800</v>
      </c>
      <c r="I63" s="198"/>
      <c r="J63" s="175">
        <v>80022</v>
      </c>
    </row>
    <row r="64" spans="1:35" ht="30" customHeight="1">
      <c r="C64" s="189"/>
      <c r="D64" s="189"/>
      <c r="E64" s="216" t="s">
        <v>2485</v>
      </c>
      <c r="F64" s="216"/>
      <c r="G64" s="196"/>
      <c r="H64" s="175">
        <v>342089</v>
      </c>
      <c r="I64" s="198"/>
      <c r="J64" s="175">
        <v>139719</v>
      </c>
    </row>
    <row r="65" spans="1:10" s="1943" customFormat="1" ht="30" customHeight="1">
      <c r="A65" s="369"/>
      <c r="B65" s="338"/>
      <c r="C65" s="189"/>
      <c r="D65" s="189"/>
      <c r="E65" s="216" t="s">
        <v>2481</v>
      </c>
      <c r="F65" s="216"/>
      <c r="G65" s="196"/>
      <c r="H65" s="175">
        <v>428636</v>
      </c>
      <c r="I65" s="198"/>
      <c r="J65" s="175">
        <v>125911</v>
      </c>
    </row>
    <row r="66" spans="1:10" ht="24.75" customHeight="1">
      <c r="C66" s="189"/>
      <c r="D66" s="189"/>
      <c r="E66" s="216" t="s">
        <v>2484</v>
      </c>
      <c r="F66" s="216"/>
      <c r="G66" s="196"/>
      <c r="H66" s="1210">
        <v>554707</v>
      </c>
      <c r="I66" s="198"/>
      <c r="J66" s="1210">
        <v>765591</v>
      </c>
    </row>
    <row r="67" spans="1:10" ht="26.25" customHeight="1">
      <c r="C67" s="189"/>
      <c r="D67" s="189"/>
      <c r="E67" s="200"/>
      <c r="F67" s="200"/>
      <c r="G67" s="193"/>
      <c r="H67" s="160">
        <f>'12'!H26+'12'!T26</f>
        <v>1449819</v>
      </c>
      <c r="I67" s="201"/>
      <c r="J67" s="160">
        <f>SUM(J62:J66)</f>
        <v>1117693</v>
      </c>
    </row>
    <row r="68" spans="1:10" ht="30" customHeight="1">
      <c r="C68" s="189"/>
      <c r="D68" s="189"/>
      <c r="E68" s="209" t="s">
        <v>2593</v>
      </c>
      <c r="F68" s="209"/>
      <c r="G68" s="193"/>
      <c r="H68" s="156">
        <f>-'12'!T26</f>
        <v>-297504</v>
      </c>
      <c r="I68" s="206"/>
      <c r="J68" s="156">
        <v>-239537</v>
      </c>
    </row>
    <row r="69" spans="1:10" ht="30" customHeight="1" thickBot="1">
      <c r="C69" s="189"/>
      <c r="D69" s="189"/>
      <c r="E69" s="217"/>
      <c r="F69" s="217"/>
      <c r="G69" s="193"/>
      <c r="H69" s="203">
        <f>'12'!H26</f>
        <v>1152315</v>
      </c>
      <c r="I69" s="201"/>
      <c r="J69" s="203">
        <f>SUM(J67:J68)</f>
        <v>878156</v>
      </c>
    </row>
    <row r="70" spans="1:10" ht="29.25" customHeight="1" thickTop="1">
      <c r="C70" s="185" t="s">
        <v>2601</v>
      </c>
      <c r="D70" s="794" t="s">
        <v>1471</v>
      </c>
      <c r="E70" s="218"/>
      <c r="F70" s="218"/>
      <c r="G70" s="193"/>
      <c r="H70" s="201"/>
      <c r="I70" s="201"/>
      <c r="J70" s="1797"/>
    </row>
    <row r="71" spans="1:10" ht="38.25" customHeight="1">
      <c r="C71" s="189"/>
      <c r="D71" s="189"/>
      <c r="E71" s="196"/>
      <c r="F71" s="196"/>
      <c r="G71" s="187"/>
      <c r="H71" s="3433" t="s">
        <v>1879</v>
      </c>
      <c r="I71" s="3433"/>
      <c r="J71" s="3433"/>
    </row>
    <row r="72" spans="1:10" ht="30.75" customHeight="1">
      <c r="C72" s="189"/>
      <c r="D72" s="189"/>
      <c r="E72" s="205"/>
      <c r="F72" s="205"/>
      <c r="G72" s="193"/>
      <c r="H72" s="191">
        <v>1402</v>
      </c>
      <c r="I72" s="192"/>
      <c r="J72" s="191">
        <v>1401</v>
      </c>
    </row>
    <row r="73" spans="1:10" ht="32.25" customHeight="1">
      <c r="C73" s="189"/>
      <c r="D73" s="189"/>
      <c r="E73" s="216" t="s">
        <v>726</v>
      </c>
      <c r="F73" s="210"/>
      <c r="G73" s="193"/>
      <c r="H73" s="175">
        <v>19491220</v>
      </c>
      <c r="I73" s="206"/>
      <c r="J73" s="175">
        <v>4802605</v>
      </c>
    </row>
    <row r="74" spans="1:10" ht="32.25" customHeight="1">
      <c r="C74" s="189"/>
      <c r="D74" s="189"/>
      <c r="E74" s="216" t="s">
        <v>725</v>
      </c>
      <c r="F74" s="210"/>
      <c r="G74" s="193"/>
      <c r="H74" s="175">
        <v>2310878</v>
      </c>
      <c r="I74" s="206"/>
      <c r="J74" s="175">
        <v>1364143</v>
      </c>
    </row>
    <row r="75" spans="1:10" ht="32.25" customHeight="1">
      <c r="C75" s="189"/>
      <c r="D75" s="189"/>
      <c r="E75" s="216" t="s">
        <v>2202</v>
      </c>
      <c r="F75" s="210"/>
      <c r="G75" s="193"/>
      <c r="H75" s="175">
        <v>3049158</v>
      </c>
      <c r="I75" s="206"/>
      <c r="J75" s="175">
        <v>1937389</v>
      </c>
    </row>
    <row r="76" spans="1:10" ht="32.25" customHeight="1">
      <c r="C76" s="189"/>
      <c r="D76" s="189"/>
      <c r="E76" s="216" t="s">
        <v>2486</v>
      </c>
      <c r="F76" s="210"/>
      <c r="G76" s="211"/>
      <c r="H76" s="175">
        <v>899918</v>
      </c>
      <c r="I76" s="198"/>
      <c r="J76" s="175">
        <v>525996</v>
      </c>
    </row>
    <row r="77" spans="1:10" s="2170" customFormat="1" ht="32.25" customHeight="1">
      <c r="A77" s="369"/>
      <c r="B77" s="338"/>
      <c r="C77" s="189"/>
      <c r="D77" s="189"/>
      <c r="E77" s="216" t="s">
        <v>2368</v>
      </c>
      <c r="F77" s="210"/>
      <c r="G77" s="211"/>
      <c r="H77" s="175">
        <v>798003</v>
      </c>
      <c r="I77" s="198"/>
      <c r="J77" s="175">
        <v>441543</v>
      </c>
    </row>
    <row r="78" spans="1:10" s="2170" customFormat="1" ht="32.25" customHeight="1">
      <c r="A78" s="369"/>
      <c r="B78" s="338"/>
      <c r="C78" s="189"/>
      <c r="D78" s="189"/>
      <c r="E78" s="216" t="s">
        <v>2369</v>
      </c>
      <c r="F78" s="210"/>
      <c r="G78" s="211"/>
      <c r="H78" s="175">
        <v>520075</v>
      </c>
      <c r="I78" s="198"/>
      <c r="J78" s="175">
        <v>363820</v>
      </c>
    </row>
    <row r="79" spans="1:10" ht="26.25" customHeight="1">
      <c r="C79" s="189"/>
      <c r="D79" s="189"/>
      <c r="E79" s="216" t="s">
        <v>673</v>
      </c>
      <c r="F79" s="210"/>
      <c r="G79" s="193"/>
      <c r="H79" s="1210">
        <v>1804601</v>
      </c>
      <c r="I79" s="206"/>
      <c r="J79" s="1210">
        <v>717478</v>
      </c>
    </row>
    <row r="80" spans="1:10" ht="29.25" customHeight="1">
      <c r="C80" s="189"/>
      <c r="D80" s="189"/>
      <c r="E80" s="210"/>
      <c r="F80" s="210"/>
      <c r="G80" s="193"/>
      <c r="H80" s="160">
        <f>'12'!H27+'12'!T27</f>
        <v>28873853</v>
      </c>
      <c r="I80" s="201"/>
      <c r="J80" s="160">
        <f>SUM(J73:J79)</f>
        <v>10152974</v>
      </c>
    </row>
    <row r="81" spans="1:10" ht="29.25" customHeight="1">
      <c r="C81" s="189"/>
      <c r="D81" s="189"/>
      <c r="E81" s="209" t="s">
        <v>2593</v>
      </c>
      <c r="F81" s="210"/>
      <c r="G81" s="193"/>
      <c r="H81" s="156">
        <f>-'12'!T27</f>
        <v>-1123511</v>
      </c>
      <c r="I81" s="206"/>
      <c r="J81" s="156">
        <v>-901648</v>
      </c>
    </row>
    <row r="82" spans="1:10" ht="29.25" customHeight="1" thickBot="1">
      <c r="C82" s="189"/>
      <c r="D82" s="189"/>
      <c r="E82" s="220"/>
      <c r="F82" s="220"/>
      <c r="G82" s="193"/>
      <c r="H82" s="203">
        <f>'12'!H27</f>
        <v>27750342</v>
      </c>
      <c r="I82" s="201"/>
      <c r="J82" s="203">
        <f>SUM(J80:J81)</f>
        <v>9251326</v>
      </c>
    </row>
    <row r="83" spans="1:10" ht="19.5" customHeight="1" thickTop="1">
      <c r="C83" s="189"/>
      <c r="D83" s="189"/>
      <c r="E83" s="217"/>
      <c r="F83" s="217"/>
      <c r="G83" s="193"/>
      <c r="H83" s="201"/>
      <c r="I83" s="201"/>
      <c r="J83" s="201"/>
    </row>
    <row r="84" spans="1:10" ht="30.75" customHeight="1">
      <c r="C84" s="1566"/>
      <c r="D84" s="1567" t="s">
        <v>2002</v>
      </c>
      <c r="E84" s="1568" t="s">
        <v>2405</v>
      </c>
      <c r="F84" s="196"/>
      <c r="G84" s="193"/>
      <c r="H84" s="188"/>
      <c r="I84" s="208"/>
      <c r="J84" s="188"/>
    </row>
    <row r="85" spans="1:10" ht="33.75">
      <c r="C85" s="797" t="s">
        <v>2602</v>
      </c>
      <c r="D85" s="215" t="s">
        <v>1491</v>
      </c>
      <c r="E85" s="218"/>
      <c r="F85" s="218"/>
      <c r="G85" s="193"/>
      <c r="H85" s="3433" t="s">
        <v>1879</v>
      </c>
      <c r="I85" s="3433"/>
      <c r="J85" s="3433"/>
    </row>
    <row r="86" spans="1:10" ht="46.5" customHeight="1">
      <c r="C86" s="189"/>
      <c r="D86" s="189"/>
      <c r="E86" s="196"/>
      <c r="F86" s="196"/>
      <c r="G86" s="187"/>
      <c r="H86" s="191">
        <f>H60</f>
        <v>1402</v>
      </c>
      <c r="I86" s="192"/>
      <c r="J86" s="191">
        <v>1401</v>
      </c>
    </row>
    <row r="87" spans="1:10" ht="30.75" hidden="1" customHeight="1">
      <c r="C87" s="189"/>
      <c r="D87" s="189"/>
      <c r="E87" s="205"/>
      <c r="F87" s="205"/>
      <c r="G87" s="193"/>
      <c r="H87" s="194"/>
      <c r="I87" s="192"/>
      <c r="J87" s="194"/>
    </row>
    <row r="88" spans="1:10" ht="30.75" customHeight="1">
      <c r="C88" s="189"/>
      <c r="D88" s="189"/>
      <c r="E88" s="221" t="s">
        <v>678</v>
      </c>
      <c r="F88" s="221"/>
      <c r="G88" s="196"/>
      <c r="H88" s="175">
        <v>-147663</v>
      </c>
      <c r="I88" s="222"/>
      <c r="J88" s="156">
        <v>-99054</v>
      </c>
    </row>
    <row r="89" spans="1:10" ht="30.75" customHeight="1">
      <c r="C89" s="189"/>
      <c r="D89" s="189"/>
      <c r="E89" s="221" t="s">
        <v>1048</v>
      </c>
      <c r="F89" s="221"/>
      <c r="G89" s="193"/>
      <c r="H89" s="156">
        <v>-156603</v>
      </c>
      <c r="I89" s="222"/>
      <c r="J89" s="156">
        <v>-56173</v>
      </c>
    </row>
    <row r="90" spans="1:10" s="1789" customFormat="1" ht="30.75" customHeight="1">
      <c r="A90" s="369"/>
      <c r="B90" s="338"/>
      <c r="C90" s="189"/>
      <c r="D90" s="189"/>
      <c r="E90" s="221" t="s">
        <v>2042</v>
      </c>
      <c r="F90" s="221"/>
      <c r="G90" s="193"/>
      <c r="H90" s="156">
        <v>-22808</v>
      </c>
      <c r="I90" s="222"/>
      <c r="J90" s="156">
        <v>-17989</v>
      </c>
    </row>
    <row r="91" spans="1:10" ht="30.75" customHeight="1">
      <c r="C91" s="189"/>
      <c r="D91" s="189"/>
      <c r="E91" s="221" t="s">
        <v>673</v>
      </c>
      <c r="F91" s="221"/>
      <c r="G91" s="193"/>
      <c r="H91" s="1210">
        <v>-164074</v>
      </c>
      <c r="I91" s="222"/>
      <c r="J91" s="1210">
        <v>-128301</v>
      </c>
    </row>
    <row r="92" spans="1:10" ht="30.75" customHeight="1">
      <c r="C92" s="189"/>
      <c r="D92" s="189"/>
      <c r="E92" s="209"/>
      <c r="F92" s="209"/>
      <c r="G92" s="190"/>
      <c r="H92" s="156">
        <f>'12'!T29+'12'!H29</f>
        <v>-491148</v>
      </c>
      <c r="I92" s="223"/>
      <c r="J92" s="156">
        <f>SUM(J88:J91)</f>
        <v>-301517</v>
      </c>
    </row>
    <row r="93" spans="1:10" ht="30.75" customHeight="1">
      <c r="C93" s="189"/>
      <c r="D93" s="189"/>
      <c r="E93" s="209" t="s">
        <v>2593</v>
      </c>
      <c r="F93" s="209"/>
      <c r="G93" s="196"/>
      <c r="H93" s="156">
        <f>-'12'!T29</f>
        <v>423699</v>
      </c>
      <c r="I93" s="223"/>
      <c r="J93" s="156">
        <v>235829</v>
      </c>
    </row>
    <row r="94" spans="1:10" ht="30.75" customHeight="1" thickBot="1">
      <c r="C94" s="189"/>
      <c r="D94" s="189"/>
      <c r="E94" s="213"/>
      <c r="F94" s="213"/>
      <c r="G94" s="190"/>
      <c r="H94" s="203">
        <f>'12'!H29</f>
        <v>-67449</v>
      </c>
      <c r="I94" s="223"/>
      <c r="J94" s="203">
        <f>SUM(J92:J93)</f>
        <v>-65688</v>
      </c>
    </row>
    <row r="95" spans="1:10" ht="28.5" customHeight="1" thickTop="1">
      <c r="C95" s="215"/>
      <c r="D95" s="796" t="s">
        <v>2603</v>
      </c>
      <c r="E95" s="795" t="s">
        <v>1658</v>
      </c>
      <c r="F95" s="215"/>
      <c r="G95" s="193"/>
    </row>
    <row r="96" spans="1:10" ht="36.75" customHeight="1">
      <c r="C96" s="3432">
        <v>-7</v>
      </c>
      <c r="D96" s="3432"/>
      <c r="E96" s="3431" t="s">
        <v>1401</v>
      </c>
      <c r="F96" s="3431"/>
      <c r="G96" s="3431"/>
      <c r="J96" s="1797"/>
    </row>
    <row r="97" spans="1:14" s="1316" customFormat="1" ht="35.25" customHeight="1">
      <c r="A97" s="369"/>
      <c r="B97" s="338"/>
      <c r="H97" s="3433" t="s">
        <v>1879</v>
      </c>
      <c r="I97" s="3433"/>
      <c r="J97" s="3433"/>
    </row>
    <row r="98" spans="1:14" s="1316" customFormat="1" ht="39.75" customHeight="1">
      <c r="A98" s="369"/>
      <c r="B98" s="338"/>
      <c r="C98" s="225"/>
      <c r="D98" s="1199"/>
      <c r="E98" s="1608"/>
      <c r="F98" s="1608"/>
      <c r="G98" s="1608"/>
      <c r="H98" s="191">
        <v>1402</v>
      </c>
      <c r="I98" s="1609"/>
      <c r="J98" s="191">
        <v>1401</v>
      </c>
    </row>
    <row r="99" spans="1:14" s="2230" customFormat="1" ht="29.25" customHeight="1">
      <c r="A99" s="1203"/>
      <c r="B99" s="1004"/>
      <c r="C99" s="646"/>
      <c r="D99" s="1128" t="s">
        <v>2298</v>
      </c>
      <c r="E99" s="1128"/>
      <c r="F99" s="665"/>
      <c r="G99" s="250"/>
      <c r="H99" s="175">
        <v>400823</v>
      </c>
      <c r="I99" s="1609"/>
      <c r="J99" s="175">
        <v>385584</v>
      </c>
      <c r="N99" s="175">
        <v>37973</v>
      </c>
    </row>
    <row r="100" spans="1:14" s="1316" customFormat="1" ht="27" customHeight="1">
      <c r="A100" s="1203">
        <v>201</v>
      </c>
      <c r="B100" s="169"/>
      <c r="C100" s="646"/>
      <c r="D100" s="1128" t="s">
        <v>1907</v>
      </c>
      <c r="E100" s="658"/>
      <c r="F100" s="665"/>
      <c r="G100" s="1610"/>
      <c r="H100" s="175">
        <v>262145</v>
      </c>
      <c r="I100" s="1609"/>
      <c r="J100" s="175">
        <v>300309</v>
      </c>
      <c r="N100" s="1316">
        <f>-SUMIF('98'!$B$5:$B$557,$A100,'98'!$U$5:$U$557)</f>
        <v>105714</v>
      </c>
    </row>
    <row r="101" spans="1:14" s="2038" customFormat="1" ht="29.25" customHeight="1">
      <c r="A101" s="1203"/>
      <c r="B101" s="1004"/>
      <c r="C101" s="646"/>
      <c r="D101" s="1128" t="s">
        <v>2241</v>
      </c>
      <c r="E101" s="1128"/>
      <c r="F101" s="665"/>
      <c r="G101" s="250"/>
      <c r="H101" s="175">
        <v>85189</v>
      </c>
      <c r="I101" s="1609"/>
      <c r="J101" s="175">
        <v>85372</v>
      </c>
      <c r="N101" s="175"/>
    </row>
    <row r="102" spans="1:14" s="1399" customFormat="1" ht="29.25" customHeight="1">
      <c r="A102" s="1203"/>
      <c r="B102" s="1004"/>
      <c r="C102" s="646"/>
      <c r="D102" s="1128" t="s">
        <v>1900</v>
      </c>
      <c r="E102" s="1128"/>
      <c r="F102" s="665"/>
      <c r="G102" s="250"/>
      <c r="H102" s="175">
        <v>87684</v>
      </c>
      <c r="I102" s="1609"/>
      <c r="J102" s="175">
        <v>66767</v>
      </c>
      <c r="N102" s="175">
        <v>24361</v>
      </c>
    </row>
    <row r="103" spans="1:14" s="3231" customFormat="1" ht="29.25" customHeight="1">
      <c r="A103" s="1203"/>
      <c r="B103" s="1004"/>
      <c r="C103" s="646"/>
      <c r="D103" s="1128" t="s">
        <v>2683</v>
      </c>
      <c r="E103" s="1128"/>
      <c r="F103" s="665"/>
      <c r="G103" s="250"/>
      <c r="H103" s="175">
        <v>85536</v>
      </c>
      <c r="I103" s="1609"/>
      <c r="J103" s="175">
        <v>15085</v>
      </c>
      <c r="N103" s="175"/>
    </row>
    <row r="104" spans="1:14" ht="29.25" customHeight="1">
      <c r="A104" s="1203">
        <v>202</v>
      </c>
      <c r="B104" s="1004"/>
      <c r="C104" s="646"/>
      <c r="D104" s="1128" t="s">
        <v>2684</v>
      </c>
      <c r="E104" s="658"/>
      <c r="F104" s="665"/>
      <c r="G104" s="250"/>
      <c r="H104" s="175">
        <v>161333</v>
      </c>
      <c r="I104" s="1609"/>
      <c r="J104" s="175">
        <v>32364</v>
      </c>
      <c r="N104" s="430" t="e">
        <f>-SUMIF('98'!$B$5:$B$557,$A104,'98'!$U$5:$U$557)-H105-#REF!-H102+165</f>
        <v>#REF!</v>
      </c>
    </row>
    <row r="105" spans="1:14" s="1399" customFormat="1" ht="29.25" hidden="1" customHeight="1">
      <c r="A105" s="1203"/>
      <c r="B105" s="1004"/>
      <c r="C105" s="646"/>
      <c r="D105" s="1128" t="s">
        <v>1899</v>
      </c>
      <c r="E105" s="1128"/>
      <c r="F105" s="665"/>
      <c r="G105" s="250"/>
      <c r="H105" s="175"/>
      <c r="I105" s="1609"/>
      <c r="J105" s="175"/>
      <c r="N105" s="175">
        <v>136523</v>
      </c>
    </row>
    <row r="106" spans="1:14" ht="24" customHeight="1">
      <c r="A106" s="1203">
        <v>203</v>
      </c>
      <c r="B106" s="1004"/>
      <c r="C106" s="646"/>
      <c r="D106" s="1128" t="s">
        <v>1908</v>
      </c>
      <c r="E106" s="658"/>
      <c r="F106" s="665"/>
      <c r="G106" s="250"/>
      <c r="H106" s="175">
        <v>95628</v>
      </c>
      <c r="I106" s="1609"/>
      <c r="J106" s="175">
        <v>7826</v>
      </c>
      <c r="N106" s="1402">
        <f>-SUMIF('98'!$B$5:$B$557,$A106,'98'!$U$5:$U$557)-165</f>
        <v>5</v>
      </c>
    </row>
    <row r="107" spans="1:14" s="1316" customFormat="1" ht="30.75" customHeight="1" thickBot="1">
      <c r="A107" s="1203">
        <v>202</v>
      </c>
      <c r="B107" s="1004"/>
      <c r="C107" s="646"/>
      <c r="D107" s="1128"/>
      <c r="E107" s="658"/>
      <c r="F107" s="665"/>
      <c r="G107" s="250"/>
      <c r="H107" s="1611">
        <f>-('1402'!W538+'1402'!W540)</f>
        <v>1178338</v>
      </c>
      <c r="I107" s="1609"/>
      <c r="J107" s="668">
        <f>SUM(J99:J106)</f>
        <v>893307</v>
      </c>
    </row>
    <row r="108" spans="1:14" ht="13.5" customHeight="1" thickTop="1"/>
    <row r="109" spans="1:14" ht="36" customHeight="1"/>
    <row r="110" spans="1:14" s="3177" customFormat="1" ht="36" customHeight="1">
      <c r="A110" s="369"/>
      <c r="B110" s="338"/>
      <c r="H110" s="219"/>
      <c r="I110" s="219"/>
      <c r="J110" s="219"/>
    </row>
    <row r="111" spans="1:14" s="3177" customFormat="1" ht="36" customHeight="1">
      <c r="A111" s="369"/>
      <c r="B111" s="338"/>
      <c r="H111" s="219"/>
      <c r="I111" s="219"/>
      <c r="J111" s="219"/>
    </row>
    <row r="112" spans="1:14" s="3177" customFormat="1" ht="36" customHeight="1">
      <c r="A112" s="369"/>
      <c r="B112" s="338"/>
      <c r="H112" s="219"/>
      <c r="I112" s="219"/>
      <c r="J112" s="219"/>
    </row>
    <row r="116" spans="1:12" ht="37.5">
      <c r="A116" s="3423">
        <v>14</v>
      </c>
      <c r="B116" s="3423"/>
      <c r="C116" s="3423"/>
      <c r="D116" s="3423"/>
      <c r="E116" s="3423"/>
      <c r="F116" s="3423"/>
      <c r="G116" s="3423"/>
      <c r="H116" s="3423"/>
      <c r="I116" s="3423"/>
      <c r="J116" s="3423"/>
      <c r="K116" s="3423"/>
      <c r="L116" s="3423"/>
    </row>
  </sheetData>
  <sortState ref="E136:J142">
    <sortCondition ref="H136:H142"/>
  </sortState>
  <mergeCells count="20">
    <mergeCell ref="D37:J37"/>
    <mergeCell ref="H23:J23"/>
    <mergeCell ref="A1:K1"/>
    <mergeCell ref="A2:K2"/>
    <mergeCell ref="A3:K3"/>
    <mergeCell ref="E22:K22"/>
    <mergeCell ref="H5:J5"/>
    <mergeCell ref="E96:G96"/>
    <mergeCell ref="C96:D96"/>
    <mergeCell ref="A116:L116"/>
    <mergeCell ref="H38:J38"/>
    <mergeCell ref="H59:J59"/>
    <mergeCell ref="H71:J71"/>
    <mergeCell ref="H85:J85"/>
    <mergeCell ref="H97:J97"/>
    <mergeCell ref="C55:J55"/>
    <mergeCell ref="E53:J53"/>
    <mergeCell ref="A56:K56"/>
    <mergeCell ref="A57:K57"/>
    <mergeCell ref="A58:K58"/>
  </mergeCells>
  <printOptions horizontalCentered="1"/>
  <pageMargins left="0" right="0" top="0.19685039370078741" bottom="0.19685039370078741" header="0.31496062992125984" footer="0.19685039370078741"/>
  <pageSetup paperSize="9" scale="47" orientation="portrait" r:id="rId1"/>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X59"/>
  <sheetViews>
    <sheetView rightToLeft="1" view="pageBreakPreview" topLeftCell="A15" zoomScale="80" zoomScaleNormal="91" zoomScaleSheetLayoutView="80" workbookViewId="0">
      <selection activeCell="A38" sqref="A38:XFD38"/>
    </sheetView>
  </sheetViews>
  <sheetFormatPr defaultColWidth="1.375" defaultRowHeight="26.25"/>
  <cols>
    <col min="1" max="1" width="1.125" style="1203" customWidth="1"/>
    <col min="2" max="2" width="2.5" style="369" customWidth="1"/>
    <col min="3" max="3" width="50.375" style="109" customWidth="1"/>
    <col min="4" max="4" width="6.125" style="109" customWidth="1"/>
    <col min="5" max="5" width="10.75" style="109" customWidth="1"/>
    <col min="6" max="6" width="1.625" style="109" customWidth="1"/>
    <col min="7" max="7" width="11.5" style="109" customWidth="1"/>
    <col min="8" max="8" width="1.625" style="109" customWidth="1"/>
    <col min="9" max="9" width="10.875" style="109" customWidth="1"/>
    <col min="10" max="10" width="1.625" style="109" customWidth="1"/>
    <col min="11" max="11" width="9.5" style="109" customWidth="1"/>
    <col min="12" max="12" width="1.375" style="109" customWidth="1"/>
    <col min="13" max="13" width="10.625" style="109" customWidth="1"/>
    <col min="14" max="14" width="1.625" style="109" customWidth="1"/>
    <col min="15" max="15" width="12.375" style="109" customWidth="1"/>
    <col min="16" max="16" width="1.375" style="109" customWidth="1"/>
    <col min="17" max="17" width="12.375" style="109" customWidth="1"/>
    <col min="18" max="18" width="0.875" style="109" customWidth="1"/>
    <col min="19" max="19" width="12" style="109" customWidth="1"/>
    <col min="20" max="20" width="2.75" style="109" customWidth="1"/>
    <col min="21" max="21" width="11.625" style="109" customWidth="1"/>
    <col min="22" max="22" width="2.5" style="369" customWidth="1"/>
    <col min="23" max="23" width="12.875" style="109" customWidth="1"/>
    <col min="24" max="24" width="0.875" style="109" customWidth="1"/>
    <col min="25" max="25" width="2.75" style="109" bestFit="1" customWidth="1"/>
    <col min="26" max="16384" width="1.375" style="109"/>
  </cols>
  <sheetData>
    <row r="1" spans="1:24" s="799" customFormat="1" ht="23.25" customHeight="1">
      <c r="A1" s="3444" t="s">
        <v>612</v>
      </c>
      <c r="B1" s="3444"/>
      <c r="C1" s="3444"/>
      <c r="D1" s="3444"/>
      <c r="E1" s="3444"/>
      <c r="F1" s="3444"/>
      <c r="G1" s="3444"/>
      <c r="H1" s="3444"/>
      <c r="I1" s="3444"/>
      <c r="J1" s="3444"/>
      <c r="K1" s="3444"/>
      <c r="L1" s="3444"/>
      <c r="M1" s="3444"/>
      <c r="N1" s="3444"/>
      <c r="O1" s="3444"/>
      <c r="P1" s="3444"/>
      <c r="Q1" s="3444"/>
      <c r="R1" s="3444"/>
      <c r="S1" s="3444"/>
      <c r="T1" s="3444"/>
      <c r="U1" s="3444"/>
      <c r="V1" s="3444"/>
      <c r="W1" s="3444"/>
      <c r="X1" s="3444"/>
    </row>
    <row r="2" spans="1:24" s="799" customFormat="1" ht="22.5" customHeight="1">
      <c r="A2" s="3444" t="str">
        <f>مفروضات!A2</f>
        <v>يادداشت هاي توضيحي صورت هاي مالي</v>
      </c>
      <c r="B2" s="3444"/>
      <c r="C2" s="3444"/>
      <c r="D2" s="3444"/>
      <c r="E2" s="3444"/>
      <c r="F2" s="3444"/>
      <c r="G2" s="3444"/>
      <c r="H2" s="3444"/>
      <c r="I2" s="3444"/>
      <c r="J2" s="3444"/>
      <c r="K2" s="3444"/>
      <c r="L2" s="3444"/>
      <c r="M2" s="3444"/>
      <c r="N2" s="3444"/>
      <c r="O2" s="3444"/>
      <c r="P2" s="3444"/>
      <c r="Q2" s="3444"/>
      <c r="R2" s="3444"/>
      <c r="S2" s="3444"/>
      <c r="T2" s="3444"/>
      <c r="U2" s="3444"/>
      <c r="V2" s="3444"/>
      <c r="W2" s="3444"/>
      <c r="X2" s="3444"/>
    </row>
    <row r="3" spans="1:24" s="830" customFormat="1" ht="23.25" customHeight="1">
      <c r="A3" s="3444" t="str">
        <f>mafrozat!A3</f>
        <v xml:space="preserve"> سال مالي منتهي به 29 اسفند 1402</v>
      </c>
      <c r="B3" s="3444"/>
      <c r="C3" s="3444"/>
      <c r="D3" s="3444"/>
      <c r="E3" s="3444"/>
      <c r="F3" s="3444"/>
      <c r="G3" s="3444"/>
      <c r="H3" s="3444"/>
      <c r="I3" s="3444"/>
      <c r="J3" s="3444"/>
      <c r="K3" s="3444"/>
      <c r="L3" s="3444"/>
      <c r="M3" s="3444"/>
      <c r="N3" s="3444"/>
      <c r="O3" s="3444"/>
      <c r="P3" s="3444"/>
      <c r="Q3" s="3444"/>
      <c r="R3" s="3444"/>
      <c r="S3" s="3444"/>
      <c r="T3" s="3444"/>
      <c r="U3" s="3444"/>
      <c r="V3" s="3444"/>
      <c r="W3" s="3444"/>
      <c r="X3" s="3444"/>
    </row>
    <row r="4" spans="1:24" s="338" customFormat="1" ht="24.75" customHeight="1">
      <c r="A4" s="1334"/>
      <c r="B4" s="3446" t="s">
        <v>1919</v>
      </c>
      <c r="C4" s="3446"/>
      <c r="D4" s="1560"/>
      <c r="E4" s="1712">
        <v>901</v>
      </c>
      <c r="F4" s="1713"/>
      <c r="G4" s="1205">
        <v>902</v>
      </c>
      <c r="H4" s="1713"/>
      <c r="I4" s="1713">
        <v>903</v>
      </c>
      <c r="J4" s="1713"/>
      <c r="K4" s="1205">
        <v>905</v>
      </c>
      <c r="L4" s="1713"/>
      <c r="M4" s="1205">
        <v>904</v>
      </c>
      <c r="N4" s="1225"/>
      <c r="O4" s="1268"/>
      <c r="P4" s="1225"/>
      <c r="Q4" s="1205">
        <v>906</v>
      </c>
      <c r="R4" s="1205"/>
      <c r="S4" s="1205">
        <v>907</v>
      </c>
      <c r="T4" s="1205"/>
      <c r="U4" s="1205">
        <v>908</v>
      </c>
      <c r="V4" s="1561"/>
    </row>
    <row r="5" spans="1:24" ht="23.25" customHeight="1">
      <c r="A5" s="1587"/>
      <c r="B5" s="108"/>
      <c r="C5" s="115"/>
      <c r="D5" s="116"/>
      <c r="E5" s="108"/>
      <c r="F5" s="116"/>
      <c r="G5" s="114"/>
      <c r="H5" s="116"/>
      <c r="I5" s="116"/>
      <c r="J5" s="116"/>
      <c r="K5" s="108"/>
      <c r="L5" s="116"/>
      <c r="M5" s="108"/>
      <c r="N5" s="116"/>
      <c r="O5" s="108"/>
      <c r="P5" s="116"/>
      <c r="Q5" s="108"/>
      <c r="R5" s="108"/>
      <c r="S5" s="3445"/>
      <c r="T5" s="3445"/>
      <c r="U5" s="108"/>
      <c r="V5" s="116"/>
      <c r="W5" s="1859" t="s">
        <v>1879</v>
      </c>
    </row>
    <row r="6" spans="1:24" ht="17.25" customHeight="1">
      <c r="A6" s="1205"/>
      <c r="B6" s="1268"/>
      <c r="C6" s="3439"/>
      <c r="D6" s="120"/>
      <c r="E6" s="3440" t="s">
        <v>1378</v>
      </c>
      <c r="F6" s="121"/>
      <c r="G6" s="3440" t="s">
        <v>1858</v>
      </c>
      <c r="H6" s="121"/>
      <c r="I6" s="3440" t="s">
        <v>1859</v>
      </c>
      <c r="J6" s="121"/>
      <c r="K6" s="3440" t="s">
        <v>1860</v>
      </c>
      <c r="L6" s="121"/>
      <c r="M6" s="3440" t="s">
        <v>1861</v>
      </c>
      <c r="N6" s="121"/>
      <c r="O6" s="3440" t="s">
        <v>1468</v>
      </c>
      <c r="P6" s="121"/>
      <c r="Q6" s="3440" t="s">
        <v>1862</v>
      </c>
      <c r="R6" s="121"/>
      <c r="S6" s="3441" t="s">
        <v>1863</v>
      </c>
      <c r="T6" s="3440"/>
      <c r="U6" s="3445" t="s">
        <v>1864</v>
      </c>
      <c r="V6" s="1227"/>
      <c r="W6" s="3447" t="s">
        <v>1468</v>
      </c>
    </row>
    <row r="7" spans="1:24" ht="25.5" customHeight="1">
      <c r="A7" s="1205"/>
      <c r="B7" s="1268"/>
      <c r="C7" s="3439"/>
      <c r="D7" s="120"/>
      <c r="E7" s="3441"/>
      <c r="F7" s="121"/>
      <c r="G7" s="3441"/>
      <c r="H7" s="121"/>
      <c r="I7" s="3441"/>
      <c r="J7" s="121"/>
      <c r="K7" s="3441"/>
      <c r="L7" s="121"/>
      <c r="M7" s="3441"/>
      <c r="N7" s="121"/>
      <c r="O7" s="3441"/>
      <c r="P7" s="123"/>
      <c r="Q7" s="3441"/>
      <c r="R7" s="121"/>
      <c r="S7" s="3449"/>
      <c r="T7" s="3440"/>
      <c r="U7" s="3450"/>
      <c r="V7" s="1227"/>
      <c r="W7" s="3448"/>
    </row>
    <row r="8" spans="1:24" s="126" customFormat="1" ht="26.25" customHeight="1">
      <c r="A8" s="1206">
        <v>901</v>
      </c>
      <c r="B8" s="1269"/>
      <c r="C8" s="1367" t="s">
        <v>1482</v>
      </c>
      <c r="D8" s="111"/>
      <c r="E8" s="125"/>
      <c r="F8" s="125"/>
      <c r="G8" s="125"/>
      <c r="H8" s="125"/>
      <c r="I8" s="125"/>
      <c r="K8" s="125"/>
      <c r="L8" s="111"/>
      <c r="M8" s="125"/>
      <c r="N8" s="125"/>
      <c r="O8" s="125"/>
      <c r="P8" s="125"/>
      <c r="Q8" s="125"/>
      <c r="R8" s="125"/>
      <c r="S8" s="125"/>
      <c r="T8" s="125"/>
      <c r="U8" s="125"/>
      <c r="V8" s="1228"/>
      <c r="W8" s="125"/>
    </row>
    <row r="9" spans="1:24" s="126" customFormat="1" ht="26.25" customHeight="1">
      <c r="A9" s="1206"/>
      <c r="B9" s="1269"/>
      <c r="C9" s="111" t="s">
        <v>2651</v>
      </c>
      <c r="D9" s="111"/>
      <c r="E9" s="125">
        <v>2438622</v>
      </c>
      <c r="G9" s="125">
        <f>36378338-2</f>
        <v>36378336</v>
      </c>
      <c r="H9" s="125"/>
      <c r="I9" s="125">
        <f>2828528-1</f>
        <v>2828527</v>
      </c>
      <c r="J9" s="125"/>
      <c r="K9" s="125">
        <f>1002476-1</f>
        <v>1002475</v>
      </c>
      <c r="L9" s="125">
        <v>0</v>
      </c>
      <c r="M9" s="125">
        <f>723966+3</f>
        <v>723969</v>
      </c>
      <c r="N9" s="125"/>
      <c r="O9" s="125">
        <f>SUM(E9:M9)</f>
        <v>43371929</v>
      </c>
      <c r="P9" s="125">
        <v>0</v>
      </c>
      <c r="Q9" s="125">
        <f>18921205</f>
        <v>18921205</v>
      </c>
      <c r="R9" s="125">
        <v>0</v>
      </c>
      <c r="S9" s="125">
        <v>13202299</v>
      </c>
      <c r="T9" s="125"/>
      <c r="U9" s="125">
        <v>2440427</v>
      </c>
      <c r="V9" s="125"/>
      <c r="W9" s="125">
        <f>SUM(O9:U9)</f>
        <v>77935860</v>
      </c>
    </row>
    <row r="10" spans="1:24" s="126" customFormat="1" ht="26.25" customHeight="1">
      <c r="A10" s="1206"/>
      <c r="B10" s="1269"/>
      <c r="C10" s="130" t="s">
        <v>1675</v>
      </c>
      <c r="D10" s="111"/>
      <c r="E10" s="125">
        <v>0</v>
      </c>
      <c r="F10" s="125"/>
      <c r="G10" s="125">
        <v>185663</v>
      </c>
      <c r="H10" s="125"/>
      <c r="I10" s="125">
        <v>284691</v>
      </c>
      <c r="J10" s="125"/>
      <c r="K10" s="125">
        <v>23945</v>
      </c>
      <c r="L10" s="125"/>
      <c r="M10" s="125">
        <v>154880</v>
      </c>
      <c r="N10" s="125"/>
      <c r="O10" s="125">
        <f t="shared" ref="O10:O15" si="0">SUM(E10:M10)</f>
        <v>649179</v>
      </c>
      <c r="P10" s="125"/>
      <c r="Q10" s="125">
        <v>8797323</v>
      </c>
      <c r="R10" s="125"/>
      <c r="S10" s="125">
        <v>3664302</v>
      </c>
      <c r="T10" s="125"/>
      <c r="U10" s="125">
        <v>1615965</v>
      </c>
      <c r="V10" s="125"/>
      <c r="W10" s="125">
        <f t="shared" ref="W10:W15" si="1">SUM(O10:U10)</f>
        <v>14726769</v>
      </c>
    </row>
    <row r="11" spans="1:24" s="126" customFormat="1" ht="26.25" customHeight="1">
      <c r="A11" s="1206"/>
      <c r="B11" s="1269"/>
      <c r="C11" s="130" t="s">
        <v>2487</v>
      </c>
      <c r="D11" s="111"/>
      <c r="E11" s="125">
        <v>0</v>
      </c>
      <c r="F11" s="125"/>
      <c r="G11" s="125">
        <v>8650260</v>
      </c>
      <c r="H11" s="125"/>
      <c r="I11" s="125">
        <v>0</v>
      </c>
      <c r="J11" s="125"/>
      <c r="K11" s="125">
        <v>0</v>
      </c>
      <c r="L11" s="125"/>
      <c r="M11" s="125">
        <v>0</v>
      </c>
      <c r="N11" s="125"/>
      <c r="O11" s="125">
        <f t="shared" si="0"/>
        <v>8650260</v>
      </c>
      <c r="P11" s="125"/>
      <c r="Q11" s="125">
        <v>29620920</v>
      </c>
      <c r="R11" s="125"/>
      <c r="S11" s="125">
        <v>15432362</v>
      </c>
      <c r="T11" s="125"/>
      <c r="U11" s="125">
        <v>0</v>
      </c>
      <c r="V11" s="125"/>
      <c r="W11" s="125">
        <f t="shared" si="1"/>
        <v>53703542</v>
      </c>
    </row>
    <row r="12" spans="1:24" s="126" customFormat="1" ht="26.25" customHeight="1">
      <c r="A12" s="1206"/>
      <c r="B12" s="1269"/>
      <c r="C12" s="111" t="s">
        <v>2038</v>
      </c>
      <c r="D12" s="111"/>
      <c r="E12" s="125">
        <v>0</v>
      </c>
      <c r="F12" s="125"/>
      <c r="G12" s="1434">
        <v>0</v>
      </c>
      <c r="H12" s="1434"/>
      <c r="I12" s="1434">
        <v>-2615</v>
      </c>
      <c r="J12" s="1434"/>
      <c r="K12" s="1434">
        <v>-1059</v>
      </c>
      <c r="L12" s="1434"/>
      <c r="M12" s="1434">
        <v>-1761</v>
      </c>
      <c r="N12" s="1434"/>
      <c r="O12" s="125">
        <f t="shared" si="0"/>
        <v>-5435</v>
      </c>
      <c r="P12" s="1434"/>
      <c r="Q12" s="1722">
        <v>0</v>
      </c>
      <c r="R12" s="1722"/>
      <c r="S12" s="1722">
        <v>0</v>
      </c>
      <c r="T12" s="1722"/>
      <c r="U12" s="1722">
        <v>0</v>
      </c>
      <c r="V12" s="1434"/>
      <c r="W12" s="125">
        <f t="shared" si="1"/>
        <v>-5435</v>
      </c>
    </row>
    <row r="13" spans="1:24" s="126" customFormat="1" ht="26.25" customHeight="1">
      <c r="A13" s="1206"/>
      <c r="B13" s="1269"/>
      <c r="C13" s="111" t="s">
        <v>1867</v>
      </c>
      <c r="D13" s="111"/>
      <c r="E13" s="125">
        <v>0</v>
      </c>
      <c r="F13" s="125"/>
      <c r="G13" s="1434">
        <v>688</v>
      </c>
      <c r="H13" s="1434"/>
      <c r="I13" s="1434">
        <v>-757</v>
      </c>
      <c r="J13" s="1434"/>
      <c r="K13" s="1434"/>
      <c r="L13" s="1434"/>
      <c r="M13" s="1434">
        <v>2</v>
      </c>
      <c r="N13" s="1434"/>
      <c r="O13" s="125">
        <f t="shared" si="0"/>
        <v>-67</v>
      </c>
      <c r="P13" s="1434"/>
      <c r="Q13" s="1722">
        <v>0</v>
      </c>
      <c r="R13" s="1722"/>
      <c r="S13" s="1434">
        <v>-3320453</v>
      </c>
      <c r="T13" s="1722"/>
      <c r="U13" s="1722">
        <v>-3363406</v>
      </c>
      <c r="V13" s="1434"/>
      <c r="W13" s="125">
        <f t="shared" si="1"/>
        <v>-6683926</v>
      </c>
    </row>
    <row r="14" spans="1:24" s="126" customFormat="1" ht="26.25" customHeight="1">
      <c r="A14" s="1206"/>
      <c r="B14" s="1269"/>
      <c r="C14" s="130" t="s">
        <v>2488</v>
      </c>
      <c r="D14" s="111"/>
      <c r="E14" s="125">
        <v>0</v>
      </c>
      <c r="F14" s="125"/>
      <c r="G14" s="1434">
        <v>0</v>
      </c>
      <c r="H14" s="1434"/>
      <c r="I14" s="1434">
        <v>0</v>
      </c>
      <c r="J14" s="1434"/>
      <c r="K14" s="1434">
        <v>0</v>
      </c>
      <c r="L14" s="1434"/>
      <c r="M14" s="1434">
        <v>0</v>
      </c>
      <c r="N14" s="1434"/>
      <c r="O14" s="125">
        <f t="shared" si="0"/>
        <v>0</v>
      </c>
      <c r="P14" s="1434"/>
      <c r="Q14" s="1434">
        <v>-6719938</v>
      </c>
      <c r="R14" s="1434"/>
      <c r="S14" s="1434">
        <v>-11729224</v>
      </c>
      <c r="T14" s="1434"/>
      <c r="U14" s="1434">
        <v>0</v>
      </c>
      <c r="V14" s="1434"/>
      <c r="W14" s="125">
        <f t="shared" si="1"/>
        <v>-18449162</v>
      </c>
    </row>
    <row r="15" spans="1:24" s="126" customFormat="1" ht="26.25" customHeight="1">
      <c r="A15" s="1206">
        <v>907</v>
      </c>
      <c r="B15" s="1269"/>
      <c r="C15" s="111" t="s">
        <v>1865</v>
      </c>
      <c r="D15" s="111"/>
      <c r="E15" s="128">
        <v>408965</v>
      </c>
      <c r="F15" s="128"/>
      <c r="G15" s="1445">
        <v>1790209</v>
      </c>
      <c r="H15" s="1445"/>
      <c r="I15" s="1445">
        <v>120750</v>
      </c>
      <c r="J15" s="1435"/>
      <c r="K15" s="1445">
        <v>50053</v>
      </c>
      <c r="L15" s="1436"/>
      <c r="M15" s="1445">
        <v>9094</v>
      </c>
      <c r="N15" s="1445"/>
      <c r="O15" s="125">
        <f t="shared" si="0"/>
        <v>2379071</v>
      </c>
      <c r="P15" s="1445"/>
      <c r="Q15" s="1445">
        <v>-2379071</v>
      </c>
      <c r="R15" s="1445"/>
      <c r="S15" s="1723">
        <v>0</v>
      </c>
      <c r="T15" s="1723"/>
      <c r="U15" s="1723"/>
      <c r="V15" s="1724"/>
      <c r="W15" s="125">
        <f t="shared" si="1"/>
        <v>0</v>
      </c>
    </row>
    <row r="16" spans="1:24" s="126" customFormat="1" ht="24.75" customHeight="1">
      <c r="A16" s="1206"/>
      <c r="B16" s="1270"/>
      <c r="C16" s="1329" t="s">
        <v>2652</v>
      </c>
      <c r="D16" s="111"/>
      <c r="E16" s="1446">
        <f>E9+E10+E12+E14+E15</f>
        <v>2847587</v>
      </c>
      <c r="F16" s="128"/>
      <c r="G16" s="1446">
        <f>SUM(G9:G15)</f>
        <v>47005156</v>
      </c>
      <c r="H16" s="128"/>
      <c r="I16" s="1446">
        <f>SUM(I9:I15)</f>
        <v>3230596</v>
      </c>
      <c r="J16" s="128"/>
      <c r="K16" s="1446">
        <f>SUM(K9:K15)</f>
        <v>1075414</v>
      </c>
      <c r="L16" s="128">
        <f>L9+L10+L12+L14+L15</f>
        <v>0</v>
      </c>
      <c r="M16" s="1446">
        <f>SUM(M9:M15)</f>
        <v>886184</v>
      </c>
      <c r="N16" s="128"/>
      <c r="O16" s="1446">
        <f>SUM(O9:O15)</f>
        <v>55044937</v>
      </c>
      <c r="P16" s="128">
        <f>P9+P10+P12+P14+P15</f>
        <v>0</v>
      </c>
      <c r="Q16" s="1446">
        <f>SUM(Q9:Q15)</f>
        <v>48240439</v>
      </c>
      <c r="R16" s="128">
        <f>R9+R10+R12+R14+R15</f>
        <v>0</v>
      </c>
      <c r="S16" s="1446">
        <f>S9+S10+S12+S14+S15+S11+S13</f>
        <v>17249286</v>
      </c>
      <c r="T16" s="1446"/>
      <c r="U16" s="1446">
        <f t="shared" ref="U16" si="2">U9+U10+U12+U14+U15+U11+U13</f>
        <v>692986</v>
      </c>
      <c r="V16" s="128"/>
      <c r="W16" s="1446">
        <f>SUM(O16:U16)</f>
        <v>121227648</v>
      </c>
    </row>
    <row r="17" spans="1:23" s="126" customFormat="1" ht="17.25" customHeight="1">
      <c r="A17" s="1206"/>
      <c r="B17" s="1270"/>
      <c r="C17" s="3314" t="s">
        <v>1882</v>
      </c>
      <c r="D17" s="111"/>
      <c r="E17" s="125">
        <v>0</v>
      </c>
      <c r="F17" s="131"/>
      <c r="G17" s="131">
        <v>0</v>
      </c>
      <c r="H17" s="131"/>
      <c r="I17" s="131">
        <v>337512</v>
      </c>
      <c r="J17" s="131"/>
      <c r="K17" s="131">
        <v>25951</v>
      </c>
      <c r="L17" s="131"/>
      <c r="M17" s="131">
        <v>444895</v>
      </c>
      <c r="N17" s="131"/>
      <c r="O17" s="131">
        <f>SUM(E17:M17)</f>
        <v>808358</v>
      </c>
      <c r="P17" s="128"/>
      <c r="Q17" s="128">
        <f>'16'!M43</f>
        <v>883692</v>
      </c>
      <c r="R17" s="128"/>
      <c r="S17" s="128">
        <f>505364+398508-50000-190000+68585</f>
        <v>732457</v>
      </c>
      <c r="T17" s="128"/>
      <c r="U17" s="131">
        <f>548024+1107289</f>
        <v>1655313</v>
      </c>
      <c r="V17" s="1230"/>
      <c r="W17" s="128">
        <f>SUM(O17:U17)</f>
        <v>4079820</v>
      </c>
    </row>
    <row r="18" spans="1:23" s="126" customFormat="1" ht="17.25" customHeight="1">
      <c r="A18" s="1206"/>
      <c r="B18" s="1270"/>
      <c r="C18" s="130" t="s">
        <v>2818</v>
      </c>
      <c r="D18" s="111"/>
      <c r="E18" s="125"/>
      <c r="F18" s="131"/>
      <c r="G18" s="131">
        <v>0</v>
      </c>
      <c r="H18" s="131"/>
      <c r="I18" s="131">
        <v>0</v>
      </c>
      <c r="J18" s="131"/>
      <c r="K18" s="131">
        <v>0</v>
      </c>
      <c r="L18" s="131"/>
      <c r="M18" s="131">
        <v>0</v>
      </c>
      <c r="N18" s="131"/>
      <c r="O18" s="131">
        <v>0</v>
      </c>
      <c r="P18" s="128"/>
      <c r="Q18" s="128">
        <f>'16'!M44</f>
        <v>17090122</v>
      </c>
      <c r="R18" s="128"/>
      <c r="S18" s="128">
        <f>'18'!N9+'18'!N26</f>
        <v>5373662</v>
      </c>
      <c r="T18" s="128"/>
      <c r="U18" s="131">
        <v>0</v>
      </c>
      <c r="V18" s="1230"/>
      <c r="W18" s="128">
        <f>SUM(O18:U18)</f>
        <v>22463784</v>
      </c>
    </row>
    <row r="19" spans="1:23" s="126" customFormat="1" ht="17.25" hidden="1" customHeight="1">
      <c r="A19" s="1206"/>
      <c r="B19" s="1270"/>
      <c r="C19" s="130"/>
      <c r="D19" s="111"/>
      <c r="E19" s="125">
        <v>0</v>
      </c>
      <c r="F19" s="131"/>
      <c r="G19" s="131">
        <f>-'16'!P44</f>
        <v>0</v>
      </c>
      <c r="H19" s="131"/>
      <c r="I19" s="131">
        <v>0</v>
      </c>
      <c r="J19" s="131"/>
      <c r="K19" s="131">
        <v>0</v>
      </c>
      <c r="L19" s="131"/>
      <c r="M19" s="131">
        <v>0</v>
      </c>
      <c r="N19" s="131"/>
      <c r="O19" s="131">
        <f>SUM(E19:M19)</f>
        <v>0</v>
      </c>
      <c r="P19" s="128"/>
      <c r="Q19" s="128"/>
      <c r="R19" s="128"/>
      <c r="T19" s="128"/>
      <c r="U19" s="131">
        <v>0</v>
      </c>
      <c r="V19" s="1230"/>
      <c r="W19" s="128">
        <f t="shared" ref="W19:W23" si="3">SUM(O19:U19)</f>
        <v>0</v>
      </c>
    </row>
    <row r="20" spans="1:23" s="126" customFormat="1" ht="19.5" customHeight="1">
      <c r="A20" s="1206"/>
      <c r="B20" s="1270"/>
      <c r="C20" s="1330" t="s">
        <v>2038</v>
      </c>
      <c r="D20" s="111"/>
      <c r="E20" s="125">
        <v>0</v>
      </c>
      <c r="F20" s="131"/>
      <c r="G20" s="131">
        <f>-18076-857</f>
        <v>-18933</v>
      </c>
      <c r="H20" s="131"/>
      <c r="I20" s="131">
        <v>-5607</v>
      </c>
      <c r="J20" s="131"/>
      <c r="K20" s="131">
        <v>-4096</v>
      </c>
      <c r="L20" s="131"/>
      <c r="M20" s="131">
        <v>-2794</v>
      </c>
      <c r="N20" s="131"/>
      <c r="O20" s="131">
        <f t="shared" ref="O20:O21" si="4">SUM(E20:M20)</f>
        <v>-31430</v>
      </c>
      <c r="P20" s="128"/>
      <c r="Q20" s="128">
        <v>0</v>
      </c>
      <c r="R20" s="128"/>
      <c r="S20" s="128">
        <v>0</v>
      </c>
      <c r="T20" s="128"/>
      <c r="U20" s="128">
        <v>0</v>
      </c>
      <c r="V20" s="1230"/>
      <c r="W20" s="128">
        <f t="shared" si="3"/>
        <v>-31430</v>
      </c>
    </row>
    <row r="21" spans="1:23" s="126" customFormat="1" ht="19.5" customHeight="1">
      <c r="A21" s="1206"/>
      <c r="B21" s="1270"/>
      <c r="C21" s="111" t="s">
        <v>1867</v>
      </c>
      <c r="D21" s="111"/>
      <c r="E21" s="125">
        <v>0</v>
      </c>
      <c r="F21" s="131"/>
      <c r="G21" s="131">
        <v>-10357</v>
      </c>
      <c r="H21" s="131"/>
      <c r="I21" s="131">
        <v>10357</v>
      </c>
      <c r="J21" s="131"/>
      <c r="K21" s="131">
        <v>0</v>
      </c>
      <c r="L21" s="131"/>
      <c r="M21" s="131"/>
      <c r="N21" s="131"/>
      <c r="O21" s="131">
        <f t="shared" si="4"/>
        <v>0</v>
      </c>
      <c r="P21" s="128"/>
      <c r="Q21" s="128">
        <v>0</v>
      </c>
      <c r="R21" s="128"/>
      <c r="S21" s="131">
        <f>'18'!N41+'18'!N46+'18'!N47</f>
        <v>-1479035</v>
      </c>
      <c r="T21" s="128"/>
      <c r="U21" s="128">
        <f>'18'!P53</f>
        <v>-968324</v>
      </c>
      <c r="V21" s="1230"/>
      <c r="W21" s="128">
        <f t="shared" si="3"/>
        <v>-2447359</v>
      </c>
    </row>
    <row r="22" spans="1:23" s="126" customFormat="1" ht="19.5" customHeight="1">
      <c r="A22" s="1206"/>
      <c r="B22" s="1270"/>
      <c r="C22" s="130" t="s">
        <v>2819</v>
      </c>
      <c r="D22" s="111"/>
      <c r="E22" s="125">
        <v>0</v>
      </c>
      <c r="F22" s="131"/>
      <c r="G22" s="131">
        <v>0</v>
      </c>
      <c r="H22" s="131"/>
      <c r="I22" s="131">
        <v>0</v>
      </c>
      <c r="J22" s="131"/>
      <c r="K22" s="131">
        <v>0</v>
      </c>
      <c r="L22" s="131"/>
      <c r="M22" s="131">
        <v>0</v>
      </c>
      <c r="N22" s="131"/>
      <c r="O22" s="131">
        <v>0</v>
      </c>
      <c r="P22" s="128"/>
      <c r="Q22" s="128">
        <f>'16'!N48</f>
        <v>-4369174</v>
      </c>
      <c r="R22" s="128"/>
      <c r="S22" s="131">
        <f>'18'!N42+'18'!N43</f>
        <v>-15432362</v>
      </c>
      <c r="T22" s="128"/>
      <c r="U22" s="128">
        <v>0</v>
      </c>
      <c r="V22" s="1230"/>
      <c r="W22" s="128">
        <f t="shared" si="3"/>
        <v>-19801536</v>
      </c>
    </row>
    <row r="23" spans="1:23" s="126" customFormat="1" ht="24" customHeight="1">
      <c r="A23" s="1856" t="s">
        <v>2061</v>
      </c>
      <c r="B23" s="1271"/>
      <c r="C23" s="126" t="s">
        <v>1865</v>
      </c>
      <c r="D23" s="139"/>
      <c r="E23" s="128">
        <v>1921</v>
      </c>
      <c r="F23" s="131"/>
      <c r="G23" s="1627">
        <v>2554219</v>
      </c>
      <c r="H23" s="1628"/>
      <c r="I23" s="1627">
        <v>264013</v>
      </c>
      <c r="J23" s="1629"/>
      <c r="K23" s="1627">
        <v>523261</v>
      </c>
      <c r="L23" s="1630"/>
      <c r="M23" s="1627">
        <v>31208</v>
      </c>
      <c r="N23" s="1434"/>
      <c r="O23" s="131">
        <f>SUM(E23:M23)</f>
        <v>3374622</v>
      </c>
      <c r="P23" s="1434"/>
      <c r="Q23" s="1445">
        <v>-3374622</v>
      </c>
      <c r="R23" s="1434"/>
      <c r="S23" s="1445">
        <v>0</v>
      </c>
      <c r="T23" s="1434"/>
      <c r="U23" s="1445">
        <v>0</v>
      </c>
      <c r="V23" s="1437"/>
      <c r="W23" s="128">
        <f t="shared" si="3"/>
        <v>0</v>
      </c>
    </row>
    <row r="24" spans="1:23" ht="21.75" customHeight="1">
      <c r="A24" s="1208">
        <v>9</v>
      </c>
      <c r="B24" s="1272"/>
      <c r="C24" s="1329" t="s">
        <v>2653</v>
      </c>
      <c r="D24" s="140"/>
      <c r="E24" s="1331">
        <f t="shared" ref="E24:S24" si="5">SUM(E16:E23)</f>
        <v>2849508</v>
      </c>
      <c r="F24" s="1231">
        <f t="shared" si="5"/>
        <v>0</v>
      </c>
      <c r="G24" s="1331">
        <f t="shared" si="5"/>
        <v>49530085</v>
      </c>
      <c r="H24" s="1231">
        <f t="shared" si="5"/>
        <v>0</v>
      </c>
      <c r="I24" s="1331">
        <f t="shared" si="5"/>
        <v>3836871</v>
      </c>
      <c r="J24" s="1231">
        <f t="shared" si="5"/>
        <v>0</v>
      </c>
      <c r="K24" s="1331">
        <f t="shared" si="5"/>
        <v>1620530</v>
      </c>
      <c r="L24" s="1231">
        <f t="shared" si="5"/>
        <v>0</v>
      </c>
      <c r="M24" s="1331">
        <f t="shared" si="5"/>
        <v>1359493</v>
      </c>
      <c r="N24" s="1231">
        <f t="shared" si="5"/>
        <v>0</v>
      </c>
      <c r="O24" s="1331">
        <f t="shared" si="5"/>
        <v>59196487</v>
      </c>
      <c r="P24" s="1231">
        <f t="shared" si="5"/>
        <v>0</v>
      </c>
      <c r="Q24" s="1331">
        <f t="shared" si="5"/>
        <v>58470457</v>
      </c>
      <c r="R24" s="142">
        <f t="shared" si="5"/>
        <v>0</v>
      </c>
      <c r="S24" s="1331">
        <f t="shared" si="5"/>
        <v>6444008</v>
      </c>
      <c r="T24" s="142"/>
      <c r="U24" s="1331">
        <f>SUM(U16:U23)</f>
        <v>1379975</v>
      </c>
      <c r="V24" s="142"/>
      <c r="W24" s="1331">
        <f>SUM(W16:W23)</f>
        <v>125490927</v>
      </c>
    </row>
    <row r="25" spans="1:23" s="126" customFormat="1" ht="25.5" customHeight="1">
      <c r="A25" s="1206">
        <v>901</v>
      </c>
      <c r="B25" s="1269"/>
      <c r="C25" s="1367" t="s">
        <v>2362</v>
      </c>
      <c r="D25" s="111"/>
      <c r="E25" s="128"/>
      <c r="F25" s="128"/>
      <c r="G25" s="128"/>
      <c r="H25" s="128"/>
      <c r="I25" s="128"/>
      <c r="J25" s="128"/>
      <c r="K25" s="128"/>
      <c r="L25" s="128"/>
      <c r="M25" s="128"/>
      <c r="N25" s="128"/>
      <c r="O25" s="1450"/>
      <c r="P25" s="111"/>
      <c r="Q25" s="125"/>
      <c r="R25" s="125"/>
      <c r="S25" s="125"/>
      <c r="T25" s="125"/>
      <c r="U25" s="125"/>
      <c r="V25" s="1228"/>
      <c r="W25" s="128"/>
    </row>
    <row r="26" spans="1:23" s="126" customFormat="1" ht="26.25" customHeight="1">
      <c r="A26" s="1206"/>
      <c r="B26" s="1269"/>
      <c r="C26" s="111" t="s">
        <v>2651</v>
      </c>
      <c r="D26" s="111"/>
      <c r="E26" s="125">
        <v>0</v>
      </c>
      <c r="F26" s="125"/>
      <c r="G26" s="125">
        <v>27546114</v>
      </c>
      <c r="H26" s="125"/>
      <c r="I26" s="125">
        <v>1362258</v>
      </c>
      <c r="J26" s="125"/>
      <c r="K26" s="125">
        <v>682464</v>
      </c>
      <c r="L26" s="125">
        <v>0</v>
      </c>
      <c r="M26" s="125">
        <v>431180</v>
      </c>
      <c r="N26" s="125"/>
      <c r="O26" s="125">
        <f>SUM(E26:M26)</f>
        <v>30022016</v>
      </c>
      <c r="P26" s="125">
        <v>0</v>
      </c>
      <c r="Q26" s="125">
        <v>0</v>
      </c>
      <c r="R26" s="125">
        <v>0</v>
      </c>
      <c r="S26" s="125">
        <v>0</v>
      </c>
      <c r="T26" s="125"/>
      <c r="U26" s="125">
        <v>0</v>
      </c>
      <c r="V26" s="127"/>
      <c r="W26" s="125">
        <f>SUM(O26:U26)</f>
        <v>30022016</v>
      </c>
    </row>
    <row r="27" spans="1:23" s="126" customFormat="1" ht="26.25" customHeight="1">
      <c r="A27" s="1206"/>
      <c r="B27" s="1269"/>
      <c r="C27" s="130" t="s">
        <v>1866</v>
      </c>
      <c r="D27" s="111"/>
      <c r="E27" s="125">
        <v>0</v>
      </c>
      <c r="F27" s="125"/>
      <c r="G27" s="125">
        <v>2118843</v>
      </c>
      <c r="H27" s="125"/>
      <c r="I27" s="125">
        <v>363281</v>
      </c>
      <c r="J27" s="125"/>
      <c r="K27" s="125">
        <f>162925</f>
        <v>162925</v>
      </c>
      <c r="L27" s="125"/>
      <c r="M27" s="125">
        <v>95227</v>
      </c>
      <c r="N27" s="125"/>
      <c r="O27" s="125">
        <f t="shared" ref="O27:O29" si="6">SUM(E27:M27)</f>
        <v>2740276</v>
      </c>
      <c r="P27" s="125"/>
      <c r="Q27" s="125">
        <v>0</v>
      </c>
      <c r="R27" s="125"/>
      <c r="S27" s="125">
        <v>0</v>
      </c>
      <c r="T27" s="125"/>
      <c r="U27" s="125">
        <v>0</v>
      </c>
      <c r="V27" s="127"/>
      <c r="W27" s="125">
        <f t="shared" ref="W27:W29" si="7">SUM(O27:U27)</f>
        <v>2740276</v>
      </c>
    </row>
    <row r="28" spans="1:23" s="126" customFormat="1" ht="26.25" customHeight="1">
      <c r="A28" s="1206">
        <v>907</v>
      </c>
      <c r="B28" s="1269"/>
      <c r="C28" s="111" t="s">
        <v>1282</v>
      </c>
      <c r="D28" s="111"/>
      <c r="E28" s="125">
        <v>0</v>
      </c>
      <c r="F28" s="125"/>
      <c r="G28" s="125">
        <v>0</v>
      </c>
      <c r="H28" s="125"/>
      <c r="I28" s="125">
        <v>-2444</v>
      </c>
      <c r="J28" s="125"/>
      <c r="K28" s="125">
        <v>-1059</v>
      </c>
      <c r="L28" s="125"/>
      <c r="M28" s="125">
        <v>-1724</v>
      </c>
      <c r="N28" s="125"/>
      <c r="O28" s="125">
        <f t="shared" si="6"/>
        <v>-5227</v>
      </c>
      <c r="P28" s="125"/>
      <c r="Q28" s="125">
        <v>0</v>
      </c>
      <c r="R28" s="125"/>
      <c r="S28" s="125">
        <v>0</v>
      </c>
      <c r="T28" s="125"/>
      <c r="U28" s="125">
        <v>0</v>
      </c>
      <c r="V28" s="127"/>
      <c r="W28" s="125">
        <f t="shared" si="7"/>
        <v>-5227</v>
      </c>
    </row>
    <row r="29" spans="1:23" s="126" customFormat="1" ht="26.25" customHeight="1">
      <c r="A29" s="1206"/>
      <c r="B29" s="1269"/>
      <c r="C29" s="111" t="s">
        <v>2489</v>
      </c>
      <c r="D29" s="111"/>
      <c r="E29" s="125">
        <v>0</v>
      </c>
      <c r="F29" s="128"/>
      <c r="G29" s="125"/>
      <c r="H29" s="128"/>
      <c r="I29" s="128"/>
      <c r="J29" s="128"/>
      <c r="K29" s="125"/>
      <c r="L29" s="128"/>
      <c r="M29" s="125"/>
      <c r="N29" s="128"/>
      <c r="O29" s="125">
        <f t="shared" si="6"/>
        <v>0</v>
      </c>
      <c r="P29" s="128"/>
      <c r="Q29" s="125">
        <v>0</v>
      </c>
      <c r="R29" s="128"/>
      <c r="S29" s="125">
        <v>0</v>
      </c>
      <c r="T29" s="128"/>
      <c r="U29" s="125">
        <v>0</v>
      </c>
      <c r="V29" s="131"/>
      <c r="W29" s="125">
        <f t="shared" si="7"/>
        <v>0</v>
      </c>
    </row>
    <row r="30" spans="1:23" s="126" customFormat="1" ht="24.75" customHeight="1">
      <c r="A30" s="1206"/>
      <c r="B30" s="1270"/>
      <c r="C30" s="1329" t="s">
        <v>2215</v>
      </c>
      <c r="D30" s="111"/>
      <c r="E30" s="1446">
        <f>E26+E27+E28</f>
        <v>0</v>
      </c>
      <c r="F30" s="128"/>
      <c r="G30" s="1446">
        <f>SUM(G26:G29)</f>
        <v>29664957</v>
      </c>
      <c r="H30" s="128"/>
      <c r="I30" s="1446">
        <f>SUM(I26:I29)</f>
        <v>1723095</v>
      </c>
      <c r="J30" s="128"/>
      <c r="K30" s="1446">
        <f>SUM(K26:K29)</f>
        <v>844330</v>
      </c>
      <c r="L30" s="128">
        <f t="shared" ref="L30:U30" si="8">L26+L27+L28+L29</f>
        <v>0</v>
      </c>
      <c r="M30" s="1446">
        <f>SUM(M26:M29)</f>
        <v>524683</v>
      </c>
      <c r="N30" s="128"/>
      <c r="O30" s="1446">
        <f>SUM(O26:O29)</f>
        <v>32757065</v>
      </c>
      <c r="P30" s="128">
        <f t="shared" si="8"/>
        <v>0</v>
      </c>
      <c r="Q30" s="1446">
        <f t="shared" si="8"/>
        <v>0</v>
      </c>
      <c r="R30" s="128">
        <f t="shared" si="8"/>
        <v>0</v>
      </c>
      <c r="S30" s="1446">
        <f t="shared" si="8"/>
        <v>0</v>
      </c>
      <c r="T30" s="128"/>
      <c r="U30" s="1446">
        <f t="shared" si="8"/>
        <v>0</v>
      </c>
      <c r="V30" s="128"/>
      <c r="W30" s="1446">
        <f>SUM(W26:W29)</f>
        <v>32757065</v>
      </c>
    </row>
    <row r="31" spans="1:23" s="126" customFormat="1" ht="20.25" customHeight="1">
      <c r="A31" s="1206"/>
      <c r="B31" s="1270"/>
      <c r="C31" s="111" t="s">
        <v>1866</v>
      </c>
      <c r="D31" s="111"/>
      <c r="E31" s="125">
        <v>0</v>
      </c>
      <c r="F31" s="131"/>
      <c r="G31" s="131">
        <v>2381827</v>
      </c>
      <c r="H31" s="131"/>
      <c r="I31" s="131">
        <v>365086</v>
      </c>
      <c r="J31" s="131"/>
      <c r="K31" s="131">
        <v>106842</v>
      </c>
      <c r="L31" s="131"/>
      <c r="M31" s="131">
        <f>135542</f>
        <v>135542</v>
      </c>
      <c r="N31" s="131"/>
      <c r="O31" s="131">
        <f>SUM(E31:M31)</f>
        <v>2989297</v>
      </c>
      <c r="P31" s="131"/>
      <c r="Q31" s="125">
        <v>0</v>
      </c>
      <c r="R31" s="125"/>
      <c r="S31" s="125">
        <v>0</v>
      </c>
      <c r="T31" s="125"/>
      <c r="U31" s="125">
        <v>0</v>
      </c>
      <c r="V31" s="1447"/>
      <c r="W31" s="128">
        <f>'15'!O31+'15'!Q31+'15'!S31+'15'!U31</f>
        <v>2989297</v>
      </c>
    </row>
    <row r="32" spans="1:23" s="126" customFormat="1" ht="24.75" customHeight="1">
      <c r="A32" s="1207">
        <v>907</v>
      </c>
      <c r="B32" s="1271"/>
      <c r="C32" s="111" t="s">
        <v>1282</v>
      </c>
      <c r="D32" s="139"/>
      <c r="E32" s="125">
        <v>0</v>
      </c>
      <c r="F32" s="131"/>
      <c r="G32" s="131">
        <v>-825</v>
      </c>
      <c r="H32" s="131"/>
      <c r="I32" s="131">
        <v>-4647</v>
      </c>
      <c r="J32" s="131"/>
      <c r="K32" s="131">
        <v>-4096</v>
      </c>
      <c r="L32" s="131"/>
      <c r="M32" s="131">
        <v>-2504</v>
      </c>
      <c r="N32" s="131"/>
      <c r="O32" s="131">
        <f>SUM(E32:M32)</f>
        <v>-12072</v>
      </c>
      <c r="P32" s="131"/>
      <c r="Q32" s="125">
        <v>0</v>
      </c>
      <c r="R32" s="125"/>
      <c r="S32" s="125">
        <v>0</v>
      </c>
      <c r="T32" s="125"/>
      <c r="U32" s="125">
        <v>0</v>
      </c>
      <c r="V32" s="127"/>
      <c r="W32" s="128">
        <f>'15'!O32+'15'!Q32+'15'!S32+'15'!U32</f>
        <v>-12072</v>
      </c>
    </row>
    <row r="33" spans="1:24" s="126" customFormat="1" ht="17.25" hidden="1" customHeight="1">
      <c r="A33" s="1207"/>
      <c r="B33" s="1271"/>
      <c r="C33" s="111" t="s">
        <v>1872</v>
      </c>
      <c r="D33" s="139"/>
      <c r="E33" s="125">
        <v>0</v>
      </c>
      <c r="F33" s="131"/>
      <c r="G33" s="133">
        <v>0</v>
      </c>
      <c r="H33" s="131"/>
      <c r="I33" s="133">
        <v>0</v>
      </c>
      <c r="J33" s="131"/>
      <c r="K33" s="133">
        <v>0</v>
      </c>
      <c r="L33" s="131"/>
      <c r="M33" s="133">
        <v>0</v>
      </c>
      <c r="N33" s="131"/>
      <c r="O33" s="131">
        <f t="shared" ref="O33:O34" si="9">SUM(E33:M33)</f>
        <v>0</v>
      </c>
      <c r="P33" s="131"/>
      <c r="Q33" s="125">
        <v>0</v>
      </c>
      <c r="R33" s="125"/>
      <c r="S33" s="125">
        <v>0</v>
      </c>
      <c r="T33" s="125"/>
      <c r="U33" s="125">
        <v>0</v>
      </c>
      <c r="V33" s="131"/>
      <c r="W33" s="128">
        <f>'15'!O33+'15'!Q33+'15'!S33+'15'!U33</f>
        <v>0</v>
      </c>
    </row>
    <row r="34" spans="1:24" s="126" customFormat="1" ht="17.25" customHeight="1">
      <c r="A34" s="1207"/>
      <c r="B34" s="1271"/>
      <c r="C34" s="111" t="s">
        <v>1872</v>
      </c>
      <c r="D34" s="139"/>
      <c r="E34" s="125"/>
      <c r="F34" s="131"/>
      <c r="G34" s="133">
        <v>-10357</v>
      </c>
      <c r="H34" s="131"/>
      <c r="I34" s="133">
        <v>0</v>
      </c>
      <c r="J34" s="131"/>
      <c r="K34" s="133"/>
      <c r="L34" s="131"/>
      <c r="M34" s="133"/>
      <c r="N34" s="131"/>
      <c r="O34" s="131">
        <f t="shared" si="9"/>
        <v>-10357</v>
      </c>
      <c r="P34" s="131"/>
      <c r="Q34" s="125"/>
      <c r="R34" s="125"/>
      <c r="S34" s="125"/>
      <c r="T34" s="125"/>
      <c r="U34" s="125"/>
      <c r="V34" s="131"/>
      <c r="W34" s="128">
        <f>'15'!O34+'15'!Q34+'15'!S34+'15'!U34</f>
        <v>-10357</v>
      </c>
    </row>
    <row r="35" spans="1:24" ht="23.25" customHeight="1">
      <c r="A35" s="1208">
        <v>9</v>
      </c>
      <c r="B35" s="1272"/>
      <c r="C35" s="1329" t="s">
        <v>2653</v>
      </c>
      <c r="D35" s="140"/>
      <c r="E35" s="1331">
        <f>E30+E31+E32</f>
        <v>0</v>
      </c>
      <c r="F35" s="1231">
        <f>F30+F31+F32</f>
        <v>0</v>
      </c>
      <c r="G35" s="1331">
        <f>SUM(G30:G34)</f>
        <v>32035602</v>
      </c>
      <c r="H35" s="1231"/>
      <c r="I35" s="1331">
        <f>SUM(I30:I34)</f>
        <v>2083534</v>
      </c>
      <c r="J35" s="1231">
        <f>J30+J31+J32</f>
        <v>0</v>
      </c>
      <c r="K35" s="1331">
        <f>SUM(K30:K34)</f>
        <v>947076</v>
      </c>
      <c r="L35" s="142">
        <f>L30+L31+L32</f>
        <v>0</v>
      </c>
      <c r="M35" s="1331">
        <f>SUM(M30:M34)</f>
        <v>657721</v>
      </c>
      <c r="N35" s="1231">
        <f>N30+N31+N32</f>
        <v>0</v>
      </c>
      <c r="O35" s="1331">
        <f>SUM(O30:O34)</f>
        <v>35723933</v>
      </c>
      <c r="P35" s="142">
        <f>P30+P31+P32</f>
        <v>0</v>
      </c>
      <c r="Q35" s="1331">
        <f>Q30+Q31+Q32</f>
        <v>0</v>
      </c>
      <c r="R35" s="142">
        <f>R30+R31+R32</f>
        <v>0</v>
      </c>
      <c r="S35" s="1331">
        <f>S30+S31+S32</f>
        <v>0</v>
      </c>
      <c r="T35" s="142"/>
      <c r="U35" s="1331">
        <f>U30+U31+U32</f>
        <v>0</v>
      </c>
      <c r="V35" s="142"/>
      <c r="W35" s="1331">
        <f>SUM(W30:W34)</f>
        <v>35723933</v>
      </c>
    </row>
    <row r="36" spans="1:24" ht="27" thickBot="1">
      <c r="C36" s="118" t="s">
        <v>2654</v>
      </c>
      <c r="E36" s="1448">
        <f>E24-E35</f>
        <v>2849508</v>
      </c>
      <c r="G36" s="1448">
        <f>G24-G35</f>
        <v>17494483</v>
      </c>
      <c r="I36" s="1448">
        <f>I24-I35</f>
        <v>1753337</v>
      </c>
      <c r="K36" s="1448">
        <f>K24-K35</f>
        <v>673454</v>
      </c>
      <c r="L36" s="1725">
        <f t="shared" ref="L36:M36" si="10">L24-L35</f>
        <v>0</v>
      </c>
      <c r="M36" s="1448">
        <f t="shared" si="10"/>
        <v>701772</v>
      </c>
      <c r="O36" s="1448">
        <f>O24-O35</f>
        <v>23472554</v>
      </c>
      <c r="Q36" s="1448">
        <f>Q24-Q35</f>
        <v>58470457</v>
      </c>
      <c r="S36" s="1448">
        <f>S24-S35</f>
        <v>6444008</v>
      </c>
      <c r="U36" s="1448">
        <f>U24-U35</f>
        <v>1379975</v>
      </c>
      <c r="W36" s="1448">
        <f>O36+Q36+S36+U36</f>
        <v>89766994</v>
      </c>
    </row>
    <row r="37" spans="1:24" ht="21" customHeight="1" thickTop="1" thickBot="1">
      <c r="A37" s="1208">
        <v>9</v>
      </c>
      <c r="B37" s="1272"/>
      <c r="C37" s="118" t="s">
        <v>2216</v>
      </c>
      <c r="D37" s="140"/>
      <c r="E37" s="1449">
        <v>2847587</v>
      </c>
      <c r="F37" s="142"/>
      <c r="G37" s="1449">
        <v>17340201</v>
      </c>
      <c r="H37" s="142"/>
      <c r="I37" s="1449">
        <v>1507502</v>
      </c>
      <c r="J37" s="142"/>
      <c r="K37" s="1449">
        <v>231085</v>
      </c>
      <c r="L37" s="142">
        <v>0</v>
      </c>
      <c r="M37" s="1449">
        <v>361498</v>
      </c>
      <c r="N37" s="142"/>
      <c r="O37" s="143">
        <v>22287873</v>
      </c>
      <c r="P37" s="142"/>
      <c r="Q37" s="1449">
        <v>48240439</v>
      </c>
      <c r="R37" s="142">
        <v>0</v>
      </c>
      <c r="S37" s="1449">
        <v>17249286</v>
      </c>
      <c r="T37" s="142"/>
      <c r="U37" s="1449">
        <v>692986</v>
      </c>
      <c r="V37" s="142"/>
      <c r="W37" s="1448">
        <f>O37+Q37+S37+U37</f>
        <v>88470584</v>
      </c>
    </row>
    <row r="38" spans="1:24" s="562" customFormat="1" ht="29.25" customHeight="1" thickTop="1">
      <c r="A38" s="1569"/>
      <c r="B38" s="1570"/>
      <c r="C38" s="1571"/>
      <c r="D38" s="1571"/>
      <c r="E38" s="3258">
        <f>SUMIF('1402'!$B$4:$B$585,E4,'1402'!$W$4:$W$585)</f>
        <v>2849508</v>
      </c>
      <c r="F38" s="3259"/>
      <c r="G38" s="3260">
        <f>SUMIF('1402'!$B$4:$B$585,G4,'1402'!$W$4:$W$585)</f>
        <v>17494483</v>
      </c>
      <c r="H38" s="3259"/>
      <c r="I38" s="3258">
        <f>SUMIF('1402'!$B$4:$B$585,I4,'1402'!$W$4:$W$585)</f>
        <v>1753337</v>
      </c>
      <c r="J38" s="3258">
        <f>SUMIF('1402'!$B$4:$B$585,J4,'1402'!$W$4:$W$585)</f>
        <v>0</v>
      </c>
      <c r="K38" s="3258">
        <f>SUMIF('1402'!$B$4:$B$585,K4,'1402'!$W$4:$W$585)</f>
        <v>673454</v>
      </c>
      <c r="L38" s="3259"/>
      <c r="M38" s="3258">
        <f>SUMIF('1402'!$B$4:$B$585,M4,'1402'!$W$4:$W$585)</f>
        <v>701772</v>
      </c>
      <c r="N38" s="3259"/>
      <c r="O38" s="3258">
        <f>'15'!E38+'15'!G38+I38+K38+M38</f>
        <v>23472554</v>
      </c>
      <c r="P38" s="3259"/>
      <c r="Q38" s="3258">
        <f>SUMIF('1402'!$B$4:$B$585,Q4,'1402'!$W$4:$W$585)</f>
        <v>58470457</v>
      </c>
      <c r="R38" s="3258"/>
      <c r="S38" s="3258">
        <f>SUMIF('1402'!$B$4:$B$585,S4,'1402'!$W$4:$W$585)</f>
        <v>6444008</v>
      </c>
      <c r="T38" s="3258">
        <f>SUMIF('1402'!$B$4:$B$585,T4,'1402'!$W$4:$W$585)</f>
        <v>0</v>
      </c>
      <c r="U38" s="3258">
        <f>SUMIF('1402'!$B$4:$B$585,U4,'1402'!$W$4:$W$585)</f>
        <v>1379975</v>
      </c>
      <c r="V38" s="3258"/>
      <c r="W38" s="3258">
        <f>'15'!O38+'15'!Q38+'15'!S38+'15'!U38</f>
        <v>89766994</v>
      </c>
    </row>
    <row r="39" spans="1:24" s="562" customFormat="1" ht="3.75" customHeight="1">
      <c r="A39" s="1569"/>
      <c r="B39" s="1570"/>
      <c r="C39" s="1571"/>
      <c r="D39" s="1571"/>
      <c r="E39" s="1572">
        <f>E36-E38</f>
        <v>0</v>
      </c>
      <c r="F39" s="1572">
        <f t="shared" ref="F39:W39" si="11">F36-F38</f>
        <v>0</v>
      </c>
      <c r="G39" s="1572">
        <f t="shared" si="11"/>
        <v>0</v>
      </c>
      <c r="H39" s="1572">
        <f t="shared" si="11"/>
        <v>0</v>
      </c>
      <c r="I39" s="1572">
        <f t="shared" si="11"/>
        <v>0</v>
      </c>
      <c r="J39" s="1572">
        <f t="shared" si="11"/>
        <v>0</v>
      </c>
      <c r="K39" s="1572">
        <f t="shared" si="11"/>
        <v>0</v>
      </c>
      <c r="L39" s="1572">
        <f t="shared" si="11"/>
        <v>0</v>
      </c>
      <c r="M39" s="1572">
        <f t="shared" si="11"/>
        <v>0</v>
      </c>
      <c r="N39" s="1572">
        <f t="shared" si="11"/>
        <v>0</v>
      </c>
      <c r="O39" s="1572">
        <f t="shared" si="11"/>
        <v>0</v>
      </c>
      <c r="P39" s="1572">
        <f t="shared" si="11"/>
        <v>0</v>
      </c>
      <c r="Q39" s="1572">
        <f t="shared" si="11"/>
        <v>0</v>
      </c>
      <c r="R39" s="1572">
        <f t="shared" si="11"/>
        <v>0</v>
      </c>
      <c r="S39" s="1572">
        <f t="shared" si="11"/>
        <v>0</v>
      </c>
      <c r="T39" s="1572">
        <f t="shared" si="11"/>
        <v>0</v>
      </c>
      <c r="U39" s="1572">
        <f t="shared" si="11"/>
        <v>0</v>
      </c>
      <c r="V39" s="1572">
        <f t="shared" si="11"/>
        <v>0</v>
      </c>
      <c r="W39" s="1572">
        <f t="shared" si="11"/>
        <v>0</v>
      </c>
    </row>
    <row r="40" spans="1:24" ht="41.25" customHeight="1">
      <c r="A40" s="1555"/>
      <c r="B40" s="1556"/>
      <c r="C40" s="3443" t="s">
        <v>2687</v>
      </c>
      <c r="D40" s="3443"/>
      <c r="E40" s="3443"/>
      <c r="F40" s="3443"/>
      <c r="G40" s="3443"/>
      <c r="H40" s="3443"/>
      <c r="I40" s="3443"/>
      <c r="J40" s="3443"/>
      <c r="K40" s="3443"/>
      <c r="L40" s="3443"/>
      <c r="M40" s="3443"/>
      <c r="N40" s="3443"/>
      <c r="O40" s="3443"/>
      <c r="P40" s="3443"/>
      <c r="Q40" s="3443"/>
      <c r="R40" s="3443"/>
      <c r="S40" s="3443"/>
      <c r="T40" s="3443"/>
      <c r="U40" s="3443"/>
      <c r="V40" s="3443"/>
      <c r="W40" s="3443"/>
      <c r="X40" s="3443"/>
    </row>
    <row r="41" spans="1:24" ht="48" customHeight="1">
      <c r="A41" s="1555"/>
      <c r="B41" s="1556"/>
      <c r="C41" s="3443"/>
      <c r="D41" s="3443"/>
      <c r="E41" s="3443"/>
      <c r="F41" s="3443"/>
      <c r="G41" s="3443"/>
      <c r="H41" s="3443"/>
      <c r="I41" s="3443"/>
      <c r="J41" s="3443"/>
      <c r="K41" s="3443"/>
      <c r="L41" s="3443"/>
      <c r="M41" s="3443"/>
      <c r="N41" s="3443"/>
      <c r="O41" s="3443"/>
      <c r="P41" s="3443"/>
      <c r="Q41" s="3443"/>
      <c r="R41" s="3443"/>
      <c r="S41" s="3443"/>
      <c r="T41" s="3443"/>
      <c r="U41" s="3443"/>
      <c r="V41" s="3443"/>
      <c r="W41" s="3443"/>
      <c r="X41" s="3443"/>
    </row>
    <row r="42" spans="1:24" s="820" customFormat="1">
      <c r="A42" s="3442">
        <v>15</v>
      </c>
      <c r="B42" s="3442"/>
      <c r="C42" s="3442"/>
      <c r="D42" s="3442"/>
      <c r="E42" s="3442"/>
      <c r="F42" s="3442"/>
      <c r="G42" s="3442"/>
      <c r="H42" s="3442"/>
      <c r="I42" s="3442"/>
      <c r="J42" s="3442"/>
      <c r="K42" s="3442"/>
      <c r="L42" s="3442"/>
      <c r="M42" s="3442"/>
      <c r="N42" s="3442"/>
      <c r="O42" s="3442"/>
      <c r="P42" s="3442"/>
      <c r="Q42" s="3442"/>
      <c r="R42" s="3442"/>
      <c r="S42" s="3442"/>
      <c r="T42" s="3442"/>
      <c r="U42" s="3442"/>
      <c r="V42" s="3442"/>
      <c r="W42" s="3442"/>
      <c r="X42" s="3442"/>
    </row>
    <row r="43" spans="1:24" s="369" customFormat="1">
      <c r="A43" s="1203"/>
      <c r="E43" s="1209">
        <f>E36-E38</f>
        <v>0</v>
      </c>
      <c r="F43" s="1209">
        <f t="shared" ref="F43:W43" si="12">F36-F38</f>
        <v>0</v>
      </c>
      <c r="G43" s="1209">
        <f t="shared" si="12"/>
        <v>0</v>
      </c>
      <c r="H43" s="1209">
        <f t="shared" si="12"/>
        <v>0</v>
      </c>
      <c r="I43" s="1209">
        <f t="shared" si="12"/>
        <v>0</v>
      </c>
      <c r="J43" s="1209">
        <f t="shared" si="12"/>
        <v>0</v>
      </c>
      <c r="K43" s="1209">
        <f t="shared" si="12"/>
        <v>0</v>
      </c>
      <c r="L43" s="1209">
        <f t="shared" si="12"/>
        <v>0</v>
      </c>
      <c r="M43" s="1209">
        <f t="shared" si="12"/>
        <v>0</v>
      </c>
      <c r="N43" s="1209">
        <f t="shared" si="12"/>
        <v>0</v>
      </c>
      <c r="O43" s="1209">
        <f t="shared" si="12"/>
        <v>0</v>
      </c>
      <c r="P43" s="1209">
        <f t="shared" si="12"/>
        <v>0</v>
      </c>
      <c r="Q43" s="1209">
        <f>Q36-Q38</f>
        <v>0</v>
      </c>
      <c r="R43" s="1209">
        <f t="shared" si="12"/>
        <v>0</v>
      </c>
      <c r="S43" s="1209"/>
      <c r="T43" s="1209">
        <f t="shared" si="12"/>
        <v>0</v>
      </c>
      <c r="U43" s="1209">
        <f t="shared" si="12"/>
        <v>0</v>
      </c>
      <c r="V43" s="1209">
        <f t="shared" si="12"/>
        <v>0</v>
      </c>
      <c r="W43" s="1209">
        <f t="shared" si="12"/>
        <v>0</v>
      </c>
    </row>
    <row r="44" spans="1:24">
      <c r="Q44" s="519">
        <f>S36-S38</f>
        <v>0</v>
      </c>
    </row>
    <row r="59" spans="10:10">
      <c r="J59" s="109">
        <v>-7717613</v>
      </c>
    </row>
  </sheetData>
  <mergeCells count="20">
    <mergeCell ref="A42:X42"/>
    <mergeCell ref="C40:X40"/>
    <mergeCell ref="C41:X41"/>
    <mergeCell ref="A1:X1"/>
    <mergeCell ref="A3:X3"/>
    <mergeCell ref="A2:X2"/>
    <mergeCell ref="M6:M7"/>
    <mergeCell ref="T6:T7"/>
    <mergeCell ref="S5:T5"/>
    <mergeCell ref="B4:C4"/>
    <mergeCell ref="W6:W7"/>
    <mergeCell ref="O6:O7"/>
    <mergeCell ref="Q6:Q7"/>
    <mergeCell ref="S6:S7"/>
    <mergeCell ref="U6:U7"/>
    <mergeCell ref="C6:C7"/>
    <mergeCell ref="E6:E7"/>
    <mergeCell ref="G6:G7"/>
    <mergeCell ref="I6:I7"/>
    <mergeCell ref="K6:K7"/>
  </mergeCells>
  <printOptions horizontalCentered="1" verticalCentered="1"/>
  <pageMargins left="0.17" right="0.18" top="0.25" bottom="0.21" header="0.17" footer="0.17"/>
  <pageSetup paperSize="9" scale="57"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AF53"/>
  <sheetViews>
    <sheetView rightToLeft="1" topLeftCell="A7" zoomScale="70" zoomScaleNormal="70" zoomScaleSheetLayoutView="82" workbookViewId="0">
      <selection activeCell="C26" sqref="C26:AE26"/>
    </sheetView>
  </sheetViews>
  <sheetFormatPr defaultColWidth="1.375" defaultRowHeight="26.25"/>
  <cols>
    <col min="1" max="1" width="5" style="1291" customWidth="1"/>
    <col min="2" max="2" width="7.875" style="338" customWidth="1"/>
    <col min="3" max="3" width="24" style="109" customWidth="1"/>
    <col min="4" max="4" width="1.625" style="109" customWidth="1"/>
    <col min="5" max="5" width="13.875" style="109" bestFit="1" customWidth="1"/>
    <col min="6" max="6" width="1.625" style="109" customWidth="1"/>
    <col min="7" max="7" width="10.625" style="109" customWidth="1"/>
    <col min="8" max="8" width="1.625" style="109" customWidth="1"/>
    <col min="9" max="9" width="10.5" style="109" customWidth="1"/>
    <col min="10" max="10" width="1.625" style="109" customWidth="1"/>
    <col min="11" max="11" width="10.625" style="109" customWidth="1"/>
    <col min="12" max="12" width="1.375" style="109" customWidth="1"/>
    <col min="13" max="13" width="10.625" style="109" customWidth="1"/>
    <col min="14" max="14" width="1.625" style="109" customWidth="1"/>
    <col min="15" max="15" width="12.5" style="109" bestFit="1" customWidth="1"/>
    <col min="16" max="16" width="3" style="109" customWidth="1"/>
    <col min="17" max="17" width="10.625" style="109" customWidth="1"/>
    <col min="18" max="18" width="0.875" style="109" customWidth="1"/>
    <col min="19" max="19" width="0.625" style="109" customWidth="1"/>
    <col min="20" max="20" width="10.625" style="109" customWidth="1"/>
    <col min="21" max="21" width="0.625" style="109" customWidth="1"/>
    <col min="22" max="22" width="0.75" style="109" customWidth="1"/>
    <col min="23" max="23" width="10.625" style="109" customWidth="1"/>
    <col min="24" max="24" width="2" style="109" hidden="1" customWidth="1"/>
    <col min="25" max="25" width="10.625" style="109" hidden="1" customWidth="1"/>
    <col min="26" max="26" width="0.5" style="369" customWidth="1"/>
    <col min="27" max="27" width="10.75" style="109" customWidth="1"/>
    <col min="28" max="28" width="11.25" style="820" hidden="1" customWidth="1"/>
    <col min="29" max="29" width="10.625" style="109" customWidth="1"/>
    <col min="30" max="30" width="0.375" style="109" customWidth="1"/>
    <col min="31" max="31" width="12.875" style="109" customWidth="1"/>
    <col min="32" max="16384" width="1.375" style="109"/>
  </cols>
  <sheetData>
    <row r="1" spans="1:32" s="799" customFormat="1" ht="35.25" customHeight="1">
      <c r="A1" s="3465" t="s">
        <v>612</v>
      </c>
      <c r="B1" s="3465"/>
      <c r="C1" s="3465"/>
      <c r="D1" s="3465"/>
      <c r="E1" s="3465"/>
      <c r="F1" s="3465"/>
      <c r="G1" s="3465"/>
      <c r="H1" s="3465"/>
      <c r="I1" s="3465"/>
      <c r="J1" s="3465"/>
      <c r="K1" s="3465"/>
      <c r="L1" s="3465"/>
      <c r="M1" s="3465"/>
      <c r="N1" s="3465"/>
      <c r="O1" s="3465"/>
      <c r="P1" s="3465"/>
      <c r="Q1" s="3465"/>
      <c r="R1" s="3465"/>
      <c r="S1" s="3465"/>
      <c r="T1" s="3465"/>
      <c r="U1" s="3465"/>
      <c r="V1" s="3465"/>
      <c r="W1" s="3465"/>
      <c r="X1" s="3465"/>
      <c r="Y1" s="3465"/>
      <c r="Z1" s="3465"/>
      <c r="AA1" s="3465"/>
      <c r="AB1" s="3465"/>
      <c r="AC1" s="3465"/>
      <c r="AD1" s="3465"/>
      <c r="AE1" s="3465"/>
      <c r="AF1" s="3465"/>
    </row>
    <row r="2" spans="1:32" s="799" customFormat="1" ht="35.25" customHeight="1">
      <c r="A2" s="3465" t="str">
        <f>مفروضات!A2</f>
        <v>يادداشت هاي توضيحي صورت هاي مالي</v>
      </c>
      <c r="B2" s="3465"/>
      <c r="C2" s="3465"/>
      <c r="D2" s="3465"/>
      <c r="E2" s="3465"/>
      <c r="F2" s="3465"/>
      <c r="G2" s="3465"/>
      <c r="H2" s="3465"/>
      <c r="I2" s="3465"/>
      <c r="J2" s="3465"/>
      <c r="K2" s="3465"/>
      <c r="L2" s="3465"/>
      <c r="M2" s="3465"/>
      <c r="N2" s="3465"/>
      <c r="O2" s="3465"/>
      <c r="P2" s="3465"/>
      <c r="Q2" s="3465"/>
      <c r="R2" s="3465"/>
      <c r="S2" s="3465"/>
      <c r="T2" s="3465"/>
      <c r="U2" s="3465"/>
      <c r="V2" s="3465"/>
      <c r="W2" s="3465"/>
      <c r="X2" s="3465"/>
      <c r="Y2" s="3465"/>
      <c r="Z2" s="3465"/>
      <c r="AA2" s="3465"/>
      <c r="AB2" s="3465"/>
      <c r="AC2" s="3465"/>
      <c r="AD2" s="3465"/>
      <c r="AE2" s="3465"/>
      <c r="AF2" s="3465"/>
    </row>
    <row r="3" spans="1:32" s="799" customFormat="1" ht="35.25" customHeight="1">
      <c r="A3" s="3465" t="str">
        <f>مفروضات!A3</f>
        <v xml:space="preserve"> سال مالي منتهي به 29 اسفند 1401</v>
      </c>
      <c r="B3" s="3465"/>
      <c r="C3" s="3465"/>
      <c r="D3" s="3465"/>
      <c r="E3" s="3465"/>
      <c r="F3" s="3465"/>
      <c r="G3" s="3465"/>
      <c r="H3" s="3465"/>
      <c r="I3" s="3465"/>
      <c r="J3" s="3465"/>
      <c r="K3" s="3465"/>
      <c r="L3" s="3465"/>
      <c r="M3" s="3465"/>
      <c r="N3" s="3465"/>
      <c r="O3" s="3465"/>
      <c r="P3" s="3465"/>
      <c r="Q3" s="3465"/>
      <c r="R3" s="3465"/>
      <c r="S3" s="3465"/>
      <c r="T3" s="3465"/>
      <c r="U3" s="3465"/>
      <c r="V3" s="3465"/>
      <c r="W3" s="3465"/>
      <c r="X3" s="3465"/>
      <c r="Y3" s="3465"/>
      <c r="Z3" s="3465"/>
      <c r="AA3" s="3465"/>
      <c r="AB3" s="3465"/>
      <c r="AC3" s="3465"/>
      <c r="AD3" s="3465"/>
      <c r="AE3" s="3465"/>
      <c r="AF3" s="3465"/>
    </row>
    <row r="4" spans="1:32" ht="31.5" customHeight="1">
      <c r="A4" s="1332"/>
      <c r="B4" s="1333"/>
      <c r="C4" s="110"/>
      <c r="D4" s="110"/>
      <c r="E4" s="110"/>
      <c r="F4" s="110"/>
      <c r="G4" s="111"/>
      <c r="H4" s="110"/>
      <c r="I4" s="110"/>
      <c r="J4" s="110"/>
      <c r="K4" s="110"/>
      <c r="L4" s="110"/>
      <c r="M4" s="110"/>
      <c r="N4" s="110"/>
      <c r="O4" s="110"/>
      <c r="P4" s="110"/>
      <c r="Q4" s="110"/>
      <c r="R4" s="110"/>
      <c r="S4" s="110"/>
      <c r="T4" s="110"/>
      <c r="U4" s="110"/>
      <c r="V4" s="110"/>
      <c r="W4" s="110"/>
      <c r="X4" s="110"/>
      <c r="Y4" s="110"/>
      <c r="Z4" s="1224"/>
      <c r="AA4" s="110"/>
      <c r="AB4" s="1232"/>
      <c r="AC4" s="110"/>
      <c r="AD4" s="110"/>
      <c r="AE4" s="110"/>
    </row>
    <row r="5" spans="1:32" ht="32.25" customHeight="1">
      <c r="A5" s="1334" t="s">
        <v>1640</v>
      </c>
      <c r="B5" s="3466" t="s">
        <v>1852</v>
      </c>
      <c r="C5" s="3466"/>
      <c r="D5" s="112"/>
      <c r="E5" s="112"/>
      <c r="F5" s="113"/>
      <c r="G5" s="108"/>
      <c r="H5" s="113"/>
      <c r="I5" s="113"/>
      <c r="J5" s="113"/>
      <c r="K5" s="108"/>
      <c r="L5" s="113"/>
      <c r="M5" s="108"/>
      <c r="N5" s="113"/>
      <c r="O5" s="108"/>
      <c r="P5" s="113"/>
      <c r="Q5" s="108"/>
      <c r="R5" s="108"/>
      <c r="S5" s="113"/>
      <c r="T5" s="108"/>
      <c r="U5" s="108"/>
      <c r="V5" s="113"/>
      <c r="W5" s="108"/>
      <c r="X5" s="108"/>
      <c r="Y5" s="108"/>
      <c r="Z5" s="1225"/>
      <c r="AA5" s="108"/>
      <c r="AB5" s="1233"/>
      <c r="AC5" s="108"/>
      <c r="AD5" s="113"/>
      <c r="AE5" s="114"/>
    </row>
    <row r="6" spans="1:32" ht="16.5" customHeight="1">
      <c r="A6" s="1332"/>
      <c r="B6" s="1333"/>
      <c r="C6" s="115"/>
      <c r="D6" s="116"/>
      <c r="E6" s="108"/>
      <c r="F6" s="116"/>
      <c r="G6" s="114"/>
      <c r="H6" s="116"/>
      <c r="I6" s="116"/>
      <c r="J6" s="116"/>
      <c r="K6" s="108"/>
      <c r="L6" s="116"/>
      <c r="M6" s="108"/>
      <c r="N6" s="116"/>
      <c r="O6" s="108"/>
      <c r="P6" s="116"/>
      <c r="Q6" s="108"/>
      <c r="R6" s="108"/>
      <c r="S6" s="116"/>
      <c r="T6" s="3445"/>
      <c r="U6" s="3445"/>
      <c r="V6" s="3445"/>
      <c r="W6" s="108"/>
      <c r="X6" s="108"/>
      <c r="Y6" s="108"/>
      <c r="Z6" s="1226"/>
      <c r="AA6" s="108"/>
      <c r="AB6" s="1233"/>
      <c r="AC6" s="3467" t="s">
        <v>1481</v>
      </c>
      <c r="AD6" s="3467"/>
      <c r="AE6" s="3467"/>
    </row>
    <row r="7" spans="1:32" s="119" customFormat="1" ht="24" customHeight="1">
      <c r="A7" s="1332"/>
      <c r="B7" s="1335"/>
      <c r="C7" s="117"/>
      <c r="D7" s="118"/>
      <c r="E7" s="3463" t="s">
        <v>1482</v>
      </c>
      <c r="F7" s="3463"/>
      <c r="G7" s="3463"/>
      <c r="H7" s="3463"/>
      <c r="I7" s="3463"/>
      <c r="J7" s="3463"/>
      <c r="K7" s="3463"/>
      <c r="L7" s="3463"/>
      <c r="M7" s="3463"/>
      <c r="N7" s="3463"/>
      <c r="O7" s="3463"/>
      <c r="P7" s="1326"/>
      <c r="Q7" s="3463" t="s">
        <v>1483</v>
      </c>
      <c r="R7" s="3463"/>
      <c r="S7" s="3463"/>
      <c r="T7" s="3463"/>
      <c r="U7" s="3463"/>
      <c r="V7" s="3463"/>
      <c r="W7" s="3463"/>
      <c r="X7" s="3463"/>
      <c r="Y7" s="3463"/>
      <c r="Z7" s="3463"/>
      <c r="AA7" s="3463"/>
      <c r="AB7" s="1234"/>
      <c r="AC7" s="3463" t="s">
        <v>1484</v>
      </c>
      <c r="AD7" s="3463"/>
      <c r="AE7" s="3463"/>
    </row>
    <row r="8" spans="1:32" ht="19.5" customHeight="1">
      <c r="A8" s="1332"/>
      <c r="B8" s="1333"/>
      <c r="C8" s="3439"/>
      <c r="D8" s="1327"/>
      <c r="E8" s="3464" t="s">
        <v>648</v>
      </c>
      <c r="F8" s="1324"/>
      <c r="G8" s="3464" t="s">
        <v>1271</v>
      </c>
      <c r="H8" s="1324"/>
      <c r="I8" s="3464" t="s">
        <v>1282</v>
      </c>
      <c r="J8" s="1324"/>
      <c r="K8" s="3464" t="s">
        <v>625</v>
      </c>
      <c r="L8" s="1324"/>
      <c r="M8" s="3464" t="s">
        <v>649</v>
      </c>
      <c r="N8" s="1324"/>
      <c r="O8" s="3464" t="s">
        <v>1723</v>
      </c>
      <c r="P8" s="1324"/>
      <c r="Q8" s="3440" t="s">
        <v>648</v>
      </c>
      <c r="R8" s="1324"/>
      <c r="S8" s="1324"/>
      <c r="T8" s="3441" t="s">
        <v>670</v>
      </c>
      <c r="U8" s="3440"/>
      <c r="V8" s="3440"/>
      <c r="W8" s="3461" t="s">
        <v>1284</v>
      </c>
      <c r="X8" s="1325"/>
      <c r="Y8" s="3445" t="s">
        <v>1283</v>
      </c>
      <c r="Z8" s="1227"/>
      <c r="AA8" s="3440" t="s">
        <v>1723</v>
      </c>
      <c r="AB8" s="1235"/>
      <c r="AC8" s="3452" t="str">
        <f>مفروضات!A14</f>
        <v>شش ماهه1401</v>
      </c>
      <c r="AD8" s="1327"/>
      <c r="AE8" s="122"/>
    </row>
    <row r="9" spans="1:32" ht="30.75" customHeight="1">
      <c r="A9" s="1332"/>
      <c r="B9" s="1333"/>
      <c r="C9" s="3439"/>
      <c r="D9" s="1327"/>
      <c r="E9" s="3441"/>
      <c r="F9" s="1324"/>
      <c r="G9" s="3441"/>
      <c r="H9" s="1324"/>
      <c r="I9" s="3441"/>
      <c r="J9" s="1324"/>
      <c r="K9" s="3441"/>
      <c r="L9" s="1324"/>
      <c r="M9" s="3441"/>
      <c r="N9" s="1324"/>
      <c r="O9" s="3441"/>
      <c r="P9" s="123"/>
      <c r="Q9" s="3441"/>
      <c r="R9" s="1324"/>
      <c r="S9" s="1324"/>
      <c r="T9" s="3449"/>
      <c r="U9" s="3440"/>
      <c r="V9" s="3440"/>
      <c r="W9" s="3462"/>
      <c r="X9" s="1325"/>
      <c r="Y9" s="3450"/>
      <c r="Z9" s="1227"/>
      <c r="AA9" s="3441"/>
      <c r="AB9" s="1235"/>
      <c r="AC9" s="3453"/>
      <c r="AD9" s="124"/>
      <c r="AE9" s="1323">
        <f>مفروضات!C14</f>
        <v>1400</v>
      </c>
    </row>
    <row r="10" spans="1:32" s="126" customFormat="1" ht="26.25" customHeight="1">
      <c r="A10" s="1336">
        <v>901</v>
      </c>
      <c r="B10" s="1337"/>
      <c r="C10" s="111" t="s">
        <v>650</v>
      </c>
      <c r="D10" s="111"/>
      <c r="E10" s="125">
        <v>2347769</v>
      </c>
      <c r="F10" s="125"/>
      <c r="G10" s="125"/>
      <c r="H10" s="125"/>
      <c r="I10" s="125">
        <v>0</v>
      </c>
      <c r="K10" s="125">
        <v>0</v>
      </c>
      <c r="L10" s="111"/>
      <c r="M10" s="125"/>
      <c r="N10" s="111"/>
      <c r="O10" s="127">
        <f>M10+G10+E10</f>
        <v>2347769</v>
      </c>
      <c r="P10" s="111"/>
      <c r="Q10" s="125">
        <v>0</v>
      </c>
      <c r="R10" s="125"/>
      <c r="S10" s="125">
        <v>0</v>
      </c>
      <c r="T10" s="125">
        <v>0</v>
      </c>
      <c r="U10" s="125"/>
      <c r="V10" s="111"/>
      <c r="W10" s="125">
        <v>0</v>
      </c>
      <c r="X10" s="125"/>
      <c r="Y10" s="125">
        <v>0</v>
      </c>
      <c r="Z10" s="1228"/>
      <c r="AA10" s="125">
        <f>Q10+T10+W10</f>
        <v>0</v>
      </c>
      <c r="AB10" s="1236">
        <f>O10-AA10</f>
        <v>2347769</v>
      </c>
      <c r="AC10" s="125">
        <f>SUMIF('98'!$B$3:$B$552,$A10,'98'!$U$3:$U$552)</f>
        <v>2402351</v>
      </c>
      <c r="AD10" s="111"/>
      <c r="AE10" s="125">
        <v>2347769</v>
      </c>
    </row>
    <row r="11" spans="1:32" s="126" customFormat="1" ht="26.25" customHeight="1">
      <c r="A11" s="1336">
        <v>902</v>
      </c>
      <c r="B11" s="1337"/>
      <c r="C11" s="111" t="s">
        <v>651</v>
      </c>
      <c r="D11" s="111"/>
      <c r="E11" s="125">
        <v>32318244</v>
      </c>
      <c r="F11" s="125"/>
      <c r="G11" s="127"/>
      <c r="H11" s="125"/>
      <c r="I11" s="125"/>
      <c r="K11" s="125"/>
      <c r="L11" s="111"/>
      <c r="M11" s="125"/>
      <c r="N11" s="111"/>
      <c r="O11" s="127">
        <f>M11+K11+I11+G11+E11</f>
        <v>32318244</v>
      </c>
      <c r="P11" s="111"/>
      <c r="Q11" s="127">
        <v>23234436</v>
      </c>
      <c r="R11" s="125"/>
      <c r="S11" s="125"/>
      <c r="T11" s="127"/>
      <c r="U11" s="127"/>
      <c r="V11" s="129"/>
      <c r="W11" s="125"/>
      <c r="X11" s="125"/>
      <c r="Y11" s="125">
        <v>-4835</v>
      </c>
      <c r="Z11" s="1229"/>
      <c r="AA11" s="125">
        <f>Q11+T11+W11</f>
        <v>23234436</v>
      </c>
      <c r="AB11" s="1236">
        <f>O11-AA11</f>
        <v>9083808</v>
      </c>
      <c r="AC11" s="125">
        <f>SUMIF('98'!$B$3:$B$552,$A11,'98'!$U$3:$U$552)</f>
        <v>8927940</v>
      </c>
      <c r="AD11" s="111"/>
      <c r="AE11" s="125">
        <v>9083808</v>
      </c>
    </row>
    <row r="12" spans="1:32" s="126" customFormat="1" ht="26.25" customHeight="1">
      <c r="A12" s="1336">
        <v>903</v>
      </c>
      <c r="B12" s="1337"/>
      <c r="C12" s="130" t="s">
        <v>652</v>
      </c>
      <c r="D12" s="111"/>
      <c r="E12" s="125">
        <v>1546047</v>
      </c>
      <c r="F12" s="125"/>
      <c r="G12" s="125"/>
      <c r="H12" s="125"/>
      <c r="I12" s="125"/>
      <c r="K12" s="125"/>
      <c r="L12" s="111"/>
      <c r="M12" s="125"/>
      <c r="N12" s="111"/>
      <c r="O12" s="127">
        <f>M12+K12+I12+G12+E12</f>
        <v>1546047</v>
      </c>
      <c r="P12" s="111"/>
      <c r="Q12" s="127">
        <v>882265</v>
      </c>
      <c r="R12" s="125"/>
      <c r="S12" s="125"/>
      <c r="T12" s="125"/>
      <c r="U12" s="125"/>
      <c r="V12" s="129"/>
      <c r="W12" s="125"/>
      <c r="X12" s="125"/>
      <c r="Y12" s="125">
        <v>119</v>
      </c>
      <c r="Z12" s="1229"/>
      <c r="AA12" s="125">
        <f>Q12+T12+W12</f>
        <v>882265</v>
      </c>
      <c r="AB12" s="1236">
        <f>O12-AA12</f>
        <v>663782</v>
      </c>
      <c r="AC12" s="125">
        <f>SUMIF('98'!$B$3:$B$552,$A12,'98'!$U$3:$U$552)</f>
        <v>925741</v>
      </c>
      <c r="AD12" s="111"/>
      <c r="AE12" s="125">
        <v>663782</v>
      </c>
    </row>
    <row r="13" spans="1:32" s="126" customFormat="1" ht="26.25" customHeight="1">
      <c r="A13" s="1336">
        <v>905</v>
      </c>
      <c r="B13" s="1337"/>
      <c r="C13" s="111" t="s">
        <v>654</v>
      </c>
      <c r="D13" s="111"/>
      <c r="E13" s="128">
        <v>660318</v>
      </c>
      <c r="F13" s="128"/>
      <c r="G13" s="131"/>
      <c r="H13" s="128"/>
      <c r="I13" s="128"/>
      <c r="K13" s="128"/>
      <c r="L13" s="111"/>
      <c r="M13" s="128"/>
      <c r="N13" s="111"/>
      <c r="O13" s="127">
        <f>M13+K13+I13+G13+E13</f>
        <v>660318</v>
      </c>
      <c r="P13" s="111"/>
      <c r="Q13" s="128">
        <v>558840</v>
      </c>
      <c r="R13" s="128"/>
      <c r="S13" s="128"/>
      <c r="T13" s="128"/>
      <c r="U13" s="128"/>
      <c r="V13" s="129"/>
      <c r="W13" s="128"/>
      <c r="X13" s="128"/>
      <c r="Y13" s="125">
        <v>1122</v>
      </c>
      <c r="Z13" s="1229"/>
      <c r="AA13" s="125">
        <f>Q13+T13+W13</f>
        <v>558840</v>
      </c>
      <c r="AB13" s="1236">
        <f>O13-AA13</f>
        <v>101478</v>
      </c>
      <c r="AC13" s="125">
        <f>SUMIF('98'!$B$3:$B$552,$A13,'98'!$U$3:$U$552)</f>
        <v>82376</v>
      </c>
      <c r="AD13" s="111"/>
      <c r="AE13" s="125">
        <v>101478</v>
      </c>
    </row>
    <row r="14" spans="1:32" s="126" customFormat="1" ht="26.25" customHeight="1">
      <c r="A14" s="1336">
        <v>904</v>
      </c>
      <c r="B14" s="1337"/>
      <c r="C14" s="111" t="s">
        <v>653</v>
      </c>
      <c r="D14" s="111"/>
      <c r="E14" s="132">
        <v>405901</v>
      </c>
      <c r="F14" s="128"/>
      <c r="G14" s="133"/>
      <c r="H14" s="132"/>
      <c r="I14" s="132"/>
      <c r="J14" s="134"/>
      <c r="K14" s="132"/>
      <c r="L14" s="111"/>
      <c r="M14" s="132"/>
      <c r="N14" s="111"/>
      <c r="O14" s="127">
        <f>M14+K14+I14+G14+E14</f>
        <v>405901</v>
      </c>
      <c r="P14" s="111"/>
      <c r="Q14" s="133">
        <v>284916</v>
      </c>
      <c r="R14" s="128"/>
      <c r="S14" s="132"/>
      <c r="T14" s="133"/>
      <c r="U14" s="133"/>
      <c r="V14" s="129"/>
      <c r="W14" s="132"/>
      <c r="X14" s="128"/>
      <c r="Y14" s="125">
        <v>4</v>
      </c>
      <c r="Z14" s="1229"/>
      <c r="AA14" s="125">
        <f>Q14+T14+W14</f>
        <v>284916</v>
      </c>
      <c r="AB14" s="1236">
        <f>O14-AA14</f>
        <v>120985</v>
      </c>
      <c r="AC14" s="125">
        <f>SUMIF('98'!$B$3:$B$552,$A14,'98'!$U$3:$U$552)</f>
        <v>136907</v>
      </c>
      <c r="AD14" s="111"/>
      <c r="AE14" s="125">
        <v>120985</v>
      </c>
    </row>
    <row r="15" spans="1:32" s="126" customFormat="1" ht="24.75" customHeight="1">
      <c r="A15" s="1336"/>
      <c r="B15" s="1338"/>
      <c r="C15" s="111"/>
      <c r="D15" s="111"/>
      <c r="E15" s="132">
        <v>37278279</v>
      </c>
      <c r="F15" s="128"/>
      <c r="G15" s="132">
        <f>SUM(G10:G14)</f>
        <v>0</v>
      </c>
      <c r="H15" s="128"/>
      <c r="I15" s="132">
        <f>SUM(I10:I14)</f>
        <v>0</v>
      </c>
      <c r="J15" s="128"/>
      <c r="K15" s="132">
        <f>SUM(K10:K14)</f>
        <v>0</v>
      </c>
      <c r="L15" s="128"/>
      <c r="M15" s="132">
        <f>SUM(M10:M14)</f>
        <v>0</v>
      </c>
      <c r="N15" s="128"/>
      <c r="O15" s="527">
        <f>M15+K15+I15+G15+E15</f>
        <v>37278279</v>
      </c>
      <c r="P15" s="128"/>
      <c r="Q15" s="132">
        <v>24960457</v>
      </c>
      <c r="R15" s="132"/>
      <c r="S15" s="132">
        <f>SUM(S10:S14)</f>
        <v>0</v>
      </c>
      <c r="T15" s="132">
        <f>SUM(T10:T14)</f>
        <v>0</v>
      </c>
      <c r="U15" s="132"/>
      <c r="V15" s="128"/>
      <c r="W15" s="132">
        <f>SUM(W10:W14)</f>
        <v>0</v>
      </c>
      <c r="X15" s="128"/>
      <c r="Y15" s="135">
        <f>SUM(Y11:Y14)</f>
        <v>-3590</v>
      </c>
      <c r="Z15" s="1230"/>
      <c r="AA15" s="135">
        <f>SUM(AA10:AA14)</f>
        <v>24960457</v>
      </c>
      <c r="AB15" s="1236">
        <f>SUM(AB10:AB14)</f>
        <v>12317822</v>
      </c>
      <c r="AC15" s="135">
        <f>SUM(AC10:AC14)</f>
        <v>12475315</v>
      </c>
      <c r="AD15" s="128"/>
      <c r="AE15" s="135">
        <v>12317822</v>
      </c>
    </row>
    <row r="16" spans="1:32" s="126" customFormat="1" ht="29.25" customHeight="1">
      <c r="A16" s="1339">
        <v>906</v>
      </c>
      <c r="B16" s="1340"/>
      <c r="C16" s="136" t="s">
        <v>1479</v>
      </c>
      <c r="D16" s="136"/>
      <c r="E16" s="127">
        <v>2794262</v>
      </c>
      <c r="F16" s="127"/>
      <c r="G16" s="127">
        <f>'16'!M48</f>
        <v>17973814</v>
      </c>
      <c r="H16" s="127"/>
      <c r="I16" s="1077">
        <v>0</v>
      </c>
      <c r="J16" s="127"/>
      <c r="K16" s="127">
        <f>'16'!N40</f>
        <v>-4263</v>
      </c>
      <c r="L16" s="127"/>
      <c r="M16" s="127">
        <f>'16'!O48+'16'!P48</f>
        <v>-3374622</v>
      </c>
      <c r="N16" s="125"/>
      <c r="O16" s="125">
        <f>SUMIF('98'!$B$3:$B$552,$A16,'98'!$U$3:$U$552)</f>
        <v>7024794</v>
      </c>
      <c r="P16" s="111"/>
      <c r="Q16" s="3454"/>
      <c r="R16" s="3455"/>
      <c r="S16" s="3455"/>
      <c r="T16" s="3455"/>
      <c r="U16" s="3455"/>
      <c r="V16" s="3455"/>
      <c r="W16" s="3455"/>
      <c r="X16" s="3455"/>
      <c r="Y16" s="3455"/>
      <c r="Z16" s="3455"/>
      <c r="AA16" s="3456"/>
      <c r="AB16" s="1236">
        <f>O16-AA16</f>
        <v>7024794</v>
      </c>
      <c r="AC16" s="125">
        <f>SUMIF('98'!$B$3:$B$552,$A16,'98'!$U$3:$U$552)+0</f>
        <v>7024794</v>
      </c>
      <c r="AD16" s="137"/>
      <c r="AE16" s="125">
        <v>2794262</v>
      </c>
    </row>
    <row r="17" spans="1:32" s="126" customFormat="1" ht="32.25" customHeight="1">
      <c r="A17" s="1339">
        <v>907</v>
      </c>
      <c r="B17" s="1340"/>
      <c r="C17" s="138" t="s">
        <v>1480</v>
      </c>
      <c r="D17" s="139"/>
      <c r="E17" s="127">
        <v>2672997</v>
      </c>
      <c r="F17" s="125"/>
      <c r="G17" s="125">
        <f>O17-E17-K17</f>
        <v>1503752</v>
      </c>
      <c r="H17" s="125"/>
      <c r="I17" s="1078">
        <v>0</v>
      </c>
      <c r="J17" s="125"/>
      <c r="K17" s="125">
        <f>'18'!P42</f>
        <v>0</v>
      </c>
      <c r="L17" s="125"/>
      <c r="M17" s="1078">
        <v>0</v>
      </c>
      <c r="N17" s="125"/>
      <c r="O17" s="125">
        <f>SUMIF('98'!$B$3:$B$552,$A17,'98'!$U$3:$U$552)</f>
        <v>4176749</v>
      </c>
      <c r="P17" s="111"/>
      <c r="Q17" s="3454"/>
      <c r="R17" s="3455"/>
      <c r="S17" s="3455"/>
      <c r="T17" s="3455"/>
      <c r="U17" s="3455"/>
      <c r="V17" s="3455"/>
      <c r="W17" s="3455"/>
      <c r="X17" s="3455"/>
      <c r="Y17" s="3455"/>
      <c r="Z17" s="3455"/>
      <c r="AA17" s="3456"/>
      <c r="AB17" s="1236">
        <f>O17-AA17</f>
        <v>4176749</v>
      </c>
      <c r="AC17" s="125">
        <f>SUMIF('98'!$B$3:$B$552,$A17,'98'!$U$3:$U$552)</f>
        <v>4176749</v>
      </c>
      <c r="AD17" s="137"/>
      <c r="AE17" s="125">
        <v>2672997</v>
      </c>
    </row>
    <row r="18" spans="1:32" s="126" customFormat="1" ht="24" customHeight="1">
      <c r="A18" s="1339">
        <v>908</v>
      </c>
      <c r="B18" s="1340"/>
      <c r="C18" s="139" t="s">
        <v>1318</v>
      </c>
      <c r="D18" s="139"/>
      <c r="E18" s="127">
        <v>108099</v>
      </c>
      <c r="F18" s="127"/>
      <c r="G18" s="125">
        <f>O18-E18-K18</f>
        <v>-70157</v>
      </c>
      <c r="H18" s="127"/>
      <c r="I18" s="1077">
        <v>0</v>
      </c>
      <c r="J18" s="127"/>
      <c r="K18" s="127">
        <f>'18'!P52</f>
        <v>0</v>
      </c>
      <c r="L18" s="127"/>
      <c r="M18" s="1078">
        <v>0</v>
      </c>
      <c r="N18" s="127"/>
      <c r="O18" s="125">
        <f>SUMIF('98'!$B$3:$B$552,$A18,'98'!$U$3:$U$552)</f>
        <v>37942</v>
      </c>
      <c r="P18" s="111"/>
      <c r="Q18" s="3457"/>
      <c r="R18" s="3458"/>
      <c r="S18" s="3458"/>
      <c r="T18" s="3458"/>
      <c r="U18" s="3458"/>
      <c r="V18" s="3458"/>
      <c r="W18" s="3458"/>
      <c r="X18" s="3458"/>
      <c r="Y18" s="3458"/>
      <c r="Z18" s="3458"/>
      <c r="AA18" s="3459"/>
      <c r="AB18" s="1236">
        <f>O18-AA18</f>
        <v>37942</v>
      </c>
      <c r="AC18" s="125">
        <f>SUMIF('98'!$B$3:$B$552,$A18,'98'!$U$3:$U$552)</f>
        <v>37942</v>
      </c>
      <c r="AD18" s="137"/>
      <c r="AE18" s="125">
        <v>108099</v>
      </c>
    </row>
    <row r="19" spans="1:32" ht="28.5" customHeight="1" thickBot="1">
      <c r="A19" s="1341">
        <v>9</v>
      </c>
      <c r="B19" s="1342"/>
      <c r="C19" s="140"/>
      <c r="D19" s="140"/>
      <c r="E19" s="141">
        <v>42853637</v>
      </c>
      <c r="F19" s="142"/>
      <c r="G19" s="141">
        <f>SUM(G15:G18)</f>
        <v>19407409</v>
      </c>
      <c r="H19" s="142"/>
      <c r="I19" s="141">
        <f>SUM(I15:I18)</f>
        <v>0</v>
      </c>
      <c r="J19" s="142"/>
      <c r="K19" s="141">
        <f>SUM(K15:K18)</f>
        <v>-4263</v>
      </c>
      <c r="L19" s="142"/>
      <c r="M19" s="1211">
        <v>0</v>
      </c>
      <c r="N19" s="142"/>
      <c r="O19" s="141">
        <f>SUM(O15:O18)</f>
        <v>48517764</v>
      </c>
      <c r="P19" s="142"/>
      <c r="Q19" s="143">
        <f>SUM(Q15:Q18)</f>
        <v>24960457</v>
      </c>
      <c r="R19" s="142"/>
      <c r="S19" s="142"/>
      <c r="T19" s="143">
        <f>SUM(T15:T18)</f>
        <v>0</v>
      </c>
      <c r="U19" s="142"/>
      <c r="V19" s="142"/>
      <c r="W19" s="143">
        <f>SUM(W15:W18)</f>
        <v>0</v>
      </c>
      <c r="X19" s="142"/>
      <c r="Y19" s="141">
        <f>SUM(Y15)</f>
        <v>-3590</v>
      </c>
      <c r="Z19" s="1231"/>
      <c r="AA19" s="143">
        <f>SUM(AA15:AA18)</f>
        <v>24960457</v>
      </c>
      <c r="AB19" s="1237">
        <f>SUM(AB15:AB18)</f>
        <v>23557307</v>
      </c>
      <c r="AC19" s="141">
        <f>AC18+AC17+AC16+AC15</f>
        <v>23714800</v>
      </c>
      <c r="AD19" s="142"/>
      <c r="AE19" s="141">
        <v>17893180</v>
      </c>
    </row>
    <row r="20" spans="1:32" ht="27" thickTop="1">
      <c r="A20" s="1343"/>
      <c r="B20" s="1344"/>
      <c r="C20" s="144"/>
      <c r="D20" s="144"/>
      <c r="E20" s="880"/>
      <c r="F20" s="681"/>
      <c r="G20" s="881"/>
      <c r="H20" s="681"/>
      <c r="I20" s="882"/>
      <c r="J20" s="681"/>
      <c r="K20" s="883"/>
      <c r="L20" s="681"/>
      <c r="M20" s="882"/>
      <c r="N20" s="144"/>
      <c r="O20" s="145"/>
      <c r="P20" s="144"/>
      <c r="Q20" s="144"/>
      <c r="R20" s="144"/>
      <c r="S20" s="144"/>
      <c r="T20" s="144"/>
      <c r="U20" s="144"/>
      <c r="V20" s="144"/>
      <c r="W20" s="144"/>
      <c r="X20" s="144"/>
      <c r="Y20" s="146">
        <f>AA20-AC19</f>
        <v>-23714800</v>
      </c>
      <c r="Z20" s="144"/>
      <c r="AA20" s="680"/>
      <c r="AB20" s="1238">
        <f>SUM(AB15:AB18)</f>
        <v>23557307</v>
      </c>
      <c r="AC20" s="682">
        <f>AC19-AB20</f>
        <v>157493</v>
      </c>
      <c r="AD20" s="144"/>
      <c r="AE20" s="147">
        <v>9</v>
      </c>
    </row>
    <row r="21" spans="1:32" ht="10.5" customHeight="1">
      <c r="A21" s="1343"/>
      <c r="B21" s="1344"/>
      <c r="C21" s="144"/>
      <c r="D21" s="144"/>
      <c r="E21" s="880"/>
      <c r="F21" s="681"/>
      <c r="G21" s="881"/>
      <c r="H21" s="681"/>
      <c r="I21" s="882"/>
      <c r="J21" s="681"/>
      <c r="K21" s="884">
        <f>G19-1056668</f>
        <v>18350741</v>
      </c>
      <c r="L21" s="681"/>
      <c r="M21" s="882"/>
      <c r="N21" s="144"/>
      <c r="O21" s="145"/>
      <c r="P21" s="144"/>
      <c r="Q21" s="144"/>
      <c r="R21" s="144"/>
      <c r="S21" s="144"/>
      <c r="T21" s="144"/>
      <c r="U21" s="144"/>
      <c r="V21" s="144"/>
      <c r="W21" s="144"/>
      <c r="X21" s="144"/>
      <c r="Y21" s="146"/>
      <c r="Z21" s="144"/>
      <c r="AA21" s="680"/>
      <c r="AB21" s="1238"/>
      <c r="AC21" s="682"/>
      <c r="AD21" s="144"/>
      <c r="AE21" s="147"/>
    </row>
    <row r="22" spans="1:32" s="338" customFormat="1">
      <c r="A22" s="1343"/>
      <c r="B22" s="1344"/>
      <c r="C22" s="681"/>
      <c r="D22" s="681"/>
      <c r="E22" s="880"/>
      <c r="F22" s="681"/>
      <c r="G22" s="881"/>
      <c r="H22" s="681"/>
      <c r="I22" s="882"/>
      <c r="J22" s="681"/>
      <c r="K22" s="883"/>
      <c r="L22" s="681"/>
      <c r="M22" s="882"/>
      <c r="N22" s="681"/>
      <c r="O22" s="1253"/>
      <c r="P22" s="681"/>
      <c r="Q22" s="681"/>
      <c r="R22" s="681"/>
      <c r="S22" s="681"/>
      <c r="T22" s="681"/>
      <c r="U22" s="681"/>
      <c r="V22" s="681"/>
      <c r="W22" s="681"/>
      <c r="X22" s="681"/>
      <c r="Y22" s="680"/>
      <c r="Z22" s="681"/>
      <c r="AA22" s="680"/>
      <c r="AB22" s="1238"/>
      <c r="AC22" s="1238"/>
      <c r="AD22" s="681"/>
      <c r="AE22" s="1254"/>
    </row>
    <row r="23" spans="1:32" ht="29.25" customHeight="1">
      <c r="B23" s="1345"/>
      <c r="C23" s="3443" t="s">
        <v>1853</v>
      </c>
      <c r="D23" s="3443"/>
      <c r="E23" s="3443"/>
      <c r="F23" s="3443"/>
      <c r="G23" s="3443"/>
      <c r="H23" s="3443"/>
      <c r="I23" s="3443"/>
      <c r="J23" s="3443"/>
      <c r="K23" s="3443"/>
      <c r="L23" s="3443"/>
      <c r="M23" s="3443"/>
      <c r="N23" s="3443"/>
      <c r="O23" s="3443"/>
      <c r="P23" s="3443"/>
      <c r="Q23" s="3443"/>
      <c r="R23" s="3443"/>
      <c r="S23" s="3443"/>
      <c r="T23" s="3443"/>
      <c r="U23" s="3443"/>
      <c r="V23" s="3443"/>
      <c r="W23" s="3443"/>
      <c r="X23" s="3443"/>
      <c r="Y23" s="3443"/>
      <c r="Z23" s="3443"/>
      <c r="AA23" s="3443"/>
      <c r="AB23" s="3443"/>
      <c r="AC23" s="3443"/>
      <c r="AD23" s="3443"/>
      <c r="AE23" s="3443"/>
      <c r="AF23" s="798"/>
    </row>
    <row r="24" spans="1:32" ht="50.25" customHeight="1">
      <c r="B24" s="1346"/>
      <c r="C24" s="3443" t="s">
        <v>1854</v>
      </c>
      <c r="D24" s="3443"/>
      <c r="E24" s="3443"/>
      <c r="F24" s="3443"/>
      <c r="G24" s="3443"/>
      <c r="H24" s="3443"/>
      <c r="I24" s="3443"/>
      <c r="J24" s="3443"/>
      <c r="K24" s="3443"/>
      <c r="L24" s="3443"/>
      <c r="M24" s="3443"/>
      <c r="N24" s="3443"/>
      <c r="O24" s="3443"/>
      <c r="P24" s="3443"/>
      <c r="Q24" s="3443"/>
      <c r="R24" s="3443"/>
      <c r="S24" s="3443"/>
      <c r="T24" s="3443"/>
      <c r="U24" s="3443"/>
      <c r="V24" s="3443"/>
      <c r="W24" s="3443"/>
      <c r="X24" s="3443"/>
      <c r="Y24" s="3443"/>
      <c r="Z24" s="3443"/>
      <c r="AA24" s="3443"/>
      <c r="AB24" s="3443"/>
      <c r="AC24" s="3443"/>
      <c r="AD24" s="3443"/>
      <c r="AE24" s="3443"/>
      <c r="AF24" s="868"/>
    </row>
    <row r="25" spans="1:32" s="338" customFormat="1" ht="104.25" customHeight="1">
      <c r="A25" s="1291"/>
      <c r="G25" s="338">
        <f>4528697+'صورت جریان نقدی'!J14</f>
        <v>4528697</v>
      </c>
      <c r="I25" s="1362">
        <f>G19+'4'!F16</f>
        <v>19407409</v>
      </c>
      <c r="AB25" s="820"/>
    </row>
    <row r="26" spans="1:32" s="1360" customFormat="1" ht="34.5" customHeight="1">
      <c r="A26" s="1358">
        <v>14</v>
      </c>
      <c r="B26" s="1359"/>
      <c r="C26" s="3460">
        <v>14</v>
      </c>
      <c r="D26" s="3460"/>
      <c r="E26" s="3460"/>
      <c r="F26" s="3460"/>
      <c r="G26" s="3460"/>
      <c r="H26" s="3460"/>
      <c r="I26" s="3460"/>
      <c r="J26" s="3460"/>
      <c r="K26" s="3460"/>
      <c r="L26" s="3460"/>
      <c r="M26" s="3460"/>
      <c r="N26" s="3460"/>
      <c r="O26" s="3460"/>
      <c r="P26" s="3460"/>
      <c r="Q26" s="3460"/>
      <c r="R26" s="3460"/>
      <c r="S26" s="3460"/>
      <c r="T26" s="3460"/>
      <c r="U26" s="3460"/>
      <c r="V26" s="3460"/>
      <c r="W26" s="3460"/>
      <c r="X26" s="3460"/>
      <c r="Y26" s="3460"/>
      <c r="Z26" s="3460"/>
      <c r="AA26" s="3460"/>
      <c r="AB26" s="3460"/>
      <c r="AC26" s="3460"/>
      <c r="AD26" s="3460"/>
      <c r="AE26" s="3460"/>
    </row>
    <row r="27" spans="1:32">
      <c r="N27" s="369"/>
      <c r="O27" s="369"/>
      <c r="P27" s="369"/>
    </row>
    <row r="28" spans="1:32" ht="60" customHeight="1">
      <c r="B28" s="1346" t="s">
        <v>1642</v>
      </c>
      <c r="C28" s="3451" t="s">
        <v>1653</v>
      </c>
      <c r="D28" s="3451"/>
      <c r="E28" s="3451"/>
      <c r="F28" s="3451"/>
      <c r="G28" s="3451"/>
      <c r="H28" s="3451"/>
      <c r="I28" s="3451"/>
      <c r="J28" s="3451"/>
      <c r="K28" s="3451"/>
      <c r="L28" s="3451"/>
      <c r="M28" s="3451"/>
      <c r="N28" s="3451"/>
      <c r="O28" s="3451"/>
      <c r="P28" s="3451"/>
      <c r="Q28" s="3451"/>
      <c r="R28" s="3451"/>
      <c r="S28" s="3451"/>
      <c r="T28" s="3451"/>
      <c r="U28" s="3451"/>
      <c r="V28" s="3451"/>
      <c r="W28" s="3451"/>
      <c r="X28" s="3451"/>
      <c r="Y28" s="3451"/>
      <c r="Z28" s="3451"/>
      <c r="AA28" s="3451"/>
      <c r="AB28" s="3451"/>
      <c r="AC28" s="3451"/>
      <c r="AD28" s="3451"/>
      <c r="AE28" s="3451"/>
      <c r="AF28" s="868"/>
    </row>
    <row r="34" ht="56.25" customHeight="1"/>
    <row r="53" spans="10:10">
      <c r="J53" s="109">
        <v>-7717613</v>
      </c>
    </row>
  </sheetData>
  <mergeCells count="29">
    <mergeCell ref="A1:AF1"/>
    <mergeCell ref="A2:AF2"/>
    <mergeCell ref="A3:AF3"/>
    <mergeCell ref="B5:C5"/>
    <mergeCell ref="T6:V6"/>
    <mergeCell ref="AC6:AE6"/>
    <mergeCell ref="E7:O7"/>
    <mergeCell ref="Q7:AA7"/>
    <mergeCell ref="AC7:AE7"/>
    <mergeCell ref="C8:C9"/>
    <mergeCell ref="E8:E9"/>
    <mergeCell ref="G8:G9"/>
    <mergeCell ref="I8:I9"/>
    <mergeCell ref="K8:K9"/>
    <mergeCell ref="M8:M9"/>
    <mergeCell ref="O8:O9"/>
    <mergeCell ref="C28:AE28"/>
    <mergeCell ref="AA8:AA9"/>
    <mergeCell ref="AC8:AC9"/>
    <mergeCell ref="Q16:AA18"/>
    <mergeCell ref="C23:AE23"/>
    <mergeCell ref="C24:AE24"/>
    <mergeCell ref="C26:AE26"/>
    <mergeCell ref="Q8:Q9"/>
    <mergeCell ref="T8:T9"/>
    <mergeCell ref="U8:U9"/>
    <mergeCell ref="V8:V9"/>
    <mergeCell ref="W8:W9"/>
    <mergeCell ref="Y8:Y9"/>
  </mergeCells>
  <printOptions horizontalCentered="1" verticalCentered="1"/>
  <pageMargins left="0.17" right="0.18" top="0.25" bottom="0.21" header="0.17" footer="0.17"/>
  <pageSetup paperSize="9" scale="6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FF99"/>
  </sheetPr>
  <dimension ref="A1:W506"/>
  <sheetViews>
    <sheetView rightToLeft="1" zoomScale="74" zoomScaleNormal="74" zoomScaleSheetLayoutView="71" workbookViewId="0">
      <pane xSplit="4" ySplit="2" topLeftCell="I3" activePane="bottomRight" state="frozen"/>
      <selection activeCell="E19" sqref="E19:G19"/>
      <selection pane="topRight" activeCell="E19" sqref="E19:G19"/>
      <selection pane="bottomLeft" activeCell="E19" sqref="E19:G19"/>
      <selection pane="bottomRight" activeCell="E19" sqref="E19:G19"/>
    </sheetView>
  </sheetViews>
  <sheetFormatPr defaultColWidth="1.375" defaultRowHeight="19.5" customHeight="1"/>
  <cols>
    <col min="1" max="1" width="13" style="545" bestFit="1" customWidth="1"/>
    <col min="2" max="2" width="15.375" style="528" bestFit="1" customWidth="1"/>
    <col min="3" max="3" width="21.25" style="545" bestFit="1" customWidth="1"/>
    <col min="4" max="4" width="45" style="545" customWidth="1"/>
    <col min="5" max="5" width="21.375" style="545" bestFit="1" customWidth="1"/>
    <col min="6" max="6" width="20.25" style="545" hidden="1" customWidth="1"/>
    <col min="7" max="7" width="21.375" style="545" hidden="1" customWidth="1"/>
    <col min="8" max="8" width="20.25" style="545" bestFit="1" customWidth="1"/>
    <col min="9" max="9" width="17.125" style="545" bestFit="1" customWidth="1"/>
    <col min="10" max="10" width="18.5" style="545" bestFit="1" customWidth="1"/>
    <col min="11" max="11" width="17.125" style="545" bestFit="1" customWidth="1"/>
    <col min="12" max="12" width="20.25" style="545" bestFit="1" customWidth="1"/>
    <col min="13" max="13" width="21.375" style="545" bestFit="1" customWidth="1"/>
    <col min="14" max="15" width="20.875" style="545" bestFit="1" customWidth="1"/>
    <col min="16" max="16" width="30.5" style="545" customWidth="1"/>
    <col min="17" max="17" width="21.375" style="545" bestFit="1" customWidth="1"/>
    <col min="18" max="19" width="13" style="545" bestFit="1" customWidth="1"/>
    <col min="20" max="20" width="24" style="545" bestFit="1" customWidth="1"/>
    <col min="21" max="21" width="27.5" style="545" bestFit="1" customWidth="1"/>
    <col min="22" max="23" width="21.375" style="545" bestFit="1" customWidth="1"/>
    <col min="24" max="16384" width="1.375" style="545"/>
  </cols>
  <sheetData>
    <row r="1" spans="1:23" s="556" customFormat="1" ht="18.75" customHeight="1">
      <c r="A1" s="3362" t="s">
        <v>379</v>
      </c>
      <c r="B1" s="3363" t="s">
        <v>380</v>
      </c>
      <c r="C1" s="3364" t="s">
        <v>381</v>
      </c>
      <c r="D1" s="3364" t="s">
        <v>62</v>
      </c>
      <c r="E1" s="3361" t="s">
        <v>1359</v>
      </c>
      <c r="F1" s="3361" t="s">
        <v>1357</v>
      </c>
      <c r="G1" s="3361" t="s">
        <v>1358</v>
      </c>
      <c r="H1" s="3361" t="s">
        <v>1452</v>
      </c>
      <c r="I1" s="3361" t="s">
        <v>1416</v>
      </c>
      <c r="J1" s="3361" t="s">
        <v>1417</v>
      </c>
      <c r="K1" s="3361" t="s">
        <v>1418</v>
      </c>
      <c r="L1" s="3361" t="s">
        <v>1472</v>
      </c>
      <c r="M1" s="3361" t="s">
        <v>1472</v>
      </c>
      <c r="N1" s="3370" t="s">
        <v>1453</v>
      </c>
      <c r="O1" s="3370" t="s">
        <v>1453</v>
      </c>
      <c r="P1" s="3359" t="s">
        <v>1412</v>
      </c>
      <c r="Q1" s="3369">
        <v>1393</v>
      </c>
      <c r="R1" s="3359">
        <v>1394</v>
      </c>
      <c r="S1" s="3369">
        <v>1393</v>
      </c>
      <c r="T1" s="3367" t="s">
        <v>1450</v>
      </c>
      <c r="U1" s="3365" t="s">
        <v>1451</v>
      </c>
      <c r="V1" s="3359" t="s">
        <v>1448</v>
      </c>
      <c r="W1" s="3359" t="s">
        <v>1605</v>
      </c>
    </row>
    <row r="2" spans="1:23" s="557" customFormat="1" ht="22.5" hidden="1">
      <c r="A2" s="3362"/>
      <c r="B2" s="3363"/>
      <c r="C2" s="3364"/>
      <c r="D2" s="3364"/>
      <c r="E2" s="3361"/>
      <c r="F2" s="3361"/>
      <c r="G2" s="3361"/>
      <c r="H2" s="3361"/>
      <c r="I2" s="3361"/>
      <c r="J2" s="3361"/>
      <c r="K2" s="3361"/>
      <c r="L2" s="3361"/>
      <c r="M2" s="3361"/>
      <c r="N2" s="3371"/>
      <c r="O2" s="3371"/>
      <c r="P2" s="3360"/>
      <c r="Q2" s="3369"/>
      <c r="R2" s="3360"/>
      <c r="S2" s="3369"/>
      <c r="T2" s="3368"/>
      <c r="U2" s="3366"/>
      <c r="V2" s="3360"/>
      <c r="W2" s="3360"/>
    </row>
    <row r="3" spans="1:23" ht="27" hidden="1" customHeight="1">
      <c r="A3" s="531">
        <v>1012</v>
      </c>
      <c r="B3" s="529">
        <v>10</v>
      </c>
      <c r="C3" s="531" t="s">
        <v>425</v>
      </c>
      <c r="D3" s="531" t="s">
        <v>426</v>
      </c>
      <c r="E3" s="547">
        <v>-4626000</v>
      </c>
      <c r="F3" s="547"/>
      <c r="G3" s="547"/>
      <c r="H3" s="547"/>
      <c r="I3" s="547"/>
      <c r="J3" s="547"/>
      <c r="K3" s="547"/>
      <c r="L3" s="547"/>
      <c r="M3" s="547">
        <v>0</v>
      </c>
      <c r="N3" s="540"/>
      <c r="O3" s="540"/>
      <c r="P3" s="812">
        <f t="shared" ref="P3:P66" si="0">E3+F3+G3-N3+O3+H3+I3+J3+K3+L3</f>
        <v>-4626000</v>
      </c>
      <c r="Q3" s="547">
        <v>-11892487</v>
      </c>
      <c r="R3" s="812">
        <f t="shared" ref="R3:S66" si="1">ROUND((P3/1000000),0)</f>
        <v>-5</v>
      </c>
      <c r="S3" s="547">
        <f t="shared" si="1"/>
        <v>-12</v>
      </c>
      <c r="T3" s="566"/>
      <c r="U3" s="567"/>
      <c r="V3" s="812">
        <f t="shared" ref="V3:V66" si="2">P3-U3+T3</f>
        <v>-4626000</v>
      </c>
      <c r="W3" s="812">
        <f>ROUND((V3/1000000),0)</f>
        <v>-5</v>
      </c>
    </row>
    <row r="4" spans="1:23" ht="27" hidden="1" customHeight="1">
      <c r="A4" s="531">
        <v>1009</v>
      </c>
      <c r="B4" s="529">
        <v>10</v>
      </c>
      <c r="C4" s="531" t="s">
        <v>1201</v>
      </c>
      <c r="D4" s="531" t="s">
        <v>1081</v>
      </c>
      <c r="E4" s="547">
        <v>-4800000</v>
      </c>
      <c r="F4" s="547"/>
      <c r="G4" s="547"/>
      <c r="H4" s="547"/>
      <c r="I4" s="547"/>
      <c r="J4" s="547"/>
      <c r="K4" s="547"/>
      <c r="L4" s="547"/>
      <c r="M4" s="547">
        <v>0</v>
      </c>
      <c r="N4" s="540"/>
      <c r="O4" s="540"/>
      <c r="P4" s="812">
        <f t="shared" si="0"/>
        <v>-4800000</v>
      </c>
      <c r="Q4" s="547">
        <f>25223443-15322865</f>
        <v>9900578</v>
      </c>
      <c r="R4" s="812">
        <f t="shared" si="1"/>
        <v>-5</v>
      </c>
      <c r="S4" s="547">
        <f t="shared" si="1"/>
        <v>10</v>
      </c>
      <c r="T4" s="566"/>
      <c r="U4" s="567"/>
      <c r="V4" s="812">
        <f t="shared" si="2"/>
        <v>-4800000</v>
      </c>
      <c r="W4" s="812">
        <f t="shared" ref="W4:W67" si="3">ROUND((V4/1000000),0)</f>
        <v>-5</v>
      </c>
    </row>
    <row r="5" spans="1:23" ht="27" hidden="1" customHeight="1">
      <c r="A5" s="531">
        <v>401</v>
      </c>
      <c r="B5" s="529">
        <v>4</v>
      </c>
      <c r="C5" s="531" t="s">
        <v>824</v>
      </c>
      <c r="D5" s="531" t="s">
        <v>825</v>
      </c>
      <c r="E5" s="547">
        <v>87193158</v>
      </c>
      <c r="F5" s="547"/>
      <c r="G5" s="547"/>
      <c r="H5" s="547"/>
      <c r="I5" s="547"/>
      <c r="J5" s="547"/>
      <c r="K5" s="547"/>
      <c r="L5" s="547"/>
      <c r="M5" s="547">
        <v>0</v>
      </c>
      <c r="N5" s="540"/>
      <c r="O5" s="540"/>
      <c r="P5" s="812">
        <f t="shared" si="0"/>
        <v>87193158</v>
      </c>
      <c r="Q5" s="547">
        <v>195705586</v>
      </c>
      <c r="R5" s="812">
        <f t="shared" si="1"/>
        <v>87</v>
      </c>
      <c r="S5" s="547">
        <f t="shared" si="1"/>
        <v>196</v>
      </c>
      <c r="T5" s="566"/>
      <c r="U5" s="567"/>
      <c r="V5" s="812">
        <f t="shared" si="2"/>
        <v>87193158</v>
      </c>
      <c r="W5" s="812">
        <f t="shared" si="3"/>
        <v>87</v>
      </c>
    </row>
    <row r="6" spans="1:23" ht="27" hidden="1" customHeight="1">
      <c r="A6" s="531">
        <v>1009</v>
      </c>
      <c r="B6" s="529">
        <v>10</v>
      </c>
      <c r="C6" s="531" t="s">
        <v>607</v>
      </c>
      <c r="D6" s="531" t="s">
        <v>606</v>
      </c>
      <c r="E6" s="547">
        <v>-3333336</v>
      </c>
      <c r="F6" s="547"/>
      <c r="G6" s="547"/>
      <c r="H6" s="547"/>
      <c r="I6" s="547"/>
      <c r="J6" s="547"/>
      <c r="K6" s="547"/>
      <c r="L6" s="547"/>
      <c r="M6" s="547">
        <v>0</v>
      </c>
      <c r="N6" s="540"/>
      <c r="O6" s="540"/>
      <c r="P6" s="812">
        <f t="shared" si="0"/>
        <v>-3333336</v>
      </c>
      <c r="Q6" s="547">
        <v>-833334</v>
      </c>
      <c r="R6" s="812">
        <f t="shared" si="1"/>
        <v>-3</v>
      </c>
      <c r="S6" s="547">
        <f t="shared" si="1"/>
        <v>-1</v>
      </c>
      <c r="T6" s="566"/>
      <c r="U6" s="567"/>
      <c r="V6" s="812">
        <f t="shared" si="2"/>
        <v>-3333336</v>
      </c>
      <c r="W6" s="812">
        <f t="shared" si="3"/>
        <v>-3</v>
      </c>
    </row>
    <row r="7" spans="1:23" ht="27" hidden="1" customHeight="1">
      <c r="A7" s="531">
        <v>1009</v>
      </c>
      <c r="B7" s="529">
        <v>10</v>
      </c>
      <c r="C7" s="531" t="s">
        <v>872</v>
      </c>
      <c r="D7" s="531" t="s">
        <v>826</v>
      </c>
      <c r="E7" s="547"/>
      <c r="F7" s="547"/>
      <c r="G7" s="547"/>
      <c r="H7" s="547"/>
      <c r="I7" s="547"/>
      <c r="J7" s="547"/>
      <c r="K7" s="547"/>
      <c r="L7" s="547"/>
      <c r="M7" s="547">
        <v>0</v>
      </c>
      <c r="N7" s="540"/>
      <c r="O7" s="540"/>
      <c r="P7" s="812">
        <f t="shared" si="0"/>
        <v>0</v>
      </c>
      <c r="Q7" s="547">
        <v>-16</v>
      </c>
      <c r="R7" s="812">
        <f t="shared" si="1"/>
        <v>0</v>
      </c>
      <c r="S7" s="547">
        <f t="shared" si="1"/>
        <v>0</v>
      </c>
      <c r="T7" s="566"/>
      <c r="U7" s="567"/>
      <c r="V7" s="812">
        <f t="shared" si="2"/>
        <v>0</v>
      </c>
      <c r="W7" s="812">
        <f t="shared" si="3"/>
        <v>0</v>
      </c>
    </row>
    <row r="8" spans="1:23" ht="27" hidden="1" customHeight="1">
      <c r="A8" s="531">
        <v>1009</v>
      </c>
      <c r="B8" s="529">
        <v>10</v>
      </c>
      <c r="C8" s="531" t="s">
        <v>427</v>
      </c>
      <c r="D8" s="531" t="s">
        <v>774</v>
      </c>
      <c r="E8" s="547">
        <v>-69856767</v>
      </c>
      <c r="F8" s="547"/>
      <c r="G8" s="547"/>
      <c r="H8" s="547"/>
      <c r="I8" s="547"/>
      <c r="J8" s="547"/>
      <c r="K8" s="547"/>
      <c r="L8" s="547"/>
      <c r="M8" s="547">
        <v>0</v>
      </c>
      <c r="N8" s="540"/>
      <c r="O8" s="540"/>
      <c r="P8" s="812">
        <f t="shared" si="0"/>
        <v>-69856767</v>
      </c>
      <c r="Q8" s="547">
        <f>144287668-223444156</f>
        <v>-79156488</v>
      </c>
      <c r="R8" s="812">
        <f t="shared" si="1"/>
        <v>-70</v>
      </c>
      <c r="S8" s="547">
        <f t="shared" si="1"/>
        <v>-79</v>
      </c>
      <c r="T8" s="566"/>
      <c r="U8" s="567"/>
      <c r="V8" s="812">
        <f t="shared" si="2"/>
        <v>-69856767</v>
      </c>
      <c r="W8" s="812">
        <f t="shared" si="3"/>
        <v>-70</v>
      </c>
    </row>
    <row r="9" spans="1:23" ht="27" hidden="1" customHeight="1">
      <c r="A9" s="531">
        <v>1009</v>
      </c>
      <c r="B9" s="529">
        <v>10</v>
      </c>
      <c r="C9" s="531" t="s">
        <v>828</v>
      </c>
      <c r="D9" s="531" t="s">
        <v>829</v>
      </c>
      <c r="E9" s="547"/>
      <c r="F9" s="547"/>
      <c r="G9" s="547"/>
      <c r="H9" s="547"/>
      <c r="I9" s="547"/>
      <c r="J9" s="547"/>
      <c r="K9" s="547"/>
      <c r="L9" s="547"/>
      <c r="M9" s="547">
        <v>0</v>
      </c>
      <c r="N9" s="540"/>
      <c r="O9" s="540"/>
      <c r="P9" s="812">
        <f t="shared" si="0"/>
        <v>0</v>
      </c>
      <c r="Q9" s="547"/>
      <c r="R9" s="812">
        <f t="shared" si="1"/>
        <v>0</v>
      </c>
      <c r="S9" s="547">
        <f t="shared" si="1"/>
        <v>0</v>
      </c>
      <c r="T9" s="566"/>
      <c r="U9" s="567"/>
      <c r="V9" s="812">
        <f t="shared" si="2"/>
        <v>0</v>
      </c>
      <c r="W9" s="812">
        <f t="shared" si="3"/>
        <v>0</v>
      </c>
    </row>
    <row r="10" spans="1:23" ht="27" hidden="1" customHeight="1">
      <c r="A10" s="531">
        <v>401</v>
      </c>
      <c r="B10" s="529">
        <v>4</v>
      </c>
      <c r="C10" s="531" t="s">
        <v>1419</v>
      </c>
      <c r="D10" s="531" t="s">
        <v>1263</v>
      </c>
      <c r="E10" s="547"/>
      <c r="F10" s="547"/>
      <c r="G10" s="547"/>
      <c r="H10" s="547"/>
      <c r="I10" s="547"/>
      <c r="J10" s="547"/>
      <c r="K10" s="547"/>
      <c r="L10" s="547"/>
      <c r="M10" s="547">
        <v>0</v>
      </c>
      <c r="N10" s="540"/>
      <c r="O10" s="540"/>
      <c r="P10" s="812">
        <f t="shared" si="0"/>
        <v>0</v>
      </c>
      <c r="Q10" s="547"/>
      <c r="R10" s="812">
        <f t="shared" si="1"/>
        <v>0</v>
      </c>
      <c r="S10" s="547">
        <f t="shared" si="1"/>
        <v>0</v>
      </c>
      <c r="T10" s="566"/>
      <c r="U10" s="567"/>
      <c r="V10" s="812">
        <f t="shared" si="2"/>
        <v>0</v>
      </c>
      <c r="W10" s="812">
        <f t="shared" si="3"/>
        <v>0</v>
      </c>
    </row>
    <row r="11" spans="1:23" ht="27" hidden="1" customHeight="1">
      <c r="A11" s="531">
        <v>1009</v>
      </c>
      <c r="B11" s="529">
        <v>10</v>
      </c>
      <c r="C11" s="531" t="s">
        <v>1166</v>
      </c>
      <c r="D11" s="531" t="s">
        <v>1167</v>
      </c>
      <c r="E11" s="547"/>
      <c r="F11" s="547"/>
      <c r="G11" s="547"/>
      <c r="H11" s="547"/>
      <c r="I11" s="547"/>
      <c r="J11" s="547"/>
      <c r="K11" s="547"/>
      <c r="L11" s="547"/>
      <c r="M11" s="547">
        <v>0</v>
      </c>
      <c r="N11" s="540"/>
      <c r="O11" s="540"/>
      <c r="P11" s="812">
        <f t="shared" si="0"/>
        <v>0</v>
      </c>
      <c r="Q11" s="547">
        <v>-30800204</v>
      </c>
      <c r="R11" s="812">
        <f t="shared" si="1"/>
        <v>0</v>
      </c>
      <c r="S11" s="547">
        <f t="shared" si="1"/>
        <v>-31</v>
      </c>
      <c r="T11" s="566"/>
      <c r="U11" s="567"/>
      <c r="V11" s="812">
        <f t="shared" si="2"/>
        <v>0</v>
      </c>
      <c r="W11" s="812">
        <f t="shared" si="3"/>
        <v>0</v>
      </c>
    </row>
    <row r="12" spans="1:23" ht="27" hidden="1" customHeight="1">
      <c r="A12" s="531">
        <v>1009</v>
      </c>
      <c r="B12" s="529">
        <v>10</v>
      </c>
      <c r="C12" s="531" t="s">
        <v>1224</v>
      </c>
      <c r="D12" s="531" t="s">
        <v>1225</v>
      </c>
      <c r="E12" s="547">
        <v>-33135217</v>
      </c>
      <c r="F12" s="547">
        <v>2000000</v>
      </c>
      <c r="G12" s="547"/>
      <c r="H12" s="547"/>
      <c r="I12" s="547"/>
      <c r="J12" s="547"/>
      <c r="K12" s="547"/>
      <c r="L12" s="547"/>
      <c r="M12" s="547">
        <v>0</v>
      </c>
      <c r="N12" s="540"/>
      <c r="O12" s="540"/>
      <c r="P12" s="812">
        <f t="shared" si="0"/>
        <v>-31135217</v>
      </c>
      <c r="Q12" s="547">
        <f>2500000-4600000</f>
        <v>-2100000</v>
      </c>
      <c r="R12" s="812">
        <f t="shared" si="1"/>
        <v>-31</v>
      </c>
      <c r="S12" s="547">
        <f t="shared" si="1"/>
        <v>-2</v>
      </c>
      <c r="T12" s="566"/>
      <c r="U12" s="567"/>
      <c r="V12" s="812">
        <f t="shared" si="2"/>
        <v>-31135217</v>
      </c>
      <c r="W12" s="812">
        <f t="shared" si="3"/>
        <v>-31</v>
      </c>
    </row>
    <row r="13" spans="1:23" ht="27" hidden="1" customHeight="1">
      <c r="A13" s="531">
        <v>1009</v>
      </c>
      <c r="B13" s="529">
        <v>10</v>
      </c>
      <c r="C13" s="531" t="s">
        <v>430</v>
      </c>
      <c r="D13" s="531" t="s">
        <v>431</v>
      </c>
      <c r="E13" s="547">
        <v>-11025194</v>
      </c>
      <c r="F13" s="547"/>
      <c r="G13" s="547"/>
      <c r="H13" s="547"/>
      <c r="I13" s="547"/>
      <c r="J13" s="547"/>
      <c r="K13" s="547"/>
      <c r="L13" s="547"/>
      <c r="M13" s="547">
        <v>0</v>
      </c>
      <c r="N13" s="540"/>
      <c r="O13" s="540"/>
      <c r="P13" s="812">
        <f t="shared" si="0"/>
        <v>-11025194</v>
      </c>
      <c r="Q13" s="547">
        <v>-2376984</v>
      </c>
      <c r="R13" s="812">
        <f t="shared" si="1"/>
        <v>-11</v>
      </c>
      <c r="S13" s="547">
        <f t="shared" si="1"/>
        <v>-2</v>
      </c>
      <c r="T13" s="566"/>
      <c r="U13" s="567"/>
      <c r="V13" s="812">
        <f t="shared" si="2"/>
        <v>-11025194</v>
      </c>
      <c r="W13" s="812">
        <f t="shared" si="3"/>
        <v>-11</v>
      </c>
    </row>
    <row r="14" spans="1:23" ht="27" hidden="1" customHeight="1">
      <c r="A14" s="531">
        <v>401</v>
      </c>
      <c r="B14" s="529">
        <v>4</v>
      </c>
      <c r="C14" s="531" t="s">
        <v>432</v>
      </c>
      <c r="D14" s="531" t="s">
        <v>433</v>
      </c>
      <c r="E14" s="547">
        <v>80000000</v>
      </c>
      <c r="F14" s="547"/>
      <c r="G14" s="547"/>
      <c r="H14" s="547"/>
      <c r="I14" s="547"/>
      <c r="J14" s="547"/>
      <c r="K14" s="547"/>
      <c r="L14" s="547"/>
      <c r="M14" s="547">
        <v>0</v>
      </c>
      <c r="N14" s="540"/>
      <c r="O14" s="540"/>
      <c r="P14" s="812">
        <f t="shared" si="0"/>
        <v>80000000</v>
      </c>
      <c r="Q14" s="547">
        <f>229600000-188000000</f>
        <v>41600000</v>
      </c>
      <c r="R14" s="812">
        <f t="shared" si="1"/>
        <v>80</v>
      </c>
      <c r="S14" s="547">
        <f t="shared" si="1"/>
        <v>42</v>
      </c>
      <c r="T14" s="566"/>
      <c r="U14" s="567"/>
      <c r="V14" s="812">
        <f t="shared" si="2"/>
        <v>80000000</v>
      </c>
      <c r="W14" s="812">
        <f t="shared" si="3"/>
        <v>80</v>
      </c>
    </row>
    <row r="15" spans="1:23" ht="27" hidden="1" customHeight="1">
      <c r="A15" s="531">
        <v>401</v>
      </c>
      <c r="B15" s="529">
        <v>4</v>
      </c>
      <c r="C15" s="531" t="s">
        <v>924</v>
      </c>
      <c r="D15" s="531" t="s">
        <v>925</v>
      </c>
      <c r="E15" s="547"/>
      <c r="F15" s="547"/>
      <c r="G15" s="547"/>
      <c r="H15" s="547"/>
      <c r="I15" s="547"/>
      <c r="J15" s="547"/>
      <c r="K15" s="547"/>
      <c r="L15" s="547"/>
      <c r="M15" s="547">
        <v>0</v>
      </c>
      <c r="N15" s="540"/>
      <c r="O15" s="540"/>
      <c r="P15" s="812">
        <f t="shared" si="0"/>
        <v>0</v>
      </c>
      <c r="Q15" s="547"/>
      <c r="R15" s="812">
        <f t="shared" si="1"/>
        <v>0</v>
      </c>
      <c r="S15" s="547">
        <f t="shared" si="1"/>
        <v>0</v>
      </c>
      <c r="T15" s="566"/>
      <c r="U15" s="567"/>
      <c r="V15" s="812">
        <f t="shared" si="2"/>
        <v>0</v>
      </c>
      <c r="W15" s="812">
        <f t="shared" si="3"/>
        <v>0</v>
      </c>
    </row>
    <row r="16" spans="1:23" ht="27" hidden="1" customHeight="1">
      <c r="A16" s="531">
        <v>1009</v>
      </c>
      <c r="B16" s="529">
        <v>10</v>
      </c>
      <c r="C16" s="531" t="s">
        <v>434</v>
      </c>
      <c r="D16" s="531" t="s">
        <v>435</v>
      </c>
      <c r="E16" s="547">
        <v>-6592687</v>
      </c>
      <c r="F16" s="547">
        <v>6991995</v>
      </c>
      <c r="G16" s="547">
        <v>-399308</v>
      </c>
      <c r="H16" s="547"/>
      <c r="I16" s="547"/>
      <c r="J16" s="547"/>
      <c r="K16" s="547"/>
      <c r="L16" s="547"/>
      <c r="M16" s="547">
        <v>0</v>
      </c>
      <c r="N16" s="540"/>
      <c r="O16" s="540"/>
      <c r="P16" s="812">
        <f t="shared" si="0"/>
        <v>0</v>
      </c>
      <c r="Q16" s="547">
        <f>12418833-6991995</f>
        <v>5426838</v>
      </c>
      <c r="R16" s="812">
        <f t="shared" si="1"/>
        <v>0</v>
      </c>
      <c r="S16" s="547">
        <f t="shared" si="1"/>
        <v>5</v>
      </c>
      <c r="T16" s="566"/>
      <c r="U16" s="567"/>
      <c r="V16" s="812">
        <f t="shared" si="2"/>
        <v>0</v>
      </c>
      <c r="W16" s="812">
        <f t="shared" si="3"/>
        <v>0</v>
      </c>
    </row>
    <row r="17" spans="1:23" ht="27" hidden="1" customHeight="1">
      <c r="A17" s="531">
        <v>401</v>
      </c>
      <c r="B17" s="529">
        <v>4</v>
      </c>
      <c r="C17" s="531" t="s">
        <v>436</v>
      </c>
      <c r="D17" s="531" t="s">
        <v>437</v>
      </c>
      <c r="E17" s="547">
        <v>25177</v>
      </c>
      <c r="F17" s="547">
        <v>-25177</v>
      </c>
      <c r="G17" s="547"/>
      <c r="H17" s="547"/>
      <c r="I17" s="547"/>
      <c r="J17" s="547"/>
      <c r="K17" s="547"/>
      <c r="L17" s="547"/>
      <c r="M17" s="547">
        <v>0</v>
      </c>
      <c r="N17" s="540"/>
      <c r="O17" s="540"/>
      <c r="P17" s="812">
        <f t="shared" si="0"/>
        <v>0</v>
      </c>
      <c r="Q17" s="547">
        <v>30116</v>
      </c>
      <c r="R17" s="812">
        <f t="shared" si="1"/>
        <v>0</v>
      </c>
      <c r="S17" s="547">
        <f t="shared" si="1"/>
        <v>0</v>
      </c>
      <c r="T17" s="566"/>
      <c r="U17" s="567"/>
      <c r="V17" s="812">
        <f t="shared" si="2"/>
        <v>0</v>
      </c>
      <c r="W17" s="812">
        <f t="shared" si="3"/>
        <v>0</v>
      </c>
    </row>
    <row r="18" spans="1:23" ht="27" hidden="1" customHeight="1">
      <c r="A18" s="531">
        <v>1009</v>
      </c>
      <c r="B18" s="529">
        <v>10</v>
      </c>
      <c r="C18" s="531" t="s">
        <v>438</v>
      </c>
      <c r="D18" s="531" t="s">
        <v>176</v>
      </c>
      <c r="E18" s="547">
        <v>-379433624</v>
      </c>
      <c r="F18" s="547">
        <v>11435829</v>
      </c>
      <c r="G18" s="547"/>
      <c r="H18" s="547"/>
      <c r="I18" s="547"/>
      <c r="J18" s="547"/>
      <c r="K18" s="547"/>
      <c r="L18" s="547"/>
      <c r="M18" s="547">
        <v>0</v>
      </c>
      <c r="N18" s="540"/>
      <c r="O18" s="540"/>
      <c r="P18" s="812">
        <f t="shared" si="0"/>
        <v>-367997795</v>
      </c>
      <c r="Q18" s="547">
        <f>216877515-241513048</f>
        <v>-24635533</v>
      </c>
      <c r="R18" s="812">
        <f t="shared" si="1"/>
        <v>-368</v>
      </c>
      <c r="S18" s="547">
        <f t="shared" si="1"/>
        <v>-25</v>
      </c>
      <c r="T18" s="566"/>
      <c r="U18" s="567"/>
      <c r="V18" s="812">
        <f t="shared" si="2"/>
        <v>-367997795</v>
      </c>
      <c r="W18" s="812">
        <f t="shared" si="3"/>
        <v>-368</v>
      </c>
    </row>
    <row r="19" spans="1:23" ht="27" hidden="1" customHeight="1">
      <c r="A19" s="531">
        <v>401</v>
      </c>
      <c r="B19" s="529">
        <v>4</v>
      </c>
      <c r="C19" s="531" t="s">
        <v>1168</v>
      </c>
      <c r="D19" s="531" t="s">
        <v>1101</v>
      </c>
      <c r="E19" s="547"/>
      <c r="F19" s="547"/>
      <c r="G19" s="547"/>
      <c r="H19" s="547"/>
      <c r="I19" s="547"/>
      <c r="J19" s="547"/>
      <c r="K19" s="547"/>
      <c r="L19" s="547"/>
      <c r="M19" s="547">
        <v>0</v>
      </c>
      <c r="N19" s="540"/>
      <c r="O19" s="540"/>
      <c r="P19" s="812">
        <f t="shared" si="0"/>
        <v>0</v>
      </c>
      <c r="Q19" s="547">
        <f>21000000-18000000</f>
        <v>3000000</v>
      </c>
      <c r="R19" s="812">
        <f t="shared" si="1"/>
        <v>0</v>
      </c>
      <c r="S19" s="547">
        <f t="shared" si="1"/>
        <v>3</v>
      </c>
      <c r="T19" s="566"/>
      <c r="U19" s="567"/>
      <c r="V19" s="812">
        <f t="shared" si="2"/>
        <v>0</v>
      </c>
      <c r="W19" s="812">
        <f t="shared" si="3"/>
        <v>0</v>
      </c>
    </row>
    <row r="20" spans="1:23" ht="27" hidden="1" customHeight="1">
      <c r="A20" s="531">
        <v>1009</v>
      </c>
      <c r="B20" s="529">
        <v>10</v>
      </c>
      <c r="C20" s="531" t="s">
        <v>472</v>
      </c>
      <c r="D20" s="531" t="s">
        <v>473</v>
      </c>
      <c r="E20" s="547">
        <v>-2993123311</v>
      </c>
      <c r="F20" s="547">
        <v>139581109</v>
      </c>
      <c r="G20" s="547"/>
      <c r="H20" s="547"/>
      <c r="I20" s="547"/>
      <c r="J20" s="547"/>
      <c r="K20" s="547"/>
      <c r="L20" s="547"/>
      <c r="M20" s="547">
        <v>0</v>
      </c>
      <c r="N20" s="540"/>
      <c r="O20" s="540"/>
      <c r="P20" s="812">
        <f t="shared" si="0"/>
        <v>-2853542202</v>
      </c>
      <c r="Q20" s="547">
        <v>-2656373043</v>
      </c>
      <c r="R20" s="812">
        <f t="shared" si="1"/>
        <v>-2854</v>
      </c>
      <c r="S20" s="547">
        <f t="shared" si="1"/>
        <v>-2656</v>
      </c>
      <c r="T20" s="566"/>
      <c r="U20" s="567"/>
      <c r="V20" s="812">
        <f t="shared" si="2"/>
        <v>-2853542202</v>
      </c>
      <c r="W20" s="812">
        <f t="shared" si="3"/>
        <v>-2854</v>
      </c>
    </row>
    <row r="21" spans="1:23" ht="27" hidden="1" customHeight="1">
      <c r="A21" s="531">
        <v>1009</v>
      </c>
      <c r="B21" s="529">
        <v>10</v>
      </c>
      <c r="C21" s="531" t="s">
        <v>698</v>
      </c>
      <c r="D21" s="531" t="s">
        <v>926</v>
      </c>
      <c r="E21" s="547"/>
      <c r="F21" s="547"/>
      <c r="G21" s="547"/>
      <c r="H21" s="547"/>
      <c r="I21" s="547"/>
      <c r="J21" s="547"/>
      <c r="K21" s="547"/>
      <c r="L21" s="547"/>
      <c r="M21" s="547">
        <v>0</v>
      </c>
      <c r="N21" s="540"/>
      <c r="O21" s="540"/>
      <c r="P21" s="812">
        <f t="shared" si="0"/>
        <v>0</v>
      </c>
      <c r="Q21" s="547"/>
      <c r="R21" s="812">
        <f t="shared" si="1"/>
        <v>0</v>
      </c>
      <c r="S21" s="547">
        <f t="shared" si="1"/>
        <v>0</v>
      </c>
      <c r="T21" s="566"/>
      <c r="U21" s="567"/>
      <c r="V21" s="812">
        <f t="shared" si="2"/>
        <v>0</v>
      </c>
      <c r="W21" s="812">
        <f t="shared" si="3"/>
        <v>0</v>
      </c>
    </row>
    <row r="22" spans="1:23" ht="27" hidden="1" customHeight="1">
      <c r="A22" s="531">
        <v>1009</v>
      </c>
      <c r="B22" s="529">
        <v>10</v>
      </c>
      <c r="C22" s="531" t="s">
        <v>830</v>
      </c>
      <c r="D22" s="531" t="s">
        <v>552</v>
      </c>
      <c r="E22" s="547"/>
      <c r="F22" s="547"/>
      <c r="G22" s="547"/>
      <c r="H22" s="547"/>
      <c r="I22" s="547"/>
      <c r="J22" s="547"/>
      <c r="K22" s="547"/>
      <c r="L22" s="547"/>
      <c r="M22" s="547">
        <v>0</v>
      </c>
      <c r="N22" s="540"/>
      <c r="O22" s="540"/>
      <c r="P22" s="812">
        <f t="shared" si="0"/>
        <v>0</v>
      </c>
      <c r="Q22" s="547">
        <v>-52200000</v>
      </c>
      <c r="R22" s="812">
        <f t="shared" si="1"/>
        <v>0</v>
      </c>
      <c r="S22" s="547">
        <f t="shared" si="1"/>
        <v>-52</v>
      </c>
      <c r="T22" s="566"/>
      <c r="U22" s="567"/>
      <c r="V22" s="812">
        <f t="shared" si="2"/>
        <v>0</v>
      </c>
      <c r="W22" s="812">
        <f t="shared" si="3"/>
        <v>0</v>
      </c>
    </row>
    <row r="23" spans="1:23" ht="27" hidden="1" customHeight="1">
      <c r="A23" s="531">
        <v>401</v>
      </c>
      <c r="B23" s="529">
        <v>4</v>
      </c>
      <c r="C23" s="531" t="s">
        <v>128</v>
      </c>
      <c r="D23" s="531" t="s">
        <v>1082</v>
      </c>
      <c r="E23" s="547"/>
      <c r="F23" s="547"/>
      <c r="G23" s="547"/>
      <c r="H23" s="547"/>
      <c r="I23" s="547"/>
      <c r="J23" s="547"/>
      <c r="K23" s="547"/>
      <c r="L23" s="547"/>
      <c r="M23" s="547">
        <v>0</v>
      </c>
      <c r="N23" s="540"/>
      <c r="O23" s="540"/>
      <c r="P23" s="812">
        <f t="shared" si="0"/>
        <v>0</v>
      </c>
      <c r="Q23" s="547">
        <v>0</v>
      </c>
      <c r="R23" s="812">
        <f t="shared" si="1"/>
        <v>0</v>
      </c>
      <c r="S23" s="547">
        <f t="shared" si="1"/>
        <v>0</v>
      </c>
      <c r="T23" s="566"/>
      <c r="U23" s="567"/>
      <c r="V23" s="812">
        <f t="shared" si="2"/>
        <v>0</v>
      </c>
      <c r="W23" s="812">
        <f t="shared" si="3"/>
        <v>0</v>
      </c>
    </row>
    <row r="24" spans="1:23" ht="27" hidden="1" customHeight="1">
      <c r="A24" s="531">
        <v>1002</v>
      </c>
      <c r="B24" s="529">
        <v>10</v>
      </c>
      <c r="C24" s="531" t="s">
        <v>132</v>
      </c>
      <c r="D24" s="531" t="s">
        <v>133</v>
      </c>
      <c r="E24" s="547">
        <v>-5357743512</v>
      </c>
      <c r="F24" s="547">
        <v>-210000000</v>
      </c>
      <c r="G24" s="547"/>
      <c r="H24" s="547"/>
      <c r="I24" s="547"/>
      <c r="J24" s="547"/>
      <c r="K24" s="547"/>
      <c r="L24" s="547"/>
      <c r="M24" s="547">
        <v>0</v>
      </c>
      <c r="N24" s="540"/>
      <c r="O24" s="540"/>
      <c r="P24" s="812">
        <f t="shared" si="0"/>
        <v>-5567743512</v>
      </c>
      <c r="Q24" s="547">
        <f>129770229-3744661197</f>
        <v>-3614890968</v>
      </c>
      <c r="R24" s="812">
        <f t="shared" si="1"/>
        <v>-5568</v>
      </c>
      <c r="S24" s="547">
        <f t="shared" si="1"/>
        <v>-3615</v>
      </c>
      <c r="T24" s="566"/>
      <c r="U24" s="567"/>
      <c r="V24" s="812">
        <f t="shared" si="2"/>
        <v>-5567743512</v>
      </c>
      <c r="W24" s="812">
        <f t="shared" si="3"/>
        <v>-5568</v>
      </c>
    </row>
    <row r="25" spans="1:23" ht="27" hidden="1" customHeight="1">
      <c r="A25" s="531">
        <v>1301</v>
      </c>
      <c r="B25" s="529">
        <v>12</v>
      </c>
      <c r="C25" s="531" t="s">
        <v>134</v>
      </c>
      <c r="D25" s="531" t="s">
        <v>135</v>
      </c>
      <c r="E25" s="547">
        <v>-17463142926</v>
      </c>
      <c r="F25" s="547">
        <v>-642175025</v>
      </c>
      <c r="G25" s="547"/>
      <c r="H25" s="547"/>
      <c r="I25" s="547"/>
      <c r="J25" s="547"/>
      <c r="K25" s="547"/>
      <c r="L25" s="547"/>
      <c r="M25" s="547">
        <v>0</v>
      </c>
      <c r="N25" s="540"/>
      <c r="O25" s="540"/>
      <c r="P25" s="812">
        <f t="shared" si="0"/>
        <v>-18105317951</v>
      </c>
      <c r="Q25" s="547">
        <v>-11714570323</v>
      </c>
      <c r="R25" s="812">
        <f t="shared" si="1"/>
        <v>-18105</v>
      </c>
      <c r="S25" s="547">
        <f t="shared" si="1"/>
        <v>-11715</v>
      </c>
      <c r="T25" s="566"/>
      <c r="U25" s="567"/>
      <c r="V25" s="812">
        <f t="shared" si="2"/>
        <v>-18105317951</v>
      </c>
      <c r="W25" s="812">
        <f t="shared" si="3"/>
        <v>-18105</v>
      </c>
    </row>
    <row r="26" spans="1:23" ht="27" hidden="1" customHeight="1">
      <c r="A26" s="531">
        <v>1009</v>
      </c>
      <c r="B26" s="529">
        <v>10</v>
      </c>
      <c r="C26" s="531" t="s">
        <v>1169</v>
      </c>
      <c r="D26" s="531" t="s">
        <v>1170</v>
      </c>
      <c r="E26" s="547">
        <v>-100000</v>
      </c>
      <c r="F26" s="547"/>
      <c r="G26" s="547">
        <v>100000</v>
      </c>
      <c r="H26" s="547"/>
      <c r="I26" s="547"/>
      <c r="J26" s="547"/>
      <c r="K26" s="547"/>
      <c r="L26" s="547"/>
      <c r="M26" s="547">
        <v>0</v>
      </c>
      <c r="N26" s="540"/>
      <c r="O26" s="540"/>
      <c r="P26" s="812">
        <f t="shared" si="0"/>
        <v>0</v>
      </c>
      <c r="Q26" s="547">
        <v>-100000</v>
      </c>
      <c r="R26" s="812">
        <f t="shared" si="1"/>
        <v>0</v>
      </c>
      <c r="S26" s="547">
        <f t="shared" si="1"/>
        <v>0</v>
      </c>
      <c r="T26" s="566"/>
      <c r="U26" s="567"/>
      <c r="V26" s="812">
        <f t="shared" si="2"/>
        <v>0</v>
      </c>
      <c r="W26" s="812">
        <f t="shared" si="3"/>
        <v>0</v>
      </c>
    </row>
    <row r="27" spans="1:23" ht="27" hidden="1" customHeight="1">
      <c r="A27" s="531">
        <v>1009</v>
      </c>
      <c r="B27" s="529">
        <v>10</v>
      </c>
      <c r="C27" s="531" t="s">
        <v>1226</v>
      </c>
      <c r="D27" s="531" t="s">
        <v>1083</v>
      </c>
      <c r="E27" s="547"/>
      <c r="F27" s="547"/>
      <c r="G27" s="547"/>
      <c r="H27" s="547"/>
      <c r="I27" s="547"/>
      <c r="J27" s="547"/>
      <c r="K27" s="547"/>
      <c r="L27" s="547"/>
      <c r="M27" s="547">
        <v>0</v>
      </c>
      <c r="N27" s="540"/>
      <c r="O27" s="540"/>
      <c r="P27" s="812">
        <f t="shared" si="0"/>
        <v>0</v>
      </c>
      <c r="Q27" s="547">
        <v>-73712000</v>
      </c>
      <c r="R27" s="812">
        <f t="shared" si="1"/>
        <v>0</v>
      </c>
      <c r="S27" s="547">
        <f t="shared" si="1"/>
        <v>-74</v>
      </c>
      <c r="T27" s="566"/>
      <c r="U27" s="567"/>
      <c r="V27" s="812">
        <f t="shared" si="2"/>
        <v>0</v>
      </c>
      <c r="W27" s="812">
        <f t="shared" si="3"/>
        <v>0</v>
      </c>
    </row>
    <row r="28" spans="1:23" ht="27" hidden="1" customHeight="1">
      <c r="A28" s="531">
        <v>1009</v>
      </c>
      <c r="B28" s="529">
        <v>10</v>
      </c>
      <c r="C28" s="531" t="s">
        <v>136</v>
      </c>
      <c r="D28" s="531" t="s">
        <v>700</v>
      </c>
      <c r="E28" s="547">
        <v>-23280406</v>
      </c>
      <c r="F28" s="547">
        <v>-122125</v>
      </c>
      <c r="G28" s="547"/>
      <c r="H28" s="547"/>
      <c r="I28" s="547"/>
      <c r="J28" s="547"/>
      <c r="K28" s="547"/>
      <c r="L28" s="547"/>
      <c r="M28" s="547">
        <v>0</v>
      </c>
      <c r="N28" s="540"/>
      <c r="O28" s="540"/>
      <c r="P28" s="812">
        <f t="shared" si="0"/>
        <v>-23402531</v>
      </c>
      <c r="Q28" s="547">
        <f>-198292020-87892486</f>
        <v>-286184506</v>
      </c>
      <c r="R28" s="812">
        <f t="shared" si="1"/>
        <v>-23</v>
      </c>
      <c r="S28" s="547">
        <f t="shared" si="1"/>
        <v>-286</v>
      </c>
      <c r="T28" s="566"/>
      <c r="U28" s="567"/>
      <c r="V28" s="812">
        <f t="shared" si="2"/>
        <v>-23402531</v>
      </c>
      <c r="W28" s="812">
        <f t="shared" si="3"/>
        <v>-23</v>
      </c>
    </row>
    <row r="29" spans="1:23" ht="27" hidden="1" customHeight="1">
      <c r="A29" s="531">
        <v>401</v>
      </c>
      <c r="B29" s="529">
        <v>4</v>
      </c>
      <c r="C29" s="531" t="s">
        <v>927</v>
      </c>
      <c r="D29" s="531" t="s">
        <v>928</v>
      </c>
      <c r="E29" s="547">
        <v>43021721866</v>
      </c>
      <c r="F29" s="547">
        <v>-43021721866</v>
      </c>
      <c r="G29" s="547"/>
      <c r="H29" s="547"/>
      <c r="I29" s="547"/>
      <c r="J29" s="547"/>
      <c r="K29" s="547"/>
      <c r="L29" s="547"/>
      <c r="M29" s="547">
        <v>0</v>
      </c>
      <c r="N29" s="540"/>
      <c r="O29" s="540"/>
      <c r="P29" s="812">
        <f t="shared" si="0"/>
        <v>0</v>
      </c>
      <c r="Q29" s="547">
        <f>166546711948-29448499238-134962723748</f>
        <v>2135488962</v>
      </c>
      <c r="R29" s="812">
        <f t="shared" si="1"/>
        <v>0</v>
      </c>
      <c r="S29" s="547">
        <f t="shared" si="1"/>
        <v>2135</v>
      </c>
      <c r="T29" s="566"/>
      <c r="U29" s="567"/>
      <c r="V29" s="812">
        <f t="shared" si="2"/>
        <v>0</v>
      </c>
      <c r="W29" s="812">
        <f t="shared" si="3"/>
        <v>0</v>
      </c>
    </row>
    <row r="30" spans="1:23" ht="27" hidden="1" customHeight="1">
      <c r="A30" s="531">
        <v>1009</v>
      </c>
      <c r="B30" s="529">
        <v>10</v>
      </c>
      <c r="C30" s="531" t="s">
        <v>83</v>
      </c>
      <c r="D30" s="531" t="s">
        <v>930</v>
      </c>
      <c r="E30" s="547">
        <v>-10850304</v>
      </c>
      <c r="F30" s="547">
        <v>10850304</v>
      </c>
      <c r="G30" s="547"/>
      <c r="H30" s="547"/>
      <c r="I30" s="547"/>
      <c r="J30" s="547"/>
      <c r="K30" s="547"/>
      <c r="L30" s="547"/>
      <c r="M30" s="547">
        <v>0</v>
      </c>
      <c r="N30" s="540"/>
      <c r="O30" s="540"/>
      <c r="P30" s="812">
        <f t="shared" si="0"/>
        <v>0</v>
      </c>
      <c r="Q30" s="547"/>
      <c r="R30" s="812">
        <f t="shared" si="1"/>
        <v>0</v>
      </c>
      <c r="S30" s="547">
        <f t="shared" si="1"/>
        <v>0</v>
      </c>
      <c r="T30" s="566"/>
      <c r="U30" s="567"/>
      <c r="V30" s="812">
        <f t="shared" si="2"/>
        <v>0</v>
      </c>
      <c r="W30" s="812">
        <f t="shared" si="3"/>
        <v>0</v>
      </c>
    </row>
    <row r="31" spans="1:23" ht="27" hidden="1" customHeight="1">
      <c r="A31" s="531">
        <v>1009</v>
      </c>
      <c r="B31" s="529">
        <v>10</v>
      </c>
      <c r="C31" s="531" t="s">
        <v>212</v>
      </c>
      <c r="D31" s="531" t="s">
        <v>929</v>
      </c>
      <c r="E31" s="547">
        <v>-40942860014</v>
      </c>
      <c r="F31" s="547">
        <v>40942860014</v>
      </c>
      <c r="G31" s="547"/>
      <c r="H31" s="547"/>
      <c r="I31" s="547"/>
      <c r="J31" s="547"/>
      <c r="K31" s="547"/>
      <c r="L31" s="547"/>
      <c r="M31" s="547">
        <v>0</v>
      </c>
      <c r="N31" s="540"/>
      <c r="O31" s="540"/>
      <c r="P31" s="812">
        <f t="shared" si="0"/>
        <v>0</v>
      </c>
      <c r="Q31" s="547">
        <f>-164411222986+29448499238+134962723748</f>
        <v>0</v>
      </c>
      <c r="R31" s="812">
        <f t="shared" si="1"/>
        <v>0</v>
      </c>
      <c r="S31" s="547">
        <f t="shared" si="1"/>
        <v>0</v>
      </c>
      <c r="T31" s="566"/>
      <c r="U31" s="567"/>
      <c r="V31" s="812">
        <f t="shared" si="2"/>
        <v>0</v>
      </c>
      <c r="W31" s="812">
        <f t="shared" si="3"/>
        <v>0</v>
      </c>
    </row>
    <row r="32" spans="1:23" ht="27" hidden="1" customHeight="1">
      <c r="A32" s="531"/>
      <c r="B32" s="529" t="s">
        <v>764</v>
      </c>
      <c r="C32" s="531" t="s">
        <v>931</v>
      </c>
      <c r="D32" s="531" t="s">
        <v>933</v>
      </c>
      <c r="E32" s="547"/>
      <c r="F32" s="547"/>
      <c r="G32" s="547"/>
      <c r="H32" s="547"/>
      <c r="I32" s="547"/>
      <c r="J32" s="547"/>
      <c r="K32" s="547"/>
      <c r="L32" s="547"/>
      <c r="M32" s="547">
        <v>0</v>
      </c>
      <c r="N32" s="540"/>
      <c r="O32" s="540"/>
      <c r="P32" s="812">
        <f t="shared" si="0"/>
        <v>0</v>
      </c>
      <c r="Q32" s="547"/>
      <c r="R32" s="812">
        <f t="shared" si="1"/>
        <v>0</v>
      </c>
      <c r="S32" s="547">
        <f t="shared" si="1"/>
        <v>0</v>
      </c>
      <c r="T32" s="566"/>
      <c r="U32" s="567"/>
      <c r="V32" s="812">
        <f t="shared" si="2"/>
        <v>0</v>
      </c>
      <c r="W32" s="812">
        <f t="shared" si="3"/>
        <v>0</v>
      </c>
    </row>
    <row r="33" spans="1:23" ht="27" hidden="1" customHeight="1">
      <c r="A33" s="531"/>
      <c r="B33" s="529" t="s">
        <v>764</v>
      </c>
      <c r="C33" s="531" t="s">
        <v>1406</v>
      </c>
      <c r="D33" s="531" t="s">
        <v>934</v>
      </c>
      <c r="E33" s="547"/>
      <c r="F33" s="547"/>
      <c r="G33" s="547"/>
      <c r="H33" s="547"/>
      <c r="I33" s="547"/>
      <c r="J33" s="547"/>
      <c r="K33" s="547"/>
      <c r="L33" s="547"/>
      <c r="M33" s="547">
        <v>0</v>
      </c>
      <c r="N33" s="540"/>
      <c r="O33" s="540"/>
      <c r="P33" s="812">
        <f t="shared" si="0"/>
        <v>0</v>
      </c>
      <c r="Q33" s="547"/>
      <c r="R33" s="812">
        <f t="shared" si="1"/>
        <v>0</v>
      </c>
      <c r="S33" s="547">
        <f t="shared" si="1"/>
        <v>0</v>
      </c>
      <c r="T33" s="566"/>
      <c r="U33" s="567"/>
      <c r="V33" s="812">
        <f t="shared" si="2"/>
        <v>0</v>
      </c>
      <c r="W33" s="812">
        <f t="shared" si="3"/>
        <v>0</v>
      </c>
    </row>
    <row r="34" spans="1:23" ht="27" hidden="1" customHeight="1">
      <c r="A34" s="531">
        <v>1009</v>
      </c>
      <c r="B34" s="529">
        <v>10</v>
      </c>
      <c r="C34" s="531" t="s">
        <v>932</v>
      </c>
      <c r="D34" s="531" t="s">
        <v>935</v>
      </c>
      <c r="E34" s="547"/>
      <c r="F34" s="547"/>
      <c r="G34" s="547"/>
      <c r="H34" s="547"/>
      <c r="I34" s="547"/>
      <c r="J34" s="547"/>
      <c r="K34" s="547"/>
      <c r="L34" s="547"/>
      <c r="M34" s="547">
        <v>0</v>
      </c>
      <c r="N34" s="540"/>
      <c r="O34" s="540"/>
      <c r="P34" s="812">
        <f t="shared" si="0"/>
        <v>0</v>
      </c>
      <c r="Q34" s="547"/>
      <c r="R34" s="812">
        <f t="shared" si="1"/>
        <v>0</v>
      </c>
      <c r="S34" s="547">
        <f t="shared" si="1"/>
        <v>0</v>
      </c>
      <c r="T34" s="566"/>
      <c r="U34" s="567"/>
      <c r="V34" s="812">
        <f t="shared" si="2"/>
        <v>0</v>
      </c>
      <c r="W34" s="812">
        <f t="shared" si="3"/>
        <v>0</v>
      </c>
    </row>
    <row r="35" spans="1:23" ht="27" hidden="1" customHeight="1">
      <c r="A35" s="531">
        <v>1009</v>
      </c>
      <c r="B35" s="529">
        <v>10</v>
      </c>
      <c r="C35" s="531" t="s">
        <v>1227</v>
      </c>
      <c r="D35" s="531" t="s">
        <v>1228</v>
      </c>
      <c r="E35" s="547"/>
      <c r="F35" s="547"/>
      <c r="G35" s="547"/>
      <c r="H35" s="547"/>
      <c r="I35" s="547"/>
      <c r="J35" s="547"/>
      <c r="K35" s="547"/>
      <c r="L35" s="547"/>
      <c r="M35" s="547">
        <v>0</v>
      </c>
      <c r="N35" s="540"/>
      <c r="O35" s="540"/>
      <c r="P35" s="812">
        <f t="shared" si="0"/>
        <v>0</v>
      </c>
      <c r="Q35" s="547">
        <v>-2985550</v>
      </c>
      <c r="R35" s="812">
        <f t="shared" si="1"/>
        <v>0</v>
      </c>
      <c r="S35" s="547">
        <f t="shared" si="1"/>
        <v>-3</v>
      </c>
      <c r="T35" s="566"/>
      <c r="U35" s="567"/>
      <c r="V35" s="812">
        <f t="shared" si="2"/>
        <v>0</v>
      </c>
      <c r="W35" s="812">
        <f t="shared" si="3"/>
        <v>0</v>
      </c>
    </row>
    <row r="36" spans="1:23" ht="56.25" hidden="1" customHeight="1">
      <c r="A36" s="531">
        <v>401</v>
      </c>
      <c r="B36" s="529">
        <v>4</v>
      </c>
      <c r="C36" s="531" t="s">
        <v>1084</v>
      </c>
      <c r="D36" s="531" t="s">
        <v>1085</v>
      </c>
      <c r="E36" s="548"/>
      <c r="F36" s="548"/>
      <c r="G36" s="548"/>
      <c r="H36" s="548"/>
      <c r="I36" s="548"/>
      <c r="J36" s="548"/>
      <c r="K36" s="548"/>
      <c r="L36" s="548"/>
      <c r="M36" s="548">
        <v>0</v>
      </c>
      <c r="N36" s="541"/>
      <c r="O36" s="541"/>
      <c r="P36" s="812">
        <f t="shared" si="0"/>
        <v>0</v>
      </c>
      <c r="Q36" s="548"/>
      <c r="R36" s="812">
        <f t="shared" si="1"/>
        <v>0</v>
      </c>
      <c r="S36" s="548">
        <f t="shared" si="1"/>
        <v>0</v>
      </c>
      <c r="T36" s="568"/>
      <c r="U36" s="567"/>
      <c r="V36" s="812">
        <f t="shared" si="2"/>
        <v>0</v>
      </c>
      <c r="W36" s="812">
        <f t="shared" si="3"/>
        <v>0</v>
      </c>
    </row>
    <row r="37" spans="1:23" ht="27" hidden="1" customHeight="1">
      <c r="A37" s="531">
        <v>1009</v>
      </c>
      <c r="B37" s="529">
        <v>10</v>
      </c>
      <c r="C37" s="531" t="s">
        <v>84</v>
      </c>
      <c r="D37" s="531" t="s">
        <v>699</v>
      </c>
      <c r="E37" s="547">
        <v>-164197140</v>
      </c>
      <c r="F37" s="547">
        <v>159587565</v>
      </c>
      <c r="G37" s="547"/>
      <c r="H37" s="547"/>
      <c r="I37" s="547"/>
      <c r="J37" s="547"/>
      <c r="K37" s="547"/>
      <c r="L37" s="547"/>
      <c r="M37" s="547">
        <v>0</v>
      </c>
      <c r="N37" s="540"/>
      <c r="O37" s="540"/>
      <c r="P37" s="812">
        <f t="shared" si="0"/>
        <v>-4609575</v>
      </c>
      <c r="Q37" s="547">
        <f>403356904-801778817</f>
        <v>-398421913</v>
      </c>
      <c r="R37" s="812">
        <f t="shared" si="1"/>
        <v>-5</v>
      </c>
      <c r="S37" s="547">
        <f t="shared" si="1"/>
        <v>-398</v>
      </c>
      <c r="T37" s="566"/>
      <c r="U37" s="567"/>
      <c r="V37" s="812">
        <f t="shared" si="2"/>
        <v>-4609575</v>
      </c>
      <c r="W37" s="812">
        <f t="shared" si="3"/>
        <v>-5</v>
      </c>
    </row>
    <row r="38" spans="1:23" ht="27" hidden="1" customHeight="1">
      <c r="A38" s="531">
        <v>401</v>
      </c>
      <c r="B38" s="529">
        <v>4</v>
      </c>
      <c r="C38" s="531" t="s">
        <v>873</v>
      </c>
      <c r="D38" s="531" t="s">
        <v>874</v>
      </c>
      <c r="E38" s="547">
        <v>1800000</v>
      </c>
      <c r="F38" s="547">
        <v>-1800000</v>
      </c>
      <c r="G38" s="547"/>
      <c r="H38" s="547"/>
      <c r="I38" s="547"/>
      <c r="J38" s="547"/>
      <c r="K38" s="547"/>
      <c r="L38" s="547"/>
      <c r="M38" s="547">
        <v>0</v>
      </c>
      <c r="N38" s="540"/>
      <c r="O38" s="540"/>
      <c r="P38" s="812">
        <f t="shared" si="0"/>
        <v>0</v>
      </c>
      <c r="Q38" s="547">
        <v>50164407</v>
      </c>
      <c r="R38" s="812">
        <f t="shared" si="1"/>
        <v>0</v>
      </c>
      <c r="S38" s="547">
        <f t="shared" si="1"/>
        <v>50</v>
      </c>
      <c r="T38" s="566"/>
      <c r="U38" s="567"/>
      <c r="V38" s="812">
        <f t="shared" si="2"/>
        <v>0</v>
      </c>
      <c r="W38" s="812">
        <f t="shared" si="3"/>
        <v>0</v>
      </c>
    </row>
    <row r="39" spans="1:23" ht="27" hidden="1" customHeight="1">
      <c r="A39" s="531">
        <v>401</v>
      </c>
      <c r="B39" s="529">
        <v>4</v>
      </c>
      <c r="C39" s="531" t="s">
        <v>86</v>
      </c>
      <c r="D39" s="531" t="s">
        <v>875</v>
      </c>
      <c r="E39" s="547">
        <v>708752353</v>
      </c>
      <c r="F39" s="547">
        <v>-708752353</v>
      </c>
      <c r="G39" s="547"/>
      <c r="H39" s="547"/>
      <c r="I39" s="547"/>
      <c r="J39" s="547"/>
      <c r="K39" s="547"/>
      <c r="L39" s="547"/>
      <c r="M39" s="547">
        <v>0</v>
      </c>
      <c r="N39" s="540"/>
      <c r="O39" s="540"/>
      <c r="P39" s="812">
        <f t="shared" si="0"/>
        <v>0</v>
      </c>
      <c r="Q39" s="547">
        <v>-129976892</v>
      </c>
      <c r="R39" s="812">
        <f t="shared" si="1"/>
        <v>0</v>
      </c>
      <c r="S39" s="547">
        <f t="shared" si="1"/>
        <v>-130</v>
      </c>
      <c r="T39" s="566"/>
      <c r="U39" s="567"/>
      <c r="V39" s="812">
        <f t="shared" si="2"/>
        <v>0</v>
      </c>
      <c r="W39" s="812">
        <f t="shared" si="3"/>
        <v>0</v>
      </c>
    </row>
    <row r="40" spans="1:23" ht="27" hidden="1" customHeight="1">
      <c r="A40" s="531">
        <v>401</v>
      </c>
      <c r="B40" s="529">
        <v>4</v>
      </c>
      <c r="C40" s="531" t="s">
        <v>1171</v>
      </c>
      <c r="D40" s="531" t="s">
        <v>1172</v>
      </c>
      <c r="E40" s="547">
        <v>10392000</v>
      </c>
      <c r="F40" s="547">
        <v>-10392000</v>
      </c>
      <c r="G40" s="547"/>
      <c r="H40" s="547"/>
      <c r="I40" s="547"/>
      <c r="J40" s="547"/>
      <c r="K40" s="547"/>
      <c r="L40" s="547"/>
      <c r="M40" s="547">
        <v>0</v>
      </c>
      <c r="N40" s="540"/>
      <c r="O40" s="540"/>
      <c r="P40" s="812">
        <f t="shared" si="0"/>
        <v>0</v>
      </c>
      <c r="Q40" s="547">
        <f>42560000-59870000</f>
        <v>-17310000</v>
      </c>
      <c r="R40" s="812">
        <f t="shared" si="1"/>
        <v>0</v>
      </c>
      <c r="S40" s="547">
        <f t="shared" si="1"/>
        <v>-17</v>
      </c>
      <c r="T40" s="566"/>
      <c r="U40" s="567"/>
      <c r="V40" s="812">
        <f t="shared" si="2"/>
        <v>0</v>
      </c>
      <c r="W40" s="812">
        <f t="shared" si="3"/>
        <v>0</v>
      </c>
    </row>
    <row r="41" spans="1:23" ht="27" hidden="1" customHeight="1">
      <c r="A41" s="531">
        <v>401</v>
      </c>
      <c r="B41" s="529">
        <v>4</v>
      </c>
      <c r="C41" s="531" t="s">
        <v>1086</v>
      </c>
      <c r="D41" s="531" t="s">
        <v>1087</v>
      </c>
      <c r="E41" s="547">
        <v>455576</v>
      </c>
      <c r="F41" s="547"/>
      <c r="G41" s="547"/>
      <c r="H41" s="547"/>
      <c r="I41" s="547"/>
      <c r="J41" s="547"/>
      <c r="K41" s="547"/>
      <c r="L41" s="547"/>
      <c r="M41" s="547">
        <v>0</v>
      </c>
      <c r="N41" s="540"/>
      <c r="O41" s="540"/>
      <c r="P41" s="812">
        <f t="shared" si="0"/>
        <v>455576</v>
      </c>
      <c r="Q41" s="547">
        <v>455576</v>
      </c>
      <c r="R41" s="812">
        <f t="shared" si="1"/>
        <v>0</v>
      </c>
      <c r="S41" s="547">
        <f t="shared" si="1"/>
        <v>0</v>
      </c>
      <c r="T41" s="566"/>
      <c r="U41" s="567"/>
      <c r="V41" s="812">
        <f t="shared" si="2"/>
        <v>455576</v>
      </c>
      <c r="W41" s="812">
        <f t="shared" si="3"/>
        <v>0</v>
      </c>
    </row>
    <row r="42" spans="1:23" ht="27" hidden="1" customHeight="1">
      <c r="A42" s="531">
        <v>401</v>
      </c>
      <c r="B42" s="529">
        <v>4</v>
      </c>
      <c r="C42" s="531" t="s">
        <v>1229</v>
      </c>
      <c r="D42" s="531" t="s">
        <v>1230</v>
      </c>
      <c r="E42" s="547">
        <v>32187000</v>
      </c>
      <c r="F42" s="547"/>
      <c r="G42" s="547"/>
      <c r="H42" s="547"/>
      <c r="I42" s="547"/>
      <c r="J42" s="547"/>
      <c r="K42" s="547"/>
      <c r="L42" s="547"/>
      <c r="M42" s="547">
        <v>0</v>
      </c>
      <c r="N42" s="540"/>
      <c r="O42" s="540"/>
      <c r="P42" s="812">
        <f t="shared" si="0"/>
        <v>32187000</v>
      </c>
      <c r="Q42" s="547">
        <v>1274000</v>
      </c>
      <c r="R42" s="812">
        <f t="shared" si="1"/>
        <v>32</v>
      </c>
      <c r="S42" s="547">
        <f t="shared" si="1"/>
        <v>1</v>
      </c>
      <c r="T42" s="566"/>
      <c r="U42" s="567"/>
      <c r="V42" s="812">
        <f t="shared" si="2"/>
        <v>32187000</v>
      </c>
      <c r="W42" s="812">
        <f t="shared" si="3"/>
        <v>32</v>
      </c>
    </row>
    <row r="43" spans="1:23" ht="27" hidden="1" customHeight="1">
      <c r="A43" s="531">
        <v>1009</v>
      </c>
      <c r="B43" s="529">
        <v>10</v>
      </c>
      <c r="C43" s="531" t="s">
        <v>89</v>
      </c>
      <c r="D43" s="531" t="s">
        <v>936</v>
      </c>
      <c r="E43" s="547">
        <v>-17969152</v>
      </c>
      <c r="F43" s="547"/>
      <c r="G43" s="547">
        <v>17969152</v>
      </c>
      <c r="H43" s="547"/>
      <c r="I43" s="547"/>
      <c r="J43" s="547"/>
      <c r="K43" s="547"/>
      <c r="L43" s="547"/>
      <c r="M43" s="547">
        <v>0</v>
      </c>
      <c r="N43" s="540"/>
      <c r="O43" s="540"/>
      <c r="P43" s="812">
        <f t="shared" si="0"/>
        <v>0</v>
      </c>
      <c r="Q43" s="547"/>
      <c r="R43" s="812">
        <f t="shared" si="1"/>
        <v>0</v>
      </c>
      <c r="S43" s="547">
        <f t="shared" si="1"/>
        <v>0</v>
      </c>
      <c r="T43" s="566"/>
      <c r="U43" s="567"/>
      <c r="V43" s="812">
        <f t="shared" si="2"/>
        <v>0</v>
      </c>
      <c r="W43" s="812">
        <f t="shared" si="3"/>
        <v>0</v>
      </c>
    </row>
    <row r="44" spans="1:23" ht="27" hidden="1" customHeight="1">
      <c r="A44" s="531">
        <v>401</v>
      </c>
      <c r="B44" s="529">
        <v>4</v>
      </c>
      <c r="C44" s="531" t="s">
        <v>1088</v>
      </c>
      <c r="D44" s="531" t="s">
        <v>956</v>
      </c>
      <c r="E44" s="547">
        <v>7</v>
      </c>
      <c r="F44" s="547"/>
      <c r="G44" s="547">
        <v>-7</v>
      </c>
      <c r="H44" s="547"/>
      <c r="I44" s="547"/>
      <c r="J44" s="547"/>
      <c r="K44" s="547"/>
      <c r="L44" s="547"/>
      <c r="M44" s="547">
        <v>0</v>
      </c>
      <c r="N44" s="540"/>
      <c r="O44" s="540"/>
      <c r="P44" s="812">
        <f t="shared" si="0"/>
        <v>0</v>
      </c>
      <c r="Q44" s="547"/>
      <c r="R44" s="812">
        <f t="shared" si="1"/>
        <v>0</v>
      </c>
      <c r="S44" s="547">
        <f t="shared" si="1"/>
        <v>0</v>
      </c>
      <c r="T44" s="566"/>
      <c r="U44" s="567"/>
      <c r="V44" s="812">
        <f t="shared" si="2"/>
        <v>0</v>
      </c>
      <c r="W44" s="812">
        <f t="shared" si="3"/>
        <v>0</v>
      </c>
    </row>
    <row r="45" spans="1:23" ht="27" hidden="1" customHeight="1">
      <c r="A45" s="531">
        <v>1009</v>
      </c>
      <c r="B45" s="529">
        <v>10</v>
      </c>
      <c r="C45" s="531" t="s">
        <v>1327</v>
      </c>
      <c r="D45" s="531" t="s">
        <v>1326</v>
      </c>
      <c r="E45" s="547">
        <v>-11700000</v>
      </c>
      <c r="F45" s="547"/>
      <c r="G45" s="547"/>
      <c r="H45" s="547"/>
      <c r="I45" s="547"/>
      <c r="J45" s="547"/>
      <c r="K45" s="547"/>
      <c r="L45" s="547"/>
      <c r="M45" s="547">
        <v>0</v>
      </c>
      <c r="N45" s="540"/>
      <c r="O45" s="540"/>
      <c r="P45" s="812">
        <f t="shared" si="0"/>
        <v>-11700000</v>
      </c>
      <c r="Q45" s="547"/>
      <c r="R45" s="812">
        <f t="shared" si="1"/>
        <v>-12</v>
      </c>
      <c r="S45" s="547">
        <f t="shared" si="1"/>
        <v>0</v>
      </c>
      <c r="T45" s="566"/>
      <c r="U45" s="567"/>
      <c r="V45" s="812">
        <f t="shared" si="2"/>
        <v>-11700000</v>
      </c>
      <c r="W45" s="812">
        <f t="shared" si="3"/>
        <v>-12</v>
      </c>
    </row>
    <row r="46" spans="1:23" ht="27" hidden="1" customHeight="1">
      <c r="A46" s="531">
        <v>401</v>
      </c>
      <c r="B46" s="529">
        <v>4</v>
      </c>
      <c r="C46" s="531" t="s">
        <v>216</v>
      </c>
      <c r="D46" s="531" t="s">
        <v>706</v>
      </c>
      <c r="E46" s="547">
        <v>2528129786</v>
      </c>
      <c r="F46" s="547"/>
      <c r="G46" s="547"/>
      <c r="H46" s="547"/>
      <c r="I46" s="547"/>
      <c r="J46" s="547"/>
      <c r="K46" s="547"/>
      <c r="L46" s="547"/>
      <c r="M46" s="547">
        <v>0</v>
      </c>
      <c r="N46" s="540"/>
      <c r="O46" s="540"/>
      <c r="P46" s="812">
        <f t="shared" si="0"/>
        <v>2528129786</v>
      </c>
      <c r="Q46" s="547">
        <v>5572081028</v>
      </c>
      <c r="R46" s="812">
        <f t="shared" si="1"/>
        <v>2528</v>
      </c>
      <c r="S46" s="547">
        <f t="shared" si="1"/>
        <v>5572</v>
      </c>
      <c r="T46" s="566"/>
      <c r="U46" s="567"/>
      <c r="V46" s="812">
        <f t="shared" si="2"/>
        <v>2528129786</v>
      </c>
      <c r="W46" s="812">
        <f t="shared" si="3"/>
        <v>2528</v>
      </c>
    </row>
    <row r="47" spans="1:23" ht="27" hidden="1" customHeight="1">
      <c r="A47" s="531">
        <v>1009</v>
      </c>
      <c r="B47" s="529">
        <v>10</v>
      </c>
      <c r="C47" s="531" t="s">
        <v>562</v>
      </c>
      <c r="D47" s="531" t="s">
        <v>705</v>
      </c>
      <c r="E47" s="547"/>
      <c r="F47" s="547"/>
      <c r="G47" s="547"/>
      <c r="H47" s="547"/>
      <c r="I47" s="547"/>
      <c r="J47" s="547"/>
      <c r="K47" s="547"/>
      <c r="L47" s="547"/>
      <c r="M47" s="547">
        <v>0</v>
      </c>
      <c r="N47" s="540"/>
      <c r="O47" s="540"/>
      <c r="P47" s="812">
        <f t="shared" si="0"/>
        <v>0</v>
      </c>
      <c r="Q47" s="547"/>
      <c r="R47" s="812">
        <f t="shared" si="1"/>
        <v>0</v>
      </c>
      <c r="S47" s="547">
        <f t="shared" si="1"/>
        <v>0</v>
      </c>
      <c r="T47" s="566"/>
      <c r="U47" s="567"/>
      <c r="V47" s="812">
        <f t="shared" si="2"/>
        <v>0</v>
      </c>
      <c r="W47" s="812">
        <f t="shared" si="3"/>
        <v>0</v>
      </c>
    </row>
    <row r="48" spans="1:23" ht="27" hidden="1" customHeight="1">
      <c r="A48" s="531">
        <v>401</v>
      </c>
      <c r="B48" s="529">
        <v>4</v>
      </c>
      <c r="C48" s="531" t="s">
        <v>564</v>
      </c>
      <c r="D48" s="531" t="s">
        <v>704</v>
      </c>
      <c r="E48" s="547">
        <v>162115039</v>
      </c>
      <c r="F48" s="547"/>
      <c r="G48" s="547"/>
      <c r="H48" s="547"/>
      <c r="I48" s="547"/>
      <c r="J48" s="547"/>
      <c r="K48" s="547"/>
      <c r="L48" s="547"/>
      <c r="M48" s="547">
        <v>0</v>
      </c>
      <c r="N48" s="540"/>
      <c r="O48" s="540"/>
      <c r="P48" s="812">
        <f t="shared" si="0"/>
        <v>162115039</v>
      </c>
      <c r="Q48" s="547">
        <f>171425039-25530995</f>
        <v>145894044</v>
      </c>
      <c r="R48" s="812">
        <f t="shared" si="1"/>
        <v>162</v>
      </c>
      <c r="S48" s="547">
        <f t="shared" si="1"/>
        <v>146</v>
      </c>
      <c r="T48" s="566"/>
      <c r="U48" s="567"/>
      <c r="V48" s="812">
        <f t="shared" si="2"/>
        <v>162115039</v>
      </c>
      <c r="W48" s="812">
        <f t="shared" si="3"/>
        <v>162</v>
      </c>
    </row>
    <row r="49" spans="1:23" ht="27" hidden="1" customHeight="1">
      <c r="A49" s="531">
        <v>401</v>
      </c>
      <c r="B49" s="529">
        <v>4</v>
      </c>
      <c r="C49" s="531" t="s">
        <v>184</v>
      </c>
      <c r="D49" s="531" t="s">
        <v>831</v>
      </c>
      <c r="E49" s="547">
        <v>1733436</v>
      </c>
      <c r="F49" s="547"/>
      <c r="G49" s="547"/>
      <c r="H49" s="547"/>
      <c r="I49" s="547"/>
      <c r="J49" s="547"/>
      <c r="K49" s="547"/>
      <c r="L49" s="547"/>
      <c r="M49" s="547">
        <v>0</v>
      </c>
      <c r="N49" s="540"/>
      <c r="O49" s="540"/>
      <c r="P49" s="812">
        <f t="shared" si="0"/>
        <v>1733436</v>
      </c>
      <c r="Q49" s="547">
        <v>2533428</v>
      </c>
      <c r="R49" s="812">
        <f t="shared" si="1"/>
        <v>2</v>
      </c>
      <c r="S49" s="547">
        <f t="shared" si="1"/>
        <v>3</v>
      </c>
      <c r="T49" s="566"/>
      <c r="U49" s="567"/>
      <c r="V49" s="812">
        <f t="shared" si="2"/>
        <v>1733436</v>
      </c>
      <c r="W49" s="812">
        <f t="shared" si="3"/>
        <v>2</v>
      </c>
    </row>
    <row r="50" spans="1:23" ht="27" hidden="1" customHeight="1">
      <c r="A50" s="531">
        <v>401</v>
      </c>
      <c r="B50" s="529">
        <v>4</v>
      </c>
      <c r="C50" s="531" t="s">
        <v>479</v>
      </c>
      <c r="D50" s="531" t="s">
        <v>701</v>
      </c>
      <c r="E50" s="547">
        <v>1615930496</v>
      </c>
      <c r="F50" s="547"/>
      <c r="G50" s="547"/>
      <c r="H50" s="547"/>
      <c r="I50" s="547"/>
      <c r="J50" s="547"/>
      <c r="K50" s="547"/>
      <c r="L50" s="547"/>
      <c r="M50" s="547">
        <v>0</v>
      </c>
      <c r="N50" s="540"/>
      <c r="O50" s="540"/>
      <c r="P50" s="812">
        <f t="shared" si="0"/>
        <v>1615930496</v>
      </c>
      <c r="Q50" s="547">
        <v>1086922318</v>
      </c>
      <c r="R50" s="812">
        <f t="shared" si="1"/>
        <v>1616</v>
      </c>
      <c r="S50" s="547">
        <f t="shared" si="1"/>
        <v>1087</v>
      </c>
      <c r="T50" s="566"/>
      <c r="U50" s="567"/>
      <c r="V50" s="812">
        <f t="shared" si="2"/>
        <v>1615930496</v>
      </c>
      <c r="W50" s="812">
        <f t="shared" si="3"/>
        <v>1616</v>
      </c>
    </row>
    <row r="51" spans="1:23" ht="27" hidden="1" customHeight="1">
      <c r="A51" s="531">
        <v>401</v>
      </c>
      <c r="B51" s="529">
        <v>4</v>
      </c>
      <c r="C51" s="531" t="s">
        <v>480</v>
      </c>
      <c r="D51" s="531" t="s">
        <v>702</v>
      </c>
      <c r="E51" s="547"/>
      <c r="F51" s="547"/>
      <c r="G51" s="547"/>
      <c r="H51" s="547"/>
      <c r="I51" s="547"/>
      <c r="J51" s="547"/>
      <c r="K51" s="547"/>
      <c r="L51" s="547"/>
      <c r="M51" s="547">
        <v>0</v>
      </c>
      <c r="N51" s="540"/>
      <c r="O51" s="540"/>
      <c r="P51" s="812">
        <f t="shared" si="0"/>
        <v>0</v>
      </c>
      <c r="Q51" s="547">
        <v>0</v>
      </c>
      <c r="R51" s="812">
        <f t="shared" si="1"/>
        <v>0</v>
      </c>
      <c r="S51" s="547">
        <f t="shared" si="1"/>
        <v>0</v>
      </c>
      <c r="T51" s="566"/>
      <c r="U51" s="567"/>
      <c r="V51" s="812">
        <f t="shared" si="2"/>
        <v>0</v>
      </c>
      <c r="W51" s="812">
        <f t="shared" si="3"/>
        <v>0</v>
      </c>
    </row>
    <row r="52" spans="1:23" ht="27" hidden="1" customHeight="1">
      <c r="A52" s="531">
        <v>1009</v>
      </c>
      <c r="B52" s="529">
        <v>10</v>
      </c>
      <c r="C52" s="531" t="s">
        <v>481</v>
      </c>
      <c r="D52" s="531" t="s">
        <v>1328</v>
      </c>
      <c r="E52" s="547">
        <v>-26600000</v>
      </c>
      <c r="F52" s="547"/>
      <c r="G52" s="547"/>
      <c r="H52" s="547"/>
      <c r="I52" s="547"/>
      <c r="J52" s="547"/>
      <c r="K52" s="547"/>
      <c r="L52" s="547"/>
      <c r="M52" s="547">
        <v>0</v>
      </c>
      <c r="N52" s="540"/>
      <c r="O52" s="540"/>
      <c r="P52" s="812">
        <f t="shared" si="0"/>
        <v>-26600000</v>
      </c>
      <c r="Q52" s="547"/>
      <c r="R52" s="812">
        <f t="shared" si="1"/>
        <v>-27</v>
      </c>
      <c r="S52" s="547">
        <f t="shared" si="1"/>
        <v>0</v>
      </c>
      <c r="T52" s="566"/>
      <c r="U52" s="567"/>
      <c r="V52" s="812">
        <f t="shared" si="2"/>
        <v>-26600000</v>
      </c>
      <c r="W52" s="812">
        <f t="shared" si="3"/>
        <v>-27</v>
      </c>
    </row>
    <row r="53" spans="1:23" ht="27" hidden="1" customHeight="1">
      <c r="A53" s="531">
        <v>401</v>
      </c>
      <c r="B53" s="529">
        <v>4</v>
      </c>
      <c r="C53" s="531" t="s">
        <v>220</v>
      </c>
      <c r="D53" s="531" t="s">
        <v>703</v>
      </c>
      <c r="E53" s="547">
        <v>49826000</v>
      </c>
      <c r="F53" s="547">
        <v>-49826000</v>
      </c>
      <c r="G53" s="547"/>
      <c r="H53" s="547"/>
      <c r="I53" s="547"/>
      <c r="J53" s="547"/>
      <c r="K53" s="547"/>
      <c r="L53" s="547"/>
      <c r="M53" s="547">
        <v>0</v>
      </c>
      <c r="N53" s="540"/>
      <c r="O53" s="540"/>
      <c r="P53" s="812">
        <f t="shared" si="0"/>
        <v>0</v>
      </c>
      <c r="Q53" s="547">
        <f>13626495-450000</f>
        <v>13176495</v>
      </c>
      <c r="R53" s="812">
        <f t="shared" si="1"/>
        <v>0</v>
      </c>
      <c r="S53" s="547">
        <f t="shared" si="1"/>
        <v>13</v>
      </c>
      <c r="T53" s="566"/>
      <c r="U53" s="567"/>
      <c r="V53" s="812">
        <f t="shared" si="2"/>
        <v>0</v>
      </c>
      <c r="W53" s="812">
        <f t="shared" si="3"/>
        <v>0</v>
      </c>
    </row>
    <row r="54" spans="1:23" ht="27" hidden="1" customHeight="1">
      <c r="A54" s="531">
        <v>420</v>
      </c>
      <c r="B54" s="529">
        <v>4</v>
      </c>
      <c r="C54" s="531" t="s">
        <v>483</v>
      </c>
      <c r="D54" s="531" t="s">
        <v>1056</v>
      </c>
      <c r="E54" s="547">
        <v>116047911075</v>
      </c>
      <c r="F54" s="547">
        <v>-4999998</v>
      </c>
      <c r="G54" s="547"/>
      <c r="H54" s="547"/>
      <c r="I54" s="547"/>
      <c r="J54" s="547"/>
      <c r="K54" s="547"/>
      <c r="L54" s="547"/>
      <c r="M54" s="547">
        <v>0</v>
      </c>
      <c r="N54" s="540"/>
      <c r="O54" s="540"/>
      <c r="P54" s="812">
        <f t="shared" si="0"/>
        <v>116042911077</v>
      </c>
      <c r="Q54" s="547">
        <f>122192000000-12565500000</f>
        <v>109626500000</v>
      </c>
      <c r="R54" s="812">
        <f t="shared" si="1"/>
        <v>116043</v>
      </c>
      <c r="S54" s="547">
        <f t="shared" si="1"/>
        <v>109627</v>
      </c>
      <c r="T54" s="566"/>
      <c r="U54" s="567"/>
      <c r="V54" s="812">
        <f t="shared" si="2"/>
        <v>116042911077</v>
      </c>
      <c r="W54" s="812">
        <f t="shared" si="3"/>
        <v>116043</v>
      </c>
    </row>
    <row r="55" spans="1:23" ht="27" hidden="1" customHeight="1">
      <c r="A55" s="531">
        <v>401</v>
      </c>
      <c r="B55" s="529">
        <v>4</v>
      </c>
      <c r="C55" s="531" t="s">
        <v>483</v>
      </c>
      <c r="D55" s="531" t="s">
        <v>1158</v>
      </c>
      <c r="E55" s="547"/>
      <c r="F55" s="547"/>
      <c r="G55" s="547"/>
      <c r="H55" s="547"/>
      <c r="I55" s="547"/>
      <c r="J55" s="547"/>
      <c r="K55" s="547"/>
      <c r="L55" s="547"/>
      <c r="M55" s="547">
        <v>0</v>
      </c>
      <c r="N55" s="540"/>
      <c r="O55" s="540"/>
      <c r="P55" s="812">
        <f t="shared" si="0"/>
        <v>0</v>
      </c>
      <c r="Q55" s="547">
        <v>12565500000</v>
      </c>
      <c r="R55" s="812">
        <f t="shared" si="1"/>
        <v>0</v>
      </c>
      <c r="S55" s="547">
        <f t="shared" si="1"/>
        <v>12566</v>
      </c>
      <c r="T55" s="566"/>
      <c r="U55" s="567"/>
      <c r="V55" s="812">
        <f t="shared" si="2"/>
        <v>0</v>
      </c>
      <c r="W55" s="812">
        <f t="shared" si="3"/>
        <v>0</v>
      </c>
    </row>
    <row r="56" spans="1:23" ht="27" hidden="1" customHeight="1">
      <c r="A56" s="531">
        <v>401</v>
      </c>
      <c r="B56" s="529">
        <v>4</v>
      </c>
      <c r="C56" s="531" t="s">
        <v>0</v>
      </c>
      <c r="D56" s="531" t="s">
        <v>1089</v>
      </c>
      <c r="E56" s="547"/>
      <c r="F56" s="547"/>
      <c r="G56" s="547"/>
      <c r="H56" s="547"/>
      <c r="I56" s="547"/>
      <c r="J56" s="547"/>
      <c r="K56" s="547"/>
      <c r="L56" s="547"/>
      <c r="M56" s="547">
        <v>0</v>
      </c>
      <c r="N56" s="540"/>
      <c r="O56" s="540"/>
      <c r="P56" s="812">
        <f t="shared" si="0"/>
        <v>0</v>
      </c>
      <c r="Q56" s="547">
        <v>0</v>
      </c>
      <c r="R56" s="812">
        <f t="shared" si="1"/>
        <v>0</v>
      </c>
      <c r="S56" s="547">
        <f t="shared" si="1"/>
        <v>0</v>
      </c>
      <c r="T56" s="566"/>
      <c r="U56" s="567"/>
      <c r="V56" s="812">
        <f t="shared" si="2"/>
        <v>0</v>
      </c>
      <c r="W56" s="812">
        <f t="shared" si="3"/>
        <v>0</v>
      </c>
    </row>
    <row r="57" spans="1:23" ht="27" hidden="1" customHeight="1">
      <c r="A57" s="531">
        <v>401</v>
      </c>
      <c r="B57" s="529">
        <v>4</v>
      </c>
      <c r="C57" s="531" t="s">
        <v>224</v>
      </c>
      <c r="D57" s="531" t="s">
        <v>474</v>
      </c>
      <c r="E57" s="547">
        <v>1882825110</v>
      </c>
      <c r="F57" s="547">
        <v>-17161466</v>
      </c>
      <c r="G57" s="547"/>
      <c r="H57" s="547"/>
      <c r="I57" s="547"/>
      <c r="J57" s="547"/>
      <c r="K57" s="547"/>
      <c r="L57" s="547"/>
      <c r="M57" s="547">
        <v>0</v>
      </c>
      <c r="N57" s="540"/>
      <c r="O57" s="540"/>
      <c r="P57" s="812">
        <f t="shared" si="0"/>
        <v>1865663644</v>
      </c>
      <c r="Q57" s="547">
        <v>2777513521</v>
      </c>
      <c r="R57" s="812">
        <f t="shared" si="1"/>
        <v>1866</v>
      </c>
      <c r="S57" s="547">
        <f t="shared" si="1"/>
        <v>2778</v>
      </c>
      <c r="T57" s="566"/>
      <c r="U57" s="567"/>
      <c r="V57" s="812">
        <f t="shared" si="2"/>
        <v>1865663644</v>
      </c>
      <c r="W57" s="812">
        <f t="shared" si="3"/>
        <v>1866</v>
      </c>
    </row>
    <row r="58" spans="1:23" ht="27" hidden="1" customHeight="1">
      <c r="A58" s="531">
        <v>401</v>
      </c>
      <c r="B58" s="529">
        <v>4</v>
      </c>
      <c r="C58" s="531" t="s">
        <v>1231</v>
      </c>
      <c r="D58" s="531" t="s">
        <v>1232</v>
      </c>
      <c r="E58" s="547">
        <v>4060000000</v>
      </c>
      <c r="F58" s="547"/>
      <c r="G58" s="547"/>
      <c r="H58" s="547"/>
      <c r="I58" s="547"/>
      <c r="J58" s="547"/>
      <c r="K58" s="547"/>
      <c r="L58" s="547"/>
      <c r="M58" s="547">
        <v>0</v>
      </c>
      <c r="N58" s="540"/>
      <c r="O58" s="540"/>
      <c r="P58" s="812">
        <f t="shared" si="0"/>
        <v>4060000000</v>
      </c>
      <c r="Q58" s="547">
        <v>0</v>
      </c>
      <c r="R58" s="812">
        <f t="shared" si="1"/>
        <v>4060</v>
      </c>
      <c r="S58" s="547">
        <f t="shared" si="1"/>
        <v>0</v>
      </c>
      <c r="T58" s="566"/>
      <c r="U58" s="567"/>
      <c r="V58" s="812">
        <f t="shared" si="2"/>
        <v>4060000000</v>
      </c>
      <c r="W58" s="812">
        <f t="shared" si="3"/>
        <v>4060</v>
      </c>
    </row>
    <row r="59" spans="1:23" ht="27" hidden="1" customHeight="1">
      <c r="A59" s="531">
        <v>401</v>
      </c>
      <c r="B59" s="529">
        <v>4</v>
      </c>
      <c r="C59" s="531" t="s">
        <v>2</v>
      </c>
      <c r="D59" s="531" t="s">
        <v>876</v>
      </c>
      <c r="E59" s="547">
        <v>693192621</v>
      </c>
      <c r="F59" s="547">
        <v>4999998</v>
      </c>
      <c r="G59" s="547"/>
      <c r="H59" s="547"/>
      <c r="I59" s="547"/>
      <c r="J59" s="547"/>
      <c r="K59" s="547"/>
      <c r="L59" s="547"/>
      <c r="M59" s="547">
        <v>0</v>
      </c>
      <c r="N59" s="540"/>
      <c r="O59" s="540"/>
      <c r="P59" s="812">
        <f t="shared" si="0"/>
        <v>698192619</v>
      </c>
      <c r="Q59" s="547">
        <f>355504273-1250000</f>
        <v>354254273</v>
      </c>
      <c r="R59" s="812">
        <f t="shared" si="1"/>
        <v>698</v>
      </c>
      <c r="S59" s="547">
        <f t="shared" si="1"/>
        <v>354</v>
      </c>
      <c r="T59" s="566"/>
      <c r="U59" s="567"/>
      <c r="V59" s="812">
        <f t="shared" si="2"/>
        <v>698192619</v>
      </c>
      <c r="W59" s="812">
        <f t="shared" si="3"/>
        <v>698</v>
      </c>
    </row>
    <row r="60" spans="1:23" ht="27" hidden="1" customHeight="1">
      <c r="A60" s="531">
        <v>406</v>
      </c>
      <c r="B60" s="529">
        <v>4</v>
      </c>
      <c r="C60" s="531" t="s">
        <v>476</v>
      </c>
      <c r="D60" s="531" t="s">
        <v>1173</v>
      </c>
      <c r="E60" s="547">
        <v>1204892</v>
      </c>
      <c r="F60" s="547"/>
      <c r="G60" s="547">
        <v>-4892</v>
      </c>
      <c r="H60" s="547"/>
      <c r="I60" s="547"/>
      <c r="J60" s="547"/>
      <c r="K60" s="547"/>
      <c r="L60" s="547"/>
      <c r="M60" s="547">
        <v>0</v>
      </c>
      <c r="N60" s="540"/>
      <c r="O60" s="540"/>
      <c r="P60" s="812">
        <f t="shared" si="0"/>
        <v>1200000</v>
      </c>
      <c r="Q60" s="547">
        <v>4892</v>
      </c>
      <c r="R60" s="812">
        <f t="shared" si="1"/>
        <v>1</v>
      </c>
      <c r="S60" s="547">
        <f t="shared" si="1"/>
        <v>0</v>
      </c>
      <c r="T60" s="566"/>
      <c r="U60" s="567"/>
      <c r="V60" s="812">
        <f t="shared" si="2"/>
        <v>1200000</v>
      </c>
      <c r="W60" s="812">
        <f t="shared" si="3"/>
        <v>1</v>
      </c>
    </row>
    <row r="61" spans="1:23" ht="27" hidden="1" customHeight="1">
      <c r="A61" s="531">
        <v>1009</v>
      </c>
      <c r="B61" s="529">
        <v>10</v>
      </c>
      <c r="C61" s="531" t="s">
        <v>3</v>
      </c>
      <c r="D61" s="531" t="s">
        <v>937</v>
      </c>
      <c r="E61" s="547">
        <v>-45000</v>
      </c>
      <c r="F61" s="547">
        <v>45000</v>
      </c>
      <c r="G61" s="547"/>
      <c r="H61" s="547"/>
      <c r="I61" s="547"/>
      <c r="J61" s="547"/>
      <c r="K61" s="547"/>
      <c r="L61" s="547"/>
      <c r="M61" s="547">
        <v>0</v>
      </c>
      <c r="N61" s="540"/>
      <c r="O61" s="540"/>
      <c r="P61" s="812">
        <f t="shared" si="0"/>
        <v>0</v>
      </c>
      <c r="Q61" s="547"/>
      <c r="R61" s="812">
        <f t="shared" si="1"/>
        <v>0</v>
      </c>
      <c r="S61" s="547">
        <f t="shared" si="1"/>
        <v>0</v>
      </c>
      <c r="T61" s="566"/>
      <c r="U61" s="567"/>
      <c r="V61" s="812">
        <f t="shared" si="2"/>
        <v>0</v>
      </c>
      <c r="W61" s="812">
        <f t="shared" si="3"/>
        <v>0</v>
      </c>
    </row>
    <row r="62" spans="1:23" ht="27" hidden="1" customHeight="1">
      <c r="A62" s="531">
        <v>1009</v>
      </c>
      <c r="B62" s="529">
        <v>10</v>
      </c>
      <c r="C62" s="531" t="s">
        <v>4</v>
      </c>
      <c r="D62" s="531" t="s">
        <v>440</v>
      </c>
      <c r="E62" s="547"/>
      <c r="F62" s="547"/>
      <c r="G62" s="547"/>
      <c r="H62" s="547"/>
      <c r="I62" s="547"/>
      <c r="J62" s="547"/>
      <c r="K62" s="547"/>
      <c r="L62" s="547"/>
      <c r="M62" s="547">
        <v>0</v>
      </c>
      <c r="N62" s="540"/>
      <c r="O62" s="540"/>
      <c r="P62" s="812">
        <f t="shared" si="0"/>
        <v>0</v>
      </c>
      <c r="Q62" s="547">
        <f>1188699291-7418883898</f>
        <v>-6230184607</v>
      </c>
      <c r="R62" s="812">
        <f t="shared" si="1"/>
        <v>0</v>
      </c>
      <c r="S62" s="547">
        <f t="shared" si="1"/>
        <v>-6230</v>
      </c>
      <c r="T62" s="566"/>
      <c r="U62" s="567"/>
      <c r="V62" s="812">
        <f t="shared" si="2"/>
        <v>0</v>
      </c>
      <c r="W62" s="812">
        <f t="shared" si="3"/>
        <v>0</v>
      </c>
    </row>
    <row r="63" spans="1:23" ht="27" hidden="1" customHeight="1">
      <c r="A63" s="531">
        <v>401</v>
      </c>
      <c r="B63" s="529">
        <v>4</v>
      </c>
      <c r="C63" s="531" t="s">
        <v>441</v>
      </c>
      <c r="D63" s="531" t="s">
        <v>442</v>
      </c>
      <c r="E63" s="547">
        <v>1603005968</v>
      </c>
      <c r="F63" s="547"/>
      <c r="G63" s="547"/>
      <c r="H63" s="547"/>
      <c r="I63" s="547"/>
      <c r="J63" s="547"/>
      <c r="K63" s="547"/>
      <c r="L63" s="547"/>
      <c r="M63" s="547">
        <v>0</v>
      </c>
      <c r="N63" s="540"/>
      <c r="O63" s="540"/>
      <c r="P63" s="812">
        <f t="shared" si="0"/>
        <v>1603005968</v>
      </c>
      <c r="Q63" s="547">
        <v>2725003438</v>
      </c>
      <c r="R63" s="812">
        <f t="shared" si="1"/>
        <v>1603</v>
      </c>
      <c r="S63" s="547">
        <f t="shared" si="1"/>
        <v>2725</v>
      </c>
      <c r="T63" s="566"/>
      <c r="U63" s="567"/>
      <c r="V63" s="812">
        <f t="shared" si="2"/>
        <v>1603005968</v>
      </c>
      <c r="W63" s="812">
        <f t="shared" si="3"/>
        <v>1603</v>
      </c>
    </row>
    <row r="64" spans="1:23" ht="27" hidden="1" customHeight="1">
      <c r="A64" s="531">
        <v>1009</v>
      </c>
      <c r="B64" s="529">
        <v>10</v>
      </c>
      <c r="C64" s="531" t="s">
        <v>5</v>
      </c>
      <c r="D64" s="531" t="s">
        <v>827</v>
      </c>
      <c r="E64" s="547"/>
      <c r="F64" s="547"/>
      <c r="G64" s="547"/>
      <c r="H64" s="547"/>
      <c r="I64" s="547"/>
      <c r="J64" s="547"/>
      <c r="K64" s="547"/>
      <c r="L64" s="547"/>
      <c r="M64" s="547">
        <v>0</v>
      </c>
      <c r="N64" s="540"/>
      <c r="O64" s="540"/>
      <c r="P64" s="812">
        <f t="shared" si="0"/>
        <v>0</v>
      </c>
      <c r="Q64" s="547"/>
      <c r="R64" s="812">
        <f t="shared" si="1"/>
        <v>0</v>
      </c>
      <c r="S64" s="547">
        <f t="shared" si="1"/>
        <v>0</v>
      </c>
      <c r="T64" s="566"/>
      <c r="U64" s="567"/>
      <c r="V64" s="812">
        <f t="shared" si="2"/>
        <v>0</v>
      </c>
      <c r="W64" s="812">
        <f t="shared" si="3"/>
        <v>0</v>
      </c>
    </row>
    <row r="65" spans="1:23" ht="27" hidden="1" customHeight="1">
      <c r="A65" s="531">
        <v>406</v>
      </c>
      <c r="B65" s="529">
        <v>4</v>
      </c>
      <c r="C65" s="531" t="s">
        <v>1329</v>
      </c>
      <c r="D65" s="531" t="s">
        <v>1330</v>
      </c>
      <c r="E65" s="547">
        <v>2278495063</v>
      </c>
      <c r="F65" s="547"/>
      <c r="G65" s="547"/>
      <c r="H65" s="547"/>
      <c r="I65" s="547"/>
      <c r="J65" s="547"/>
      <c r="K65" s="547"/>
      <c r="L65" s="547"/>
      <c r="M65" s="547">
        <v>0</v>
      </c>
      <c r="N65" s="540"/>
      <c r="O65" s="540"/>
      <c r="P65" s="812">
        <f t="shared" si="0"/>
        <v>2278495063</v>
      </c>
      <c r="Q65" s="547"/>
      <c r="R65" s="812">
        <f t="shared" si="1"/>
        <v>2278</v>
      </c>
      <c r="S65" s="547">
        <f t="shared" si="1"/>
        <v>0</v>
      </c>
      <c r="T65" s="566"/>
      <c r="U65" s="567"/>
      <c r="V65" s="812">
        <f t="shared" si="2"/>
        <v>2278495063</v>
      </c>
      <c r="W65" s="812">
        <f t="shared" si="3"/>
        <v>2278</v>
      </c>
    </row>
    <row r="66" spans="1:23" ht="27" hidden="1" customHeight="1">
      <c r="A66" s="531">
        <v>1009</v>
      </c>
      <c r="B66" s="529">
        <v>10</v>
      </c>
      <c r="C66" s="531" t="s">
        <v>877</v>
      </c>
      <c r="D66" s="531" t="s">
        <v>878</v>
      </c>
      <c r="E66" s="547"/>
      <c r="F66" s="547"/>
      <c r="G66" s="547"/>
      <c r="H66" s="547"/>
      <c r="I66" s="547"/>
      <c r="J66" s="547"/>
      <c r="K66" s="547"/>
      <c r="L66" s="547"/>
      <c r="M66" s="547">
        <v>0</v>
      </c>
      <c r="N66" s="540"/>
      <c r="O66" s="540"/>
      <c r="P66" s="812">
        <f t="shared" si="0"/>
        <v>0</v>
      </c>
      <c r="Q66" s="547">
        <v>0</v>
      </c>
      <c r="R66" s="812">
        <f t="shared" si="1"/>
        <v>0</v>
      </c>
      <c r="S66" s="547">
        <f t="shared" si="1"/>
        <v>0</v>
      </c>
      <c r="T66" s="566"/>
      <c r="U66" s="567"/>
      <c r="V66" s="812">
        <f t="shared" si="2"/>
        <v>0</v>
      </c>
      <c r="W66" s="812">
        <f t="shared" si="3"/>
        <v>0</v>
      </c>
    </row>
    <row r="67" spans="1:23" ht="27" hidden="1" customHeight="1">
      <c r="A67" s="531">
        <v>1009</v>
      </c>
      <c r="B67" s="529">
        <v>10</v>
      </c>
      <c r="C67" s="531" t="s">
        <v>1233</v>
      </c>
      <c r="D67" s="531" t="s">
        <v>1234</v>
      </c>
      <c r="E67" s="547">
        <v>-48364267</v>
      </c>
      <c r="F67" s="547"/>
      <c r="G67" s="547"/>
      <c r="H67" s="547"/>
      <c r="I67" s="547"/>
      <c r="J67" s="547"/>
      <c r="K67" s="547"/>
      <c r="L67" s="547"/>
      <c r="M67" s="547">
        <v>0</v>
      </c>
      <c r="N67" s="540"/>
      <c r="O67" s="540"/>
      <c r="P67" s="812">
        <f t="shared" ref="P67:P130" si="4">E67+F67+G67-N67+O67+H67+I67+J67+K67+L67</f>
        <v>-48364267</v>
      </c>
      <c r="Q67" s="547">
        <v>-8906759</v>
      </c>
      <c r="R67" s="812">
        <f t="shared" ref="R67:S130" si="5">ROUND((P67/1000000),0)</f>
        <v>-48</v>
      </c>
      <c r="S67" s="547">
        <f t="shared" si="5"/>
        <v>-9</v>
      </c>
      <c r="T67" s="566"/>
      <c r="U67" s="567"/>
      <c r="V67" s="812">
        <f t="shared" ref="V67:V130" si="6">P67-U67+T67</f>
        <v>-48364267</v>
      </c>
      <c r="W67" s="812">
        <f t="shared" si="3"/>
        <v>-48</v>
      </c>
    </row>
    <row r="68" spans="1:23" ht="27" hidden="1" customHeight="1">
      <c r="A68" s="531">
        <v>401</v>
      </c>
      <c r="B68" s="529">
        <v>4</v>
      </c>
      <c r="C68" s="531" t="s">
        <v>1174</v>
      </c>
      <c r="D68" s="531" t="s">
        <v>1167</v>
      </c>
      <c r="E68" s="547">
        <v>3014740</v>
      </c>
      <c r="F68" s="547"/>
      <c r="G68" s="547"/>
      <c r="H68" s="547"/>
      <c r="I68" s="547"/>
      <c r="J68" s="547"/>
      <c r="K68" s="547"/>
      <c r="L68" s="547"/>
      <c r="M68" s="547">
        <v>0</v>
      </c>
      <c r="N68" s="540"/>
      <c r="O68" s="540"/>
      <c r="P68" s="812">
        <f t="shared" si="4"/>
        <v>3014740</v>
      </c>
      <c r="Q68" s="547">
        <v>-58840533</v>
      </c>
      <c r="R68" s="812">
        <f t="shared" si="5"/>
        <v>3</v>
      </c>
      <c r="S68" s="547">
        <f t="shared" si="5"/>
        <v>-59</v>
      </c>
      <c r="T68" s="566"/>
      <c r="U68" s="567"/>
      <c r="V68" s="812">
        <f t="shared" si="6"/>
        <v>3014740</v>
      </c>
      <c r="W68" s="812">
        <f t="shared" ref="W68:W131" si="7">ROUND((V68/1000000),0)</f>
        <v>3</v>
      </c>
    </row>
    <row r="69" spans="1:23" ht="27" hidden="1" customHeight="1">
      <c r="A69" s="531">
        <v>1009</v>
      </c>
      <c r="B69" s="529">
        <v>10</v>
      </c>
      <c r="C69" s="531" t="s">
        <v>832</v>
      </c>
      <c r="D69" s="531" t="s">
        <v>833</v>
      </c>
      <c r="E69" s="547"/>
      <c r="F69" s="547"/>
      <c r="G69" s="547"/>
      <c r="H69" s="547"/>
      <c r="I69" s="547"/>
      <c r="J69" s="547"/>
      <c r="K69" s="547"/>
      <c r="L69" s="547"/>
      <c r="M69" s="547">
        <v>0</v>
      </c>
      <c r="N69" s="540"/>
      <c r="O69" s="540"/>
      <c r="P69" s="812">
        <f t="shared" si="4"/>
        <v>0</v>
      </c>
      <c r="Q69" s="547"/>
      <c r="R69" s="812">
        <f t="shared" si="5"/>
        <v>0</v>
      </c>
      <c r="S69" s="547">
        <f t="shared" si="5"/>
        <v>0</v>
      </c>
      <c r="T69" s="566"/>
      <c r="U69" s="567"/>
      <c r="V69" s="812">
        <f t="shared" si="6"/>
        <v>0</v>
      </c>
      <c r="W69" s="812">
        <f t="shared" si="7"/>
        <v>0</v>
      </c>
    </row>
    <row r="70" spans="1:23" ht="27" hidden="1" customHeight="1">
      <c r="A70" s="531">
        <v>401</v>
      </c>
      <c r="B70" s="529">
        <v>4</v>
      </c>
      <c r="C70" s="531" t="s">
        <v>834</v>
      </c>
      <c r="D70" s="531" t="s">
        <v>835</v>
      </c>
      <c r="E70" s="547">
        <v>1056530390</v>
      </c>
      <c r="F70" s="547"/>
      <c r="G70" s="547"/>
      <c r="H70" s="547"/>
      <c r="I70" s="547"/>
      <c r="J70" s="547"/>
      <c r="K70" s="547"/>
      <c r="L70" s="547"/>
      <c r="M70" s="547">
        <v>0</v>
      </c>
      <c r="N70" s="540"/>
      <c r="O70" s="540"/>
      <c r="P70" s="812">
        <f t="shared" si="4"/>
        <v>1056530390</v>
      </c>
      <c r="Q70" s="547">
        <v>10302496747</v>
      </c>
      <c r="R70" s="812">
        <f t="shared" si="5"/>
        <v>1057</v>
      </c>
      <c r="S70" s="547">
        <f t="shared" si="5"/>
        <v>10302</v>
      </c>
      <c r="T70" s="566"/>
      <c r="U70" s="567"/>
      <c r="V70" s="812">
        <f t="shared" si="6"/>
        <v>1056530390</v>
      </c>
      <c r="W70" s="812">
        <f t="shared" si="7"/>
        <v>1057</v>
      </c>
    </row>
    <row r="71" spans="1:23" ht="27" hidden="1" customHeight="1">
      <c r="A71" s="531">
        <v>401</v>
      </c>
      <c r="B71" s="529">
        <v>4</v>
      </c>
      <c r="C71" s="531" t="s">
        <v>6</v>
      </c>
      <c r="D71" s="531" t="s">
        <v>204</v>
      </c>
      <c r="E71" s="547">
        <v>7435565711</v>
      </c>
      <c r="F71" s="547">
        <v>45446893</v>
      </c>
      <c r="G71" s="547"/>
      <c r="H71" s="547"/>
      <c r="I71" s="547"/>
      <c r="J71" s="547"/>
      <c r="K71" s="547"/>
      <c r="L71" s="547"/>
      <c r="M71" s="547">
        <v>0</v>
      </c>
      <c r="N71" s="540"/>
      <c r="O71" s="540"/>
      <c r="P71" s="812">
        <f t="shared" si="4"/>
        <v>7481012604</v>
      </c>
      <c r="Q71" s="547">
        <v>4939730799</v>
      </c>
      <c r="R71" s="812">
        <f t="shared" si="5"/>
        <v>7481</v>
      </c>
      <c r="S71" s="547">
        <f t="shared" si="5"/>
        <v>4940</v>
      </c>
      <c r="T71" s="566"/>
      <c r="U71" s="567"/>
      <c r="V71" s="812">
        <f t="shared" si="6"/>
        <v>7481012604</v>
      </c>
      <c r="W71" s="812">
        <f t="shared" si="7"/>
        <v>7481</v>
      </c>
    </row>
    <row r="72" spans="1:23" ht="27" hidden="1" customHeight="1">
      <c r="A72" s="531">
        <v>1009</v>
      </c>
      <c r="B72" s="529">
        <v>10</v>
      </c>
      <c r="C72" s="531" t="s">
        <v>938</v>
      </c>
      <c r="D72" s="531" t="s">
        <v>939</v>
      </c>
      <c r="E72" s="547"/>
      <c r="F72" s="547"/>
      <c r="G72" s="547"/>
      <c r="H72" s="547"/>
      <c r="I72" s="547"/>
      <c r="J72" s="547"/>
      <c r="K72" s="547"/>
      <c r="L72" s="547"/>
      <c r="M72" s="547">
        <v>0</v>
      </c>
      <c r="N72" s="540"/>
      <c r="O72" s="540"/>
      <c r="P72" s="812">
        <f t="shared" si="4"/>
        <v>0</v>
      </c>
      <c r="Q72" s="547"/>
      <c r="R72" s="812">
        <f t="shared" si="5"/>
        <v>0</v>
      </c>
      <c r="S72" s="547">
        <f t="shared" si="5"/>
        <v>0</v>
      </c>
      <c r="T72" s="566"/>
      <c r="U72" s="567"/>
      <c r="V72" s="812">
        <f t="shared" si="6"/>
        <v>0</v>
      </c>
      <c r="W72" s="812">
        <f t="shared" si="7"/>
        <v>0</v>
      </c>
    </row>
    <row r="73" spans="1:23" ht="27" hidden="1" customHeight="1">
      <c r="A73" s="531">
        <v>1009</v>
      </c>
      <c r="B73" s="529">
        <v>10</v>
      </c>
      <c r="C73" s="531" t="s">
        <v>8</v>
      </c>
      <c r="D73" s="531" t="s">
        <v>203</v>
      </c>
      <c r="E73" s="547">
        <v>-6075935538</v>
      </c>
      <c r="F73" s="547">
        <v>-5146459</v>
      </c>
      <c r="G73" s="547"/>
      <c r="H73" s="547"/>
      <c r="I73" s="547"/>
      <c r="J73" s="547"/>
      <c r="K73" s="547"/>
      <c r="L73" s="547"/>
      <c r="M73" s="547">
        <v>0</v>
      </c>
      <c r="N73" s="540"/>
      <c r="O73" s="540"/>
      <c r="P73" s="812">
        <f t="shared" si="4"/>
        <v>-6081081997</v>
      </c>
      <c r="Q73" s="547">
        <f>470855810-4837409117</f>
        <v>-4366553307</v>
      </c>
      <c r="R73" s="812">
        <f t="shared" si="5"/>
        <v>-6081</v>
      </c>
      <c r="S73" s="547">
        <f t="shared" si="5"/>
        <v>-4367</v>
      </c>
      <c r="T73" s="566"/>
      <c r="U73" s="567"/>
      <c r="V73" s="812">
        <f t="shared" si="6"/>
        <v>-6081081997</v>
      </c>
      <c r="W73" s="812">
        <f t="shared" si="7"/>
        <v>-6081</v>
      </c>
    </row>
    <row r="74" spans="1:23" ht="27" hidden="1" customHeight="1">
      <c r="A74" s="531">
        <v>401</v>
      </c>
      <c r="B74" s="529">
        <v>4</v>
      </c>
      <c r="C74" s="531" t="s">
        <v>1235</v>
      </c>
      <c r="D74" s="531" t="s">
        <v>1236</v>
      </c>
      <c r="E74" s="547"/>
      <c r="F74" s="547"/>
      <c r="G74" s="547"/>
      <c r="H74" s="547"/>
      <c r="I74" s="547"/>
      <c r="J74" s="547"/>
      <c r="K74" s="547"/>
      <c r="L74" s="547"/>
      <c r="M74" s="547">
        <v>0</v>
      </c>
      <c r="N74" s="540"/>
      <c r="O74" s="540"/>
      <c r="P74" s="812">
        <f t="shared" si="4"/>
        <v>0</v>
      </c>
      <c r="Q74" s="547">
        <v>355408369</v>
      </c>
      <c r="R74" s="812">
        <f t="shared" si="5"/>
        <v>0</v>
      </c>
      <c r="S74" s="547">
        <f t="shared" si="5"/>
        <v>355</v>
      </c>
      <c r="T74" s="566"/>
      <c r="U74" s="567"/>
      <c r="V74" s="812">
        <f t="shared" si="6"/>
        <v>0</v>
      </c>
      <c r="W74" s="812">
        <f t="shared" si="7"/>
        <v>0</v>
      </c>
    </row>
    <row r="75" spans="1:23" ht="27" hidden="1" customHeight="1">
      <c r="A75" s="531">
        <v>1009</v>
      </c>
      <c r="B75" s="529">
        <v>10</v>
      </c>
      <c r="C75" s="531" t="s">
        <v>549</v>
      </c>
      <c r="D75" s="531" t="s">
        <v>550</v>
      </c>
      <c r="E75" s="547">
        <v>-706879</v>
      </c>
      <c r="F75" s="547">
        <v>49826000</v>
      </c>
      <c r="G75" s="547"/>
      <c r="H75" s="547"/>
      <c r="I75" s="547"/>
      <c r="J75" s="547"/>
      <c r="K75" s="547"/>
      <c r="L75" s="547"/>
      <c r="M75" s="547">
        <v>0</v>
      </c>
      <c r="N75" s="540"/>
      <c r="O75" s="540"/>
      <c r="P75" s="812">
        <f t="shared" si="4"/>
        <v>49119121</v>
      </c>
      <c r="Q75" s="547">
        <f>713366761-111811298</f>
        <v>601555463</v>
      </c>
      <c r="R75" s="812">
        <f t="shared" si="5"/>
        <v>49</v>
      </c>
      <c r="S75" s="547">
        <f t="shared" si="5"/>
        <v>602</v>
      </c>
      <c r="T75" s="566"/>
      <c r="U75" s="567"/>
      <c r="V75" s="812">
        <f t="shared" si="6"/>
        <v>49119121</v>
      </c>
      <c r="W75" s="812">
        <f t="shared" si="7"/>
        <v>49</v>
      </c>
    </row>
    <row r="76" spans="1:23" ht="27" hidden="1" customHeight="1">
      <c r="A76" s="531">
        <v>1301</v>
      </c>
      <c r="B76" s="529">
        <v>12</v>
      </c>
      <c r="C76" s="531" t="s">
        <v>9</v>
      </c>
      <c r="D76" s="531" t="s">
        <v>590</v>
      </c>
      <c r="E76" s="547">
        <v>-2854320098889</v>
      </c>
      <c r="F76" s="547">
        <v>6345523428</v>
      </c>
      <c r="G76" s="547"/>
      <c r="H76" s="547"/>
      <c r="I76" s="547"/>
      <c r="J76" s="547"/>
      <c r="K76" s="547"/>
      <c r="L76" s="547"/>
      <c r="M76" s="547">
        <v>0</v>
      </c>
      <c r="N76" s="540"/>
      <c r="O76" s="540"/>
      <c r="P76" s="812">
        <f t="shared" si="4"/>
        <v>-2847974575461</v>
      </c>
      <c r="Q76" s="547">
        <f>-2257551803316-45395772+45395772</f>
        <v>-2257551803316</v>
      </c>
      <c r="R76" s="812">
        <f t="shared" si="5"/>
        <v>-2847975</v>
      </c>
      <c r="S76" s="547">
        <f t="shared" si="5"/>
        <v>-2257552</v>
      </c>
      <c r="T76" s="566"/>
      <c r="U76" s="567"/>
      <c r="V76" s="812">
        <f t="shared" si="6"/>
        <v>-2847974575461</v>
      </c>
      <c r="W76" s="812">
        <f t="shared" si="7"/>
        <v>-2847975</v>
      </c>
    </row>
    <row r="77" spans="1:23" ht="27" hidden="1" customHeight="1">
      <c r="A77" s="531">
        <v>1009</v>
      </c>
      <c r="B77" s="529">
        <v>10</v>
      </c>
      <c r="C77" s="531" t="s">
        <v>11</v>
      </c>
      <c r="D77" s="531" t="s">
        <v>551</v>
      </c>
      <c r="E77" s="547">
        <v>-52200000</v>
      </c>
      <c r="F77" s="547"/>
      <c r="G77" s="547"/>
      <c r="H77" s="547"/>
      <c r="I77" s="547"/>
      <c r="J77" s="547"/>
      <c r="K77" s="547"/>
      <c r="L77" s="547"/>
      <c r="M77" s="547">
        <v>0</v>
      </c>
      <c r="N77" s="540"/>
      <c r="O77" s="540"/>
      <c r="P77" s="812">
        <f t="shared" si="4"/>
        <v>-52200000</v>
      </c>
      <c r="Q77" s="547">
        <v>-50400000</v>
      </c>
      <c r="R77" s="812">
        <f t="shared" si="5"/>
        <v>-52</v>
      </c>
      <c r="S77" s="547">
        <f t="shared" si="5"/>
        <v>-50</v>
      </c>
      <c r="T77" s="566"/>
      <c r="U77" s="567"/>
      <c r="V77" s="812">
        <f t="shared" si="6"/>
        <v>-52200000</v>
      </c>
      <c r="W77" s="812">
        <f t="shared" si="7"/>
        <v>-52</v>
      </c>
    </row>
    <row r="78" spans="1:23" ht="27" hidden="1" customHeight="1">
      <c r="A78" s="531">
        <v>1009</v>
      </c>
      <c r="B78" s="529">
        <v>10</v>
      </c>
      <c r="C78" s="531" t="s">
        <v>12</v>
      </c>
      <c r="D78" s="531" t="s">
        <v>13</v>
      </c>
      <c r="E78" s="547">
        <v>-52540000</v>
      </c>
      <c r="F78" s="547"/>
      <c r="G78" s="547"/>
      <c r="H78" s="547"/>
      <c r="I78" s="547"/>
      <c r="J78" s="547"/>
      <c r="K78" s="547"/>
      <c r="L78" s="547"/>
      <c r="M78" s="547">
        <v>0</v>
      </c>
      <c r="N78" s="540"/>
      <c r="O78" s="540"/>
      <c r="P78" s="812">
        <f t="shared" si="4"/>
        <v>-52540000</v>
      </c>
      <c r="Q78" s="547">
        <f>300000-51428350</f>
        <v>-51128350</v>
      </c>
      <c r="R78" s="812">
        <f t="shared" si="5"/>
        <v>-53</v>
      </c>
      <c r="S78" s="547">
        <f t="shared" si="5"/>
        <v>-51</v>
      </c>
      <c r="T78" s="566"/>
      <c r="U78" s="567"/>
      <c r="V78" s="812">
        <f t="shared" si="6"/>
        <v>-52540000</v>
      </c>
      <c r="W78" s="812">
        <f t="shared" si="7"/>
        <v>-53</v>
      </c>
    </row>
    <row r="79" spans="1:23" ht="27" hidden="1" customHeight="1">
      <c r="A79" s="531">
        <v>1009</v>
      </c>
      <c r="B79" s="529">
        <v>10</v>
      </c>
      <c r="C79" s="531" t="s">
        <v>1090</v>
      </c>
      <c r="D79" s="531" t="s">
        <v>1091</v>
      </c>
      <c r="E79" s="547"/>
      <c r="F79" s="547"/>
      <c r="G79" s="547"/>
      <c r="H79" s="547"/>
      <c r="I79" s="547"/>
      <c r="J79" s="547"/>
      <c r="K79" s="547"/>
      <c r="L79" s="547"/>
      <c r="M79" s="547">
        <v>0</v>
      </c>
      <c r="N79" s="540"/>
      <c r="O79" s="540"/>
      <c r="P79" s="812">
        <f t="shared" si="4"/>
        <v>0</v>
      </c>
      <c r="Q79" s="547"/>
      <c r="R79" s="812">
        <f t="shared" si="5"/>
        <v>0</v>
      </c>
      <c r="S79" s="547">
        <f t="shared" si="5"/>
        <v>0</v>
      </c>
      <c r="T79" s="566"/>
      <c r="U79" s="567"/>
      <c r="V79" s="812">
        <f t="shared" si="6"/>
        <v>0</v>
      </c>
      <c r="W79" s="812">
        <f t="shared" si="7"/>
        <v>0</v>
      </c>
    </row>
    <row r="80" spans="1:23" ht="27" hidden="1" customHeight="1">
      <c r="A80" s="531">
        <v>1009</v>
      </c>
      <c r="B80" s="529">
        <v>10</v>
      </c>
      <c r="C80" s="531" t="s">
        <v>14</v>
      </c>
      <c r="D80" s="531" t="s">
        <v>363</v>
      </c>
      <c r="E80" s="547">
        <v>-12616323346</v>
      </c>
      <c r="F80" s="547">
        <v>13504617</v>
      </c>
      <c r="G80" s="547">
        <v>-20215000</v>
      </c>
      <c r="H80" s="547"/>
      <c r="I80" s="547"/>
      <c r="J80" s="547"/>
      <c r="K80" s="547"/>
      <c r="L80" s="547"/>
      <c r="M80" s="547">
        <v>0</v>
      </c>
      <c r="N80" s="540"/>
      <c r="O80" s="540"/>
      <c r="P80" s="812">
        <f t="shared" si="4"/>
        <v>-12623033729</v>
      </c>
      <c r="Q80" s="547">
        <v>-7268653008</v>
      </c>
      <c r="R80" s="812">
        <f t="shared" si="5"/>
        <v>-12623</v>
      </c>
      <c r="S80" s="547">
        <f t="shared" si="5"/>
        <v>-7269</v>
      </c>
      <c r="T80" s="566"/>
      <c r="U80" s="567"/>
      <c r="V80" s="812">
        <f t="shared" si="6"/>
        <v>-12623033729</v>
      </c>
      <c r="W80" s="812">
        <f t="shared" si="7"/>
        <v>-12623</v>
      </c>
    </row>
    <row r="81" spans="1:23" ht="27" hidden="1" customHeight="1">
      <c r="A81" s="531">
        <v>1009</v>
      </c>
      <c r="B81" s="529">
        <v>10</v>
      </c>
      <c r="C81" s="531" t="s">
        <v>15</v>
      </c>
      <c r="D81" s="531" t="s">
        <v>552</v>
      </c>
      <c r="E81" s="547">
        <v>-455576291</v>
      </c>
      <c r="F81" s="547"/>
      <c r="G81" s="547">
        <v>-180000</v>
      </c>
      <c r="H81" s="547"/>
      <c r="I81" s="547"/>
      <c r="J81" s="547"/>
      <c r="K81" s="547"/>
      <c r="L81" s="547"/>
      <c r="M81" s="547">
        <v>0</v>
      </c>
      <c r="N81" s="540"/>
      <c r="O81" s="540"/>
      <c r="P81" s="812">
        <f t="shared" si="4"/>
        <v>-455756291</v>
      </c>
      <c r="Q81" s="547">
        <f>28455000-94095000</f>
        <v>-65640000</v>
      </c>
      <c r="R81" s="812">
        <f t="shared" si="5"/>
        <v>-456</v>
      </c>
      <c r="S81" s="547">
        <f t="shared" si="5"/>
        <v>-66</v>
      </c>
      <c r="T81" s="566"/>
      <c r="U81" s="567"/>
      <c r="V81" s="812">
        <f t="shared" si="6"/>
        <v>-455756291</v>
      </c>
      <c r="W81" s="812">
        <f t="shared" si="7"/>
        <v>-456</v>
      </c>
    </row>
    <row r="82" spans="1:23" ht="27" hidden="1" customHeight="1">
      <c r="A82" s="531">
        <v>1009</v>
      </c>
      <c r="B82" s="529">
        <v>10</v>
      </c>
      <c r="C82" s="531" t="s">
        <v>743</v>
      </c>
      <c r="D82" s="531" t="s">
        <v>1092</v>
      </c>
      <c r="E82" s="547"/>
      <c r="F82" s="547"/>
      <c r="G82" s="547"/>
      <c r="H82" s="547"/>
      <c r="I82" s="547"/>
      <c r="J82" s="547"/>
      <c r="K82" s="547"/>
      <c r="L82" s="547"/>
      <c r="M82" s="547">
        <v>0</v>
      </c>
      <c r="N82" s="540"/>
      <c r="O82" s="540"/>
      <c r="P82" s="812">
        <f t="shared" si="4"/>
        <v>0</v>
      </c>
      <c r="Q82" s="547">
        <v>-20344320</v>
      </c>
      <c r="R82" s="812">
        <f t="shared" si="5"/>
        <v>0</v>
      </c>
      <c r="S82" s="547">
        <f t="shared" si="5"/>
        <v>-20</v>
      </c>
      <c r="T82" s="566"/>
      <c r="U82" s="567"/>
      <c r="V82" s="812">
        <f t="shared" si="6"/>
        <v>0</v>
      </c>
      <c r="W82" s="812">
        <f t="shared" si="7"/>
        <v>0</v>
      </c>
    </row>
    <row r="83" spans="1:23" ht="27" hidden="1" customHeight="1">
      <c r="A83" s="531">
        <v>1002</v>
      </c>
      <c r="B83" s="529">
        <v>10</v>
      </c>
      <c r="C83" s="531" t="s">
        <v>39</v>
      </c>
      <c r="D83" s="531" t="s">
        <v>181</v>
      </c>
      <c r="E83" s="547">
        <v>-146228858721</v>
      </c>
      <c r="F83" s="547"/>
      <c r="G83" s="547"/>
      <c r="H83" s="547"/>
      <c r="I83" s="547"/>
      <c r="J83" s="547"/>
      <c r="K83" s="547"/>
      <c r="L83" s="547"/>
      <c r="M83" s="547">
        <v>0</v>
      </c>
      <c r="N83" s="540"/>
      <c r="O83" s="540"/>
      <c r="P83" s="812">
        <f t="shared" si="4"/>
        <v>-146228858721</v>
      </c>
      <c r="Q83" s="547">
        <v>-146393547480</v>
      </c>
      <c r="R83" s="812">
        <f t="shared" si="5"/>
        <v>-146229</v>
      </c>
      <c r="S83" s="547">
        <f t="shared" si="5"/>
        <v>-146394</v>
      </c>
      <c r="T83" s="566"/>
      <c r="U83" s="567"/>
      <c r="V83" s="812">
        <f t="shared" si="6"/>
        <v>-146228858721</v>
      </c>
      <c r="W83" s="812">
        <f t="shared" si="7"/>
        <v>-146229</v>
      </c>
    </row>
    <row r="84" spans="1:23" ht="27" hidden="1" customHeight="1">
      <c r="A84" s="531">
        <v>1009</v>
      </c>
      <c r="B84" s="529">
        <v>10</v>
      </c>
      <c r="C84" s="531" t="s">
        <v>940</v>
      </c>
      <c r="D84" s="531" t="s">
        <v>941</v>
      </c>
      <c r="E84" s="547"/>
      <c r="F84" s="547"/>
      <c r="G84" s="547"/>
      <c r="H84" s="547"/>
      <c r="I84" s="547"/>
      <c r="J84" s="547"/>
      <c r="K84" s="547"/>
      <c r="L84" s="547"/>
      <c r="M84" s="547">
        <v>0</v>
      </c>
      <c r="N84" s="540"/>
      <c r="O84" s="540"/>
      <c r="P84" s="812">
        <f t="shared" si="4"/>
        <v>0</v>
      </c>
      <c r="Q84" s="547"/>
      <c r="R84" s="812">
        <f t="shared" si="5"/>
        <v>0</v>
      </c>
      <c r="S84" s="547">
        <f t="shared" si="5"/>
        <v>0</v>
      </c>
      <c r="T84" s="566"/>
      <c r="U84" s="567"/>
      <c r="V84" s="812">
        <f t="shared" si="6"/>
        <v>0</v>
      </c>
      <c r="W84" s="812">
        <f t="shared" si="7"/>
        <v>0</v>
      </c>
    </row>
    <row r="85" spans="1:23" ht="27" hidden="1" customHeight="1">
      <c r="A85" s="531">
        <v>1009</v>
      </c>
      <c r="B85" s="529">
        <v>10</v>
      </c>
      <c r="C85" s="531" t="s">
        <v>40</v>
      </c>
      <c r="D85" s="531" t="s">
        <v>41</v>
      </c>
      <c r="E85" s="547"/>
      <c r="F85" s="547"/>
      <c r="G85" s="547"/>
      <c r="H85" s="547"/>
      <c r="I85" s="547"/>
      <c r="J85" s="547"/>
      <c r="K85" s="547"/>
      <c r="L85" s="547"/>
      <c r="M85" s="547">
        <v>0</v>
      </c>
      <c r="N85" s="540"/>
      <c r="O85" s="540"/>
      <c r="P85" s="812">
        <f t="shared" si="4"/>
        <v>0</v>
      </c>
      <c r="Q85" s="547"/>
      <c r="R85" s="812">
        <f t="shared" si="5"/>
        <v>0</v>
      </c>
      <c r="S85" s="547">
        <f t="shared" si="5"/>
        <v>0</v>
      </c>
      <c r="T85" s="566"/>
      <c r="U85" s="567"/>
      <c r="V85" s="812">
        <f t="shared" si="6"/>
        <v>0</v>
      </c>
      <c r="W85" s="812">
        <f t="shared" si="7"/>
        <v>0</v>
      </c>
    </row>
    <row r="86" spans="1:23" ht="27" hidden="1" customHeight="1">
      <c r="A86" s="531">
        <v>1009</v>
      </c>
      <c r="B86" s="529">
        <v>10</v>
      </c>
      <c r="C86" s="531" t="s">
        <v>1093</v>
      </c>
      <c r="D86" s="531" t="s">
        <v>1094</v>
      </c>
      <c r="E86" s="547"/>
      <c r="F86" s="547"/>
      <c r="G86" s="547"/>
      <c r="H86" s="547"/>
      <c r="I86" s="547"/>
      <c r="J86" s="547"/>
      <c r="K86" s="547"/>
      <c r="L86" s="547"/>
      <c r="M86" s="547">
        <v>0</v>
      </c>
      <c r="N86" s="540"/>
      <c r="O86" s="540"/>
      <c r="P86" s="812">
        <f t="shared" si="4"/>
        <v>0</v>
      </c>
      <c r="Q86" s="547"/>
      <c r="R86" s="812">
        <f t="shared" si="5"/>
        <v>0</v>
      </c>
      <c r="S86" s="547">
        <f t="shared" si="5"/>
        <v>0</v>
      </c>
      <c r="T86" s="566"/>
      <c r="U86" s="567"/>
      <c r="V86" s="812">
        <f t="shared" si="6"/>
        <v>0</v>
      </c>
      <c r="W86" s="812">
        <f t="shared" si="7"/>
        <v>0</v>
      </c>
    </row>
    <row r="87" spans="1:23" ht="27" hidden="1" customHeight="1">
      <c r="A87" s="531">
        <v>1009</v>
      </c>
      <c r="B87" s="529">
        <v>10</v>
      </c>
      <c r="C87" s="531" t="s">
        <v>1095</v>
      </c>
      <c r="D87" s="531" t="s">
        <v>1096</v>
      </c>
      <c r="E87" s="547"/>
      <c r="F87" s="547"/>
      <c r="G87" s="547"/>
      <c r="H87" s="547"/>
      <c r="I87" s="547"/>
      <c r="J87" s="547"/>
      <c r="K87" s="547"/>
      <c r="L87" s="547"/>
      <c r="M87" s="547">
        <v>0</v>
      </c>
      <c r="N87" s="540"/>
      <c r="O87" s="540"/>
      <c r="P87" s="812">
        <f t="shared" si="4"/>
        <v>0</v>
      </c>
      <c r="Q87" s="547"/>
      <c r="R87" s="812">
        <f t="shared" si="5"/>
        <v>0</v>
      </c>
      <c r="S87" s="547">
        <f t="shared" si="5"/>
        <v>0</v>
      </c>
      <c r="T87" s="566"/>
      <c r="U87" s="567"/>
      <c r="V87" s="812">
        <f t="shared" si="6"/>
        <v>0</v>
      </c>
      <c r="W87" s="812">
        <f t="shared" si="7"/>
        <v>0</v>
      </c>
    </row>
    <row r="88" spans="1:23" ht="27" hidden="1" customHeight="1">
      <c r="A88" s="531">
        <v>1009</v>
      </c>
      <c r="B88" s="529">
        <v>10</v>
      </c>
      <c r="C88" s="531" t="s">
        <v>853</v>
      </c>
      <c r="D88" s="531" t="s">
        <v>1097</v>
      </c>
      <c r="E88" s="547"/>
      <c r="F88" s="547"/>
      <c r="G88" s="547"/>
      <c r="H88" s="547"/>
      <c r="I88" s="547"/>
      <c r="J88" s="547"/>
      <c r="K88" s="547"/>
      <c r="L88" s="547"/>
      <c r="M88" s="547">
        <v>0</v>
      </c>
      <c r="N88" s="540"/>
      <c r="O88" s="540"/>
      <c r="P88" s="812">
        <f t="shared" si="4"/>
        <v>0</v>
      </c>
      <c r="Q88" s="547">
        <v>0</v>
      </c>
      <c r="R88" s="812">
        <f t="shared" si="5"/>
        <v>0</v>
      </c>
      <c r="S88" s="547">
        <f t="shared" si="5"/>
        <v>0</v>
      </c>
      <c r="T88" s="566"/>
      <c r="U88" s="567"/>
      <c r="V88" s="812">
        <f t="shared" si="6"/>
        <v>0</v>
      </c>
      <c r="W88" s="812">
        <f t="shared" si="7"/>
        <v>0</v>
      </c>
    </row>
    <row r="89" spans="1:23" ht="27" hidden="1" customHeight="1">
      <c r="A89" s="531">
        <v>401</v>
      </c>
      <c r="B89" s="529">
        <v>4</v>
      </c>
      <c r="C89" s="531" t="s">
        <v>42</v>
      </c>
      <c r="D89" s="531" t="s">
        <v>942</v>
      </c>
      <c r="E89" s="547"/>
      <c r="F89" s="547"/>
      <c r="G89" s="547"/>
      <c r="H89" s="547"/>
      <c r="I89" s="547"/>
      <c r="J89" s="547"/>
      <c r="K89" s="547"/>
      <c r="L89" s="547"/>
      <c r="M89" s="547">
        <v>0</v>
      </c>
      <c r="N89" s="540"/>
      <c r="O89" s="540"/>
      <c r="P89" s="812">
        <f t="shared" si="4"/>
        <v>0</v>
      </c>
      <c r="Q89" s="547">
        <v>0</v>
      </c>
      <c r="R89" s="812">
        <f t="shared" si="5"/>
        <v>0</v>
      </c>
      <c r="S89" s="547">
        <f t="shared" si="5"/>
        <v>0</v>
      </c>
      <c r="T89" s="566"/>
      <c r="U89" s="567"/>
      <c r="V89" s="812">
        <f t="shared" si="6"/>
        <v>0</v>
      </c>
      <c r="W89" s="812">
        <f t="shared" si="7"/>
        <v>0</v>
      </c>
    </row>
    <row r="90" spans="1:23" ht="27" hidden="1" customHeight="1">
      <c r="A90" s="531">
        <v>1009</v>
      </c>
      <c r="B90" s="529">
        <v>10</v>
      </c>
      <c r="C90" s="531" t="s">
        <v>1098</v>
      </c>
      <c r="D90" s="531" t="s">
        <v>1083</v>
      </c>
      <c r="E90" s="547">
        <v>-1262635888</v>
      </c>
      <c r="F90" s="547"/>
      <c r="G90" s="547"/>
      <c r="H90" s="547"/>
      <c r="I90" s="547"/>
      <c r="J90" s="547"/>
      <c r="K90" s="547"/>
      <c r="L90" s="547"/>
      <c r="M90" s="547">
        <v>0</v>
      </c>
      <c r="N90" s="540"/>
      <c r="O90" s="540"/>
      <c r="P90" s="812">
        <f t="shared" si="4"/>
        <v>-1262635888</v>
      </c>
      <c r="Q90" s="547">
        <f>10135137796-11865498000+19070000000</f>
        <v>17339639796</v>
      </c>
      <c r="R90" s="812">
        <f t="shared" si="5"/>
        <v>-1263</v>
      </c>
      <c r="S90" s="547">
        <f t="shared" si="5"/>
        <v>17340</v>
      </c>
      <c r="T90" s="566"/>
      <c r="U90" s="567"/>
      <c r="V90" s="812">
        <f t="shared" si="6"/>
        <v>-1262635888</v>
      </c>
      <c r="W90" s="812">
        <f t="shared" si="7"/>
        <v>-1263</v>
      </c>
    </row>
    <row r="91" spans="1:23" ht="27" hidden="1" customHeight="1">
      <c r="A91" s="531">
        <v>401</v>
      </c>
      <c r="B91" s="529">
        <v>4</v>
      </c>
      <c r="C91" s="531" t="s">
        <v>1099</v>
      </c>
      <c r="D91" s="531" t="s">
        <v>1101</v>
      </c>
      <c r="E91" s="547"/>
      <c r="F91" s="547"/>
      <c r="G91" s="547"/>
      <c r="H91" s="547"/>
      <c r="I91" s="547"/>
      <c r="J91" s="547"/>
      <c r="K91" s="547"/>
      <c r="L91" s="547"/>
      <c r="M91" s="547">
        <v>0</v>
      </c>
      <c r="N91" s="540"/>
      <c r="O91" s="540"/>
      <c r="P91" s="812">
        <f t="shared" si="4"/>
        <v>0</v>
      </c>
      <c r="Q91" s="547"/>
      <c r="R91" s="812">
        <f t="shared" si="5"/>
        <v>0</v>
      </c>
      <c r="S91" s="547">
        <f t="shared" si="5"/>
        <v>0</v>
      </c>
      <c r="T91" s="566"/>
      <c r="U91" s="567"/>
      <c r="V91" s="812">
        <f t="shared" si="6"/>
        <v>0</v>
      </c>
      <c r="W91" s="812">
        <f t="shared" si="7"/>
        <v>0</v>
      </c>
    </row>
    <row r="92" spans="1:23" ht="27" hidden="1" customHeight="1">
      <c r="A92" s="531">
        <v>1009</v>
      </c>
      <c r="B92" s="529">
        <v>10</v>
      </c>
      <c r="C92" s="531" t="s">
        <v>1100</v>
      </c>
      <c r="D92" s="531" t="s">
        <v>1102</v>
      </c>
      <c r="E92" s="547">
        <v>-2141200</v>
      </c>
      <c r="F92" s="547">
        <v>2141200</v>
      </c>
      <c r="G92" s="547"/>
      <c r="H92" s="547"/>
      <c r="I92" s="547"/>
      <c r="J92" s="547"/>
      <c r="K92" s="547"/>
      <c r="L92" s="547"/>
      <c r="M92" s="547">
        <v>0</v>
      </c>
      <c r="N92" s="540"/>
      <c r="O92" s="540"/>
      <c r="P92" s="812">
        <f t="shared" si="4"/>
        <v>0</v>
      </c>
      <c r="Q92" s="547"/>
      <c r="R92" s="812">
        <f t="shared" si="5"/>
        <v>0</v>
      </c>
      <c r="S92" s="547">
        <f t="shared" si="5"/>
        <v>0</v>
      </c>
      <c r="T92" s="566"/>
      <c r="U92" s="567"/>
      <c r="V92" s="812">
        <f t="shared" si="6"/>
        <v>0</v>
      </c>
      <c r="W92" s="812">
        <f t="shared" si="7"/>
        <v>0</v>
      </c>
    </row>
    <row r="93" spans="1:23" ht="27" hidden="1" customHeight="1">
      <c r="A93" s="531">
        <v>406</v>
      </c>
      <c r="B93" s="529">
        <v>4</v>
      </c>
      <c r="C93" s="531" t="s">
        <v>43</v>
      </c>
      <c r="D93" s="531" t="s">
        <v>1001</v>
      </c>
      <c r="E93" s="547">
        <v>142302000</v>
      </c>
      <c r="F93" s="547"/>
      <c r="G93" s="547"/>
      <c r="H93" s="547"/>
      <c r="I93" s="547"/>
      <c r="J93" s="547"/>
      <c r="K93" s="547"/>
      <c r="L93" s="547"/>
      <c r="M93" s="547">
        <v>0</v>
      </c>
      <c r="N93" s="540"/>
      <c r="O93" s="540"/>
      <c r="P93" s="812">
        <f t="shared" si="4"/>
        <v>142302000</v>
      </c>
      <c r="Q93" s="547">
        <v>1036000</v>
      </c>
      <c r="R93" s="812">
        <f t="shared" si="5"/>
        <v>142</v>
      </c>
      <c r="S93" s="547">
        <f t="shared" si="5"/>
        <v>1</v>
      </c>
      <c r="T93" s="566"/>
      <c r="U93" s="567"/>
      <c r="V93" s="812">
        <f t="shared" si="6"/>
        <v>142302000</v>
      </c>
      <c r="W93" s="812">
        <f t="shared" si="7"/>
        <v>142</v>
      </c>
    </row>
    <row r="94" spans="1:23" ht="27" hidden="1" customHeight="1">
      <c r="A94" s="531">
        <v>401</v>
      </c>
      <c r="B94" s="529">
        <v>4</v>
      </c>
      <c r="C94" s="531" t="s">
        <v>1175</v>
      </c>
      <c r="D94" s="531" t="s">
        <v>1170</v>
      </c>
      <c r="E94" s="547">
        <v>20215000</v>
      </c>
      <c r="F94" s="547">
        <v>-20215000</v>
      </c>
      <c r="G94" s="547"/>
      <c r="H94" s="547"/>
      <c r="I94" s="547"/>
      <c r="J94" s="547"/>
      <c r="K94" s="547"/>
      <c r="L94" s="547"/>
      <c r="M94" s="547">
        <v>0</v>
      </c>
      <c r="N94" s="540"/>
      <c r="O94" s="540"/>
      <c r="P94" s="812">
        <f t="shared" si="4"/>
        <v>0</v>
      </c>
      <c r="Q94" s="547">
        <v>0</v>
      </c>
      <c r="R94" s="812">
        <f t="shared" si="5"/>
        <v>0</v>
      </c>
      <c r="S94" s="547">
        <f t="shared" si="5"/>
        <v>0</v>
      </c>
      <c r="T94" s="566"/>
      <c r="U94" s="567"/>
      <c r="V94" s="812">
        <f t="shared" si="6"/>
        <v>0</v>
      </c>
      <c r="W94" s="812">
        <f t="shared" si="7"/>
        <v>0</v>
      </c>
    </row>
    <row r="95" spans="1:23" ht="27" hidden="1" customHeight="1">
      <c r="A95" s="531">
        <v>1009</v>
      </c>
      <c r="B95" s="529">
        <v>10</v>
      </c>
      <c r="C95" s="531" t="s">
        <v>44</v>
      </c>
      <c r="D95" s="531" t="s">
        <v>897</v>
      </c>
      <c r="E95" s="547"/>
      <c r="F95" s="547"/>
      <c r="G95" s="547"/>
      <c r="H95" s="547"/>
      <c r="I95" s="547"/>
      <c r="J95" s="547"/>
      <c r="K95" s="547"/>
      <c r="L95" s="547"/>
      <c r="M95" s="547">
        <v>0</v>
      </c>
      <c r="N95" s="540"/>
      <c r="O95" s="540"/>
      <c r="P95" s="812">
        <f t="shared" si="4"/>
        <v>0</v>
      </c>
      <c r="Q95" s="547"/>
      <c r="R95" s="812">
        <f t="shared" si="5"/>
        <v>0</v>
      </c>
      <c r="S95" s="547">
        <f t="shared" si="5"/>
        <v>0</v>
      </c>
      <c r="T95" s="566"/>
      <c r="U95" s="567"/>
      <c r="V95" s="812">
        <f t="shared" si="6"/>
        <v>0</v>
      </c>
      <c r="W95" s="812">
        <f t="shared" si="7"/>
        <v>0</v>
      </c>
    </row>
    <row r="96" spans="1:23" ht="27" hidden="1" customHeight="1">
      <c r="A96" s="531">
        <v>401</v>
      </c>
      <c r="B96" s="529">
        <v>4</v>
      </c>
      <c r="C96" s="531" t="s">
        <v>943</v>
      </c>
      <c r="D96" s="531" t="s">
        <v>944</v>
      </c>
      <c r="E96" s="547"/>
      <c r="F96" s="547"/>
      <c r="G96" s="547"/>
      <c r="H96" s="547"/>
      <c r="I96" s="547"/>
      <c r="J96" s="547"/>
      <c r="K96" s="547"/>
      <c r="L96" s="547"/>
      <c r="M96" s="547">
        <v>0</v>
      </c>
      <c r="N96" s="540"/>
      <c r="O96" s="540"/>
      <c r="P96" s="812">
        <f t="shared" si="4"/>
        <v>0</v>
      </c>
      <c r="Q96" s="547">
        <v>0</v>
      </c>
      <c r="R96" s="812">
        <f t="shared" si="5"/>
        <v>0</v>
      </c>
      <c r="S96" s="547">
        <f t="shared" si="5"/>
        <v>0</v>
      </c>
      <c r="T96" s="566"/>
      <c r="U96" s="567"/>
      <c r="V96" s="812">
        <f t="shared" si="6"/>
        <v>0</v>
      </c>
      <c r="W96" s="812">
        <f t="shared" si="7"/>
        <v>0</v>
      </c>
    </row>
    <row r="97" spans="1:23" ht="27" hidden="1" customHeight="1">
      <c r="A97" s="531">
        <v>401</v>
      </c>
      <c r="B97" s="529">
        <v>4</v>
      </c>
      <c r="C97" s="531" t="s">
        <v>945</v>
      </c>
      <c r="D97" s="531" t="s">
        <v>946</v>
      </c>
      <c r="E97" s="547"/>
      <c r="F97" s="547"/>
      <c r="G97" s="547"/>
      <c r="H97" s="547"/>
      <c r="I97" s="547"/>
      <c r="J97" s="547"/>
      <c r="K97" s="547"/>
      <c r="L97" s="547"/>
      <c r="M97" s="547">
        <v>0</v>
      </c>
      <c r="N97" s="540"/>
      <c r="O97" s="540"/>
      <c r="P97" s="812">
        <f t="shared" si="4"/>
        <v>0</v>
      </c>
      <c r="Q97" s="547">
        <v>0</v>
      </c>
      <c r="R97" s="812">
        <f t="shared" si="5"/>
        <v>0</v>
      </c>
      <c r="S97" s="547">
        <f t="shared" si="5"/>
        <v>0</v>
      </c>
      <c r="T97" s="566"/>
      <c r="U97" s="567"/>
      <c r="V97" s="812">
        <f t="shared" si="6"/>
        <v>0</v>
      </c>
      <c r="W97" s="812">
        <f t="shared" si="7"/>
        <v>0</v>
      </c>
    </row>
    <row r="98" spans="1:23" ht="27" hidden="1" customHeight="1">
      <c r="A98" s="531">
        <v>401</v>
      </c>
      <c r="B98" s="529">
        <v>4</v>
      </c>
      <c r="C98" s="531" t="s">
        <v>947</v>
      </c>
      <c r="D98" s="531" t="s">
        <v>948</v>
      </c>
      <c r="E98" s="547"/>
      <c r="F98" s="547"/>
      <c r="G98" s="547"/>
      <c r="H98" s="547"/>
      <c r="I98" s="547"/>
      <c r="J98" s="547"/>
      <c r="K98" s="547"/>
      <c r="L98" s="547"/>
      <c r="M98" s="547">
        <v>0</v>
      </c>
      <c r="N98" s="540"/>
      <c r="O98" s="540"/>
      <c r="P98" s="812">
        <f t="shared" si="4"/>
        <v>0</v>
      </c>
      <c r="Q98" s="547">
        <v>0</v>
      </c>
      <c r="R98" s="812">
        <f t="shared" si="5"/>
        <v>0</v>
      </c>
      <c r="S98" s="547">
        <f t="shared" si="5"/>
        <v>0</v>
      </c>
      <c r="T98" s="566"/>
      <c r="U98" s="567"/>
      <c r="V98" s="812">
        <f t="shared" si="6"/>
        <v>0</v>
      </c>
      <c r="W98" s="812">
        <f t="shared" si="7"/>
        <v>0</v>
      </c>
    </row>
    <row r="99" spans="1:23" ht="27" hidden="1" customHeight="1">
      <c r="A99" s="531">
        <v>1009</v>
      </c>
      <c r="B99" s="529">
        <v>10</v>
      </c>
      <c r="C99" s="531" t="s">
        <v>949</v>
      </c>
      <c r="D99" s="531" t="s">
        <v>950</v>
      </c>
      <c r="E99" s="547"/>
      <c r="F99" s="547"/>
      <c r="G99" s="547"/>
      <c r="H99" s="547"/>
      <c r="I99" s="547"/>
      <c r="J99" s="547"/>
      <c r="K99" s="547"/>
      <c r="L99" s="547"/>
      <c r="M99" s="547">
        <v>0</v>
      </c>
      <c r="N99" s="540"/>
      <c r="O99" s="540"/>
      <c r="P99" s="812">
        <f t="shared" si="4"/>
        <v>0</v>
      </c>
      <c r="Q99" s="547">
        <v>0</v>
      </c>
      <c r="R99" s="812">
        <f t="shared" si="5"/>
        <v>0</v>
      </c>
      <c r="S99" s="547">
        <f t="shared" si="5"/>
        <v>0</v>
      </c>
      <c r="T99" s="566"/>
      <c r="U99" s="567"/>
      <c r="V99" s="812">
        <f t="shared" si="6"/>
        <v>0</v>
      </c>
      <c r="W99" s="812">
        <f t="shared" si="7"/>
        <v>0</v>
      </c>
    </row>
    <row r="100" spans="1:23" ht="27" hidden="1" customHeight="1">
      <c r="A100" s="531">
        <v>401</v>
      </c>
      <c r="B100" s="529">
        <v>4</v>
      </c>
      <c r="C100" s="531" t="s">
        <v>45</v>
      </c>
      <c r="D100" s="531" t="s">
        <v>46</v>
      </c>
      <c r="E100" s="547">
        <v>164339872</v>
      </c>
      <c r="F100" s="547"/>
      <c r="G100" s="547">
        <v>-241695358</v>
      </c>
      <c r="H100" s="547"/>
      <c r="I100" s="547"/>
      <c r="J100" s="547"/>
      <c r="K100" s="547"/>
      <c r="L100" s="547"/>
      <c r="M100" s="547">
        <v>0</v>
      </c>
      <c r="N100" s="540"/>
      <c r="O100" s="540"/>
      <c r="P100" s="812">
        <f t="shared" si="4"/>
        <v>-77355486</v>
      </c>
      <c r="Q100" s="547">
        <f>13084444-10841777908</f>
        <v>-10828693464</v>
      </c>
      <c r="R100" s="812">
        <f t="shared" si="5"/>
        <v>-77</v>
      </c>
      <c r="S100" s="547">
        <f t="shared" si="5"/>
        <v>-10829</v>
      </c>
      <c r="T100" s="566"/>
      <c r="U100" s="567"/>
      <c r="V100" s="812">
        <f t="shared" si="6"/>
        <v>-77355486</v>
      </c>
      <c r="W100" s="812">
        <f t="shared" si="7"/>
        <v>-77</v>
      </c>
    </row>
    <row r="101" spans="1:23" ht="24.75" hidden="1" customHeight="1">
      <c r="A101" s="531"/>
      <c r="B101" s="529">
        <v>11</v>
      </c>
      <c r="C101" s="531" t="s">
        <v>47</v>
      </c>
      <c r="D101" s="531" t="s">
        <v>1469</v>
      </c>
      <c r="E101" s="547">
        <v>-3350004000</v>
      </c>
      <c r="F101" s="547"/>
      <c r="G101" s="547"/>
      <c r="H101" s="547"/>
      <c r="I101" s="547"/>
      <c r="J101" s="547"/>
      <c r="K101" s="547"/>
      <c r="L101" s="547"/>
      <c r="M101" s="547">
        <v>0</v>
      </c>
      <c r="N101" s="540"/>
      <c r="O101" s="540"/>
      <c r="P101" s="812">
        <f t="shared" si="4"/>
        <v>-3350004000</v>
      </c>
      <c r="Q101" s="547">
        <v>-19553000000</v>
      </c>
      <c r="R101" s="812">
        <f t="shared" si="5"/>
        <v>-3350</v>
      </c>
      <c r="S101" s="547">
        <f t="shared" si="5"/>
        <v>-19553</v>
      </c>
      <c r="T101" s="566"/>
      <c r="U101" s="567"/>
      <c r="V101" s="812">
        <f t="shared" si="6"/>
        <v>-3350004000</v>
      </c>
      <c r="W101" s="812">
        <f t="shared" si="7"/>
        <v>-3350</v>
      </c>
    </row>
    <row r="102" spans="1:23" ht="24.75" hidden="1" customHeight="1">
      <c r="A102" s="531">
        <v>1009</v>
      </c>
      <c r="B102" s="529">
        <v>10</v>
      </c>
      <c r="C102" s="531" t="s">
        <v>47</v>
      </c>
      <c r="D102" s="531" t="s">
        <v>555</v>
      </c>
      <c r="E102" s="547">
        <v>-653743103</v>
      </c>
      <c r="F102" s="547"/>
      <c r="G102" s="547">
        <v>56205789</v>
      </c>
      <c r="H102" s="547"/>
      <c r="I102" s="547"/>
      <c r="J102" s="547"/>
      <c r="K102" s="547"/>
      <c r="L102" s="547"/>
      <c r="M102" s="547">
        <v>0</v>
      </c>
      <c r="N102" s="540"/>
      <c r="O102" s="540"/>
      <c r="P102" s="812">
        <f t="shared" si="4"/>
        <v>-597537314</v>
      </c>
      <c r="Q102" s="547">
        <v>24478670004</v>
      </c>
      <c r="R102" s="812">
        <f t="shared" si="5"/>
        <v>-598</v>
      </c>
      <c r="S102" s="547">
        <f t="shared" si="5"/>
        <v>24479</v>
      </c>
      <c r="T102" s="566"/>
      <c r="U102" s="567"/>
      <c r="V102" s="812">
        <f t="shared" si="6"/>
        <v>-597537314</v>
      </c>
      <c r="W102" s="812">
        <f t="shared" si="7"/>
        <v>-598</v>
      </c>
    </row>
    <row r="103" spans="1:23" ht="27" hidden="1" customHeight="1">
      <c r="A103" s="531">
        <v>401</v>
      </c>
      <c r="B103" s="529">
        <v>4</v>
      </c>
      <c r="C103" s="531" t="s">
        <v>951</v>
      </c>
      <c r="D103" s="531" t="s">
        <v>952</v>
      </c>
      <c r="E103" s="547"/>
      <c r="F103" s="547"/>
      <c r="G103" s="547"/>
      <c r="H103" s="547"/>
      <c r="I103" s="547"/>
      <c r="J103" s="547"/>
      <c r="K103" s="547"/>
      <c r="L103" s="547"/>
      <c r="M103" s="547">
        <v>0</v>
      </c>
      <c r="N103" s="540"/>
      <c r="O103" s="540"/>
      <c r="P103" s="812">
        <f t="shared" si="4"/>
        <v>0</v>
      </c>
      <c r="Q103" s="547">
        <v>0</v>
      </c>
      <c r="R103" s="812">
        <f t="shared" si="5"/>
        <v>0</v>
      </c>
      <c r="S103" s="547">
        <f t="shared" si="5"/>
        <v>0</v>
      </c>
      <c r="T103" s="566"/>
      <c r="U103" s="567"/>
      <c r="V103" s="812">
        <f t="shared" si="6"/>
        <v>0</v>
      </c>
      <c r="W103" s="812">
        <f t="shared" si="7"/>
        <v>0</v>
      </c>
    </row>
    <row r="104" spans="1:23" ht="27" hidden="1" customHeight="1">
      <c r="A104" s="531">
        <v>401</v>
      </c>
      <c r="B104" s="529">
        <v>4</v>
      </c>
      <c r="C104" s="531" t="s">
        <v>836</v>
      </c>
      <c r="D104" s="531" t="s">
        <v>953</v>
      </c>
      <c r="E104" s="547"/>
      <c r="F104" s="547"/>
      <c r="G104" s="547"/>
      <c r="H104" s="547"/>
      <c r="I104" s="547"/>
      <c r="J104" s="547"/>
      <c r="K104" s="547"/>
      <c r="L104" s="547"/>
      <c r="M104" s="547">
        <v>0</v>
      </c>
      <c r="N104" s="540"/>
      <c r="O104" s="540"/>
      <c r="P104" s="812">
        <f t="shared" si="4"/>
        <v>0</v>
      </c>
      <c r="Q104" s="547">
        <v>1390000</v>
      </c>
      <c r="R104" s="812">
        <f t="shared" si="5"/>
        <v>0</v>
      </c>
      <c r="S104" s="547">
        <f t="shared" si="5"/>
        <v>1</v>
      </c>
      <c r="T104" s="566"/>
      <c r="U104" s="567"/>
      <c r="V104" s="812">
        <f t="shared" si="6"/>
        <v>0</v>
      </c>
      <c r="W104" s="812">
        <f t="shared" si="7"/>
        <v>0</v>
      </c>
    </row>
    <row r="105" spans="1:23" ht="27" hidden="1" customHeight="1">
      <c r="A105" s="531">
        <v>1009</v>
      </c>
      <c r="B105" s="529">
        <v>10</v>
      </c>
      <c r="C105" s="531" t="s">
        <v>954</v>
      </c>
      <c r="D105" s="531" t="s">
        <v>955</v>
      </c>
      <c r="E105" s="547"/>
      <c r="F105" s="547"/>
      <c r="G105" s="547"/>
      <c r="H105" s="547"/>
      <c r="I105" s="547"/>
      <c r="J105" s="547"/>
      <c r="K105" s="547"/>
      <c r="L105" s="547"/>
      <c r="M105" s="547">
        <v>0</v>
      </c>
      <c r="N105" s="540"/>
      <c r="O105" s="540"/>
      <c r="P105" s="812">
        <f t="shared" si="4"/>
        <v>0</v>
      </c>
      <c r="Q105" s="547">
        <v>-602137679</v>
      </c>
      <c r="R105" s="812">
        <f t="shared" si="5"/>
        <v>0</v>
      </c>
      <c r="S105" s="547">
        <f t="shared" si="5"/>
        <v>-602</v>
      </c>
      <c r="T105" s="566"/>
      <c r="U105" s="567"/>
      <c r="V105" s="812">
        <f t="shared" si="6"/>
        <v>0</v>
      </c>
      <c r="W105" s="812">
        <f t="shared" si="7"/>
        <v>0</v>
      </c>
    </row>
    <row r="106" spans="1:23" ht="27" hidden="1" customHeight="1">
      <c r="A106" s="531">
        <v>1009</v>
      </c>
      <c r="B106" s="529">
        <v>10</v>
      </c>
      <c r="C106" s="531" t="s">
        <v>1103</v>
      </c>
      <c r="D106" s="531" t="s">
        <v>1104</v>
      </c>
      <c r="E106" s="547">
        <v>-1235652</v>
      </c>
      <c r="F106" s="547"/>
      <c r="G106" s="547">
        <v>1235652</v>
      </c>
      <c r="H106" s="547"/>
      <c r="I106" s="547"/>
      <c r="J106" s="547"/>
      <c r="K106" s="547"/>
      <c r="L106" s="547"/>
      <c r="M106" s="547">
        <v>0</v>
      </c>
      <c r="N106" s="540"/>
      <c r="O106" s="540"/>
      <c r="P106" s="812">
        <f t="shared" si="4"/>
        <v>0</v>
      </c>
      <c r="Q106" s="547"/>
      <c r="R106" s="812">
        <f t="shared" si="5"/>
        <v>0</v>
      </c>
      <c r="S106" s="547">
        <f t="shared" si="5"/>
        <v>0</v>
      </c>
      <c r="T106" s="566"/>
      <c r="U106" s="567"/>
      <c r="V106" s="812">
        <f t="shared" si="6"/>
        <v>0</v>
      </c>
      <c r="W106" s="812">
        <f t="shared" si="7"/>
        <v>0</v>
      </c>
    </row>
    <row r="107" spans="1:23" ht="27" hidden="1" customHeight="1">
      <c r="A107" s="531">
        <v>401</v>
      </c>
      <c r="B107" s="529">
        <v>4</v>
      </c>
      <c r="C107" s="531" t="s">
        <v>880</v>
      </c>
      <c r="D107" s="531" t="s">
        <v>879</v>
      </c>
      <c r="E107" s="547">
        <v>4238569830</v>
      </c>
      <c r="F107" s="547">
        <v>-47157659</v>
      </c>
      <c r="G107" s="547"/>
      <c r="H107" s="547"/>
      <c r="I107" s="547"/>
      <c r="J107" s="547">
        <v>-6400386204</v>
      </c>
      <c r="K107" s="547"/>
      <c r="L107" s="547"/>
      <c r="M107" s="547">
        <v>0</v>
      </c>
      <c r="N107" s="540"/>
      <c r="O107" s="540"/>
      <c r="P107" s="812">
        <f t="shared" si="4"/>
        <v>-2208974033</v>
      </c>
      <c r="Q107" s="547">
        <f>10858606204-440985316</f>
        <v>10417620888</v>
      </c>
      <c r="R107" s="812">
        <f t="shared" si="5"/>
        <v>-2209</v>
      </c>
      <c r="S107" s="547">
        <f t="shared" si="5"/>
        <v>10418</v>
      </c>
      <c r="T107" s="566"/>
      <c r="U107" s="567"/>
      <c r="V107" s="812">
        <f t="shared" si="6"/>
        <v>-2208974033</v>
      </c>
      <c r="W107" s="812">
        <f t="shared" si="7"/>
        <v>-2209</v>
      </c>
    </row>
    <row r="108" spans="1:23" ht="27" hidden="1" customHeight="1">
      <c r="A108" s="531">
        <v>401</v>
      </c>
      <c r="B108" s="529">
        <v>4</v>
      </c>
      <c r="C108" s="531" t="s">
        <v>556</v>
      </c>
      <c r="D108" s="531" t="s">
        <v>956</v>
      </c>
      <c r="E108" s="547">
        <v>24804920</v>
      </c>
      <c r="F108" s="547">
        <v>-24804920</v>
      </c>
      <c r="G108" s="547"/>
      <c r="H108" s="547"/>
      <c r="I108" s="547"/>
      <c r="J108" s="547"/>
      <c r="K108" s="547"/>
      <c r="L108" s="547"/>
      <c r="M108" s="547">
        <v>0</v>
      </c>
      <c r="N108" s="540"/>
      <c r="O108" s="540"/>
      <c r="P108" s="812">
        <f t="shared" si="4"/>
        <v>0</v>
      </c>
      <c r="Q108" s="547">
        <v>0</v>
      </c>
      <c r="R108" s="812">
        <f t="shared" si="5"/>
        <v>0</v>
      </c>
      <c r="S108" s="547">
        <f t="shared" si="5"/>
        <v>0</v>
      </c>
      <c r="T108" s="566"/>
      <c r="U108" s="567"/>
      <c r="V108" s="812">
        <f t="shared" si="6"/>
        <v>0</v>
      </c>
      <c r="W108" s="812">
        <f t="shared" si="7"/>
        <v>0</v>
      </c>
    </row>
    <row r="109" spans="1:23" ht="27" hidden="1" customHeight="1">
      <c r="A109" s="531">
        <v>402</v>
      </c>
      <c r="B109" s="529">
        <v>4</v>
      </c>
      <c r="C109" s="531" t="s">
        <v>48</v>
      </c>
      <c r="D109" s="531" t="s">
        <v>49</v>
      </c>
      <c r="E109" s="547">
        <v>10608448586</v>
      </c>
      <c r="F109" s="547"/>
      <c r="G109" s="547"/>
      <c r="H109" s="547"/>
      <c r="I109" s="547"/>
      <c r="J109" s="547"/>
      <c r="K109" s="547"/>
      <c r="L109" s="547"/>
      <c r="M109" s="547">
        <v>0</v>
      </c>
      <c r="N109" s="540"/>
      <c r="O109" s="540"/>
      <c r="P109" s="812">
        <f t="shared" si="4"/>
        <v>10608448586</v>
      </c>
      <c r="Q109" s="547">
        <v>10608448586</v>
      </c>
      <c r="R109" s="812">
        <f t="shared" si="5"/>
        <v>10608</v>
      </c>
      <c r="S109" s="547">
        <f t="shared" si="5"/>
        <v>10608</v>
      </c>
      <c r="T109" s="566"/>
      <c r="U109" s="567"/>
      <c r="V109" s="812">
        <f t="shared" si="6"/>
        <v>10608448586</v>
      </c>
      <c r="W109" s="812">
        <f t="shared" si="7"/>
        <v>10608</v>
      </c>
    </row>
    <row r="110" spans="1:23" ht="27" hidden="1" customHeight="1">
      <c r="A110" s="531">
        <v>1024</v>
      </c>
      <c r="B110" s="529">
        <v>10</v>
      </c>
      <c r="C110" s="531" t="s">
        <v>50</v>
      </c>
      <c r="D110" s="531" t="s">
        <v>205</v>
      </c>
      <c r="E110" s="547">
        <v>-50565418166</v>
      </c>
      <c r="F110" s="547">
        <v>-272213572</v>
      </c>
      <c r="G110" s="547">
        <v>-15461062074</v>
      </c>
      <c r="H110" s="547"/>
      <c r="I110" s="547"/>
      <c r="J110" s="547"/>
      <c r="K110" s="547"/>
      <c r="L110" s="547"/>
      <c r="M110" s="547">
        <v>0</v>
      </c>
      <c r="N110" s="540"/>
      <c r="O110" s="540"/>
      <c r="P110" s="812">
        <f t="shared" si="4"/>
        <v>-66298693812</v>
      </c>
      <c r="Q110" s="547">
        <v>-50393466093</v>
      </c>
      <c r="R110" s="812">
        <f t="shared" si="5"/>
        <v>-66299</v>
      </c>
      <c r="S110" s="547">
        <f t="shared" si="5"/>
        <v>-50393</v>
      </c>
      <c r="T110" s="566"/>
      <c r="U110" s="567"/>
      <c r="V110" s="812">
        <f t="shared" si="6"/>
        <v>-66298693812</v>
      </c>
      <c r="W110" s="812">
        <f t="shared" si="7"/>
        <v>-66299</v>
      </c>
    </row>
    <row r="111" spans="1:23" ht="27" hidden="1" customHeight="1">
      <c r="A111" s="531">
        <v>406</v>
      </c>
      <c r="B111" s="529">
        <v>4</v>
      </c>
      <c r="C111" s="531" t="s">
        <v>51</v>
      </c>
      <c r="D111" s="531" t="s">
        <v>155</v>
      </c>
      <c r="E111" s="547">
        <v>38710198682</v>
      </c>
      <c r="F111" s="547">
        <v>-6433044589</v>
      </c>
      <c r="G111" s="547">
        <v>-85595360</v>
      </c>
      <c r="H111" s="547">
        <v>-7275440</v>
      </c>
      <c r="I111" s="547"/>
      <c r="J111" s="547">
        <v>6400386204</v>
      </c>
      <c r="K111" s="547"/>
      <c r="L111" s="547"/>
      <c r="M111" s="547">
        <v>0</v>
      </c>
      <c r="N111" s="540"/>
      <c r="O111" s="540"/>
      <c r="P111" s="812">
        <f t="shared" si="4"/>
        <v>38584669497</v>
      </c>
      <c r="Q111" s="547">
        <f>26797136030-10142955885</f>
        <v>16654180145</v>
      </c>
      <c r="R111" s="812">
        <f t="shared" si="5"/>
        <v>38585</v>
      </c>
      <c r="S111" s="547">
        <f t="shared" si="5"/>
        <v>16654</v>
      </c>
      <c r="T111" s="566"/>
      <c r="U111" s="567"/>
      <c r="V111" s="812">
        <f t="shared" si="6"/>
        <v>38584669497</v>
      </c>
      <c r="W111" s="812">
        <f t="shared" si="7"/>
        <v>38585</v>
      </c>
    </row>
    <row r="112" spans="1:23" ht="27" hidden="1" customHeight="1">
      <c r="A112" s="531">
        <v>406</v>
      </c>
      <c r="B112" s="529">
        <v>4</v>
      </c>
      <c r="C112" s="531" t="s">
        <v>52</v>
      </c>
      <c r="D112" s="531" t="s">
        <v>206</v>
      </c>
      <c r="E112" s="547">
        <v>2018966716</v>
      </c>
      <c r="F112" s="547"/>
      <c r="G112" s="547"/>
      <c r="H112" s="547"/>
      <c r="I112" s="547"/>
      <c r="J112" s="547"/>
      <c r="K112" s="547"/>
      <c r="L112" s="547"/>
      <c r="M112" s="547">
        <v>0</v>
      </c>
      <c r="N112" s="540"/>
      <c r="O112" s="540"/>
      <c r="P112" s="812">
        <f t="shared" si="4"/>
        <v>2018966716</v>
      </c>
      <c r="Q112" s="547">
        <v>5692812746</v>
      </c>
      <c r="R112" s="812">
        <f t="shared" si="5"/>
        <v>2019</v>
      </c>
      <c r="S112" s="547">
        <f t="shared" si="5"/>
        <v>5693</v>
      </c>
      <c r="T112" s="566"/>
      <c r="U112" s="567"/>
      <c r="V112" s="812">
        <f t="shared" si="6"/>
        <v>2018966716</v>
      </c>
      <c r="W112" s="812">
        <f t="shared" si="7"/>
        <v>2019</v>
      </c>
    </row>
    <row r="113" spans="1:23" ht="27" hidden="1" customHeight="1">
      <c r="A113" s="531">
        <v>403</v>
      </c>
      <c r="B113" s="529">
        <v>4</v>
      </c>
      <c r="C113" s="531" t="s">
        <v>53</v>
      </c>
      <c r="D113" s="531" t="s">
        <v>756</v>
      </c>
      <c r="E113" s="547">
        <f>21202628278-3588310991</f>
        <v>17614317287</v>
      </c>
      <c r="F113" s="547"/>
      <c r="G113" s="547"/>
      <c r="H113" s="547"/>
      <c r="I113" s="547"/>
      <c r="J113" s="547"/>
      <c r="K113" s="547"/>
      <c r="L113" s="547"/>
      <c r="M113" s="547">
        <v>0</v>
      </c>
      <c r="N113" s="540"/>
      <c r="O113" s="540"/>
      <c r="P113" s="812">
        <f t="shared" si="4"/>
        <v>17614317287</v>
      </c>
      <c r="Q113" s="547">
        <f>11182898910-3588310991</f>
        <v>7594587919</v>
      </c>
      <c r="R113" s="812">
        <f t="shared" si="5"/>
        <v>17614</v>
      </c>
      <c r="S113" s="547">
        <f t="shared" si="5"/>
        <v>7595</v>
      </c>
      <c r="T113" s="566"/>
      <c r="U113" s="567"/>
      <c r="V113" s="812">
        <f t="shared" si="6"/>
        <v>17614317287</v>
      </c>
      <c r="W113" s="812">
        <f t="shared" si="7"/>
        <v>17614</v>
      </c>
    </row>
    <row r="114" spans="1:23" ht="27" hidden="1" customHeight="1">
      <c r="A114" s="531">
        <v>406</v>
      </c>
      <c r="B114" s="529">
        <v>4</v>
      </c>
      <c r="C114" s="531" t="s">
        <v>55</v>
      </c>
      <c r="D114" s="531" t="s">
        <v>547</v>
      </c>
      <c r="E114" s="547">
        <v>425865673</v>
      </c>
      <c r="F114" s="547"/>
      <c r="G114" s="547"/>
      <c r="H114" s="547"/>
      <c r="I114" s="547"/>
      <c r="J114" s="547"/>
      <c r="K114" s="547"/>
      <c r="L114" s="547"/>
      <c r="M114" s="547">
        <v>0</v>
      </c>
      <c r="N114" s="540"/>
      <c r="O114" s="540"/>
      <c r="P114" s="812">
        <f t="shared" si="4"/>
        <v>425865673</v>
      </c>
      <c r="Q114" s="547">
        <v>9806960</v>
      </c>
      <c r="R114" s="812">
        <f t="shared" si="5"/>
        <v>426</v>
      </c>
      <c r="S114" s="547">
        <f t="shared" si="5"/>
        <v>10</v>
      </c>
      <c r="T114" s="566"/>
      <c r="U114" s="567"/>
      <c r="V114" s="812">
        <f t="shared" si="6"/>
        <v>425865673</v>
      </c>
      <c r="W114" s="812">
        <f t="shared" si="7"/>
        <v>426</v>
      </c>
    </row>
    <row r="115" spans="1:23" ht="27" hidden="1" customHeight="1">
      <c r="A115" s="531">
        <v>1009</v>
      </c>
      <c r="B115" s="529">
        <v>10</v>
      </c>
      <c r="C115" s="531" t="s">
        <v>56</v>
      </c>
      <c r="D115" s="531" t="s">
        <v>597</v>
      </c>
      <c r="E115" s="547">
        <v>-1937100</v>
      </c>
      <c r="F115" s="547"/>
      <c r="G115" s="547"/>
      <c r="H115" s="547"/>
      <c r="I115" s="547"/>
      <c r="J115" s="547"/>
      <c r="K115" s="547"/>
      <c r="L115" s="547"/>
      <c r="M115" s="547">
        <v>0</v>
      </c>
      <c r="N115" s="540"/>
      <c r="O115" s="540"/>
      <c r="P115" s="812">
        <f t="shared" si="4"/>
        <v>-1937100</v>
      </c>
      <c r="Q115" s="547">
        <v>-1937100</v>
      </c>
      <c r="R115" s="812">
        <f t="shared" si="5"/>
        <v>-2</v>
      </c>
      <c r="S115" s="547">
        <f t="shared" si="5"/>
        <v>-2</v>
      </c>
      <c r="T115" s="566"/>
      <c r="U115" s="567"/>
      <c r="V115" s="812">
        <f t="shared" si="6"/>
        <v>-1937100</v>
      </c>
      <c r="W115" s="812">
        <f t="shared" si="7"/>
        <v>-2</v>
      </c>
    </row>
    <row r="116" spans="1:23" ht="27" hidden="1" customHeight="1">
      <c r="A116" s="531">
        <v>406</v>
      </c>
      <c r="B116" s="529">
        <v>4</v>
      </c>
      <c r="C116" s="531" t="s">
        <v>714</v>
      </c>
      <c r="D116" s="531" t="s">
        <v>715</v>
      </c>
      <c r="E116" s="547">
        <v>46</v>
      </c>
      <c r="F116" s="547"/>
      <c r="G116" s="547"/>
      <c r="H116" s="547"/>
      <c r="I116" s="547"/>
      <c r="J116" s="547"/>
      <c r="K116" s="547"/>
      <c r="L116" s="547"/>
      <c r="M116" s="547">
        <v>0</v>
      </c>
      <c r="N116" s="540"/>
      <c r="O116" s="540"/>
      <c r="P116" s="812">
        <f t="shared" si="4"/>
        <v>46</v>
      </c>
      <c r="Q116" s="547">
        <v>93389760</v>
      </c>
      <c r="R116" s="812">
        <f t="shared" si="5"/>
        <v>0</v>
      </c>
      <c r="S116" s="547">
        <f t="shared" si="5"/>
        <v>93</v>
      </c>
      <c r="T116" s="566"/>
      <c r="U116" s="567"/>
      <c r="V116" s="812">
        <f t="shared" si="6"/>
        <v>46</v>
      </c>
      <c r="W116" s="812">
        <f t="shared" si="7"/>
        <v>0</v>
      </c>
    </row>
    <row r="117" spans="1:23" ht="27" hidden="1" customHeight="1">
      <c r="A117" s="531">
        <v>406</v>
      </c>
      <c r="B117" s="529">
        <v>4</v>
      </c>
      <c r="C117" s="531" t="s">
        <v>412</v>
      </c>
      <c r="D117" s="531" t="s">
        <v>17</v>
      </c>
      <c r="E117" s="547">
        <v>13603200</v>
      </c>
      <c r="F117" s="547"/>
      <c r="G117" s="547"/>
      <c r="H117" s="547"/>
      <c r="I117" s="547"/>
      <c r="J117" s="547"/>
      <c r="K117" s="547"/>
      <c r="L117" s="547"/>
      <c r="M117" s="547">
        <v>0</v>
      </c>
      <c r="N117" s="540"/>
      <c r="O117" s="540"/>
      <c r="P117" s="812">
        <f t="shared" si="4"/>
        <v>13603200</v>
      </c>
      <c r="Q117" s="547">
        <v>19409622</v>
      </c>
      <c r="R117" s="812">
        <f t="shared" si="5"/>
        <v>14</v>
      </c>
      <c r="S117" s="547">
        <f t="shared" si="5"/>
        <v>19</v>
      </c>
      <c r="T117" s="566"/>
      <c r="U117" s="567"/>
      <c r="V117" s="812">
        <f t="shared" si="6"/>
        <v>13603200</v>
      </c>
      <c r="W117" s="812">
        <f t="shared" si="7"/>
        <v>14</v>
      </c>
    </row>
    <row r="118" spans="1:23" ht="27" hidden="1" customHeight="1">
      <c r="A118" s="531">
        <v>1025</v>
      </c>
      <c r="B118" s="529">
        <v>10</v>
      </c>
      <c r="C118" s="531" t="s">
        <v>57</v>
      </c>
      <c r="D118" s="531" t="s">
        <v>137</v>
      </c>
      <c r="E118" s="547">
        <v>-8292894618</v>
      </c>
      <c r="F118" s="547">
        <v>-18555610</v>
      </c>
      <c r="G118" s="547">
        <v>3595360</v>
      </c>
      <c r="H118" s="547"/>
      <c r="I118" s="547"/>
      <c r="J118" s="547"/>
      <c r="K118" s="547"/>
      <c r="L118" s="547"/>
      <c r="M118" s="547">
        <v>0</v>
      </c>
      <c r="N118" s="540"/>
      <c r="O118" s="540"/>
      <c r="P118" s="812">
        <f t="shared" si="4"/>
        <v>-8307854868</v>
      </c>
      <c r="Q118" s="547">
        <v>-6862373932</v>
      </c>
      <c r="R118" s="812">
        <f t="shared" si="5"/>
        <v>-8308</v>
      </c>
      <c r="S118" s="547">
        <f t="shared" si="5"/>
        <v>-6862</v>
      </c>
      <c r="T118" s="566"/>
      <c r="U118" s="567"/>
      <c r="V118" s="812">
        <f t="shared" si="6"/>
        <v>-8307854868</v>
      </c>
      <c r="W118" s="812">
        <f t="shared" si="7"/>
        <v>-8308</v>
      </c>
    </row>
    <row r="119" spans="1:23" ht="27" hidden="1" customHeight="1">
      <c r="A119" s="531">
        <v>407</v>
      </c>
      <c r="B119" s="529">
        <v>4</v>
      </c>
      <c r="C119" s="531" t="s">
        <v>58</v>
      </c>
      <c r="D119" s="531" t="s">
        <v>139</v>
      </c>
      <c r="E119" s="547">
        <v>-1580660457983</v>
      </c>
      <c r="F119" s="547"/>
      <c r="G119" s="547"/>
      <c r="H119" s="547"/>
      <c r="I119" s="547"/>
      <c r="J119" s="547"/>
      <c r="K119" s="547"/>
      <c r="L119" s="547"/>
      <c r="M119" s="547">
        <v>0</v>
      </c>
      <c r="N119" s="540"/>
      <c r="O119" s="540"/>
      <c r="P119" s="812">
        <f t="shared" si="4"/>
        <v>-1580660457983</v>
      </c>
      <c r="Q119" s="547">
        <f>1195955449832-1165120763549+87892486</f>
        <v>30922578769</v>
      </c>
      <c r="R119" s="812">
        <f t="shared" si="5"/>
        <v>-1580660</v>
      </c>
      <c r="S119" s="547">
        <f t="shared" si="5"/>
        <v>30923</v>
      </c>
      <c r="T119" s="566"/>
      <c r="U119" s="567"/>
      <c r="V119" s="812">
        <f t="shared" si="6"/>
        <v>-1580660457983</v>
      </c>
      <c r="W119" s="812">
        <f t="shared" si="7"/>
        <v>-1580660</v>
      </c>
    </row>
    <row r="120" spans="1:23" ht="27" hidden="1" customHeight="1">
      <c r="A120" s="531">
        <v>407</v>
      </c>
      <c r="B120" s="529">
        <v>4</v>
      </c>
      <c r="C120" s="531" t="s">
        <v>1364</v>
      </c>
      <c r="D120" s="531" t="s">
        <v>1365</v>
      </c>
      <c r="E120" s="547">
        <f>1235306373391</f>
        <v>1235306373391</v>
      </c>
      <c r="F120" s="547">
        <v>-36749651740</v>
      </c>
      <c r="G120" s="547">
        <v>508098727607</v>
      </c>
      <c r="H120" s="547"/>
      <c r="I120" s="547"/>
      <c r="J120" s="547"/>
      <c r="K120" s="547"/>
      <c r="L120" s="547"/>
      <c r="M120" s="547">
        <v>0</v>
      </c>
      <c r="N120" s="540"/>
      <c r="O120" s="540"/>
      <c r="P120" s="812">
        <f t="shared" si="4"/>
        <v>1706655449258</v>
      </c>
      <c r="Q120" s="547"/>
      <c r="R120" s="812">
        <f t="shared" si="5"/>
        <v>1706655</v>
      </c>
      <c r="S120" s="547">
        <f t="shared" si="5"/>
        <v>0</v>
      </c>
      <c r="T120" s="566"/>
      <c r="U120" s="567"/>
      <c r="V120" s="812">
        <f t="shared" si="6"/>
        <v>1706655449258</v>
      </c>
      <c r="W120" s="812">
        <f t="shared" si="7"/>
        <v>1706655</v>
      </c>
    </row>
    <row r="121" spans="1:23" ht="27" hidden="1" customHeight="1">
      <c r="A121" s="531">
        <v>10010101</v>
      </c>
      <c r="B121" s="529">
        <v>10</v>
      </c>
      <c r="C121" s="531" t="s">
        <v>59</v>
      </c>
      <c r="D121" s="531" t="s">
        <v>342</v>
      </c>
      <c r="E121" s="547">
        <v>-1248043695173</v>
      </c>
      <c r="F121" s="547">
        <v>-35031574379</v>
      </c>
      <c r="G121" s="547">
        <v>-1686041076444</v>
      </c>
      <c r="H121" s="547">
        <v>497231389329</v>
      </c>
      <c r="I121" s="547">
        <f>40390187351-1351200981</f>
        <v>39038986370</v>
      </c>
      <c r="J121" s="547">
        <v>-48459877901</v>
      </c>
      <c r="K121" s="547">
        <v>-40886839751</v>
      </c>
      <c r="L121" s="547"/>
      <c r="M121" s="547">
        <v>0</v>
      </c>
      <c r="N121" s="540"/>
      <c r="O121" s="540"/>
      <c r="P121" s="812">
        <f t="shared" si="4"/>
        <v>-2522192687949</v>
      </c>
      <c r="Q121" s="547">
        <f>-4290489070604-12398310669+49470219528+12678379-19115179290+381287639+2856707513+844279899+25930608586-4133052571-520052967-74448710110</f>
        <v>-4321608594667</v>
      </c>
      <c r="R121" s="812">
        <f t="shared" si="5"/>
        <v>-2522193</v>
      </c>
      <c r="S121" s="547">
        <f t="shared" si="5"/>
        <v>-4321609</v>
      </c>
      <c r="T121" s="566"/>
      <c r="U121" s="567"/>
      <c r="V121" s="812">
        <f t="shared" si="6"/>
        <v>-2522192687949</v>
      </c>
      <c r="W121" s="812">
        <f t="shared" si="7"/>
        <v>-2522193</v>
      </c>
    </row>
    <row r="122" spans="1:23" ht="27" hidden="1" customHeight="1">
      <c r="A122" s="531">
        <v>10040</v>
      </c>
      <c r="B122" s="529">
        <v>10</v>
      </c>
      <c r="C122" s="531" t="s">
        <v>59</v>
      </c>
      <c r="D122" s="531" t="s">
        <v>922</v>
      </c>
      <c r="E122" s="549"/>
      <c r="F122" s="549"/>
      <c r="G122" s="549"/>
      <c r="H122" s="549"/>
      <c r="I122" s="549"/>
      <c r="J122" s="549"/>
      <c r="K122" s="549"/>
      <c r="L122" s="549"/>
      <c r="M122" s="549">
        <v>0</v>
      </c>
      <c r="N122" s="540"/>
      <c r="O122" s="540"/>
      <c r="P122" s="812">
        <f t="shared" si="4"/>
        <v>0</v>
      </c>
      <c r="Q122" s="549"/>
      <c r="R122" s="812">
        <f t="shared" si="5"/>
        <v>0</v>
      </c>
      <c r="S122" s="549">
        <f t="shared" si="5"/>
        <v>0</v>
      </c>
      <c r="T122" s="566"/>
      <c r="U122" s="567"/>
      <c r="V122" s="812">
        <f t="shared" si="6"/>
        <v>0</v>
      </c>
      <c r="W122" s="812">
        <f t="shared" si="7"/>
        <v>0</v>
      </c>
    </row>
    <row r="123" spans="1:23" ht="27" hidden="1" customHeight="1">
      <c r="A123" s="531">
        <v>10040</v>
      </c>
      <c r="B123" s="529">
        <v>10</v>
      </c>
      <c r="C123" s="531" t="s">
        <v>59</v>
      </c>
      <c r="D123" s="531" t="s">
        <v>922</v>
      </c>
      <c r="E123" s="549"/>
      <c r="F123" s="549"/>
      <c r="G123" s="549"/>
      <c r="H123" s="549"/>
      <c r="I123" s="549"/>
      <c r="J123" s="549"/>
      <c r="K123" s="549"/>
      <c r="L123" s="549"/>
      <c r="M123" s="549">
        <v>0</v>
      </c>
      <c r="N123" s="540"/>
      <c r="O123" s="540"/>
      <c r="P123" s="812">
        <f t="shared" si="4"/>
        <v>0</v>
      </c>
      <c r="Q123" s="549"/>
      <c r="R123" s="812">
        <f t="shared" si="5"/>
        <v>0</v>
      </c>
      <c r="S123" s="549">
        <f t="shared" si="5"/>
        <v>0</v>
      </c>
      <c r="T123" s="566"/>
      <c r="U123" s="567"/>
      <c r="V123" s="812">
        <f t="shared" si="6"/>
        <v>0</v>
      </c>
      <c r="W123" s="812">
        <f t="shared" si="7"/>
        <v>0</v>
      </c>
    </row>
    <row r="124" spans="1:23" ht="27" hidden="1" customHeight="1">
      <c r="A124" s="531">
        <v>406</v>
      </c>
      <c r="B124" s="529">
        <v>4</v>
      </c>
      <c r="C124" s="531" t="s">
        <v>378</v>
      </c>
      <c r="D124" s="531" t="s">
        <v>957</v>
      </c>
      <c r="E124" s="550"/>
      <c r="F124" s="550"/>
      <c r="G124" s="550"/>
      <c r="H124" s="550"/>
      <c r="I124" s="550"/>
      <c r="J124" s="550"/>
      <c r="K124" s="550"/>
      <c r="L124" s="550"/>
      <c r="M124" s="550">
        <v>0</v>
      </c>
      <c r="N124" s="540"/>
      <c r="O124" s="540"/>
      <c r="P124" s="812">
        <f t="shared" si="4"/>
        <v>0</v>
      </c>
      <c r="Q124" s="550">
        <v>68752800</v>
      </c>
      <c r="R124" s="812">
        <f t="shared" si="5"/>
        <v>0</v>
      </c>
      <c r="S124" s="550">
        <f t="shared" si="5"/>
        <v>69</v>
      </c>
      <c r="T124" s="566"/>
      <c r="U124" s="567"/>
      <c r="V124" s="812">
        <f t="shared" si="6"/>
        <v>0</v>
      </c>
      <c r="W124" s="812">
        <f t="shared" si="7"/>
        <v>0</v>
      </c>
    </row>
    <row r="125" spans="1:23" ht="27" hidden="1" customHeight="1">
      <c r="A125" s="531">
        <v>1022</v>
      </c>
      <c r="B125" s="529">
        <v>10</v>
      </c>
      <c r="C125" s="531" t="s">
        <v>60</v>
      </c>
      <c r="D125" s="531" t="s">
        <v>1366</v>
      </c>
      <c r="E125" s="547">
        <f>265491401814</f>
        <v>265491401814</v>
      </c>
      <c r="F125" s="547">
        <v>-2951969201</v>
      </c>
      <c r="G125" s="547">
        <v>-1288172</v>
      </c>
      <c r="H125" s="547"/>
      <c r="I125" s="547"/>
      <c r="J125" s="547"/>
      <c r="K125" s="547"/>
      <c r="L125" s="547"/>
      <c r="M125" s="547">
        <v>0</v>
      </c>
      <c r="N125" s="540"/>
      <c r="O125" s="540"/>
      <c r="P125" s="812">
        <f t="shared" si="4"/>
        <v>262538144441</v>
      </c>
      <c r="Q125" s="547">
        <v>231229327270</v>
      </c>
      <c r="R125" s="812">
        <f t="shared" si="5"/>
        <v>262538</v>
      </c>
      <c r="S125" s="547">
        <f t="shared" si="5"/>
        <v>231229</v>
      </c>
      <c r="T125" s="566"/>
      <c r="U125" s="567"/>
      <c r="V125" s="812">
        <f t="shared" si="6"/>
        <v>262538144441</v>
      </c>
      <c r="W125" s="812">
        <f t="shared" si="7"/>
        <v>262538</v>
      </c>
    </row>
    <row r="126" spans="1:23" ht="27" hidden="1" customHeight="1">
      <c r="A126" s="531">
        <v>1022</v>
      </c>
      <c r="B126" s="529">
        <v>10</v>
      </c>
      <c r="C126" s="531" t="s">
        <v>1322</v>
      </c>
      <c r="D126" s="531" t="s">
        <v>777</v>
      </c>
      <c r="E126" s="547">
        <f>-2868194424852</f>
        <v>-2868194424852</v>
      </c>
      <c r="F126" s="547">
        <v>-17586788422</v>
      </c>
      <c r="G126" s="547">
        <v>2565706414942</v>
      </c>
      <c r="H126" s="547">
        <v>-19221450459</v>
      </c>
      <c r="I126" s="547">
        <v>-5560727199</v>
      </c>
      <c r="J126" s="547">
        <v>-200160726543</v>
      </c>
      <c r="K126" s="547"/>
      <c r="L126" s="547"/>
      <c r="M126" s="547">
        <v>0</v>
      </c>
      <c r="N126" s="540"/>
      <c r="O126" s="540"/>
      <c r="P126" s="812">
        <f t="shared" si="4"/>
        <v>-545017702533</v>
      </c>
      <c r="Q126" s="547">
        <f>231229327270+97433359486-66691278984-4642604411-3341176068+67375617624+3654832162+217871298336-83322718159-231229327270</f>
        <v>228337329986</v>
      </c>
      <c r="R126" s="812">
        <f t="shared" si="5"/>
        <v>-545018</v>
      </c>
      <c r="S126" s="547">
        <f t="shared" si="5"/>
        <v>228337</v>
      </c>
      <c r="T126" s="566"/>
      <c r="U126" s="567"/>
      <c r="V126" s="812">
        <f t="shared" si="6"/>
        <v>-545017702533</v>
      </c>
      <c r="W126" s="812">
        <f t="shared" si="7"/>
        <v>-545018</v>
      </c>
    </row>
    <row r="127" spans="1:23" ht="27" hidden="1" customHeight="1">
      <c r="A127" s="531">
        <v>406</v>
      </c>
      <c r="B127" s="529">
        <v>4</v>
      </c>
      <c r="C127" s="531" t="s">
        <v>565</v>
      </c>
      <c r="D127" s="531" t="s">
        <v>566</v>
      </c>
      <c r="E127" s="547">
        <v>1714875360</v>
      </c>
      <c r="F127" s="547"/>
      <c r="G127" s="547"/>
      <c r="H127" s="547"/>
      <c r="I127" s="547"/>
      <c r="J127" s="547"/>
      <c r="K127" s="547"/>
      <c r="L127" s="547"/>
      <c r="M127" s="547">
        <v>0</v>
      </c>
      <c r="N127" s="540"/>
      <c r="O127" s="540"/>
      <c r="P127" s="812">
        <f t="shared" si="4"/>
        <v>1714875360</v>
      </c>
      <c r="Q127" s="547">
        <v>1662484560</v>
      </c>
      <c r="R127" s="812">
        <f t="shared" si="5"/>
        <v>1715</v>
      </c>
      <c r="S127" s="547">
        <f t="shared" si="5"/>
        <v>1662</v>
      </c>
      <c r="T127" s="566"/>
      <c r="U127" s="567"/>
      <c r="V127" s="812">
        <f t="shared" si="6"/>
        <v>1714875360</v>
      </c>
      <c r="W127" s="812">
        <f t="shared" si="7"/>
        <v>1715</v>
      </c>
    </row>
    <row r="128" spans="1:23" ht="27" hidden="1" customHeight="1">
      <c r="A128" s="531">
        <v>1001</v>
      </c>
      <c r="B128" s="529">
        <v>10</v>
      </c>
      <c r="C128" s="531" t="s">
        <v>567</v>
      </c>
      <c r="D128" s="531" t="s">
        <v>776</v>
      </c>
      <c r="E128" s="547">
        <v>-1156149372</v>
      </c>
      <c r="F128" s="547">
        <v>-8788762</v>
      </c>
      <c r="G128" s="547">
        <v>-145479756</v>
      </c>
      <c r="H128" s="547"/>
      <c r="I128" s="547"/>
      <c r="J128" s="547"/>
      <c r="K128" s="547"/>
      <c r="L128" s="547"/>
      <c r="M128" s="547">
        <v>0</v>
      </c>
      <c r="N128" s="540"/>
      <c r="O128" s="540"/>
      <c r="P128" s="812">
        <f t="shared" si="4"/>
        <v>-1310417890</v>
      </c>
      <c r="Q128" s="547">
        <v>-1125570600</v>
      </c>
      <c r="R128" s="812">
        <f t="shared" si="5"/>
        <v>-1310</v>
      </c>
      <c r="S128" s="547">
        <f t="shared" si="5"/>
        <v>-1126</v>
      </c>
      <c r="T128" s="566"/>
      <c r="U128" s="567"/>
      <c r="V128" s="812">
        <f t="shared" si="6"/>
        <v>-1310417890</v>
      </c>
      <c r="W128" s="812">
        <f t="shared" si="7"/>
        <v>-1310</v>
      </c>
    </row>
    <row r="129" spans="1:23" ht="27" hidden="1" customHeight="1">
      <c r="A129" s="531">
        <v>406</v>
      </c>
      <c r="B129" s="529">
        <v>4</v>
      </c>
      <c r="C129" s="531" t="s">
        <v>361</v>
      </c>
      <c r="D129" s="531" t="s">
        <v>253</v>
      </c>
      <c r="E129" s="547"/>
      <c r="F129" s="547"/>
      <c r="G129" s="547"/>
      <c r="H129" s="547"/>
      <c r="I129" s="547"/>
      <c r="J129" s="547"/>
      <c r="K129" s="547"/>
      <c r="L129" s="547"/>
      <c r="M129" s="547">
        <v>0</v>
      </c>
      <c r="N129" s="540"/>
      <c r="O129" s="540"/>
      <c r="P129" s="812">
        <f t="shared" si="4"/>
        <v>0</v>
      </c>
      <c r="Q129" s="547"/>
      <c r="R129" s="812">
        <f t="shared" si="5"/>
        <v>0</v>
      </c>
      <c r="S129" s="547">
        <f t="shared" si="5"/>
        <v>0</v>
      </c>
      <c r="T129" s="566"/>
      <c r="U129" s="567"/>
      <c r="V129" s="812">
        <f t="shared" si="6"/>
        <v>0</v>
      </c>
      <c r="W129" s="812">
        <f t="shared" si="7"/>
        <v>0</v>
      </c>
    </row>
    <row r="130" spans="1:23" ht="27" hidden="1" customHeight="1">
      <c r="A130" s="531">
        <v>418</v>
      </c>
      <c r="B130" s="529">
        <v>4</v>
      </c>
      <c r="C130" s="531" t="s">
        <v>568</v>
      </c>
      <c r="D130" s="531" t="s">
        <v>153</v>
      </c>
      <c r="E130" s="547">
        <v>125276620557</v>
      </c>
      <c r="F130" s="547">
        <v>-32506617</v>
      </c>
      <c r="G130" s="547"/>
      <c r="H130" s="547"/>
      <c r="I130" s="547"/>
      <c r="J130" s="547"/>
      <c r="K130" s="547"/>
      <c r="L130" s="547"/>
      <c r="M130" s="547">
        <v>0</v>
      </c>
      <c r="N130" s="540"/>
      <c r="O130" s="540"/>
      <c r="P130" s="812">
        <f t="shared" si="4"/>
        <v>125244113940</v>
      </c>
      <c r="Q130" s="547">
        <v>128231436066</v>
      </c>
      <c r="R130" s="812">
        <f t="shared" si="5"/>
        <v>125244</v>
      </c>
      <c r="S130" s="547">
        <f t="shared" si="5"/>
        <v>128231</v>
      </c>
      <c r="T130" s="566"/>
      <c r="U130" s="567"/>
      <c r="V130" s="812">
        <f t="shared" si="6"/>
        <v>125244113940</v>
      </c>
      <c r="W130" s="812">
        <f t="shared" si="7"/>
        <v>125244</v>
      </c>
    </row>
    <row r="131" spans="1:23" ht="27" hidden="1" customHeight="1">
      <c r="A131" s="531">
        <v>406</v>
      </c>
      <c r="B131" s="529">
        <v>4</v>
      </c>
      <c r="C131" s="531" t="s">
        <v>254</v>
      </c>
      <c r="D131" s="531" t="s">
        <v>958</v>
      </c>
      <c r="E131" s="547">
        <v>17215931290</v>
      </c>
      <c r="F131" s="547"/>
      <c r="G131" s="547"/>
      <c r="H131" s="547"/>
      <c r="I131" s="547"/>
      <c r="J131" s="547"/>
      <c r="K131" s="547"/>
      <c r="L131" s="547"/>
      <c r="M131" s="547">
        <v>0</v>
      </c>
      <c r="N131" s="540"/>
      <c r="O131" s="540"/>
      <c r="P131" s="812">
        <f t="shared" ref="P131:P195" si="8">E131+F131+G131-N131+O131+H131+I131+J131+K131+L131</f>
        <v>17215931290</v>
      </c>
      <c r="Q131" s="547">
        <v>483446790</v>
      </c>
      <c r="R131" s="812">
        <f t="shared" ref="R131:S195" si="9">ROUND((P131/1000000),0)</f>
        <v>17216</v>
      </c>
      <c r="S131" s="547">
        <f t="shared" si="9"/>
        <v>483</v>
      </c>
      <c r="T131" s="566"/>
      <c r="U131" s="567"/>
      <c r="V131" s="812">
        <f t="shared" ref="V131:V195" si="10">P131-U131+T131</f>
        <v>17215931290</v>
      </c>
      <c r="W131" s="812">
        <f t="shared" si="7"/>
        <v>17216</v>
      </c>
    </row>
    <row r="132" spans="1:23" ht="27" hidden="1" customHeight="1">
      <c r="A132" s="531">
        <v>1001</v>
      </c>
      <c r="B132" s="529">
        <v>10</v>
      </c>
      <c r="C132" s="531" t="s">
        <v>569</v>
      </c>
      <c r="D132" s="531" t="s">
        <v>960</v>
      </c>
      <c r="E132" s="547">
        <v>-47653078</v>
      </c>
      <c r="F132" s="547"/>
      <c r="G132" s="547"/>
      <c r="H132" s="547"/>
      <c r="I132" s="547"/>
      <c r="J132" s="547"/>
      <c r="K132" s="547"/>
      <c r="L132" s="547"/>
      <c r="M132" s="547">
        <v>0</v>
      </c>
      <c r="N132" s="540"/>
      <c r="O132" s="540"/>
      <c r="P132" s="812">
        <f t="shared" si="8"/>
        <v>-47653078</v>
      </c>
      <c r="Q132" s="547">
        <v>-47653078</v>
      </c>
      <c r="R132" s="812">
        <f t="shared" si="9"/>
        <v>-48</v>
      </c>
      <c r="S132" s="547">
        <f t="shared" si="9"/>
        <v>-48</v>
      </c>
      <c r="T132" s="566"/>
      <c r="U132" s="567"/>
      <c r="V132" s="812">
        <f t="shared" si="10"/>
        <v>-47653078</v>
      </c>
      <c r="W132" s="812">
        <f t="shared" ref="W132:W195" si="11">ROUND((V132/1000000),0)</f>
        <v>-48</v>
      </c>
    </row>
    <row r="133" spans="1:23" ht="27" hidden="1" customHeight="1">
      <c r="A133" s="531">
        <v>406</v>
      </c>
      <c r="B133" s="529">
        <v>4</v>
      </c>
      <c r="C133" s="531" t="s">
        <v>959</v>
      </c>
      <c r="D133" s="531" t="s">
        <v>961</v>
      </c>
      <c r="E133" s="547">
        <v>1153713868</v>
      </c>
      <c r="F133" s="547"/>
      <c r="G133" s="547"/>
      <c r="H133" s="547"/>
      <c r="I133" s="547"/>
      <c r="J133" s="547"/>
      <c r="K133" s="547"/>
      <c r="L133" s="547"/>
      <c r="M133" s="547">
        <v>0</v>
      </c>
      <c r="N133" s="540"/>
      <c r="O133" s="540"/>
      <c r="P133" s="812">
        <f t="shared" si="8"/>
        <v>1153713868</v>
      </c>
      <c r="Q133" s="547">
        <v>506567520</v>
      </c>
      <c r="R133" s="812">
        <f t="shared" si="9"/>
        <v>1154</v>
      </c>
      <c r="S133" s="547">
        <f t="shared" si="9"/>
        <v>507</v>
      </c>
      <c r="T133" s="566"/>
      <c r="U133" s="567"/>
      <c r="V133" s="812">
        <f t="shared" si="10"/>
        <v>1153713868</v>
      </c>
      <c r="W133" s="812">
        <f t="shared" si="11"/>
        <v>1154</v>
      </c>
    </row>
    <row r="134" spans="1:23" ht="27" hidden="1" customHeight="1">
      <c r="A134" s="531">
        <v>406</v>
      </c>
      <c r="B134" s="529">
        <v>4</v>
      </c>
      <c r="C134" s="531" t="s">
        <v>732</v>
      </c>
      <c r="D134" s="531" t="s">
        <v>962</v>
      </c>
      <c r="E134" s="547">
        <v>659580150</v>
      </c>
      <c r="F134" s="547"/>
      <c r="G134" s="547"/>
      <c r="H134" s="547"/>
      <c r="I134" s="547"/>
      <c r="J134" s="547"/>
      <c r="K134" s="547"/>
      <c r="L134" s="547"/>
      <c r="M134" s="547">
        <v>0</v>
      </c>
      <c r="N134" s="540"/>
      <c r="O134" s="540"/>
      <c r="P134" s="812">
        <f t="shared" si="8"/>
        <v>659580150</v>
      </c>
      <c r="Q134" s="547"/>
      <c r="R134" s="812">
        <f t="shared" si="9"/>
        <v>660</v>
      </c>
      <c r="S134" s="547">
        <f t="shared" si="9"/>
        <v>0</v>
      </c>
      <c r="T134" s="566"/>
      <c r="U134" s="567"/>
      <c r="V134" s="812">
        <f t="shared" si="10"/>
        <v>659580150</v>
      </c>
      <c r="W134" s="812">
        <f t="shared" si="11"/>
        <v>660</v>
      </c>
    </row>
    <row r="135" spans="1:23" ht="27" hidden="1" customHeight="1">
      <c r="A135" s="531">
        <v>406</v>
      </c>
      <c r="B135" s="529">
        <v>4</v>
      </c>
      <c r="C135" s="531" t="s">
        <v>570</v>
      </c>
      <c r="D135" s="531" t="s">
        <v>257</v>
      </c>
      <c r="E135" s="547">
        <v>6237000</v>
      </c>
      <c r="F135" s="547"/>
      <c r="G135" s="547"/>
      <c r="H135" s="547"/>
      <c r="I135" s="547"/>
      <c r="J135" s="547"/>
      <c r="K135" s="547"/>
      <c r="L135" s="547"/>
      <c r="M135" s="547">
        <v>0</v>
      </c>
      <c r="N135" s="540"/>
      <c r="O135" s="540"/>
      <c r="P135" s="812">
        <f t="shared" si="8"/>
        <v>6237000</v>
      </c>
      <c r="Q135" s="547">
        <v>262514250</v>
      </c>
      <c r="R135" s="812">
        <f t="shared" si="9"/>
        <v>6</v>
      </c>
      <c r="S135" s="547">
        <f t="shared" si="9"/>
        <v>263</v>
      </c>
      <c r="T135" s="566"/>
      <c r="U135" s="567"/>
      <c r="V135" s="812">
        <f t="shared" si="10"/>
        <v>6237000</v>
      </c>
      <c r="W135" s="812">
        <f t="shared" si="11"/>
        <v>6</v>
      </c>
    </row>
    <row r="136" spans="1:23" ht="27" hidden="1" customHeight="1">
      <c r="A136" s="531">
        <v>406</v>
      </c>
      <c r="B136" s="529">
        <v>4</v>
      </c>
      <c r="C136" s="531" t="s">
        <v>256</v>
      </c>
      <c r="D136" s="531" t="s">
        <v>258</v>
      </c>
      <c r="E136" s="547"/>
      <c r="F136" s="547"/>
      <c r="G136" s="547"/>
      <c r="H136" s="547"/>
      <c r="I136" s="547"/>
      <c r="J136" s="547"/>
      <c r="K136" s="547"/>
      <c r="L136" s="547"/>
      <c r="M136" s="547">
        <v>0</v>
      </c>
      <c r="N136" s="540"/>
      <c r="O136" s="540"/>
      <c r="P136" s="812">
        <f t="shared" si="8"/>
        <v>0</v>
      </c>
      <c r="Q136" s="547">
        <v>6237000</v>
      </c>
      <c r="R136" s="812">
        <f t="shared" si="9"/>
        <v>0</v>
      </c>
      <c r="S136" s="547">
        <f t="shared" si="9"/>
        <v>6</v>
      </c>
      <c r="T136" s="566"/>
      <c r="U136" s="567"/>
      <c r="V136" s="812">
        <f t="shared" si="10"/>
        <v>0</v>
      </c>
      <c r="W136" s="812">
        <f t="shared" si="11"/>
        <v>0</v>
      </c>
    </row>
    <row r="137" spans="1:23" ht="27" hidden="1" customHeight="1">
      <c r="A137" s="531">
        <v>1001</v>
      </c>
      <c r="B137" s="529">
        <v>10</v>
      </c>
      <c r="C137" s="531" t="s">
        <v>571</v>
      </c>
      <c r="D137" s="531" t="s">
        <v>259</v>
      </c>
      <c r="E137" s="547">
        <v>-50727994</v>
      </c>
      <c r="F137" s="547"/>
      <c r="G137" s="547"/>
      <c r="H137" s="547"/>
      <c r="I137" s="547"/>
      <c r="J137" s="547"/>
      <c r="K137" s="547"/>
      <c r="L137" s="547"/>
      <c r="M137" s="547">
        <v>0</v>
      </c>
      <c r="N137" s="540"/>
      <c r="O137" s="540"/>
      <c r="P137" s="812">
        <f t="shared" si="8"/>
        <v>-50727994</v>
      </c>
      <c r="Q137" s="547">
        <v>68505403</v>
      </c>
      <c r="R137" s="812">
        <f t="shared" si="9"/>
        <v>-51</v>
      </c>
      <c r="S137" s="547">
        <f t="shared" si="9"/>
        <v>69</v>
      </c>
      <c r="T137" s="566"/>
      <c r="U137" s="567"/>
      <c r="V137" s="812">
        <f t="shared" si="10"/>
        <v>-50727994</v>
      </c>
      <c r="W137" s="812">
        <f t="shared" si="11"/>
        <v>-51</v>
      </c>
    </row>
    <row r="138" spans="1:23" ht="27" hidden="1" customHeight="1">
      <c r="A138" s="531">
        <v>406</v>
      </c>
      <c r="B138" s="529">
        <v>4</v>
      </c>
      <c r="C138" s="531" t="s">
        <v>963</v>
      </c>
      <c r="D138" s="531" t="s">
        <v>964</v>
      </c>
      <c r="E138" s="547">
        <v>120997800</v>
      </c>
      <c r="F138" s="547"/>
      <c r="G138" s="547"/>
      <c r="H138" s="547"/>
      <c r="I138" s="547"/>
      <c r="J138" s="547"/>
      <c r="K138" s="547"/>
      <c r="L138" s="547"/>
      <c r="M138" s="547">
        <v>0</v>
      </c>
      <c r="N138" s="540"/>
      <c r="O138" s="540"/>
      <c r="P138" s="812">
        <f t="shared" si="8"/>
        <v>120997800</v>
      </c>
      <c r="Q138" s="547">
        <v>59875200</v>
      </c>
      <c r="R138" s="812">
        <f t="shared" si="9"/>
        <v>121</v>
      </c>
      <c r="S138" s="547">
        <f t="shared" si="9"/>
        <v>60</v>
      </c>
      <c r="T138" s="566"/>
      <c r="U138" s="567"/>
      <c r="V138" s="812">
        <f t="shared" si="10"/>
        <v>120997800</v>
      </c>
      <c r="W138" s="812">
        <f t="shared" si="11"/>
        <v>121</v>
      </c>
    </row>
    <row r="139" spans="1:23" ht="27" hidden="1" customHeight="1">
      <c r="A139" s="531">
        <v>406</v>
      </c>
      <c r="B139" s="529">
        <v>4</v>
      </c>
      <c r="C139" s="531" t="s">
        <v>643</v>
      </c>
      <c r="D139" s="531" t="s">
        <v>642</v>
      </c>
      <c r="E139" s="547">
        <v>118519900</v>
      </c>
      <c r="F139" s="547"/>
      <c r="G139" s="547"/>
      <c r="H139" s="547"/>
      <c r="I139" s="547"/>
      <c r="J139" s="547"/>
      <c r="K139" s="547"/>
      <c r="L139" s="547"/>
      <c r="M139" s="547">
        <v>0</v>
      </c>
      <c r="N139" s="540"/>
      <c r="O139" s="540"/>
      <c r="P139" s="812">
        <f t="shared" si="8"/>
        <v>118519900</v>
      </c>
      <c r="Q139" s="547">
        <v>1923067540</v>
      </c>
      <c r="R139" s="812">
        <f t="shared" si="9"/>
        <v>119</v>
      </c>
      <c r="S139" s="547">
        <f t="shared" si="9"/>
        <v>1923</v>
      </c>
      <c r="T139" s="566"/>
      <c r="U139" s="567"/>
      <c r="V139" s="812">
        <f t="shared" si="10"/>
        <v>118519900</v>
      </c>
      <c r="W139" s="812">
        <f t="shared" si="11"/>
        <v>119</v>
      </c>
    </row>
    <row r="140" spans="1:23" ht="27" hidden="1" customHeight="1">
      <c r="A140" s="531">
        <v>406</v>
      </c>
      <c r="B140" s="529">
        <v>4</v>
      </c>
      <c r="C140" s="531" t="s">
        <v>572</v>
      </c>
      <c r="D140" s="531" t="s">
        <v>168</v>
      </c>
      <c r="E140" s="547">
        <v>3307190358</v>
      </c>
      <c r="F140" s="547"/>
      <c r="G140" s="547"/>
      <c r="H140" s="547"/>
      <c r="I140" s="547"/>
      <c r="J140" s="547"/>
      <c r="K140" s="547"/>
      <c r="L140" s="547"/>
      <c r="M140" s="547">
        <v>0</v>
      </c>
      <c r="N140" s="540"/>
      <c r="O140" s="540"/>
      <c r="P140" s="812">
        <f t="shared" si="8"/>
        <v>3307190358</v>
      </c>
      <c r="Q140" s="547">
        <v>973181073</v>
      </c>
      <c r="R140" s="812">
        <f t="shared" si="9"/>
        <v>3307</v>
      </c>
      <c r="S140" s="547">
        <f t="shared" si="9"/>
        <v>973</v>
      </c>
      <c r="T140" s="566"/>
      <c r="U140" s="567"/>
      <c r="V140" s="812">
        <f t="shared" si="10"/>
        <v>3307190358</v>
      </c>
      <c r="W140" s="812">
        <f t="shared" si="11"/>
        <v>3307</v>
      </c>
    </row>
    <row r="141" spans="1:23" ht="27" hidden="1" customHeight="1">
      <c r="A141" s="531">
        <v>1001</v>
      </c>
      <c r="B141" s="529">
        <v>10</v>
      </c>
      <c r="C141" s="531" t="s">
        <v>573</v>
      </c>
      <c r="D141" s="531" t="s">
        <v>965</v>
      </c>
      <c r="E141" s="547">
        <v>-3043524469</v>
      </c>
      <c r="F141" s="547"/>
      <c r="G141" s="547"/>
      <c r="H141" s="547"/>
      <c r="I141" s="547"/>
      <c r="J141" s="547"/>
      <c r="K141" s="547"/>
      <c r="L141" s="547"/>
      <c r="M141" s="547">
        <v>0</v>
      </c>
      <c r="N141" s="540"/>
      <c r="O141" s="540"/>
      <c r="P141" s="812">
        <f t="shared" si="8"/>
        <v>-3043524469</v>
      </c>
      <c r="Q141" s="547">
        <v>-2788112248</v>
      </c>
      <c r="R141" s="812">
        <f t="shared" si="9"/>
        <v>-3044</v>
      </c>
      <c r="S141" s="547">
        <f t="shared" si="9"/>
        <v>-2788</v>
      </c>
      <c r="T141" s="566"/>
      <c r="U141" s="567"/>
      <c r="V141" s="812">
        <f t="shared" si="10"/>
        <v>-3043524469</v>
      </c>
      <c r="W141" s="812">
        <f t="shared" si="11"/>
        <v>-3044</v>
      </c>
    </row>
    <row r="142" spans="1:23" ht="27" hidden="1" customHeight="1">
      <c r="A142" s="531">
        <v>1009</v>
      </c>
      <c r="B142" s="529">
        <v>10</v>
      </c>
      <c r="C142" s="531" t="s">
        <v>577</v>
      </c>
      <c r="D142" s="531" t="s">
        <v>578</v>
      </c>
      <c r="E142" s="547">
        <v>-820359514</v>
      </c>
      <c r="F142" s="547">
        <v>-1516440797</v>
      </c>
      <c r="G142" s="547">
        <v>-2663844460</v>
      </c>
      <c r="H142" s="547"/>
      <c r="I142" s="547"/>
      <c r="J142" s="547"/>
      <c r="K142" s="547"/>
      <c r="L142" s="547"/>
      <c r="M142" s="547">
        <v>0</v>
      </c>
      <c r="N142" s="540"/>
      <c r="O142" s="540"/>
      <c r="P142" s="812">
        <f t="shared" si="8"/>
        <v>-5000644771</v>
      </c>
      <c r="Q142" s="547">
        <v>-1652854640</v>
      </c>
      <c r="R142" s="812">
        <f t="shared" si="9"/>
        <v>-5001</v>
      </c>
      <c r="S142" s="547">
        <f t="shared" si="9"/>
        <v>-1653</v>
      </c>
      <c r="T142" s="566"/>
      <c r="U142" s="567"/>
      <c r="V142" s="812">
        <f t="shared" si="10"/>
        <v>-5000644771</v>
      </c>
      <c r="W142" s="812">
        <f t="shared" si="11"/>
        <v>-5001</v>
      </c>
    </row>
    <row r="143" spans="1:23" ht="27" hidden="1" customHeight="1">
      <c r="A143" s="531">
        <v>406</v>
      </c>
      <c r="B143" s="529">
        <v>4</v>
      </c>
      <c r="C143" s="531" t="s">
        <v>1176</v>
      </c>
      <c r="D143" s="531" t="s">
        <v>1177</v>
      </c>
      <c r="E143" s="547">
        <v>937934287</v>
      </c>
      <c r="F143" s="547"/>
      <c r="G143" s="547"/>
      <c r="H143" s="547"/>
      <c r="I143" s="547"/>
      <c r="J143" s="547"/>
      <c r="K143" s="547"/>
      <c r="L143" s="547"/>
      <c r="M143" s="547">
        <v>0</v>
      </c>
      <c r="N143" s="540"/>
      <c r="O143" s="540"/>
      <c r="P143" s="812">
        <f t="shared" si="8"/>
        <v>937934287</v>
      </c>
      <c r="Q143" s="547">
        <v>903341134</v>
      </c>
      <c r="R143" s="812">
        <f t="shared" si="9"/>
        <v>938</v>
      </c>
      <c r="S143" s="547">
        <f t="shared" si="9"/>
        <v>903</v>
      </c>
      <c r="T143" s="566"/>
      <c r="U143" s="567"/>
      <c r="V143" s="812">
        <f t="shared" si="10"/>
        <v>937934287</v>
      </c>
      <c r="W143" s="812">
        <f t="shared" si="11"/>
        <v>938</v>
      </c>
    </row>
    <row r="144" spans="1:23" ht="27" hidden="1" customHeight="1">
      <c r="A144" s="531">
        <v>406</v>
      </c>
      <c r="B144" s="529">
        <v>4</v>
      </c>
      <c r="C144" s="531" t="s">
        <v>579</v>
      </c>
      <c r="D144" s="531" t="s">
        <v>580</v>
      </c>
      <c r="E144" s="547">
        <v>2567325170</v>
      </c>
      <c r="F144" s="547">
        <v>-26662500</v>
      </c>
      <c r="G144" s="547">
        <v>-9300000</v>
      </c>
      <c r="H144" s="547"/>
      <c r="I144" s="547"/>
      <c r="J144" s="547"/>
      <c r="K144" s="547"/>
      <c r="L144" s="547"/>
      <c r="M144" s="547">
        <v>0</v>
      </c>
      <c r="N144" s="540"/>
      <c r="O144" s="540"/>
      <c r="P144" s="812">
        <f t="shared" si="8"/>
        <v>2531362670</v>
      </c>
      <c r="Q144" s="547">
        <v>2567146970</v>
      </c>
      <c r="R144" s="812">
        <f t="shared" si="9"/>
        <v>2531</v>
      </c>
      <c r="S144" s="547">
        <f t="shared" si="9"/>
        <v>2567</v>
      </c>
      <c r="T144" s="566"/>
      <c r="U144" s="567"/>
      <c r="V144" s="812">
        <f t="shared" si="10"/>
        <v>2531362670</v>
      </c>
      <c r="W144" s="812">
        <f t="shared" si="11"/>
        <v>2531</v>
      </c>
    </row>
    <row r="145" spans="1:23" ht="27" hidden="1" customHeight="1">
      <c r="A145" s="531">
        <v>406</v>
      </c>
      <c r="B145" s="529">
        <v>4</v>
      </c>
      <c r="C145" s="531" t="s">
        <v>581</v>
      </c>
      <c r="D145" s="531" t="s">
        <v>755</v>
      </c>
      <c r="E145" s="547">
        <v>1792280901</v>
      </c>
      <c r="F145" s="547"/>
      <c r="G145" s="547"/>
      <c r="H145" s="547"/>
      <c r="I145" s="547"/>
      <c r="J145" s="547"/>
      <c r="K145" s="547"/>
      <c r="L145" s="547"/>
      <c r="M145" s="547">
        <v>0</v>
      </c>
      <c r="N145" s="540"/>
      <c r="O145" s="540"/>
      <c r="P145" s="812">
        <f t="shared" si="8"/>
        <v>1792280901</v>
      </c>
      <c r="Q145" s="547">
        <f>1704944051-1702074351</f>
        <v>2869700</v>
      </c>
      <c r="R145" s="812">
        <f t="shared" si="9"/>
        <v>1792</v>
      </c>
      <c r="S145" s="547">
        <f t="shared" si="9"/>
        <v>3</v>
      </c>
      <c r="T145" s="566"/>
      <c r="U145" s="567"/>
      <c r="V145" s="812">
        <f t="shared" si="10"/>
        <v>1792280901</v>
      </c>
      <c r="W145" s="812">
        <f t="shared" si="11"/>
        <v>1792</v>
      </c>
    </row>
    <row r="146" spans="1:23" ht="27" hidden="1" customHeight="1">
      <c r="A146" s="531">
        <v>406</v>
      </c>
      <c r="B146" s="529">
        <v>4</v>
      </c>
      <c r="C146" s="531" t="s">
        <v>881</v>
      </c>
      <c r="D146" s="531" t="s">
        <v>882</v>
      </c>
      <c r="E146" s="547">
        <v>11047000</v>
      </c>
      <c r="F146" s="547"/>
      <c r="G146" s="547"/>
      <c r="H146" s="547"/>
      <c r="I146" s="547"/>
      <c r="J146" s="547"/>
      <c r="K146" s="547"/>
      <c r="L146" s="547"/>
      <c r="M146" s="547">
        <v>0</v>
      </c>
      <c r="N146" s="540"/>
      <c r="O146" s="540"/>
      <c r="P146" s="812">
        <f t="shared" si="8"/>
        <v>11047000</v>
      </c>
      <c r="Q146" s="547">
        <v>11047000</v>
      </c>
      <c r="R146" s="812">
        <f t="shared" si="9"/>
        <v>11</v>
      </c>
      <c r="S146" s="547">
        <f t="shared" si="9"/>
        <v>11</v>
      </c>
      <c r="T146" s="566"/>
      <c r="U146" s="567"/>
      <c r="V146" s="812">
        <f t="shared" si="10"/>
        <v>11047000</v>
      </c>
      <c r="W146" s="812">
        <f t="shared" si="11"/>
        <v>11</v>
      </c>
    </row>
    <row r="147" spans="1:23" ht="27" hidden="1" customHeight="1">
      <c r="A147" s="531">
        <v>1001</v>
      </c>
      <c r="B147" s="529">
        <v>10</v>
      </c>
      <c r="C147" s="531" t="s">
        <v>582</v>
      </c>
      <c r="D147" s="531" t="s">
        <v>583</v>
      </c>
      <c r="E147" s="547">
        <v>-1526167420</v>
      </c>
      <c r="F147" s="547">
        <v>-68563725</v>
      </c>
      <c r="G147" s="547">
        <v>233280</v>
      </c>
      <c r="H147" s="547"/>
      <c r="I147" s="547"/>
      <c r="J147" s="547"/>
      <c r="K147" s="547"/>
      <c r="L147" s="547"/>
      <c r="M147" s="547">
        <v>0</v>
      </c>
      <c r="N147" s="540"/>
      <c r="O147" s="540"/>
      <c r="P147" s="812">
        <f t="shared" si="8"/>
        <v>-1594497865</v>
      </c>
      <c r="Q147" s="547">
        <v>-248394029</v>
      </c>
      <c r="R147" s="812">
        <f t="shared" si="9"/>
        <v>-1594</v>
      </c>
      <c r="S147" s="547">
        <f t="shared" si="9"/>
        <v>-248</v>
      </c>
      <c r="T147" s="566"/>
      <c r="U147" s="567"/>
      <c r="V147" s="812">
        <f t="shared" si="10"/>
        <v>-1594497865</v>
      </c>
      <c r="W147" s="812">
        <f t="shared" si="11"/>
        <v>-1594</v>
      </c>
    </row>
    <row r="148" spans="1:23" ht="27" hidden="1" customHeight="1">
      <c r="A148" s="531">
        <v>406</v>
      </c>
      <c r="B148" s="529">
        <v>4</v>
      </c>
      <c r="C148" s="531" t="s">
        <v>260</v>
      </c>
      <c r="D148" s="531" t="s">
        <v>261</v>
      </c>
      <c r="E148" s="547">
        <v>25015500</v>
      </c>
      <c r="F148" s="547"/>
      <c r="G148" s="547"/>
      <c r="H148" s="547"/>
      <c r="I148" s="547"/>
      <c r="J148" s="547"/>
      <c r="K148" s="547"/>
      <c r="L148" s="547"/>
      <c r="M148" s="547">
        <v>0</v>
      </c>
      <c r="N148" s="540"/>
      <c r="O148" s="540"/>
      <c r="P148" s="812">
        <f t="shared" si="8"/>
        <v>25015500</v>
      </c>
      <c r="Q148" s="547">
        <v>157500000</v>
      </c>
      <c r="R148" s="812">
        <f t="shared" si="9"/>
        <v>25</v>
      </c>
      <c r="S148" s="547">
        <f t="shared" si="9"/>
        <v>158</v>
      </c>
      <c r="T148" s="566"/>
      <c r="U148" s="567"/>
      <c r="V148" s="812">
        <f t="shared" si="10"/>
        <v>25015500</v>
      </c>
      <c r="W148" s="812">
        <f t="shared" si="11"/>
        <v>25</v>
      </c>
    </row>
    <row r="149" spans="1:23" ht="27" hidden="1" customHeight="1">
      <c r="A149" s="531">
        <v>1001</v>
      </c>
      <c r="B149" s="529">
        <v>10</v>
      </c>
      <c r="C149" s="531" t="s">
        <v>262</v>
      </c>
      <c r="D149" s="531" t="s">
        <v>263</v>
      </c>
      <c r="E149" s="547">
        <v>-618616174</v>
      </c>
      <c r="F149" s="547"/>
      <c r="G149" s="547"/>
      <c r="H149" s="547"/>
      <c r="I149" s="547"/>
      <c r="J149" s="547"/>
      <c r="K149" s="547"/>
      <c r="L149" s="547"/>
      <c r="M149" s="547">
        <v>0</v>
      </c>
      <c r="N149" s="540"/>
      <c r="O149" s="540"/>
      <c r="P149" s="812">
        <f t="shared" si="8"/>
        <v>-618616174</v>
      </c>
      <c r="Q149" s="547">
        <v>-207879491</v>
      </c>
      <c r="R149" s="812">
        <f t="shared" si="9"/>
        <v>-619</v>
      </c>
      <c r="S149" s="547">
        <f t="shared" si="9"/>
        <v>-208</v>
      </c>
      <c r="T149" s="566"/>
      <c r="U149" s="567"/>
      <c r="V149" s="812">
        <f t="shared" si="10"/>
        <v>-618616174</v>
      </c>
      <c r="W149" s="812">
        <f t="shared" si="11"/>
        <v>-619</v>
      </c>
    </row>
    <row r="150" spans="1:23" ht="27" hidden="1" customHeight="1">
      <c r="A150" s="531">
        <v>1001</v>
      </c>
      <c r="B150" s="529">
        <v>10</v>
      </c>
      <c r="C150" s="531" t="s">
        <v>584</v>
      </c>
      <c r="D150" s="531" t="s">
        <v>645</v>
      </c>
      <c r="E150" s="547">
        <v>-89072489</v>
      </c>
      <c r="F150" s="547"/>
      <c r="G150" s="547"/>
      <c r="H150" s="547"/>
      <c r="I150" s="547"/>
      <c r="J150" s="547"/>
      <c r="K150" s="547"/>
      <c r="L150" s="547"/>
      <c r="M150" s="547">
        <v>0</v>
      </c>
      <c r="N150" s="540"/>
      <c r="O150" s="540"/>
      <c r="P150" s="812">
        <f t="shared" si="8"/>
        <v>-89072489</v>
      </c>
      <c r="Q150" s="547">
        <v>-78042629</v>
      </c>
      <c r="R150" s="812">
        <f t="shared" si="9"/>
        <v>-89</v>
      </c>
      <c r="S150" s="547">
        <f t="shared" si="9"/>
        <v>-78</v>
      </c>
      <c r="T150" s="566"/>
      <c r="U150" s="567"/>
      <c r="V150" s="812">
        <f t="shared" si="10"/>
        <v>-89072489</v>
      </c>
      <c r="W150" s="812">
        <f t="shared" si="11"/>
        <v>-89</v>
      </c>
    </row>
    <row r="151" spans="1:23" ht="27" hidden="1" customHeight="1">
      <c r="A151" s="531">
        <v>1001</v>
      </c>
      <c r="B151" s="529">
        <v>10</v>
      </c>
      <c r="C151" s="531" t="s">
        <v>546</v>
      </c>
      <c r="D151" s="531" t="s">
        <v>170</v>
      </c>
      <c r="E151" s="547">
        <v>-6290232304</v>
      </c>
      <c r="F151" s="547">
        <v>-256160144</v>
      </c>
      <c r="G151" s="547"/>
      <c r="H151" s="547"/>
      <c r="I151" s="547"/>
      <c r="J151" s="547"/>
      <c r="K151" s="547"/>
      <c r="L151" s="547"/>
      <c r="M151" s="547">
        <v>0</v>
      </c>
      <c r="N151" s="540"/>
      <c r="O151" s="540"/>
      <c r="P151" s="812">
        <f t="shared" si="8"/>
        <v>-6546392448</v>
      </c>
      <c r="Q151" s="547">
        <v>-4239486793</v>
      </c>
      <c r="R151" s="812">
        <f t="shared" si="9"/>
        <v>-6546</v>
      </c>
      <c r="S151" s="547">
        <f t="shared" si="9"/>
        <v>-4239</v>
      </c>
      <c r="T151" s="566"/>
      <c r="U151" s="567"/>
      <c r="V151" s="812">
        <f t="shared" si="10"/>
        <v>-6546392448</v>
      </c>
      <c r="W151" s="812">
        <f t="shared" si="11"/>
        <v>-6546</v>
      </c>
    </row>
    <row r="152" spans="1:23" ht="27" hidden="1" customHeight="1">
      <c r="A152" s="531">
        <v>406</v>
      </c>
      <c r="B152" s="529">
        <v>4</v>
      </c>
      <c r="C152" s="531" t="s">
        <v>162</v>
      </c>
      <c r="D152" s="531" t="s">
        <v>171</v>
      </c>
      <c r="E152" s="547">
        <v>4060937514</v>
      </c>
      <c r="F152" s="547"/>
      <c r="G152" s="547"/>
      <c r="H152" s="547"/>
      <c r="I152" s="547"/>
      <c r="J152" s="547"/>
      <c r="K152" s="547"/>
      <c r="L152" s="547"/>
      <c r="M152" s="547">
        <v>0</v>
      </c>
      <c r="N152" s="540"/>
      <c r="O152" s="540"/>
      <c r="P152" s="812">
        <f t="shared" si="8"/>
        <v>4060937514</v>
      </c>
      <c r="Q152" s="547">
        <v>5110695532</v>
      </c>
      <c r="R152" s="812">
        <f t="shared" si="9"/>
        <v>4061</v>
      </c>
      <c r="S152" s="547">
        <f t="shared" si="9"/>
        <v>5111</v>
      </c>
      <c r="T152" s="566"/>
      <c r="U152" s="567"/>
      <c r="V152" s="812">
        <f t="shared" si="10"/>
        <v>4060937514</v>
      </c>
      <c r="W152" s="812">
        <f t="shared" si="11"/>
        <v>4061</v>
      </c>
    </row>
    <row r="153" spans="1:23" ht="27" hidden="1" customHeight="1">
      <c r="A153" s="531">
        <v>406</v>
      </c>
      <c r="B153" s="529">
        <v>4</v>
      </c>
      <c r="C153" s="531" t="s">
        <v>299</v>
      </c>
      <c r="D153" s="531" t="s">
        <v>644</v>
      </c>
      <c r="E153" s="547">
        <v>98745960</v>
      </c>
      <c r="F153" s="547"/>
      <c r="G153" s="547"/>
      <c r="H153" s="547"/>
      <c r="I153" s="547"/>
      <c r="J153" s="547"/>
      <c r="K153" s="547"/>
      <c r="L153" s="547"/>
      <c r="M153" s="547">
        <v>0</v>
      </c>
      <c r="N153" s="540"/>
      <c r="O153" s="540"/>
      <c r="P153" s="812">
        <f t="shared" si="8"/>
        <v>98745960</v>
      </c>
      <c r="Q153" s="547"/>
      <c r="R153" s="812">
        <f t="shared" si="9"/>
        <v>99</v>
      </c>
      <c r="S153" s="547">
        <f t="shared" si="9"/>
        <v>0</v>
      </c>
      <c r="T153" s="566"/>
      <c r="U153" s="567"/>
      <c r="V153" s="812">
        <f t="shared" si="10"/>
        <v>98745960</v>
      </c>
      <c r="W153" s="812">
        <f t="shared" si="11"/>
        <v>99</v>
      </c>
    </row>
    <row r="154" spans="1:23" ht="27" hidden="1" customHeight="1">
      <c r="A154" s="531">
        <v>406</v>
      </c>
      <c r="B154" s="529">
        <v>4</v>
      </c>
      <c r="C154" s="531" t="s">
        <v>838</v>
      </c>
      <c r="D154" s="531" t="s">
        <v>837</v>
      </c>
      <c r="E154" s="547">
        <v>396570654</v>
      </c>
      <c r="F154" s="547"/>
      <c r="G154" s="547"/>
      <c r="H154" s="547"/>
      <c r="I154" s="547"/>
      <c r="J154" s="547"/>
      <c r="K154" s="547"/>
      <c r="L154" s="547"/>
      <c r="M154" s="547">
        <v>0</v>
      </c>
      <c r="N154" s="540"/>
      <c r="O154" s="540"/>
      <c r="P154" s="812">
        <f t="shared" si="8"/>
        <v>396570654</v>
      </c>
      <c r="Q154" s="547">
        <v>396570654</v>
      </c>
      <c r="R154" s="812">
        <f t="shared" si="9"/>
        <v>397</v>
      </c>
      <c r="S154" s="547">
        <f t="shared" si="9"/>
        <v>397</v>
      </c>
      <c r="T154" s="566"/>
      <c r="U154" s="567"/>
      <c r="V154" s="812">
        <f t="shared" si="10"/>
        <v>396570654</v>
      </c>
      <c r="W154" s="812">
        <f t="shared" si="11"/>
        <v>397</v>
      </c>
    </row>
    <row r="155" spans="1:23" ht="27" hidden="1" customHeight="1">
      <c r="A155" s="531">
        <v>406</v>
      </c>
      <c r="B155" s="529">
        <v>4</v>
      </c>
      <c r="C155" s="531" t="s">
        <v>883</v>
      </c>
      <c r="D155" s="531" t="s">
        <v>884</v>
      </c>
      <c r="E155" s="547">
        <v>57574422</v>
      </c>
      <c r="F155" s="547"/>
      <c r="G155" s="547"/>
      <c r="H155" s="547"/>
      <c r="I155" s="547"/>
      <c r="J155" s="547"/>
      <c r="K155" s="547"/>
      <c r="L155" s="547"/>
      <c r="M155" s="547">
        <v>0</v>
      </c>
      <c r="N155" s="540"/>
      <c r="O155" s="540"/>
      <c r="P155" s="812">
        <f t="shared" si="8"/>
        <v>57574422</v>
      </c>
      <c r="Q155" s="547">
        <v>257603353</v>
      </c>
      <c r="R155" s="812">
        <f t="shared" si="9"/>
        <v>58</v>
      </c>
      <c r="S155" s="547">
        <f t="shared" si="9"/>
        <v>258</v>
      </c>
      <c r="T155" s="566"/>
      <c r="U155" s="567"/>
      <c r="V155" s="812">
        <f t="shared" si="10"/>
        <v>57574422</v>
      </c>
      <c r="W155" s="812">
        <f t="shared" si="11"/>
        <v>58</v>
      </c>
    </row>
    <row r="156" spans="1:23" ht="27" hidden="1" customHeight="1">
      <c r="A156" s="531">
        <v>1001</v>
      </c>
      <c r="B156" s="529">
        <v>10</v>
      </c>
      <c r="C156" s="531" t="s">
        <v>301</v>
      </c>
      <c r="D156" s="531" t="s">
        <v>885</v>
      </c>
      <c r="E156" s="547">
        <v>-122459140</v>
      </c>
      <c r="F156" s="547"/>
      <c r="G156" s="547"/>
      <c r="H156" s="547"/>
      <c r="I156" s="547"/>
      <c r="J156" s="547"/>
      <c r="K156" s="547"/>
      <c r="L156" s="547"/>
      <c r="M156" s="547">
        <v>0</v>
      </c>
      <c r="N156" s="540"/>
      <c r="O156" s="540"/>
      <c r="P156" s="812">
        <f t="shared" si="8"/>
        <v>-122459140</v>
      </c>
      <c r="Q156" s="547">
        <v>10936036</v>
      </c>
      <c r="R156" s="812">
        <f t="shared" si="9"/>
        <v>-122</v>
      </c>
      <c r="S156" s="547">
        <f t="shared" si="9"/>
        <v>11</v>
      </c>
      <c r="T156" s="566"/>
      <c r="U156" s="567"/>
      <c r="V156" s="812">
        <f t="shared" si="10"/>
        <v>-122459140</v>
      </c>
      <c r="W156" s="812">
        <f t="shared" si="11"/>
        <v>-122</v>
      </c>
    </row>
    <row r="157" spans="1:23" ht="27" hidden="1" customHeight="1">
      <c r="A157" s="531">
        <v>406</v>
      </c>
      <c r="B157" s="529">
        <v>4</v>
      </c>
      <c r="C157" s="531" t="s">
        <v>303</v>
      </c>
      <c r="D157" s="531" t="s">
        <v>304</v>
      </c>
      <c r="E157" s="547">
        <v>8000</v>
      </c>
      <c r="F157" s="547"/>
      <c r="G157" s="547"/>
      <c r="H157" s="547"/>
      <c r="I157" s="547"/>
      <c r="J157" s="547"/>
      <c r="K157" s="547"/>
      <c r="L157" s="547"/>
      <c r="M157" s="547">
        <v>0</v>
      </c>
      <c r="N157" s="540"/>
      <c r="O157" s="540"/>
      <c r="P157" s="812">
        <f t="shared" si="8"/>
        <v>8000</v>
      </c>
      <c r="Q157" s="547">
        <v>8000</v>
      </c>
      <c r="R157" s="812">
        <f t="shared" si="9"/>
        <v>0</v>
      </c>
      <c r="S157" s="547">
        <f t="shared" si="9"/>
        <v>0</v>
      </c>
      <c r="T157" s="566"/>
      <c r="U157" s="567"/>
      <c r="V157" s="812">
        <f t="shared" si="10"/>
        <v>8000</v>
      </c>
      <c r="W157" s="812">
        <f t="shared" si="11"/>
        <v>0</v>
      </c>
    </row>
    <row r="158" spans="1:23" ht="27" hidden="1" customHeight="1">
      <c r="A158" s="531">
        <v>406</v>
      </c>
      <c r="B158" s="529">
        <v>4</v>
      </c>
      <c r="C158" s="531" t="s">
        <v>647</v>
      </c>
      <c r="D158" s="531" t="s">
        <v>646</v>
      </c>
      <c r="E158" s="547"/>
      <c r="F158" s="547"/>
      <c r="G158" s="547"/>
      <c r="H158" s="547"/>
      <c r="I158" s="547"/>
      <c r="J158" s="547"/>
      <c r="K158" s="547"/>
      <c r="L158" s="547"/>
      <c r="M158" s="547">
        <v>0</v>
      </c>
      <c r="N158" s="540"/>
      <c r="O158" s="540"/>
      <c r="P158" s="812">
        <f t="shared" si="8"/>
        <v>0</v>
      </c>
      <c r="Q158" s="547">
        <v>1982909</v>
      </c>
      <c r="R158" s="812">
        <f t="shared" si="9"/>
        <v>0</v>
      </c>
      <c r="S158" s="547">
        <f t="shared" si="9"/>
        <v>2</v>
      </c>
      <c r="T158" s="566"/>
      <c r="U158" s="567"/>
      <c r="V158" s="812">
        <f t="shared" si="10"/>
        <v>0</v>
      </c>
      <c r="W158" s="812">
        <f t="shared" si="11"/>
        <v>0</v>
      </c>
    </row>
    <row r="159" spans="1:23" ht="27" hidden="1" customHeight="1">
      <c r="A159" s="531">
        <v>1026</v>
      </c>
      <c r="B159" s="529">
        <v>10</v>
      </c>
      <c r="C159" s="531" t="s">
        <v>305</v>
      </c>
      <c r="D159" s="531" t="s">
        <v>172</v>
      </c>
      <c r="E159" s="547">
        <v>-4529993497</v>
      </c>
      <c r="F159" s="547">
        <v>-26220948</v>
      </c>
      <c r="G159" s="547"/>
      <c r="H159" s="547"/>
      <c r="I159" s="547"/>
      <c r="J159" s="547"/>
      <c r="K159" s="547"/>
      <c r="L159" s="547"/>
      <c r="M159" s="547">
        <v>0</v>
      </c>
      <c r="N159" s="540"/>
      <c r="O159" s="540"/>
      <c r="P159" s="812">
        <f t="shared" si="8"/>
        <v>-4556214445</v>
      </c>
      <c r="Q159" s="547">
        <f>-4525602708-71023200</f>
        <v>-4596625908</v>
      </c>
      <c r="R159" s="812">
        <f t="shared" si="9"/>
        <v>-4556</v>
      </c>
      <c r="S159" s="547">
        <f t="shared" si="9"/>
        <v>-4597</v>
      </c>
      <c r="T159" s="566"/>
      <c r="U159" s="567"/>
      <c r="V159" s="812">
        <f t="shared" si="10"/>
        <v>-4556214445</v>
      </c>
      <c r="W159" s="812">
        <f t="shared" si="11"/>
        <v>-4556</v>
      </c>
    </row>
    <row r="160" spans="1:23" ht="27" hidden="1" customHeight="1">
      <c r="A160" s="531">
        <v>406</v>
      </c>
      <c r="B160" s="529">
        <v>4</v>
      </c>
      <c r="C160" s="531" t="s">
        <v>306</v>
      </c>
      <c r="D160" s="531" t="s">
        <v>307</v>
      </c>
      <c r="E160" s="547">
        <v>306902309</v>
      </c>
      <c r="F160" s="547">
        <v>20954780</v>
      </c>
      <c r="G160" s="547"/>
      <c r="H160" s="547"/>
      <c r="I160" s="547"/>
      <c r="J160" s="547"/>
      <c r="K160" s="547"/>
      <c r="L160" s="547"/>
      <c r="M160" s="547">
        <v>0</v>
      </c>
      <c r="N160" s="540"/>
      <c r="O160" s="540"/>
      <c r="P160" s="812">
        <f t="shared" si="8"/>
        <v>327857089</v>
      </c>
      <c r="Q160" s="547">
        <v>94179949</v>
      </c>
      <c r="R160" s="812">
        <f t="shared" si="9"/>
        <v>328</v>
      </c>
      <c r="S160" s="547">
        <f t="shared" si="9"/>
        <v>94</v>
      </c>
      <c r="T160" s="566"/>
      <c r="U160" s="567"/>
      <c r="V160" s="812">
        <f t="shared" si="10"/>
        <v>327857089</v>
      </c>
      <c r="W160" s="812">
        <f t="shared" si="11"/>
        <v>328</v>
      </c>
    </row>
    <row r="161" spans="1:23" ht="27" hidden="1" customHeight="1">
      <c r="A161" s="531">
        <v>406</v>
      </c>
      <c r="B161" s="529">
        <v>4</v>
      </c>
      <c r="C161" s="531" t="s">
        <v>308</v>
      </c>
      <c r="D161" s="531" t="s">
        <v>309</v>
      </c>
      <c r="E161" s="547">
        <v>425501570</v>
      </c>
      <c r="F161" s="547"/>
      <c r="G161" s="547"/>
      <c r="H161" s="547"/>
      <c r="I161" s="547"/>
      <c r="J161" s="547"/>
      <c r="K161" s="547"/>
      <c r="L161" s="547"/>
      <c r="M161" s="547">
        <v>0</v>
      </c>
      <c r="N161" s="540"/>
      <c r="O161" s="540"/>
      <c r="P161" s="812">
        <f t="shared" si="8"/>
        <v>425501570</v>
      </c>
      <c r="Q161" s="547">
        <v>54438320</v>
      </c>
      <c r="R161" s="812">
        <f t="shared" si="9"/>
        <v>426</v>
      </c>
      <c r="S161" s="547">
        <f t="shared" si="9"/>
        <v>54</v>
      </c>
      <c r="T161" s="566"/>
      <c r="U161" s="567"/>
      <c r="V161" s="812">
        <f t="shared" si="10"/>
        <v>425501570</v>
      </c>
      <c r="W161" s="812">
        <f t="shared" si="11"/>
        <v>426</v>
      </c>
    </row>
    <row r="162" spans="1:23" ht="27" hidden="1" customHeight="1">
      <c r="A162" s="531">
        <v>1001</v>
      </c>
      <c r="B162" s="529">
        <v>10</v>
      </c>
      <c r="C162" s="531" t="s">
        <v>310</v>
      </c>
      <c r="D162" s="531" t="s">
        <v>966</v>
      </c>
      <c r="E162" s="547">
        <v>-87019472</v>
      </c>
      <c r="F162" s="547"/>
      <c r="G162" s="547"/>
      <c r="H162" s="547"/>
      <c r="I162" s="547"/>
      <c r="J162" s="547"/>
      <c r="K162" s="547"/>
      <c r="L162" s="547"/>
      <c r="M162" s="547">
        <v>0</v>
      </c>
      <c r="N162" s="540"/>
      <c r="O162" s="540"/>
      <c r="P162" s="812">
        <f t="shared" si="8"/>
        <v>-87019472</v>
      </c>
      <c r="Q162" s="547">
        <v>-52527256</v>
      </c>
      <c r="R162" s="812">
        <f t="shared" si="9"/>
        <v>-87</v>
      </c>
      <c r="S162" s="547">
        <f t="shared" si="9"/>
        <v>-53</v>
      </c>
      <c r="T162" s="566"/>
      <c r="U162" s="567"/>
      <c r="V162" s="812">
        <f t="shared" si="10"/>
        <v>-87019472</v>
      </c>
      <c r="W162" s="812">
        <f t="shared" si="11"/>
        <v>-87</v>
      </c>
    </row>
    <row r="163" spans="1:23" ht="27" hidden="1" customHeight="1">
      <c r="A163" s="531">
        <v>406</v>
      </c>
      <c r="B163" s="529">
        <v>4</v>
      </c>
      <c r="C163" s="531" t="s">
        <v>1058</v>
      </c>
      <c r="D163" s="531" t="s">
        <v>1057</v>
      </c>
      <c r="E163" s="547">
        <v>550877524</v>
      </c>
      <c r="F163" s="547">
        <v>-39509021</v>
      </c>
      <c r="G163" s="547">
        <v>-7485000</v>
      </c>
      <c r="H163" s="547"/>
      <c r="I163" s="547"/>
      <c r="J163" s="547"/>
      <c r="K163" s="547"/>
      <c r="L163" s="547"/>
      <c r="M163" s="547">
        <v>0</v>
      </c>
      <c r="N163" s="540"/>
      <c r="O163" s="540"/>
      <c r="P163" s="812">
        <f t="shared" si="8"/>
        <v>503883503</v>
      </c>
      <c r="Q163" s="547">
        <v>-68296621</v>
      </c>
      <c r="R163" s="812">
        <f t="shared" si="9"/>
        <v>504</v>
      </c>
      <c r="S163" s="547">
        <f t="shared" si="9"/>
        <v>-68</v>
      </c>
      <c r="T163" s="566"/>
      <c r="U163" s="567"/>
      <c r="V163" s="812">
        <f t="shared" si="10"/>
        <v>503883503</v>
      </c>
      <c r="W163" s="812">
        <f t="shared" si="11"/>
        <v>504</v>
      </c>
    </row>
    <row r="164" spans="1:23" ht="27" hidden="1" customHeight="1">
      <c r="A164" s="531">
        <v>406</v>
      </c>
      <c r="B164" s="529">
        <v>4</v>
      </c>
      <c r="C164" s="531" t="s">
        <v>109</v>
      </c>
      <c r="D164" s="531" t="s">
        <v>839</v>
      </c>
      <c r="E164" s="547">
        <v>3229654200</v>
      </c>
      <c r="F164" s="547">
        <v>-16473900</v>
      </c>
      <c r="G164" s="547"/>
      <c r="H164" s="547"/>
      <c r="I164" s="547"/>
      <c r="J164" s="547"/>
      <c r="K164" s="547"/>
      <c r="L164" s="547"/>
      <c r="M164" s="547">
        <v>0</v>
      </c>
      <c r="N164" s="540"/>
      <c r="O164" s="540"/>
      <c r="P164" s="812">
        <f t="shared" si="8"/>
        <v>3213180300</v>
      </c>
      <c r="Q164" s="547">
        <v>1830252628</v>
      </c>
      <c r="R164" s="812">
        <f t="shared" si="9"/>
        <v>3213</v>
      </c>
      <c r="S164" s="547">
        <f t="shared" si="9"/>
        <v>1830</v>
      </c>
      <c r="T164" s="566"/>
      <c r="U164" s="567"/>
      <c r="V164" s="812">
        <f t="shared" si="10"/>
        <v>3213180300</v>
      </c>
      <c r="W164" s="812">
        <f t="shared" si="11"/>
        <v>3213</v>
      </c>
    </row>
    <row r="165" spans="1:23" ht="27" hidden="1" customHeight="1">
      <c r="A165" s="531">
        <v>406</v>
      </c>
      <c r="B165" s="529">
        <v>4</v>
      </c>
      <c r="C165" s="531" t="s">
        <v>110</v>
      </c>
      <c r="D165" s="531" t="s">
        <v>174</v>
      </c>
      <c r="E165" s="547">
        <v>2196710253</v>
      </c>
      <c r="F165" s="547"/>
      <c r="G165" s="547"/>
      <c r="H165" s="547"/>
      <c r="I165" s="547"/>
      <c r="J165" s="547"/>
      <c r="K165" s="547"/>
      <c r="L165" s="547"/>
      <c r="M165" s="547">
        <v>0</v>
      </c>
      <c r="N165" s="540"/>
      <c r="O165" s="540"/>
      <c r="P165" s="812">
        <f t="shared" si="8"/>
        <v>2196710253</v>
      </c>
      <c r="Q165" s="547">
        <f>1088639528-480000</f>
        <v>1088159528</v>
      </c>
      <c r="R165" s="812">
        <f t="shared" si="9"/>
        <v>2197</v>
      </c>
      <c r="S165" s="547">
        <f t="shared" si="9"/>
        <v>1088</v>
      </c>
      <c r="T165" s="566"/>
      <c r="U165" s="567"/>
      <c r="V165" s="812">
        <f t="shared" si="10"/>
        <v>2196710253</v>
      </c>
      <c r="W165" s="812">
        <f t="shared" si="11"/>
        <v>2197</v>
      </c>
    </row>
    <row r="166" spans="1:23" ht="27" hidden="1" customHeight="1">
      <c r="A166" s="531">
        <v>1001</v>
      </c>
      <c r="B166" s="529">
        <v>10</v>
      </c>
      <c r="C166" s="531" t="s">
        <v>335</v>
      </c>
      <c r="D166" s="531" t="s">
        <v>762</v>
      </c>
      <c r="E166" s="547"/>
      <c r="F166" s="547"/>
      <c r="G166" s="547"/>
      <c r="H166" s="547"/>
      <c r="I166" s="547"/>
      <c r="J166" s="547"/>
      <c r="K166" s="547"/>
      <c r="L166" s="547"/>
      <c r="M166" s="547">
        <v>0</v>
      </c>
      <c r="N166" s="540"/>
      <c r="O166" s="540"/>
      <c r="P166" s="812">
        <f t="shared" si="8"/>
        <v>0</v>
      </c>
      <c r="Q166" s="547"/>
      <c r="R166" s="812">
        <f t="shared" si="9"/>
        <v>0</v>
      </c>
      <c r="S166" s="547">
        <f t="shared" si="9"/>
        <v>0</v>
      </c>
      <c r="T166" s="566"/>
      <c r="U166" s="567"/>
      <c r="V166" s="812">
        <f t="shared" si="10"/>
        <v>0</v>
      </c>
      <c r="W166" s="812">
        <f t="shared" si="11"/>
        <v>0</v>
      </c>
    </row>
    <row r="167" spans="1:23" ht="27" hidden="1" customHeight="1">
      <c r="A167" s="531">
        <v>406</v>
      </c>
      <c r="B167" s="529">
        <v>4</v>
      </c>
      <c r="C167" s="531" t="s">
        <v>336</v>
      </c>
      <c r="D167" s="532" t="s">
        <v>656</v>
      </c>
      <c r="E167" s="547">
        <f>4814068911-1339078831</f>
        <v>3474990080</v>
      </c>
      <c r="F167" s="547">
        <v>-47520000</v>
      </c>
      <c r="G167" s="547"/>
      <c r="H167" s="547">
        <v>1551301080</v>
      </c>
      <c r="I167" s="547"/>
      <c r="J167" s="547"/>
      <c r="K167" s="547"/>
      <c r="L167" s="547"/>
      <c r="M167" s="547">
        <v>0</v>
      </c>
      <c r="N167" s="540"/>
      <c r="O167" s="540"/>
      <c r="P167" s="812">
        <f t="shared" si="8"/>
        <v>4978771160</v>
      </c>
      <c r="Q167" s="547">
        <f>4606745621-1339078831</f>
        <v>3267666790</v>
      </c>
      <c r="R167" s="812">
        <f t="shared" si="9"/>
        <v>4979</v>
      </c>
      <c r="S167" s="547">
        <f t="shared" si="9"/>
        <v>3268</v>
      </c>
      <c r="T167" s="566"/>
      <c r="U167" s="569"/>
      <c r="V167" s="812">
        <f t="shared" si="10"/>
        <v>4978771160</v>
      </c>
      <c r="W167" s="812">
        <f t="shared" si="11"/>
        <v>4979</v>
      </c>
    </row>
    <row r="168" spans="1:23" ht="27" hidden="1" customHeight="1">
      <c r="A168" s="531">
        <v>409</v>
      </c>
      <c r="B168" s="529">
        <v>4</v>
      </c>
      <c r="C168" s="531" t="s">
        <v>336</v>
      </c>
      <c r="D168" s="531" t="s">
        <v>655</v>
      </c>
      <c r="E168" s="547">
        <v>1339078831</v>
      </c>
      <c r="F168" s="547"/>
      <c r="G168" s="547"/>
      <c r="H168" s="547"/>
      <c r="I168" s="547"/>
      <c r="J168" s="547"/>
      <c r="K168" s="547"/>
      <c r="L168" s="547"/>
      <c r="M168" s="547">
        <v>0</v>
      </c>
      <c r="N168" s="540"/>
      <c r="O168" s="540"/>
      <c r="P168" s="812">
        <f t="shared" si="8"/>
        <v>1339078831</v>
      </c>
      <c r="Q168" s="547">
        <v>1339078831</v>
      </c>
      <c r="R168" s="812">
        <f t="shared" si="9"/>
        <v>1339</v>
      </c>
      <c r="S168" s="547">
        <f t="shared" si="9"/>
        <v>1339</v>
      </c>
      <c r="T168" s="566"/>
      <c r="U168" s="567"/>
      <c r="V168" s="812">
        <f t="shared" si="10"/>
        <v>1339078831</v>
      </c>
      <c r="W168" s="812">
        <f t="shared" si="11"/>
        <v>1339</v>
      </c>
    </row>
    <row r="169" spans="1:23" ht="27" hidden="1" customHeight="1">
      <c r="A169" s="531">
        <v>414</v>
      </c>
      <c r="B169" s="529">
        <v>4</v>
      </c>
      <c r="C169" s="531" t="s">
        <v>338</v>
      </c>
      <c r="D169" s="531" t="s">
        <v>152</v>
      </c>
      <c r="E169" s="547">
        <v>-111729635102</v>
      </c>
      <c r="F169" s="547">
        <v>-43061040</v>
      </c>
      <c r="G169" s="547">
        <v>-2495520</v>
      </c>
      <c r="H169" s="547">
        <v>2800620</v>
      </c>
      <c r="I169" s="547"/>
      <c r="J169" s="547"/>
      <c r="K169" s="547"/>
      <c r="L169" s="547"/>
      <c r="M169" s="547">
        <v>0</v>
      </c>
      <c r="N169" s="540"/>
      <c r="O169" s="540"/>
      <c r="P169" s="812">
        <f t="shared" si="8"/>
        <v>-111772391042</v>
      </c>
      <c r="Q169" s="547">
        <f>2047171897603-90950873968-926854434</f>
        <v>1955294169201</v>
      </c>
      <c r="R169" s="812">
        <f t="shared" si="9"/>
        <v>-111772</v>
      </c>
      <c r="S169" s="547">
        <f t="shared" si="9"/>
        <v>1955294</v>
      </c>
      <c r="T169" s="566"/>
      <c r="U169" s="567"/>
      <c r="V169" s="812">
        <f t="shared" si="10"/>
        <v>-111772391042</v>
      </c>
      <c r="W169" s="812">
        <f t="shared" si="11"/>
        <v>-111772</v>
      </c>
    </row>
    <row r="170" spans="1:23" ht="27" hidden="1" customHeight="1">
      <c r="A170" s="531">
        <v>414</v>
      </c>
      <c r="B170" s="529">
        <v>4</v>
      </c>
      <c r="C170" s="531" t="s">
        <v>1367</v>
      </c>
      <c r="D170" s="531" t="s">
        <v>1368</v>
      </c>
      <c r="E170" s="547">
        <f>3262959217447</f>
        <v>3262959217447</v>
      </c>
      <c r="F170" s="547">
        <v>-2884211390</v>
      </c>
      <c r="G170" s="547">
        <v>-992479860514</v>
      </c>
      <c r="H170" s="547"/>
      <c r="I170" s="547">
        <v>-1673656078</v>
      </c>
      <c r="J170" s="547">
        <v>-60024504371</v>
      </c>
      <c r="K170" s="547"/>
      <c r="L170" s="547"/>
      <c r="M170" s="547">
        <v>0</v>
      </c>
      <c r="N170" s="540"/>
      <c r="O170" s="540"/>
      <c r="P170" s="812">
        <f t="shared" si="8"/>
        <v>2205896985094</v>
      </c>
      <c r="Q170" s="547"/>
      <c r="R170" s="812">
        <f t="shared" si="9"/>
        <v>2205897</v>
      </c>
      <c r="S170" s="547">
        <f t="shared" si="9"/>
        <v>0</v>
      </c>
      <c r="T170" s="566"/>
      <c r="U170" s="567"/>
      <c r="V170" s="812">
        <f t="shared" si="10"/>
        <v>2205896985094</v>
      </c>
      <c r="W170" s="812">
        <f t="shared" si="11"/>
        <v>2205897</v>
      </c>
    </row>
    <row r="171" spans="1:23" ht="27" hidden="1" customHeight="1">
      <c r="A171" s="531">
        <v>416</v>
      </c>
      <c r="B171" s="529">
        <v>4</v>
      </c>
      <c r="C171" s="531" t="s">
        <v>527</v>
      </c>
      <c r="D171" s="531" t="s">
        <v>528</v>
      </c>
      <c r="E171" s="547">
        <v>-1492746645</v>
      </c>
      <c r="F171" s="547">
        <v>-1418905348</v>
      </c>
      <c r="G171" s="547">
        <v>-195011762</v>
      </c>
      <c r="H171" s="547">
        <v>495070898</v>
      </c>
      <c r="I171" s="547"/>
      <c r="J171" s="547"/>
      <c r="K171" s="547"/>
      <c r="L171" s="547"/>
      <c r="M171" s="547">
        <v>0</v>
      </c>
      <c r="N171" s="540"/>
      <c r="O171" s="540"/>
      <c r="P171" s="812">
        <f t="shared" si="8"/>
        <v>-2611592857</v>
      </c>
      <c r="Q171" s="547">
        <f>4268510452+420832056276-177655958+71023200</f>
        <v>424993933970</v>
      </c>
      <c r="R171" s="812">
        <f t="shared" si="9"/>
        <v>-2612</v>
      </c>
      <c r="S171" s="547">
        <f t="shared" si="9"/>
        <v>424994</v>
      </c>
      <c r="T171" s="566"/>
      <c r="U171" s="567"/>
      <c r="V171" s="812">
        <f t="shared" si="10"/>
        <v>-2611592857</v>
      </c>
      <c r="W171" s="812">
        <f t="shared" si="11"/>
        <v>-2612</v>
      </c>
    </row>
    <row r="172" spans="1:23" ht="27" hidden="1" customHeight="1">
      <c r="A172" s="531">
        <v>416</v>
      </c>
      <c r="B172" s="529">
        <v>4</v>
      </c>
      <c r="C172" s="531" t="s">
        <v>1369</v>
      </c>
      <c r="D172" s="531" t="s">
        <v>1370</v>
      </c>
      <c r="E172" s="547">
        <f>710621292940</f>
        <v>710621292940</v>
      </c>
      <c r="F172" s="547">
        <v>-367057907</v>
      </c>
      <c r="G172" s="547">
        <v>-238708729791</v>
      </c>
      <c r="H172" s="547"/>
      <c r="I172" s="547">
        <v>-402543500</v>
      </c>
      <c r="J172" s="547">
        <v>-14436941005</v>
      </c>
      <c r="K172" s="547"/>
      <c r="L172" s="547"/>
      <c r="M172" s="547">
        <v>0</v>
      </c>
      <c r="N172" s="540"/>
      <c r="O172" s="540"/>
      <c r="P172" s="812">
        <f t="shared" si="8"/>
        <v>456706020737</v>
      </c>
      <c r="Q172" s="547"/>
      <c r="R172" s="812">
        <f t="shared" si="9"/>
        <v>456706</v>
      </c>
      <c r="S172" s="547">
        <f t="shared" si="9"/>
        <v>0</v>
      </c>
      <c r="T172" s="566"/>
      <c r="U172" s="567"/>
      <c r="V172" s="812">
        <f t="shared" si="10"/>
        <v>456706020737</v>
      </c>
      <c r="W172" s="812">
        <f t="shared" si="11"/>
        <v>456706</v>
      </c>
    </row>
    <row r="173" spans="1:23" ht="27" hidden="1" customHeight="1">
      <c r="A173" s="531">
        <v>413</v>
      </c>
      <c r="B173" s="529">
        <v>4</v>
      </c>
      <c r="C173" s="531" t="s">
        <v>529</v>
      </c>
      <c r="D173" s="531" t="s">
        <v>156</v>
      </c>
      <c r="E173" s="547">
        <v>-142596817703</v>
      </c>
      <c r="F173" s="547">
        <v>-2140454648</v>
      </c>
      <c r="G173" s="547">
        <v>-2375778745</v>
      </c>
      <c r="H173" s="547">
        <v>-40477368</v>
      </c>
      <c r="I173" s="547"/>
      <c r="J173" s="547"/>
      <c r="K173" s="547"/>
      <c r="L173" s="547"/>
      <c r="M173" s="547">
        <v>0</v>
      </c>
      <c r="N173" s="540"/>
      <c r="O173" s="540"/>
      <c r="P173" s="812">
        <f t="shared" si="8"/>
        <v>-147153528464</v>
      </c>
      <c r="Q173" s="547">
        <f>3149959268347-124621846528-1388871966</f>
        <v>3023948549853</v>
      </c>
      <c r="R173" s="812">
        <f t="shared" si="9"/>
        <v>-147154</v>
      </c>
      <c r="S173" s="547">
        <f t="shared" si="9"/>
        <v>3023949</v>
      </c>
      <c r="T173" s="566"/>
      <c r="U173" s="567"/>
      <c r="V173" s="812">
        <f t="shared" si="10"/>
        <v>-147153528464</v>
      </c>
      <c r="W173" s="812">
        <f t="shared" si="11"/>
        <v>-147154</v>
      </c>
    </row>
    <row r="174" spans="1:23" ht="27" hidden="1" customHeight="1">
      <c r="A174" s="531">
        <v>413</v>
      </c>
      <c r="B174" s="529">
        <v>4</v>
      </c>
      <c r="C174" s="531" t="s">
        <v>1372</v>
      </c>
      <c r="D174" s="531" t="s">
        <v>1371</v>
      </c>
      <c r="E174" s="547">
        <f>4943751254967</f>
        <v>4943751254967</v>
      </c>
      <c r="F174" s="547">
        <v>-10934842532</v>
      </c>
      <c r="G174" s="547">
        <v>-1526454868353</v>
      </c>
      <c r="H174" s="547"/>
      <c r="I174" s="547">
        <v>-2596789967</v>
      </c>
      <c r="J174" s="547">
        <v>-93132055461</v>
      </c>
      <c r="K174" s="547"/>
      <c r="L174" s="547"/>
      <c r="M174" s="547">
        <v>0</v>
      </c>
      <c r="N174" s="540"/>
      <c r="O174" s="540"/>
      <c r="P174" s="812">
        <f t="shared" si="8"/>
        <v>3310632698654</v>
      </c>
      <c r="Q174" s="547"/>
      <c r="R174" s="812">
        <f t="shared" si="9"/>
        <v>3310633</v>
      </c>
      <c r="S174" s="547">
        <f t="shared" si="9"/>
        <v>0</v>
      </c>
      <c r="T174" s="566"/>
      <c r="U174" s="567"/>
      <c r="V174" s="812">
        <f t="shared" si="10"/>
        <v>3310632698654</v>
      </c>
      <c r="W174" s="812">
        <f t="shared" si="11"/>
        <v>3310633</v>
      </c>
    </row>
    <row r="175" spans="1:23" ht="27" hidden="1" customHeight="1">
      <c r="A175" s="531">
        <v>415</v>
      </c>
      <c r="B175" s="529">
        <v>4</v>
      </c>
      <c r="C175" s="531" t="s">
        <v>1323</v>
      </c>
      <c r="D175" s="531" t="s">
        <v>558</v>
      </c>
      <c r="E175" s="547">
        <v>-8296441882</v>
      </c>
      <c r="F175" s="547"/>
      <c r="G175" s="547">
        <v>-410902781026</v>
      </c>
      <c r="H175" s="547">
        <v>-2032358267</v>
      </c>
      <c r="I175" s="547">
        <v>-719954422</v>
      </c>
      <c r="J175" s="547">
        <v>-25820661656</v>
      </c>
      <c r="K175" s="547"/>
      <c r="L175" s="547"/>
      <c r="M175" s="547">
        <v>0</v>
      </c>
      <c r="N175" s="540"/>
      <c r="O175" s="540"/>
      <c r="P175" s="812">
        <f t="shared" si="8"/>
        <v>-447772197253</v>
      </c>
      <c r="Q175" s="547">
        <f>1031045518828-4602085315-3754508142-1065600000-1335766011-1383968782-399320075</f>
        <v>1018504270503</v>
      </c>
      <c r="R175" s="812">
        <f t="shared" si="9"/>
        <v>-447772</v>
      </c>
      <c r="S175" s="547">
        <f t="shared" si="9"/>
        <v>1018504</v>
      </c>
      <c r="T175" s="566"/>
      <c r="U175" s="567"/>
      <c r="V175" s="812">
        <f t="shared" si="10"/>
        <v>-447772197253</v>
      </c>
      <c r="W175" s="812">
        <f t="shared" si="11"/>
        <v>-447772</v>
      </c>
    </row>
    <row r="176" spans="1:23" ht="27" hidden="1" customHeight="1">
      <c r="A176" s="531">
        <v>415</v>
      </c>
      <c r="B176" s="529">
        <v>4</v>
      </c>
      <c r="C176" s="531" t="s">
        <v>157</v>
      </c>
      <c r="D176" s="531" t="s">
        <v>558</v>
      </c>
      <c r="E176" s="547">
        <f>1541574920305</f>
        <v>1541574920305</v>
      </c>
      <c r="F176" s="547"/>
      <c r="G176" s="547"/>
      <c r="H176" s="547">
        <v>2032358267</v>
      </c>
      <c r="I176" s="547"/>
      <c r="J176" s="547"/>
      <c r="K176" s="547"/>
      <c r="L176" s="547"/>
      <c r="M176" s="547">
        <v>0</v>
      </c>
      <c r="N176" s="540"/>
      <c r="O176" s="540"/>
      <c r="P176" s="812">
        <f t="shared" si="8"/>
        <v>1543607278572</v>
      </c>
      <c r="Q176" s="547"/>
      <c r="R176" s="812">
        <f t="shared" si="9"/>
        <v>1543607</v>
      </c>
      <c r="S176" s="547">
        <f t="shared" si="9"/>
        <v>0</v>
      </c>
      <c r="T176" s="566"/>
      <c r="U176" s="567"/>
      <c r="V176" s="812">
        <f t="shared" si="10"/>
        <v>1543607278572</v>
      </c>
      <c r="W176" s="812">
        <f t="shared" si="11"/>
        <v>1543607</v>
      </c>
    </row>
    <row r="177" spans="1:23" ht="27" hidden="1" customHeight="1">
      <c r="A177" s="531">
        <v>417</v>
      </c>
      <c r="B177" s="529">
        <v>4</v>
      </c>
      <c r="C177" s="531">
        <v>9290957</v>
      </c>
      <c r="D177" s="531" t="s">
        <v>159</v>
      </c>
      <c r="E177" s="547">
        <f>307459125956</f>
        <v>307459125956</v>
      </c>
      <c r="F177" s="547"/>
      <c r="H177" s="547"/>
      <c r="K177" s="547"/>
      <c r="L177" s="547"/>
      <c r="M177" s="547">
        <v>0</v>
      </c>
      <c r="N177" s="540"/>
      <c r="O177" s="540"/>
      <c r="P177" s="812">
        <f t="shared" si="8"/>
        <v>307459125956</v>
      </c>
      <c r="Q177" s="547">
        <f>180784253356-29308234090-78878555</f>
        <v>151397140711</v>
      </c>
      <c r="R177" s="812">
        <f t="shared" si="9"/>
        <v>307459</v>
      </c>
      <c r="S177" s="547">
        <f t="shared" si="9"/>
        <v>151397</v>
      </c>
      <c r="T177" s="566"/>
      <c r="U177" s="567"/>
      <c r="V177" s="812">
        <f t="shared" si="10"/>
        <v>307459125956</v>
      </c>
      <c r="W177" s="812">
        <f t="shared" si="11"/>
        <v>307459</v>
      </c>
    </row>
    <row r="178" spans="1:23" ht="27" hidden="1" customHeight="1">
      <c r="A178" s="531">
        <v>417</v>
      </c>
      <c r="B178" s="529">
        <v>4</v>
      </c>
      <c r="C178" s="531" t="s">
        <v>158</v>
      </c>
      <c r="D178" s="531" t="s">
        <v>159</v>
      </c>
      <c r="E178" s="547">
        <v>-29124566157</v>
      </c>
      <c r="F178" s="547"/>
      <c r="G178" s="547">
        <v>-83748919363</v>
      </c>
      <c r="H178" s="547"/>
      <c r="I178" s="547">
        <v>-138247107</v>
      </c>
      <c r="J178" s="547">
        <v>-4958135763</v>
      </c>
      <c r="K178" s="547"/>
      <c r="L178" s="547"/>
      <c r="M178" s="547">
        <v>0</v>
      </c>
      <c r="N178" s="540"/>
      <c r="O178" s="540"/>
      <c r="P178" s="812">
        <f t="shared" si="8"/>
        <v>-117969868390</v>
      </c>
      <c r="Q178" s="547"/>
      <c r="R178" s="812">
        <f>ROUND((P178/1000000),0)</f>
        <v>-117970</v>
      </c>
      <c r="S178" s="547">
        <f>ROUND((Q178/1000000),0)</f>
        <v>0</v>
      </c>
      <c r="T178" s="566"/>
      <c r="U178" s="567"/>
      <c r="V178" s="812">
        <f>P178-U178+T178</f>
        <v>-117969868390</v>
      </c>
      <c r="W178" s="812">
        <f t="shared" si="11"/>
        <v>-117970</v>
      </c>
    </row>
    <row r="179" spans="1:23" ht="27" hidden="1" customHeight="1">
      <c r="A179" s="531">
        <v>1023</v>
      </c>
      <c r="B179" s="529">
        <v>10</v>
      </c>
      <c r="C179" s="531">
        <v>9290961</v>
      </c>
      <c r="D179" s="531" t="s">
        <v>207</v>
      </c>
      <c r="E179" s="547">
        <v>-1329244601</v>
      </c>
      <c r="F179" s="547"/>
      <c r="G179" s="547">
        <v>190553420512</v>
      </c>
      <c r="H179" s="547"/>
      <c r="I179" s="547">
        <v>-518930370</v>
      </c>
      <c r="J179" s="547">
        <v>-18611074672</v>
      </c>
      <c r="K179" s="547"/>
      <c r="L179" s="547"/>
      <c r="M179" s="547">
        <v>0</v>
      </c>
      <c r="N179" s="540"/>
      <c r="O179" s="540"/>
      <c r="P179" s="812">
        <f t="shared" si="8"/>
        <v>170094170869</v>
      </c>
      <c r="Q179" s="547">
        <f>-22273354094-263063824394+31453944098-491222303-353521442+7128844750+22273354094</f>
        <v>-225325779291</v>
      </c>
      <c r="R179" s="812">
        <f t="shared" si="9"/>
        <v>170094</v>
      </c>
      <c r="S179" s="547">
        <f t="shared" si="9"/>
        <v>-225326</v>
      </c>
      <c r="T179" s="566"/>
      <c r="U179" s="567"/>
      <c r="V179" s="812">
        <f t="shared" si="10"/>
        <v>170094170869</v>
      </c>
      <c r="W179" s="812">
        <f t="shared" si="11"/>
        <v>170094</v>
      </c>
    </row>
    <row r="180" spans="1:23" ht="27" hidden="1" customHeight="1">
      <c r="A180" s="531">
        <v>1023</v>
      </c>
      <c r="B180" s="529">
        <v>10</v>
      </c>
      <c r="C180" s="531">
        <v>9290967</v>
      </c>
      <c r="D180" s="531" t="s">
        <v>207</v>
      </c>
      <c r="E180" s="547">
        <f>-332097745148</f>
        <v>-332097745148</v>
      </c>
      <c r="F180" s="547">
        <v>-723174921</v>
      </c>
      <c r="G180" s="547">
        <v>-29381110</v>
      </c>
      <c r="H180" s="547">
        <v>-308286853</v>
      </c>
      <c r="I180" s="547"/>
      <c r="J180" s="547"/>
      <c r="K180" s="547"/>
      <c r="L180" s="547"/>
      <c r="M180" s="547">
        <v>0</v>
      </c>
      <c r="N180" s="540"/>
      <c r="O180" s="540"/>
      <c r="P180" s="812">
        <f t="shared" si="8"/>
        <v>-333158588032</v>
      </c>
      <c r="Q180" s="547">
        <v>-22273354094</v>
      </c>
      <c r="R180" s="812">
        <f t="shared" si="9"/>
        <v>-333159</v>
      </c>
      <c r="S180" s="547">
        <f t="shared" si="9"/>
        <v>-22273</v>
      </c>
      <c r="T180" s="566"/>
      <c r="U180" s="567"/>
      <c r="V180" s="812">
        <f t="shared" si="10"/>
        <v>-333158588032</v>
      </c>
      <c r="W180" s="812">
        <f t="shared" si="11"/>
        <v>-333159</v>
      </c>
    </row>
    <row r="181" spans="1:23" ht="27" hidden="1" customHeight="1">
      <c r="A181" s="531">
        <v>1003</v>
      </c>
      <c r="B181" s="529">
        <v>10</v>
      </c>
      <c r="C181" s="531" t="s">
        <v>1325</v>
      </c>
      <c r="D181" s="531" t="s">
        <v>209</v>
      </c>
      <c r="E181" s="547">
        <v>-996403811801</v>
      </c>
      <c r="F181" s="547"/>
      <c r="G181" s="547">
        <v>795940149783</v>
      </c>
      <c r="H181" s="547"/>
      <c r="I181" s="547">
        <v>-1719343173</v>
      </c>
      <c r="J181" s="547">
        <v>-61663040067</v>
      </c>
      <c r="K181" s="547"/>
      <c r="L181" s="547"/>
      <c r="M181" s="547">
        <v>0</v>
      </c>
      <c r="N181" s="540"/>
      <c r="O181" s="540"/>
      <c r="P181" s="812">
        <f t="shared" si="8"/>
        <v>-263846045258</v>
      </c>
      <c r="Q181" s="547">
        <f>-17597230378-568438552923+23224313000-2392654495-1327740844-955544677+19268787838+17597230378</f>
        <v>-530621392101</v>
      </c>
      <c r="R181" s="812">
        <f t="shared" si="9"/>
        <v>-263846</v>
      </c>
      <c r="S181" s="547">
        <f t="shared" si="9"/>
        <v>-530621</v>
      </c>
      <c r="T181" s="566"/>
      <c r="U181" s="567"/>
      <c r="V181" s="812">
        <f t="shared" si="10"/>
        <v>-263846045258</v>
      </c>
      <c r="W181" s="812">
        <f t="shared" si="11"/>
        <v>-263846</v>
      </c>
    </row>
    <row r="182" spans="1:23" ht="27" hidden="1" customHeight="1">
      <c r="A182" s="531">
        <v>1003</v>
      </c>
      <c r="B182" s="529">
        <v>10</v>
      </c>
      <c r="C182" s="531" t="s">
        <v>208</v>
      </c>
      <c r="D182" s="531" t="s">
        <v>209</v>
      </c>
      <c r="E182" s="547">
        <f>2371689830</f>
        <v>2371689830</v>
      </c>
      <c r="F182" s="547">
        <v>-92658517</v>
      </c>
      <c r="G182" s="547">
        <v>-2358606324</v>
      </c>
      <c r="H182" s="547">
        <v>-679314160</v>
      </c>
      <c r="I182" s="547"/>
      <c r="J182" s="547"/>
      <c r="K182" s="547"/>
      <c r="L182" s="547"/>
      <c r="M182" s="547">
        <v>0</v>
      </c>
      <c r="N182" s="540"/>
      <c r="O182" s="540"/>
      <c r="P182" s="812">
        <f t="shared" si="8"/>
        <v>-758889171</v>
      </c>
      <c r="Q182" s="547">
        <v>-17597230378</v>
      </c>
      <c r="R182" s="812">
        <f t="shared" si="9"/>
        <v>-759</v>
      </c>
      <c r="S182" s="547">
        <f t="shared" si="9"/>
        <v>-17597</v>
      </c>
      <c r="T182" s="566"/>
      <c r="U182" s="567"/>
      <c r="V182" s="812">
        <f t="shared" si="10"/>
        <v>-758889171</v>
      </c>
      <c r="W182" s="812">
        <f t="shared" si="11"/>
        <v>-759</v>
      </c>
    </row>
    <row r="183" spans="1:23" ht="27" hidden="1" customHeight="1">
      <c r="A183" s="531">
        <v>1021</v>
      </c>
      <c r="B183" s="529">
        <v>10</v>
      </c>
      <c r="C183" s="531" t="s">
        <v>343</v>
      </c>
      <c r="D183" s="531" t="s">
        <v>344</v>
      </c>
      <c r="E183" s="547">
        <v>-29119662709</v>
      </c>
      <c r="F183" s="547">
        <v>-37523339710</v>
      </c>
      <c r="G183" s="547">
        <v>-98433668</v>
      </c>
      <c r="H183" s="547"/>
      <c r="I183" s="547"/>
      <c r="J183" s="547"/>
      <c r="K183" s="547"/>
      <c r="L183" s="547"/>
      <c r="M183" s="547">
        <v>0</v>
      </c>
      <c r="N183" s="540"/>
      <c r="O183" s="540"/>
      <c r="P183" s="812">
        <f t="shared" si="8"/>
        <v>-66741436087</v>
      </c>
      <c r="Q183" s="547">
        <v>-41793620073</v>
      </c>
      <c r="R183" s="812">
        <f t="shared" si="9"/>
        <v>-66741</v>
      </c>
      <c r="S183" s="547">
        <f t="shared" si="9"/>
        <v>-41794</v>
      </c>
      <c r="T183" s="566"/>
      <c r="U183" s="567"/>
      <c r="V183" s="812">
        <f t="shared" si="10"/>
        <v>-66741436087</v>
      </c>
      <c r="W183" s="812">
        <f t="shared" si="11"/>
        <v>-66741</v>
      </c>
    </row>
    <row r="184" spans="1:23" ht="27" hidden="1" customHeight="1">
      <c r="A184" s="531">
        <v>1001</v>
      </c>
      <c r="B184" s="529">
        <v>10</v>
      </c>
      <c r="C184" s="531" t="s">
        <v>266</v>
      </c>
      <c r="D184" s="531" t="s">
        <v>267</v>
      </c>
      <c r="E184" s="547">
        <v>-1288204715</v>
      </c>
      <c r="F184" s="547"/>
      <c r="G184" s="547"/>
      <c r="H184" s="547"/>
      <c r="I184" s="547"/>
      <c r="J184" s="547"/>
      <c r="K184" s="547"/>
      <c r="L184" s="547"/>
      <c r="M184" s="547">
        <v>0</v>
      </c>
      <c r="N184" s="540"/>
      <c r="O184" s="540"/>
      <c r="P184" s="812">
        <f t="shared" si="8"/>
        <v>-1288204715</v>
      </c>
      <c r="Q184" s="547">
        <v>24786000</v>
      </c>
      <c r="R184" s="812">
        <f t="shared" si="9"/>
        <v>-1288</v>
      </c>
      <c r="S184" s="547">
        <f t="shared" si="9"/>
        <v>25</v>
      </c>
      <c r="T184" s="566"/>
      <c r="U184" s="567"/>
      <c r="V184" s="812">
        <f t="shared" si="10"/>
        <v>-1288204715</v>
      </c>
      <c r="W184" s="812">
        <f t="shared" si="11"/>
        <v>-1288</v>
      </c>
    </row>
    <row r="185" spans="1:23" ht="27" hidden="1" customHeight="1">
      <c r="A185" s="531">
        <v>1001</v>
      </c>
      <c r="B185" s="529">
        <v>10</v>
      </c>
      <c r="C185" s="531" t="s">
        <v>393</v>
      </c>
      <c r="D185" s="531" t="s">
        <v>394</v>
      </c>
      <c r="E185" s="547"/>
      <c r="F185" s="547"/>
      <c r="G185" s="547"/>
      <c r="H185" s="547"/>
      <c r="I185" s="547"/>
      <c r="J185" s="547"/>
      <c r="K185" s="547"/>
      <c r="L185" s="547"/>
      <c r="M185" s="547">
        <v>0</v>
      </c>
      <c r="N185" s="540"/>
      <c r="O185" s="540"/>
      <c r="P185" s="812">
        <f t="shared" si="8"/>
        <v>0</v>
      </c>
      <c r="Q185" s="547"/>
      <c r="R185" s="812">
        <f t="shared" si="9"/>
        <v>0</v>
      </c>
      <c r="S185" s="547">
        <f t="shared" si="9"/>
        <v>0</v>
      </c>
      <c r="T185" s="566"/>
      <c r="U185" s="567"/>
      <c r="V185" s="812">
        <f t="shared" si="10"/>
        <v>0</v>
      </c>
      <c r="W185" s="812">
        <f t="shared" si="11"/>
        <v>0</v>
      </c>
    </row>
    <row r="186" spans="1:23" ht="27" hidden="1" customHeight="1">
      <c r="A186" s="531">
        <v>406</v>
      </c>
      <c r="B186" s="529">
        <v>4</v>
      </c>
      <c r="C186" s="531" t="s">
        <v>345</v>
      </c>
      <c r="D186" s="531" t="s">
        <v>1331</v>
      </c>
      <c r="E186" s="547">
        <v>33354000</v>
      </c>
      <c r="F186" s="547"/>
      <c r="G186" s="547"/>
      <c r="H186" s="547"/>
      <c r="I186" s="547"/>
      <c r="J186" s="547"/>
      <c r="K186" s="547"/>
      <c r="L186" s="547"/>
      <c r="M186" s="547">
        <v>0</v>
      </c>
      <c r="N186" s="540"/>
      <c r="O186" s="540"/>
      <c r="P186" s="812">
        <f t="shared" si="8"/>
        <v>33354000</v>
      </c>
      <c r="Q186" s="547"/>
      <c r="R186" s="812">
        <f t="shared" si="9"/>
        <v>33</v>
      </c>
      <c r="S186" s="547">
        <f t="shared" si="9"/>
        <v>0</v>
      </c>
      <c r="T186" s="566"/>
      <c r="U186" s="567"/>
      <c r="V186" s="812">
        <f t="shared" si="10"/>
        <v>33354000</v>
      </c>
      <c r="W186" s="812">
        <f t="shared" si="11"/>
        <v>33</v>
      </c>
    </row>
    <row r="187" spans="1:23" ht="27" hidden="1" customHeight="1">
      <c r="A187" s="531">
        <v>406</v>
      </c>
      <c r="B187" s="529">
        <v>4</v>
      </c>
      <c r="C187" s="531" t="s">
        <v>269</v>
      </c>
      <c r="D187" s="531" t="s">
        <v>268</v>
      </c>
      <c r="E187" s="547">
        <v>2660153060</v>
      </c>
      <c r="F187" s="547"/>
      <c r="G187" s="547"/>
      <c r="H187" s="547"/>
      <c r="I187" s="547"/>
      <c r="J187" s="547"/>
      <c r="K187" s="547"/>
      <c r="L187" s="547"/>
      <c r="M187" s="547">
        <v>0</v>
      </c>
      <c r="N187" s="540"/>
      <c r="O187" s="540"/>
      <c r="P187" s="812">
        <f t="shared" si="8"/>
        <v>2660153060</v>
      </c>
      <c r="Q187" s="547">
        <v>1795661724</v>
      </c>
      <c r="R187" s="812">
        <f t="shared" si="9"/>
        <v>2660</v>
      </c>
      <c r="S187" s="547">
        <f t="shared" si="9"/>
        <v>1796</v>
      </c>
      <c r="T187" s="566"/>
      <c r="U187" s="567"/>
      <c r="V187" s="812">
        <f t="shared" si="10"/>
        <v>2660153060</v>
      </c>
      <c r="W187" s="812">
        <f t="shared" si="11"/>
        <v>2660</v>
      </c>
    </row>
    <row r="188" spans="1:23" ht="27" hidden="1" customHeight="1">
      <c r="A188" s="531">
        <v>1001</v>
      </c>
      <c r="B188" s="529">
        <v>10</v>
      </c>
      <c r="C188" s="531" t="s">
        <v>1178</v>
      </c>
      <c r="D188" s="531" t="s">
        <v>1179</v>
      </c>
      <c r="E188" s="547"/>
      <c r="F188" s="547"/>
      <c r="G188" s="547"/>
      <c r="H188" s="547"/>
      <c r="I188" s="547"/>
      <c r="J188" s="547"/>
      <c r="K188" s="547"/>
      <c r="L188" s="547"/>
      <c r="M188" s="547">
        <v>0</v>
      </c>
      <c r="N188" s="540"/>
      <c r="O188" s="540"/>
      <c r="P188" s="812">
        <f t="shared" si="8"/>
        <v>0</v>
      </c>
      <c r="Q188" s="547"/>
      <c r="R188" s="812">
        <f t="shared" si="9"/>
        <v>0</v>
      </c>
      <c r="S188" s="547">
        <f t="shared" si="9"/>
        <v>0</v>
      </c>
      <c r="T188" s="566"/>
      <c r="U188" s="567"/>
      <c r="V188" s="812">
        <f t="shared" si="10"/>
        <v>0</v>
      </c>
      <c r="W188" s="812">
        <f t="shared" si="11"/>
        <v>0</v>
      </c>
    </row>
    <row r="189" spans="1:23" ht="27" hidden="1" customHeight="1">
      <c r="A189" s="531">
        <v>406</v>
      </c>
      <c r="B189" s="529">
        <v>4</v>
      </c>
      <c r="C189" s="531" t="s">
        <v>347</v>
      </c>
      <c r="D189" s="531" t="s">
        <v>1059</v>
      </c>
      <c r="E189" s="547">
        <v>3205885</v>
      </c>
      <c r="F189" s="547"/>
      <c r="G189" s="547"/>
      <c r="H189" s="547"/>
      <c r="I189" s="547"/>
      <c r="J189" s="547"/>
      <c r="K189" s="547"/>
      <c r="L189" s="547"/>
      <c r="M189" s="547">
        <v>0</v>
      </c>
      <c r="N189" s="540"/>
      <c r="O189" s="540"/>
      <c r="P189" s="812">
        <f t="shared" si="8"/>
        <v>3205885</v>
      </c>
      <c r="Q189" s="547">
        <v>667310285</v>
      </c>
      <c r="R189" s="812">
        <f t="shared" si="9"/>
        <v>3</v>
      </c>
      <c r="S189" s="547">
        <f t="shared" si="9"/>
        <v>667</v>
      </c>
      <c r="T189" s="566"/>
      <c r="U189" s="567"/>
      <c r="V189" s="812">
        <f t="shared" si="10"/>
        <v>3205885</v>
      </c>
      <c r="W189" s="812">
        <f t="shared" si="11"/>
        <v>3</v>
      </c>
    </row>
    <row r="190" spans="1:23" ht="27" hidden="1" customHeight="1">
      <c r="A190" s="531">
        <v>406</v>
      </c>
      <c r="B190" s="529">
        <v>4</v>
      </c>
      <c r="C190" s="531" t="s">
        <v>270</v>
      </c>
      <c r="D190" s="531" t="s">
        <v>271</v>
      </c>
      <c r="E190" s="547"/>
      <c r="F190" s="547"/>
      <c r="G190" s="547"/>
      <c r="H190" s="547"/>
      <c r="I190" s="547"/>
      <c r="J190" s="547"/>
      <c r="K190" s="547"/>
      <c r="L190" s="547"/>
      <c r="M190" s="547">
        <v>0</v>
      </c>
      <c r="N190" s="540"/>
      <c r="O190" s="540"/>
      <c r="P190" s="812">
        <f t="shared" si="8"/>
        <v>0</v>
      </c>
      <c r="Q190" s="547"/>
      <c r="R190" s="812">
        <f t="shared" si="9"/>
        <v>0</v>
      </c>
      <c r="S190" s="547">
        <f t="shared" si="9"/>
        <v>0</v>
      </c>
      <c r="T190" s="566"/>
      <c r="U190" s="567"/>
      <c r="V190" s="812">
        <f t="shared" si="10"/>
        <v>0</v>
      </c>
      <c r="W190" s="812">
        <f t="shared" si="11"/>
        <v>0</v>
      </c>
    </row>
    <row r="191" spans="1:23" ht="27" hidden="1" customHeight="1">
      <c r="A191" s="531">
        <v>1001</v>
      </c>
      <c r="B191" s="529">
        <v>10</v>
      </c>
      <c r="C191" s="531" t="s">
        <v>967</v>
      </c>
      <c r="D191" s="531" t="s">
        <v>968</v>
      </c>
      <c r="E191" s="547">
        <v>-852630225</v>
      </c>
      <c r="F191" s="547">
        <v>-312306800</v>
      </c>
      <c r="G191" s="547"/>
      <c r="H191" s="547"/>
      <c r="I191" s="547"/>
      <c r="J191" s="547"/>
      <c r="K191" s="547"/>
      <c r="L191" s="547"/>
      <c r="M191" s="547">
        <v>0</v>
      </c>
      <c r="N191" s="540"/>
      <c r="O191" s="540"/>
      <c r="P191" s="812">
        <f t="shared" si="8"/>
        <v>-1164937025</v>
      </c>
      <c r="Q191" s="547">
        <f>-1216068950-764803</f>
        <v>-1216833753</v>
      </c>
      <c r="R191" s="812">
        <f t="shared" si="9"/>
        <v>-1165</v>
      </c>
      <c r="S191" s="547">
        <f t="shared" si="9"/>
        <v>-1217</v>
      </c>
      <c r="T191" s="566"/>
      <c r="U191" s="567"/>
      <c r="V191" s="812">
        <f t="shared" si="10"/>
        <v>-1164937025</v>
      </c>
      <c r="W191" s="812">
        <f t="shared" si="11"/>
        <v>-1165</v>
      </c>
    </row>
    <row r="192" spans="1:23" ht="27" hidden="1" customHeight="1">
      <c r="A192" s="531">
        <v>1001</v>
      </c>
      <c r="B192" s="529">
        <v>10</v>
      </c>
      <c r="C192" s="531" t="s">
        <v>349</v>
      </c>
      <c r="D192" s="531" t="s">
        <v>285</v>
      </c>
      <c r="E192" s="547"/>
      <c r="F192" s="547"/>
      <c r="G192" s="547"/>
      <c r="H192" s="547"/>
      <c r="I192" s="547"/>
      <c r="J192" s="547"/>
      <c r="K192" s="547"/>
      <c r="L192" s="547"/>
      <c r="M192" s="547">
        <v>0</v>
      </c>
      <c r="N192" s="540"/>
      <c r="O192" s="540"/>
      <c r="P192" s="812">
        <f t="shared" si="8"/>
        <v>0</v>
      </c>
      <c r="Q192" s="547">
        <v>0</v>
      </c>
      <c r="R192" s="812">
        <f t="shared" si="9"/>
        <v>0</v>
      </c>
      <c r="S192" s="547">
        <f t="shared" si="9"/>
        <v>0</v>
      </c>
      <c r="T192" s="566"/>
      <c r="U192" s="567"/>
      <c r="V192" s="812">
        <f t="shared" si="10"/>
        <v>0</v>
      </c>
      <c r="W192" s="812">
        <f t="shared" si="11"/>
        <v>0</v>
      </c>
    </row>
    <row r="193" spans="1:23" ht="27" hidden="1" customHeight="1">
      <c r="A193" s="531">
        <v>1001</v>
      </c>
      <c r="B193" s="529">
        <v>10</v>
      </c>
      <c r="C193" s="531" t="s">
        <v>1063</v>
      </c>
      <c r="D193" s="531" t="s">
        <v>1237</v>
      </c>
      <c r="E193" s="547">
        <v>-324000000</v>
      </c>
      <c r="F193" s="547"/>
      <c r="G193" s="547"/>
      <c r="H193" s="547"/>
      <c r="I193" s="547"/>
      <c r="J193" s="547"/>
      <c r="K193" s="547"/>
      <c r="L193" s="547"/>
      <c r="M193" s="547">
        <v>0</v>
      </c>
      <c r="N193" s="540"/>
      <c r="O193" s="540"/>
      <c r="P193" s="812">
        <f t="shared" si="8"/>
        <v>-324000000</v>
      </c>
      <c r="Q193" s="547">
        <v>-324000000</v>
      </c>
      <c r="R193" s="812">
        <f t="shared" si="9"/>
        <v>-324</v>
      </c>
      <c r="S193" s="547">
        <f t="shared" si="9"/>
        <v>-324</v>
      </c>
      <c r="T193" s="566"/>
      <c r="U193" s="567"/>
      <c r="V193" s="812">
        <f t="shared" si="10"/>
        <v>-324000000</v>
      </c>
      <c r="W193" s="812">
        <f t="shared" si="11"/>
        <v>-324</v>
      </c>
    </row>
    <row r="194" spans="1:23" ht="27" hidden="1" customHeight="1">
      <c r="A194" s="531">
        <v>406</v>
      </c>
      <c r="B194" s="529">
        <v>4</v>
      </c>
      <c r="C194" s="531" t="s">
        <v>1060</v>
      </c>
      <c r="D194" s="531" t="s">
        <v>1061</v>
      </c>
      <c r="E194" s="547">
        <v>537808263</v>
      </c>
      <c r="F194" s="547"/>
      <c r="G194" s="547"/>
      <c r="H194" s="547"/>
      <c r="I194" s="547"/>
      <c r="J194" s="547"/>
      <c r="K194" s="547"/>
      <c r="L194" s="547"/>
      <c r="M194" s="547">
        <v>0</v>
      </c>
      <c r="N194" s="540"/>
      <c r="O194" s="540"/>
      <c r="P194" s="812">
        <f t="shared" si="8"/>
        <v>537808263</v>
      </c>
      <c r="Q194" s="547">
        <v>537808263</v>
      </c>
      <c r="R194" s="812">
        <f t="shared" si="9"/>
        <v>538</v>
      </c>
      <c r="S194" s="547">
        <f t="shared" si="9"/>
        <v>538</v>
      </c>
      <c r="T194" s="566"/>
      <c r="U194" s="567"/>
      <c r="V194" s="812">
        <f t="shared" si="10"/>
        <v>537808263</v>
      </c>
      <c r="W194" s="812">
        <f t="shared" si="11"/>
        <v>538</v>
      </c>
    </row>
    <row r="195" spans="1:23" ht="27" hidden="1" customHeight="1">
      <c r="A195" s="531">
        <v>1001</v>
      </c>
      <c r="B195" s="529">
        <v>10</v>
      </c>
      <c r="C195" s="531" t="s">
        <v>657</v>
      </c>
      <c r="D195" s="531" t="s">
        <v>658</v>
      </c>
      <c r="E195" s="547"/>
      <c r="F195" s="547"/>
      <c r="G195" s="547"/>
      <c r="H195" s="547"/>
      <c r="I195" s="547"/>
      <c r="J195" s="547"/>
      <c r="K195" s="547"/>
      <c r="L195" s="547"/>
      <c r="M195" s="547">
        <v>0</v>
      </c>
      <c r="N195" s="540"/>
      <c r="O195" s="540"/>
      <c r="P195" s="812">
        <f t="shared" si="8"/>
        <v>0</v>
      </c>
      <c r="Q195" s="547"/>
      <c r="R195" s="812">
        <f t="shared" si="9"/>
        <v>0</v>
      </c>
      <c r="S195" s="547">
        <f t="shared" si="9"/>
        <v>0</v>
      </c>
      <c r="T195" s="566"/>
      <c r="U195" s="567"/>
      <c r="V195" s="812">
        <f t="shared" si="10"/>
        <v>0</v>
      </c>
      <c r="W195" s="812">
        <f t="shared" si="11"/>
        <v>0</v>
      </c>
    </row>
    <row r="196" spans="1:23" ht="27" hidden="1" customHeight="1">
      <c r="A196" s="531">
        <v>406</v>
      </c>
      <c r="B196" s="529">
        <v>4</v>
      </c>
      <c r="C196" s="531" t="s">
        <v>272</v>
      </c>
      <c r="D196" s="531" t="s">
        <v>969</v>
      </c>
      <c r="E196" s="547">
        <v>191255809</v>
      </c>
      <c r="F196" s="547"/>
      <c r="G196" s="547"/>
      <c r="H196" s="547"/>
      <c r="I196" s="547"/>
      <c r="J196" s="547"/>
      <c r="K196" s="547"/>
      <c r="L196" s="547"/>
      <c r="M196" s="547">
        <v>0</v>
      </c>
      <c r="N196" s="540"/>
      <c r="O196" s="540"/>
      <c r="P196" s="812">
        <f t="shared" ref="P196:P259" si="12">E196+F196+G196-N196+O196+H196+I196+J196+K196+L196</f>
        <v>191255809</v>
      </c>
      <c r="Q196" s="547">
        <v>191255809</v>
      </c>
      <c r="R196" s="812">
        <f t="shared" ref="R196:S259" si="13">ROUND((P196/1000000),0)</f>
        <v>191</v>
      </c>
      <c r="S196" s="547">
        <f t="shared" si="13"/>
        <v>191</v>
      </c>
      <c r="T196" s="566"/>
      <c r="U196" s="567"/>
      <c r="V196" s="812">
        <f t="shared" ref="V196:V259" si="14">P196-U196+T196</f>
        <v>191255809</v>
      </c>
      <c r="W196" s="812">
        <f t="shared" ref="W196:W259" si="15">ROUND((V196/1000000),0)</f>
        <v>191</v>
      </c>
    </row>
    <row r="197" spans="1:23" ht="27" hidden="1" customHeight="1">
      <c r="A197" s="531">
        <v>406</v>
      </c>
      <c r="B197" s="529">
        <v>4</v>
      </c>
      <c r="C197" s="531" t="s">
        <v>235</v>
      </c>
      <c r="D197" s="531" t="s">
        <v>1062</v>
      </c>
      <c r="E197" s="547">
        <v>634644529</v>
      </c>
      <c r="F197" s="547">
        <v>-2834000</v>
      </c>
      <c r="G197" s="547"/>
      <c r="H197" s="547"/>
      <c r="I197" s="547"/>
      <c r="J197" s="547"/>
      <c r="K197" s="547"/>
      <c r="L197" s="547"/>
      <c r="M197" s="547">
        <v>0</v>
      </c>
      <c r="N197" s="540"/>
      <c r="O197" s="540"/>
      <c r="P197" s="812">
        <f t="shared" si="12"/>
        <v>631810529</v>
      </c>
      <c r="Q197" s="547">
        <v>639168529</v>
      </c>
      <c r="R197" s="812">
        <f t="shared" si="13"/>
        <v>632</v>
      </c>
      <c r="S197" s="547">
        <f t="shared" si="13"/>
        <v>639</v>
      </c>
      <c r="T197" s="566"/>
      <c r="U197" s="567"/>
      <c r="V197" s="812">
        <f t="shared" si="14"/>
        <v>631810529</v>
      </c>
      <c r="W197" s="812">
        <f t="shared" si="15"/>
        <v>632</v>
      </c>
    </row>
    <row r="198" spans="1:23" ht="27" hidden="1" customHeight="1">
      <c r="A198" s="531">
        <v>1001</v>
      </c>
      <c r="B198" s="529">
        <v>10</v>
      </c>
      <c r="C198" s="531" t="s">
        <v>237</v>
      </c>
      <c r="D198" s="531" t="s">
        <v>1002</v>
      </c>
      <c r="E198" s="547">
        <v>-70333100</v>
      </c>
      <c r="F198" s="547"/>
      <c r="G198" s="547"/>
      <c r="H198" s="547"/>
      <c r="I198" s="547"/>
      <c r="J198" s="547"/>
      <c r="K198" s="547"/>
      <c r="L198" s="547"/>
      <c r="M198" s="547">
        <v>0</v>
      </c>
      <c r="N198" s="540"/>
      <c r="O198" s="540"/>
      <c r="P198" s="812">
        <f t="shared" si="12"/>
        <v>-70333100</v>
      </c>
      <c r="Q198" s="547">
        <v>-70333100</v>
      </c>
      <c r="R198" s="812">
        <f t="shared" si="13"/>
        <v>-70</v>
      </c>
      <c r="S198" s="547">
        <f t="shared" si="13"/>
        <v>-70</v>
      </c>
      <c r="T198" s="566"/>
      <c r="U198" s="567"/>
      <c r="V198" s="812">
        <f t="shared" si="14"/>
        <v>-70333100</v>
      </c>
      <c r="W198" s="812">
        <f t="shared" si="15"/>
        <v>-70</v>
      </c>
    </row>
    <row r="199" spans="1:23" ht="27" hidden="1" customHeight="1">
      <c r="A199" s="531">
        <v>406</v>
      </c>
      <c r="B199" s="529">
        <v>4</v>
      </c>
      <c r="C199" s="531" t="s">
        <v>970</v>
      </c>
      <c r="D199" s="531" t="s">
        <v>971</v>
      </c>
      <c r="E199" s="547">
        <v>281224593</v>
      </c>
      <c r="F199" s="547"/>
      <c r="G199" s="547"/>
      <c r="H199" s="547"/>
      <c r="I199" s="547"/>
      <c r="J199" s="547"/>
      <c r="K199" s="547"/>
      <c r="L199" s="547"/>
      <c r="M199" s="547">
        <v>0</v>
      </c>
      <c r="N199" s="540"/>
      <c r="O199" s="540"/>
      <c r="P199" s="812">
        <f t="shared" si="12"/>
        <v>281224593</v>
      </c>
      <c r="Q199" s="547">
        <v>122371200</v>
      </c>
      <c r="R199" s="812">
        <f t="shared" si="13"/>
        <v>281</v>
      </c>
      <c r="S199" s="547">
        <f t="shared" si="13"/>
        <v>122</v>
      </c>
      <c r="T199" s="566"/>
      <c r="U199" s="567"/>
      <c r="V199" s="812">
        <f t="shared" si="14"/>
        <v>281224593</v>
      </c>
      <c r="W199" s="812">
        <f t="shared" si="15"/>
        <v>281</v>
      </c>
    </row>
    <row r="200" spans="1:23" ht="27" hidden="1" customHeight="1">
      <c r="A200" s="531">
        <v>406</v>
      </c>
      <c r="B200" s="529">
        <v>4</v>
      </c>
      <c r="C200" s="531" t="s">
        <v>1264</v>
      </c>
      <c r="D200" s="531" t="s">
        <v>1064</v>
      </c>
      <c r="E200" s="547"/>
      <c r="F200" s="547"/>
      <c r="G200" s="547"/>
      <c r="H200" s="547"/>
      <c r="I200" s="547"/>
      <c r="J200" s="547"/>
      <c r="K200" s="547"/>
      <c r="L200" s="547"/>
      <c r="M200" s="547">
        <v>0</v>
      </c>
      <c r="N200" s="540"/>
      <c r="O200" s="540"/>
      <c r="P200" s="812">
        <f t="shared" si="12"/>
        <v>0</v>
      </c>
      <c r="Q200" s="547">
        <v>0</v>
      </c>
      <c r="R200" s="812">
        <f t="shared" si="13"/>
        <v>0</v>
      </c>
      <c r="S200" s="547">
        <f t="shared" si="13"/>
        <v>0</v>
      </c>
      <c r="T200" s="566"/>
      <c r="U200" s="567"/>
      <c r="V200" s="812">
        <f t="shared" si="14"/>
        <v>0</v>
      </c>
      <c r="W200" s="812">
        <f t="shared" si="15"/>
        <v>0</v>
      </c>
    </row>
    <row r="201" spans="1:23" ht="27" hidden="1" customHeight="1">
      <c r="A201" s="531">
        <v>406</v>
      </c>
      <c r="B201" s="529">
        <v>4</v>
      </c>
      <c r="C201" s="531" t="s">
        <v>210</v>
      </c>
      <c r="D201" s="531" t="s">
        <v>211</v>
      </c>
      <c r="E201" s="547">
        <v>474224426</v>
      </c>
      <c r="F201" s="547"/>
      <c r="G201" s="547"/>
      <c r="H201" s="547"/>
      <c r="I201" s="547"/>
      <c r="J201" s="547"/>
      <c r="K201" s="547"/>
      <c r="L201" s="547"/>
      <c r="M201" s="547">
        <v>0</v>
      </c>
      <c r="N201" s="540"/>
      <c r="O201" s="540"/>
      <c r="P201" s="812">
        <f t="shared" si="12"/>
        <v>474224426</v>
      </c>
      <c r="Q201" s="547">
        <v>474224426</v>
      </c>
      <c r="R201" s="812">
        <f t="shared" si="13"/>
        <v>474</v>
      </c>
      <c r="S201" s="547">
        <f t="shared" si="13"/>
        <v>474</v>
      </c>
      <c r="T201" s="566"/>
      <c r="U201" s="567"/>
      <c r="V201" s="812">
        <f t="shared" si="14"/>
        <v>474224426</v>
      </c>
      <c r="W201" s="812">
        <f t="shared" si="15"/>
        <v>474</v>
      </c>
    </row>
    <row r="202" spans="1:23" ht="27" hidden="1" customHeight="1">
      <c r="A202" s="531">
        <v>406</v>
      </c>
      <c r="B202" s="529">
        <v>4</v>
      </c>
      <c r="C202" s="531" t="s">
        <v>274</v>
      </c>
      <c r="D202" s="531" t="s">
        <v>276</v>
      </c>
      <c r="E202" s="547"/>
      <c r="F202" s="547"/>
      <c r="G202" s="547"/>
      <c r="H202" s="547"/>
      <c r="I202" s="547"/>
      <c r="J202" s="547"/>
      <c r="K202" s="547"/>
      <c r="L202" s="547"/>
      <c r="M202" s="547">
        <v>0</v>
      </c>
      <c r="N202" s="540"/>
      <c r="O202" s="540"/>
      <c r="P202" s="812">
        <f t="shared" si="12"/>
        <v>0</v>
      </c>
      <c r="Q202" s="547"/>
      <c r="R202" s="812">
        <f t="shared" si="13"/>
        <v>0</v>
      </c>
      <c r="S202" s="547">
        <f t="shared" si="13"/>
        <v>0</v>
      </c>
      <c r="T202" s="566"/>
      <c r="U202" s="567"/>
      <c r="V202" s="812">
        <f t="shared" si="14"/>
        <v>0</v>
      </c>
      <c r="W202" s="812">
        <f t="shared" si="15"/>
        <v>0</v>
      </c>
    </row>
    <row r="203" spans="1:23" ht="27" hidden="1" customHeight="1">
      <c r="A203" s="531">
        <v>406</v>
      </c>
      <c r="B203" s="529">
        <v>4</v>
      </c>
      <c r="C203" s="531" t="s">
        <v>1030</v>
      </c>
      <c r="D203" s="531" t="s">
        <v>1031</v>
      </c>
      <c r="E203" s="547">
        <v>32791521</v>
      </c>
      <c r="F203" s="547"/>
      <c r="G203" s="547"/>
      <c r="H203" s="547"/>
      <c r="I203" s="547"/>
      <c r="J203" s="547"/>
      <c r="K203" s="547"/>
      <c r="L203" s="547"/>
      <c r="M203" s="547">
        <v>0</v>
      </c>
      <c r="N203" s="540"/>
      <c r="O203" s="540"/>
      <c r="P203" s="812">
        <f t="shared" si="12"/>
        <v>32791521</v>
      </c>
      <c r="Q203" s="547">
        <v>32791521</v>
      </c>
      <c r="R203" s="812">
        <f t="shared" si="13"/>
        <v>33</v>
      </c>
      <c r="S203" s="547">
        <f t="shared" si="13"/>
        <v>33</v>
      </c>
      <c r="T203" s="566"/>
      <c r="U203" s="567"/>
      <c r="V203" s="812">
        <f t="shared" si="14"/>
        <v>32791521</v>
      </c>
      <c r="W203" s="812">
        <f t="shared" si="15"/>
        <v>33</v>
      </c>
    </row>
    <row r="204" spans="1:23" ht="27" hidden="1" customHeight="1">
      <c r="A204" s="531">
        <v>406</v>
      </c>
      <c r="B204" s="529">
        <v>4</v>
      </c>
      <c r="C204" s="531" t="s">
        <v>1004</v>
      </c>
      <c r="D204" s="531" t="s">
        <v>840</v>
      </c>
      <c r="E204" s="547"/>
      <c r="F204" s="547"/>
      <c r="G204" s="547"/>
      <c r="H204" s="547"/>
      <c r="I204" s="547"/>
      <c r="J204" s="547"/>
      <c r="K204" s="547"/>
      <c r="L204" s="547"/>
      <c r="M204" s="547">
        <v>0</v>
      </c>
      <c r="N204" s="540"/>
      <c r="O204" s="540"/>
      <c r="P204" s="812">
        <f t="shared" si="12"/>
        <v>0</v>
      </c>
      <c r="Q204" s="547"/>
      <c r="R204" s="812">
        <f t="shared" si="13"/>
        <v>0</v>
      </c>
      <c r="S204" s="547">
        <f t="shared" si="13"/>
        <v>0</v>
      </c>
      <c r="T204" s="566"/>
      <c r="U204" s="567"/>
      <c r="V204" s="812">
        <f t="shared" si="14"/>
        <v>0</v>
      </c>
      <c r="W204" s="812">
        <f t="shared" si="15"/>
        <v>0</v>
      </c>
    </row>
    <row r="205" spans="1:23" ht="27" hidden="1" customHeight="1">
      <c r="A205" s="531">
        <v>1001</v>
      </c>
      <c r="B205" s="529">
        <v>10</v>
      </c>
      <c r="C205" s="531" t="s">
        <v>65</v>
      </c>
      <c r="D205" s="531" t="s">
        <v>1332</v>
      </c>
      <c r="E205" s="547">
        <v>-50135441</v>
      </c>
      <c r="F205" s="547"/>
      <c r="G205" s="547"/>
      <c r="H205" s="547"/>
      <c r="I205" s="547"/>
      <c r="J205" s="547"/>
      <c r="K205" s="547"/>
      <c r="L205" s="547"/>
      <c r="M205" s="547">
        <v>0</v>
      </c>
      <c r="N205" s="540"/>
      <c r="O205" s="540"/>
      <c r="P205" s="812">
        <f t="shared" si="12"/>
        <v>-50135441</v>
      </c>
      <c r="Q205" s="547"/>
      <c r="R205" s="812">
        <f t="shared" si="13"/>
        <v>-50</v>
      </c>
      <c r="S205" s="547">
        <f t="shared" si="13"/>
        <v>0</v>
      </c>
      <c r="T205" s="566"/>
      <c r="U205" s="567"/>
      <c r="V205" s="812">
        <f t="shared" si="14"/>
        <v>-50135441</v>
      </c>
      <c r="W205" s="812">
        <f t="shared" si="15"/>
        <v>-50</v>
      </c>
    </row>
    <row r="206" spans="1:23" ht="27" hidden="1" customHeight="1">
      <c r="A206" s="531">
        <v>1001</v>
      </c>
      <c r="B206" s="529">
        <v>10</v>
      </c>
      <c r="C206" s="531" t="s">
        <v>1065</v>
      </c>
      <c r="D206" s="531" t="s">
        <v>1066</v>
      </c>
      <c r="E206" s="547"/>
      <c r="F206" s="547"/>
      <c r="G206" s="547"/>
      <c r="H206" s="547"/>
      <c r="I206" s="547"/>
      <c r="J206" s="547"/>
      <c r="K206" s="547"/>
      <c r="L206" s="547"/>
      <c r="M206" s="547">
        <v>0</v>
      </c>
      <c r="N206" s="540"/>
      <c r="O206" s="540"/>
      <c r="P206" s="812">
        <f t="shared" si="12"/>
        <v>0</v>
      </c>
      <c r="Q206" s="547"/>
      <c r="R206" s="812">
        <f t="shared" si="13"/>
        <v>0</v>
      </c>
      <c r="S206" s="547">
        <f t="shared" si="13"/>
        <v>0</v>
      </c>
      <c r="T206" s="566"/>
      <c r="U206" s="567"/>
      <c r="V206" s="812">
        <f t="shared" si="14"/>
        <v>0</v>
      </c>
      <c r="W206" s="812">
        <f t="shared" si="15"/>
        <v>0</v>
      </c>
    </row>
    <row r="207" spans="1:23" ht="27" hidden="1" customHeight="1">
      <c r="A207" s="531">
        <v>406</v>
      </c>
      <c r="B207" s="529">
        <v>4</v>
      </c>
      <c r="C207" s="531" t="s">
        <v>1067</v>
      </c>
      <c r="D207" s="531" t="s">
        <v>1068</v>
      </c>
      <c r="E207" s="547">
        <v>97274274</v>
      </c>
      <c r="F207" s="547"/>
      <c r="G207" s="547"/>
      <c r="H207" s="547"/>
      <c r="I207" s="547"/>
      <c r="J207" s="547"/>
      <c r="K207" s="547"/>
      <c r="L207" s="547"/>
      <c r="M207" s="547">
        <v>0</v>
      </c>
      <c r="N207" s="540"/>
      <c r="O207" s="540"/>
      <c r="P207" s="812">
        <f t="shared" si="12"/>
        <v>97274274</v>
      </c>
      <c r="Q207" s="547">
        <v>97274274</v>
      </c>
      <c r="R207" s="812">
        <f t="shared" si="13"/>
        <v>97</v>
      </c>
      <c r="S207" s="547">
        <f t="shared" si="13"/>
        <v>97</v>
      </c>
      <c r="T207" s="566"/>
      <c r="U207" s="567"/>
      <c r="V207" s="812">
        <f t="shared" si="14"/>
        <v>97274274</v>
      </c>
      <c r="W207" s="812">
        <f t="shared" si="15"/>
        <v>97</v>
      </c>
    </row>
    <row r="208" spans="1:23" ht="27" hidden="1" customHeight="1">
      <c r="A208" s="531">
        <v>406</v>
      </c>
      <c r="B208" s="529">
        <v>4</v>
      </c>
      <c r="C208" s="531" t="s">
        <v>1069</v>
      </c>
      <c r="D208" s="531" t="s">
        <v>1070</v>
      </c>
      <c r="E208" s="547">
        <v>102917700</v>
      </c>
      <c r="F208" s="547"/>
      <c r="G208" s="547"/>
      <c r="H208" s="547"/>
      <c r="I208" s="547"/>
      <c r="J208" s="547"/>
      <c r="K208" s="547"/>
      <c r="L208" s="547"/>
      <c r="M208" s="547">
        <v>0</v>
      </c>
      <c r="N208" s="540"/>
      <c r="O208" s="540"/>
      <c r="P208" s="812">
        <f t="shared" si="12"/>
        <v>102917700</v>
      </c>
      <c r="Q208" s="547"/>
      <c r="R208" s="812">
        <f t="shared" si="13"/>
        <v>103</v>
      </c>
      <c r="S208" s="547">
        <f t="shared" si="13"/>
        <v>0</v>
      </c>
      <c r="T208" s="566"/>
      <c r="U208" s="567"/>
      <c r="V208" s="812">
        <f t="shared" si="14"/>
        <v>102917700</v>
      </c>
      <c r="W208" s="812">
        <f t="shared" si="15"/>
        <v>103</v>
      </c>
    </row>
    <row r="209" spans="1:23" ht="27" hidden="1" customHeight="1">
      <c r="A209" s="531">
        <v>1001</v>
      </c>
      <c r="B209" s="529">
        <v>10</v>
      </c>
      <c r="C209" s="531" t="s">
        <v>1072</v>
      </c>
      <c r="D209" s="531" t="s">
        <v>1071</v>
      </c>
      <c r="E209" s="547"/>
      <c r="F209" s="547"/>
      <c r="G209" s="547"/>
      <c r="H209" s="547"/>
      <c r="I209" s="547"/>
      <c r="J209" s="547"/>
      <c r="K209" s="547"/>
      <c r="L209" s="547"/>
      <c r="M209" s="547">
        <v>0</v>
      </c>
      <c r="N209" s="540"/>
      <c r="O209" s="540"/>
      <c r="P209" s="812">
        <f t="shared" si="12"/>
        <v>0</v>
      </c>
      <c r="Q209" s="547"/>
      <c r="R209" s="812">
        <f t="shared" si="13"/>
        <v>0</v>
      </c>
      <c r="S209" s="547">
        <f t="shared" si="13"/>
        <v>0</v>
      </c>
      <c r="T209" s="566"/>
      <c r="U209" s="567"/>
      <c r="V209" s="812">
        <f t="shared" si="14"/>
        <v>0</v>
      </c>
      <c r="W209" s="812">
        <f t="shared" si="15"/>
        <v>0</v>
      </c>
    </row>
    <row r="210" spans="1:23" ht="27" hidden="1" customHeight="1">
      <c r="A210" s="531">
        <v>406</v>
      </c>
      <c r="B210" s="529">
        <v>4</v>
      </c>
      <c r="C210" s="531" t="s">
        <v>973</v>
      </c>
      <c r="D210" s="531" t="s">
        <v>972</v>
      </c>
      <c r="E210" s="547"/>
      <c r="F210" s="547"/>
      <c r="G210" s="547"/>
      <c r="H210" s="547"/>
      <c r="I210" s="547"/>
      <c r="J210" s="547"/>
      <c r="K210" s="547"/>
      <c r="L210" s="547"/>
      <c r="M210" s="547">
        <v>0</v>
      </c>
      <c r="N210" s="540"/>
      <c r="O210" s="540"/>
      <c r="P210" s="812">
        <f t="shared" si="12"/>
        <v>0</v>
      </c>
      <c r="Q210" s="547"/>
      <c r="R210" s="812">
        <f t="shared" si="13"/>
        <v>0</v>
      </c>
      <c r="S210" s="547">
        <f t="shared" si="13"/>
        <v>0</v>
      </c>
      <c r="T210" s="566"/>
      <c r="U210" s="567"/>
      <c r="V210" s="812">
        <f t="shared" si="14"/>
        <v>0</v>
      </c>
      <c r="W210" s="812">
        <f t="shared" si="15"/>
        <v>0</v>
      </c>
    </row>
    <row r="211" spans="1:23" ht="27" hidden="1" customHeight="1">
      <c r="A211" s="531">
        <v>406</v>
      </c>
      <c r="B211" s="529">
        <v>4</v>
      </c>
      <c r="C211" s="531" t="s">
        <v>974</v>
      </c>
      <c r="D211" s="531" t="s">
        <v>975</v>
      </c>
      <c r="E211" s="547">
        <v>29739600</v>
      </c>
      <c r="F211" s="547"/>
      <c r="G211" s="547"/>
      <c r="H211" s="547"/>
      <c r="I211" s="547"/>
      <c r="J211" s="547"/>
      <c r="K211" s="547"/>
      <c r="L211" s="547"/>
      <c r="M211" s="547">
        <v>0</v>
      </c>
      <c r="N211" s="540"/>
      <c r="O211" s="540"/>
      <c r="P211" s="812">
        <f t="shared" si="12"/>
        <v>29739600</v>
      </c>
      <c r="Q211" s="547">
        <v>21106800</v>
      </c>
      <c r="R211" s="812">
        <f t="shared" si="13"/>
        <v>30</v>
      </c>
      <c r="S211" s="547">
        <f t="shared" si="13"/>
        <v>21</v>
      </c>
      <c r="T211" s="566"/>
      <c r="U211" s="567"/>
      <c r="V211" s="812">
        <f t="shared" si="14"/>
        <v>29739600</v>
      </c>
      <c r="W211" s="812">
        <f t="shared" si="15"/>
        <v>30</v>
      </c>
    </row>
    <row r="212" spans="1:23" ht="27" hidden="1" customHeight="1">
      <c r="A212" s="531">
        <v>1001</v>
      </c>
      <c r="B212" s="529">
        <v>10</v>
      </c>
      <c r="C212" s="531" t="s">
        <v>976</v>
      </c>
      <c r="D212" s="531" t="s">
        <v>977</v>
      </c>
      <c r="E212" s="547">
        <v>-135245103</v>
      </c>
      <c r="F212" s="547"/>
      <c r="G212" s="547"/>
      <c r="H212" s="547"/>
      <c r="I212" s="547"/>
      <c r="J212" s="547"/>
      <c r="K212" s="547"/>
      <c r="L212" s="547"/>
      <c r="M212" s="547">
        <v>0</v>
      </c>
      <c r="N212" s="540"/>
      <c r="O212" s="540"/>
      <c r="P212" s="812">
        <f t="shared" si="12"/>
        <v>-135245103</v>
      </c>
      <c r="Q212" s="547">
        <v>-135245103</v>
      </c>
      <c r="R212" s="812">
        <f t="shared" si="13"/>
        <v>-135</v>
      </c>
      <c r="S212" s="547">
        <f t="shared" si="13"/>
        <v>-135</v>
      </c>
      <c r="T212" s="566"/>
      <c r="U212" s="567"/>
      <c r="V212" s="812">
        <f t="shared" si="14"/>
        <v>-135245103</v>
      </c>
      <c r="W212" s="812">
        <f t="shared" si="15"/>
        <v>-135</v>
      </c>
    </row>
    <row r="213" spans="1:23" ht="27" hidden="1" customHeight="1">
      <c r="A213" s="531">
        <v>1001</v>
      </c>
      <c r="B213" s="529">
        <v>10</v>
      </c>
      <c r="C213" s="531" t="s">
        <v>745</v>
      </c>
      <c r="D213" s="531" t="s">
        <v>744</v>
      </c>
      <c r="E213" s="547">
        <v>-49599999</v>
      </c>
      <c r="F213" s="547"/>
      <c r="G213" s="547"/>
      <c r="H213" s="547"/>
      <c r="I213" s="547"/>
      <c r="J213" s="547"/>
      <c r="K213" s="547"/>
      <c r="L213" s="547"/>
      <c r="M213" s="547">
        <v>0</v>
      </c>
      <c r="N213" s="540"/>
      <c r="O213" s="540"/>
      <c r="P213" s="812">
        <f t="shared" si="12"/>
        <v>-49599999</v>
      </c>
      <c r="Q213" s="547">
        <v>1</v>
      </c>
      <c r="R213" s="812">
        <f t="shared" si="13"/>
        <v>-50</v>
      </c>
      <c r="S213" s="547">
        <f t="shared" si="13"/>
        <v>0</v>
      </c>
      <c r="T213" s="566"/>
      <c r="U213" s="567"/>
      <c r="V213" s="812">
        <f t="shared" si="14"/>
        <v>-49599999</v>
      </c>
      <c r="W213" s="812">
        <f t="shared" si="15"/>
        <v>-50</v>
      </c>
    </row>
    <row r="214" spans="1:23" ht="27" hidden="1" customHeight="1">
      <c r="A214" s="531">
        <v>1001</v>
      </c>
      <c r="B214" s="529">
        <v>10</v>
      </c>
      <c r="C214" s="531" t="s">
        <v>978</v>
      </c>
      <c r="D214" s="531" t="s">
        <v>979</v>
      </c>
      <c r="E214" s="547">
        <v>-188555697</v>
      </c>
      <c r="F214" s="547"/>
      <c r="G214" s="547"/>
      <c r="H214" s="547"/>
      <c r="I214" s="547"/>
      <c r="J214" s="547"/>
      <c r="K214" s="547"/>
      <c r="L214" s="547"/>
      <c r="M214" s="547">
        <v>0</v>
      </c>
      <c r="N214" s="540"/>
      <c r="O214" s="540"/>
      <c r="P214" s="812">
        <f t="shared" si="12"/>
        <v>-188555697</v>
      </c>
      <c r="Q214" s="547">
        <v>-186354853</v>
      </c>
      <c r="R214" s="812">
        <f t="shared" si="13"/>
        <v>-189</v>
      </c>
      <c r="S214" s="547">
        <f t="shared" si="13"/>
        <v>-186</v>
      </c>
      <c r="T214" s="566"/>
      <c r="U214" s="567"/>
      <c r="V214" s="812">
        <f t="shared" si="14"/>
        <v>-188555697</v>
      </c>
      <c r="W214" s="812">
        <f t="shared" si="15"/>
        <v>-189</v>
      </c>
    </row>
    <row r="215" spans="1:23" ht="27" hidden="1" customHeight="1">
      <c r="A215" s="531">
        <v>1001</v>
      </c>
      <c r="B215" s="529">
        <v>10</v>
      </c>
      <c r="C215" s="531" t="s">
        <v>275</v>
      </c>
      <c r="D215" s="531" t="s">
        <v>843</v>
      </c>
      <c r="E215" s="547"/>
      <c r="F215" s="547">
        <v>-7891600</v>
      </c>
      <c r="G215" s="547">
        <v>7891600</v>
      </c>
      <c r="H215" s="547"/>
      <c r="I215" s="547"/>
      <c r="J215" s="547"/>
      <c r="K215" s="547"/>
      <c r="L215" s="547"/>
      <c r="M215" s="547">
        <v>0</v>
      </c>
      <c r="N215" s="540"/>
      <c r="O215" s="540"/>
      <c r="P215" s="812">
        <f t="shared" si="12"/>
        <v>0</v>
      </c>
      <c r="Q215" s="547"/>
      <c r="R215" s="812">
        <f t="shared" si="13"/>
        <v>0</v>
      </c>
      <c r="S215" s="547">
        <f t="shared" si="13"/>
        <v>0</v>
      </c>
      <c r="T215" s="566"/>
      <c r="U215" s="567"/>
      <c r="V215" s="812">
        <f t="shared" si="14"/>
        <v>0</v>
      </c>
      <c r="W215" s="812">
        <f t="shared" si="15"/>
        <v>0</v>
      </c>
    </row>
    <row r="216" spans="1:23" ht="27" hidden="1" customHeight="1">
      <c r="A216" s="531">
        <v>406</v>
      </c>
      <c r="B216" s="529">
        <v>4</v>
      </c>
      <c r="C216" s="531" t="s">
        <v>980</v>
      </c>
      <c r="D216" s="531" t="s">
        <v>981</v>
      </c>
      <c r="E216" s="547">
        <v>6000000</v>
      </c>
      <c r="F216" s="547"/>
      <c r="G216" s="547"/>
      <c r="H216" s="547"/>
      <c r="I216" s="547"/>
      <c r="J216" s="547"/>
      <c r="K216" s="547"/>
      <c r="L216" s="547"/>
      <c r="M216" s="547">
        <v>0</v>
      </c>
      <c r="N216" s="540"/>
      <c r="O216" s="540"/>
      <c r="P216" s="812">
        <f t="shared" si="12"/>
        <v>6000000</v>
      </c>
      <c r="Q216" s="547"/>
      <c r="R216" s="812">
        <f t="shared" si="13"/>
        <v>6</v>
      </c>
      <c r="S216" s="547">
        <f t="shared" si="13"/>
        <v>0</v>
      </c>
      <c r="T216" s="566"/>
      <c r="U216" s="567"/>
      <c r="V216" s="812">
        <f t="shared" si="14"/>
        <v>6000000</v>
      </c>
      <c r="W216" s="812">
        <f t="shared" si="15"/>
        <v>6</v>
      </c>
    </row>
    <row r="217" spans="1:23" ht="27" hidden="1" customHeight="1">
      <c r="A217" s="531">
        <v>406</v>
      </c>
      <c r="B217" s="529">
        <v>4</v>
      </c>
      <c r="C217" s="531" t="s">
        <v>982</v>
      </c>
      <c r="D217" s="531" t="s">
        <v>983</v>
      </c>
      <c r="E217" s="547"/>
      <c r="F217" s="547"/>
      <c r="G217" s="547"/>
      <c r="H217" s="547"/>
      <c r="I217" s="547"/>
      <c r="J217" s="547"/>
      <c r="K217" s="547"/>
      <c r="L217" s="547"/>
      <c r="M217" s="547">
        <v>0</v>
      </c>
      <c r="N217" s="540"/>
      <c r="O217" s="540"/>
      <c r="P217" s="812">
        <f t="shared" si="12"/>
        <v>0</v>
      </c>
      <c r="Q217" s="547"/>
      <c r="R217" s="812">
        <f t="shared" si="13"/>
        <v>0</v>
      </c>
      <c r="S217" s="547">
        <f t="shared" si="13"/>
        <v>0</v>
      </c>
      <c r="T217" s="566"/>
      <c r="U217" s="567"/>
      <c r="V217" s="812">
        <f t="shared" si="14"/>
        <v>0</v>
      </c>
      <c r="W217" s="812">
        <f t="shared" si="15"/>
        <v>0</v>
      </c>
    </row>
    <row r="218" spans="1:23" ht="27" hidden="1" customHeight="1">
      <c r="A218" s="531">
        <v>1001</v>
      </c>
      <c r="B218" s="529">
        <v>10</v>
      </c>
      <c r="C218" s="531" t="s">
        <v>1333</v>
      </c>
      <c r="D218" s="531" t="s">
        <v>1334</v>
      </c>
      <c r="E218" s="547">
        <v>-95972588</v>
      </c>
      <c r="F218" s="547"/>
      <c r="G218" s="547"/>
      <c r="H218" s="547"/>
      <c r="I218" s="547"/>
      <c r="J218" s="547"/>
      <c r="K218" s="547"/>
      <c r="L218" s="547"/>
      <c r="M218" s="547">
        <v>0</v>
      </c>
      <c r="N218" s="540"/>
      <c r="O218" s="540"/>
      <c r="P218" s="812">
        <f t="shared" si="12"/>
        <v>-95972588</v>
      </c>
      <c r="Q218" s="547"/>
      <c r="R218" s="812">
        <f t="shared" si="13"/>
        <v>-96</v>
      </c>
      <c r="S218" s="547">
        <f t="shared" si="13"/>
        <v>0</v>
      </c>
      <c r="T218" s="566"/>
      <c r="U218" s="567"/>
      <c r="V218" s="812">
        <f t="shared" si="14"/>
        <v>-95972588</v>
      </c>
      <c r="W218" s="812">
        <f t="shared" si="15"/>
        <v>-96</v>
      </c>
    </row>
    <row r="219" spans="1:23" ht="27" hidden="1" customHeight="1">
      <c r="A219" s="531">
        <v>406</v>
      </c>
      <c r="B219" s="529">
        <v>4</v>
      </c>
      <c r="C219" s="531" t="s">
        <v>984</v>
      </c>
      <c r="D219" s="531" t="s">
        <v>985</v>
      </c>
      <c r="E219" s="547"/>
      <c r="F219" s="547"/>
      <c r="G219" s="547"/>
      <c r="H219" s="547"/>
      <c r="I219" s="547"/>
      <c r="J219" s="547"/>
      <c r="K219" s="547"/>
      <c r="L219" s="547"/>
      <c r="M219" s="547">
        <v>0</v>
      </c>
      <c r="N219" s="540"/>
      <c r="O219" s="540"/>
      <c r="P219" s="812">
        <f t="shared" si="12"/>
        <v>0</v>
      </c>
      <c r="Q219" s="547"/>
      <c r="R219" s="812">
        <f t="shared" si="13"/>
        <v>0</v>
      </c>
      <c r="S219" s="547">
        <f t="shared" si="13"/>
        <v>0</v>
      </c>
      <c r="T219" s="566"/>
      <c r="U219" s="567"/>
      <c r="V219" s="812">
        <f t="shared" si="14"/>
        <v>0</v>
      </c>
      <c r="W219" s="812">
        <f t="shared" si="15"/>
        <v>0</v>
      </c>
    </row>
    <row r="220" spans="1:23" ht="27" hidden="1" customHeight="1">
      <c r="A220" s="531">
        <v>1001</v>
      </c>
      <c r="B220" s="529">
        <v>10</v>
      </c>
      <c r="C220" s="531" t="s">
        <v>1073</v>
      </c>
      <c r="D220" s="531" t="s">
        <v>1074</v>
      </c>
      <c r="E220" s="547"/>
      <c r="F220" s="547"/>
      <c r="G220" s="547"/>
      <c r="H220" s="547"/>
      <c r="I220" s="547"/>
      <c r="J220" s="547"/>
      <c r="K220" s="547"/>
      <c r="L220" s="547"/>
      <c r="M220" s="547">
        <v>0</v>
      </c>
      <c r="N220" s="540"/>
      <c r="O220" s="540"/>
      <c r="P220" s="812">
        <f t="shared" si="12"/>
        <v>0</v>
      </c>
      <c r="Q220" s="547"/>
      <c r="R220" s="812">
        <f t="shared" si="13"/>
        <v>0</v>
      </c>
      <c r="S220" s="547">
        <f t="shared" si="13"/>
        <v>0</v>
      </c>
      <c r="T220" s="566"/>
      <c r="U220" s="567"/>
      <c r="V220" s="812">
        <f t="shared" si="14"/>
        <v>0</v>
      </c>
      <c r="W220" s="812">
        <f t="shared" si="15"/>
        <v>0</v>
      </c>
    </row>
    <row r="221" spans="1:23" ht="27" hidden="1" customHeight="1">
      <c r="A221" s="531">
        <v>1001</v>
      </c>
      <c r="B221" s="529">
        <v>10</v>
      </c>
      <c r="C221" s="531" t="s">
        <v>1238</v>
      </c>
      <c r="D221" s="531" t="s">
        <v>1239</v>
      </c>
      <c r="E221" s="547">
        <v>-144808599</v>
      </c>
      <c r="F221" s="547"/>
      <c r="G221" s="547"/>
      <c r="H221" s="547"/>
      <c r="I221" s="547"/>
      <c r="J221" s="547"/>
      <c r="K221" s="547"/>
      <c r="L221" s="547"/>
      <c r="M221" s="547">
        <v>0</v>
      </c>
      <c r="N221" s="540"/>
      <c r="O221" s="540"/>
      <c r="P221" s="812">
        <f t="shared" si="12"/>
        <v>-144808599</v>
      </c>
      <c r="Q221" s="547">
        <v>-144808599</v>
      </c>
      <c r="R221" s="812">
        <f t="shared" si="13"/>
        <v>-145</v>
      </c>
      <c r="S221" s="547">
        <f t="shared" si="13"/>
        <v>-145</v>
      </c>
      <c r="T221" s="566"/>
      <c r="U221" s="567"/>
      <c r="V221" s="812">
        <f t="shared" si="14"/>
        <v>-144808599</v>
      </c>
      <c r="W221" s="812">
        <f t="shared" si="15"/>
        <v>-145</v>
      </c>
    </row>
    <row r="222" spans="1:23" ht="27" hidden="1" customHeight="1">
      <c r="A222" s="531">
        <v>406</v>
      </c>
      <c r="B222" s="529">
        <v>4</v>
      </c>
      <c r="C222" s="531" t="s">
        <v>986</v>
      </c>
      <c r="D222" s="531" t="s">
        <v>987</v>
      </c>
      <c r="E222" s="547">
        <v>273371250</v>
      </c>
      <c r="F222" s="547"/>
      <c r="G222" s="547"/>
      <c r="H222" s="547"/>
      <c r="I222" s="547"/>
      <c r="J222" s="547"/>
      <c r="K222" s="547"/>
      <c r="L222" s="547"/>
      <c r="M222" s="547">
        <v>0</v>
      </c>
      <c r="N222" s="540"/>
      <c r="O222" s="540"/>
      <c r="P222" s="812">
        <f t="shared" si="12"/>
        <v>273371250</v>
      </c>
      <c r="Q222" s="547">
        <v>250392965</v>
      </c>
      <c r="R222" s="812">
        <f t="shared" si="13"/>
        <v>273</v>
      </c>
      <c r="S222" s="547">
        <f t="shared" si="13"/>
        <v>250</v>
      </c>
      <c r="T222" s="566"/>
      <c r="U222" s="567"/>
      <c r="V222" s="812">
        <f t="shared" si="14"/>
        <v>273371250</v>
      </c>
      <c r="W222" s="812">
        <f t="shared" si="15"/>
        <v>273</v>
      </c>
    </row>
    <row r="223" spans="1:23" ht="27" hidden="1" customHeight="1">
      <c r="A223" s="531">
        <v>406</v>
      </c>
      <c r="B223" s="529">
        <v>4</v>
      </c>
      <c r="C223" s="531" t="s">
        <v>1075</v>
      </c>
      <c r="D223" s="531" t="s">
        <v>1076</v>
      </c>
      <c r="E223" s="547">
        <v>23760781</v>
      </c>
      <c r="F223" s="547"/>
      <c r="G223" s="547"/>
      <c r="H223" s="547"/>
      <c r="I223" s="547"/>
      <c r="J223" s="547"/>
      <c r="K223" s="547"/>
      <c r="L223" s="547"/>
      <c r="M223" s="547">
        <v>0</v>
      </c>
      <c r="N223" s="540"/>
      <c r="O223" s="540"/>
      <c r="P223" s="812">
        <f t="shared" si="12"/>
        <v>23760781</v>
      </c>
      <c r="Q223" s="547">
        <v>23760781</v>
      </c>
      <c r="R223" s="812">
        <f t="shared" si="13"/>
        <v>24</v>
      </c>
      <c r="S223" s="547">
        <f t="shared" si="13"/>
        <v>24</v>
      </c>
      <c r="T223" s="566"/>
      <c r="U223" s="567"/>
      <c r="V223" s="812">
        <f t="shared" si="14"/>
        <v>23760781</v>
      </c>
      <c r="W223" s="812">
        <f t="shared" si="15"/>
        <v>24</v>
      </c>
    </row>
    <row r="224" spans="1:23" ht="27" hidden="1" customHeight="1">
      <c r="A224" s="531">
        <v>1001</v>
      </c>
      <c r="B224" s="529">
        <v>10</v>
      </c>
      <c r="C224" s="531" t="s">
        <v>1240</v>
      </c>
      <c r="D224" s="531" t="s">
        <v>1241</v>
      </c>
      <c r="E224" s="547">
        <v>-130582467</v>
      </c>
      <c r="F224" s="547"/>
      <c r="G224" s="547"/>
      <c r="H224" s="547"/>
      <c r="I224" s="547"/>
      <c r="J224" s="547"/>
      <c r="K224" s="547"/>
      <c r="L224" s="547"/>
      <c r="M224" s="547">
        <v>0</v>
      </c>
      <c r="N224" s="540"/>
      <c r="O224" s="540"/>
      <c r="P224" s="812">
        <f t="shared" si="12"/>
        <v>-130582467</v>
      </c>
      <c r="Q224" s="547">
        <v>-130582467</v>
      </c>
      <c r="R224" s="812">
        <f t="shared" si="13"/>
        <v>-131</v>
      </c>
      <c r="S224" s="547">
        <f t="shared" si="13"/>
        <v>-131</v>
      </c>
      <c r="T224" s="566"/>
      <c r="U224" s="567"/>
      <c r="V224" s="812">
        <f t="shared" si="14"/>
        <v>-130582467</v>
      </c>
      <c r="W224" s="812">
        <f t="shared" si="15"/>
        <v>-131</v>
      </c>
    </row>
    <row r="225" spans="1:23" ht="27" hidden="1" customHeight="1">
      <c r="A225" s="531">
        <v>1001</v>
      </c>
      <c r="B225" s="529">
        <v>10</v>
      </c>
      <c r="C225" s="531" t="s">
        <v>241</v>
      </c>
      <c r="D225" s="531" t="s">
        <v>754</v>
      </c>
      <c r="E225" s="547">
        <v>-41753248</v>
      </c>
      <c r="F225" s="547"/>
      <c r="G225" s="547"/>
      <c r="H225" s="547"/>
      <c r="I225" s="547"/>
      <c r="J225" s="547"/>
      <c r="K225" s="547"/>
      <c r="L225" s="547"/>
      <c r="M225" s="547">
        <v>0</v>
      </c>
      <c r="N225" s="540"/>
      <c r="O225" s="540"/>
      <c r="P225" s="812">
        <f t="shared" si="12"/>
        <v>-41753248</v>
      </c>
      <c r="Q225" s="547">
        <v>-41753248</v>
      </c>
      <c r="R225" s="812">
        <f t="shared" si="13"/>
        <v>-42</v>
      </c>
      <c r="S225" s="547">
        <f t="shared" si="13"/>
        <v>-42</v>
      </c>
      <c r="T225" s="566"/>
      <c r="U225" s="567"/>
      <c r="V225" s="812">
        <f t="shared" si="14"/>
        <v>-41753248</v>
      </c>
      <c r="W225" s="812">
        <f t="shared" si="15"/>
        <v>-42</v>
      </c>
    </row>
    <row r="226" spans="1:23" ht="27" hidden="1" customHeight="1">
      <c r="A226" s="531">
        <v>406</v>
      </c>
      <c r="B226" s="529">
        <v>4</v>
      </c>
      <c r="C226" s="531" t="s">
        <v>1243</v>
      </c>
      <c r="D226" s="531" t="s">
        <v>1242</v>
      </c>
      <c r="E226" s="547">
        <v>42771997</v>
      </c>
      <c r="F226" s="547"/>
      <c r="G226" s="547"/>
      <c r="H226" s="547"/>
      <c r="I226" s="547"/>
      <c r="J226" s="547"/>
      <c r="K226" s="547"/>
      <c r="L226" s="547"/>
      <c r="M226" s="547">
        <v>0</v>
      </c>
      <c r="N226" s="540"/>
      <c r="O226" s="540"/>
      <c r="P226" s="812">
        <f t="shared" si="12"/>
        <v>42771997</v>
      </c>
      <c r="Q226" s="547">
        <v>3967857</v>
      </c>
      <c r="R226" s="812">
        <f t="shared" si="13"/>
        <v>43</v>
      </c>
      <c r="S226" s="547">
        <f t="shared" si="13"/>
        <v>4</v>
      </c>
      <c r="T226" s="566"/>
      <c r="U226" s="567"/>
      <c r="V226" s="812">
        <f t="shared" si="14"/>
        <v>42771997</v>
      </c>
      <c r="W226" s="812">
        <f t="shared" si="15"/>
        <v>43</v>
      </c>
    </row>
    <row r="227" spans="1:23" ht="27" hidden="1" customHeight="1">
      <c r="A227" s="531">
        <v>406</v>
      </c>
      <c r="B227" s="529">
        <v>4</v>
      </c>
      <c r="C227" s="531" t="s">
        <v>491</v>
      </c>
      <c r="D227" s="531" t="s">
        <v>659</v>
      </c>
      <c r="E227" s="547">
        <v>57543009</v>
      </c>
      <c r="F227" s="547"/>
      <c r="G227" s="547"/>
      <c r="H227" s="547"/>
      <c r="I227" s="547"/>
      <c r="J227" s="547"/>
      <c r="K227" s="547"/>
      <c r="L227" s="547"/>
      <c r="M227" s="547">
        <v>0</v>
      </c>
      <c r="N227" s="540"/>
      <c r="O227" s="540"/>
      <c r="P227" s="812">
        <f t="shared" si="12"/>
        <v>57543009</v>
      </c>
      <c r="Q227" s="547">
        <v>57543009</v>
      </c>
      <c r="R227" s="812">
        <f t="shared" si="13"/>
        <v>58</v>
      </c>
      <c r="S227" s="547">
        <f t="shared" si="13"/>
        <v>58</v>
      </c>
      <c r="T227" s="566"/>
      <c r="U227" s="567"/>
      <c r="V227" s="812">
        <f t="shared" si="14"/>
        <v>57543009</v>
      </c>
      <c r="W227" s="812">
        <f t="shared" si="15"/>
        <v>58</v>
      </c>
    </row>
    <row r="228" spans="1:23" ht="27" hidden="1" customHeight="1">
      <c r="A228" s="531">
        <v>406</v>
      </c>
      <c r="B228" s="529">
        <v>4</v>
      </c>
      <c r="C228" s="531" t="s">
        <v>1032</v>
      </c>
      <c r="D228" s="531" t="s">
        <v>1033</v>
      </c>
      <c r="E228" s="547">
        <v>889165580</v>
      </c>
      <c r="F228" s="547"/>
      <c r="G228" s="547"/>
      <c r="H228" s="547"/>
      <c r="I228" s="547"/>
      <c r="J228" s="547"/>
      <c r="K228" s="547"/>
      <c r="L228" s="547"/>
      <c r="M228" s="547">
        <v>0</v>
      </c>
      <c r="N228" s="540"/>
      <c r="O228" s="540"/>
      <c r="P228" s="812">
        <f t="shared" si="12"/>
        <v>889165580</v>
      </c>
      <c r="Q228" s="547">
        <v>856797150</v>
      </c>
      <c r="R228" s="812">
        <f t="shared" si="13"/>
        <v>889</v>
      </c>
      <c r="S228" s="547">
        <f t="shared" si="13"/>
        <v>857</v>
      </c>
      <c r="T228" s="566"/>
      <c r="U228" s="567"/>
      <c r="V228" s="812">
        <f t="shared" si="14"/>
        <v>889165580</v>
      </c>
      <c r="W228" s="812">
        <f t="shared" si="15"/>
        <v>889</v>
      </c>
    </row>
    <row r="229" spans="1:23" ht="27" hidden="1" customHeight="1">
      <c r="A229" s="531">
        <v>406</v>
      </c>
      <c r="B229" s="529">
        <v>4</v>
      </c>
      <c r="C229" s="531" t="s">
        <v>660</v>
      </c>
      <c r="D229" s="531" t="s">
        <v>661</v>
      </c>
      <c r="E229" s="547">
        <v>100714224</v>
      </c>
      <c r="F229" s="547"/>
      <c r="G229" s="547"/>
      <c r="H229" s="547"/>
      <c r="I229" s="547"/>
      <c r="J229" s="547"/>
      <c r="K229" s="547"/>
      <c r="L229" s="547"/>
      <c r="M229" s="547">
        <v>0</v>
      </c>
      <c r="N229" s="540"/>
      <c r="O229" s="540"/>
      <c r="P229" s="812">
        <f t="shared" si="12"/>
        <v>100714224</v>
      </c>
      <c r="Q229" s="547">
        <v>-416887946</v>
      </c>
      <c r="R229" s="812">
        <f t="shared" si="13"/>
        <v>101</v>
      </c>
      <c r="S229" s="547">
        <f t="shared" si="13"/>
        <v>-417</v>
      </c>
      <c r="T229" s="566"/>
      <c r="U229" s="567"/>
      <c r="V229" s="812">
        <f t="shared" si="14"/>
        <v>100714224</v>
      </c>
      <c r="W229" s="812">
        <f t="shared" si="15"/>
        <v>101</v>
      </c>
    </row>
    <row r="230" spans="1:23" ht="27" hidden="1" customHeight="1">
      <c r="A230" s="531">
        <v>1001</v>
      </c>
      <c r="B230" s="529">
        <v>10</v>
      </c>
      <c r="C230" s="531" t="s">
        <v>887</v>
      </c>
      <c r="D230" s="531" t="s">
        <v>886</v>
      </c>
      <c r="E230" s="547"/>
      <c r="F230" s="547"/>
      <c r="G230" s="547"/>
      <c r="H230" s="547"/>
      <c r="I230" s="547"/>
      <c r="J230" s="547"/>
      <c r="K230" s="547"/>
      <c r="L230" s="547"/>
      <c r="M230" s="547">
        <v>0</v>
      </c>
      <c r="N230" s="540"/>
      <c r="O230" s="540"/>
      <c r="P230" s="812">
        <f t="shared" si="12"/>
        <v>0</v>
      </c>
      <c r="Q230" s="547">
        <v>0</v>
      </c>
      <c r="R230" s="812">
        <f t="shared" si="13"/>
        <v>0</v>
      </c>
      <c r="S230" s="547">
        <f t="shared" si="13"/>
        <v>0</v>
      </c>
      <c r="T230" s="566"/>
      <c r="U230" s="567"/>
      <c r="V230" s="812">
        <f t="shared" si="14"/>
        <v>0</v>
      </c>
      <c r="W230" s="812">
        <f t="shared" si="15"/>
        <v>0</v>
      </c>
    </row>
    <row r="231" spans="1:23" ht="27" hidden="1" customHeight="1">
      <c r="A231" s="531">
        <v>406</v>
      </c>
      <c r="B231" s="529">
        <v>4</v>
      </c>
      <c r="C231" s="531" t="s">
        <v>493</v>
      </c>
      <c r="D231" s="531" t="s">
        <v>890</v>
      </c>
      <c r="E231" s="547"/>
      <c r="F231" s="547"/>
      <c r="G231" s="547"/>
      <c r="H231" s="547"/>
      <c r="I231" s="547"/>
      <c r="J231" s="547"/>
      <c r="K231" s="547"/>
      <c r="L231" s="547"/>
      <c r="M231" s="547">
        <v>0</v>
      </c>
      <c r="N231" s="540"/>
      <c r="O231" s="540"/>
      <c r="P231" s="812">
        <f t="shared" si="12"/>
        <v>0</v>
      </c>
      <c r="Q231" s="547">
        <v>4812000</v>
      </c>
      <c r="R231" s="812">
        <f t="shared" si="13"/>
        <v>0</v>
      </c>
      <c r="S231" s="547">
        <f t="shared" si="13"/>
        <v>5</v>
      </c>
      <c r="T231" s="566"/>
      <c r="U231" s="567"/>
      <c r="V231" s="812">
        <f t="shared" si="14"/>
        <v>0</v>
      </c>
      <c r="W231" s="812">
        <f t="shared" si="15"/>
        <v>0</v>
      </c>
    </row>
    <row r="232" spans="1:23" ht="27" hidden="1" customHeight="1">
      <c r="A232" s="531"/>
      <c r="B232" s="529">
        <v>4</v>
      </c>
      <c r="C232" s="531" t="s">
        <v>841</v>
      </c>
      <c r="D232" s="531" t="s">
        <v>1244</v>
      </c>
      <c r="E232" s="547"/>
      <c r="F232" s="547"/>
      <c r="G232" s="547"/>
      <c r="H232" s="547"/>
      <c r="I232" s="547"/>
      <c r="J232" s="547"/>
      <c r="K232" s="547"/>
      <c r="L232" s="547"/>
      <c r="M232" s="547">
        <v>0</v>
      </c>
      <c r="N232" s="540"/>
      <c r="O232" s="540"/>
      <c r="P232" s="812">
        <f t="shared" si="12"/>
        <v>0</v>
      </c>
      <c r="Q232" s="547"/>
      <c r="R232" s="812">
        <f t="shared" si="13"/>
        <v>0</v>
      </c>
      <c r="S232" s="547">
        <f t="shared" si="13"/>
        <v>0</v>
      </c>
      <c r="T232" s="566"/>
      <c r="U232" s="567"/>
      <c r="V232" s="812">
        <f t="shared" si="14"/>
        <v>0</v>
      </c>
      <c r="W232" s="812">
        <f t="shared" si="15"/>
        <v>0</v>
      </c>
    </row>
    <row r="233" spans="1:23" ht="27" hidden="1" customHeight="1">
      <c r="A233" s="531">
        <v>406</v>
      </c>
      <c r="B233" s="529">
        <v>4</v>
      </c>
      <c r="C233" s="531" t="s">
        <v>842</v>
      </c>
      <c r="D233" s="531" t="s">
        <v>888</v>
      </c>
      <c r="E233" s="547"/>
      <c r="F233" s="547"/>
      <c r="G233" s="547"/>
      <c r="H233" s="547"/>
      <c r="I233" s="547"/>
      <c r="J233" s="547"/>
      <c r="K233" s="547"/>
      <c r="L233" s="547"/>
      <c r="M233" s="547">
        <v>0</v>
      </c>
      <c r="N233" s="540"/>
      <c r="O233" s="540"/>
      <c r="P233" s="812">
        <f t="shared" si="12"/>
        <v>0</v>
      </c>
      <c r="Q233" s="547"/>
      <c r="R233" s="812">
        <f t="shared" si="13"/>
        <v>0</v>
      </c>
      <c r="S233" s="547">
        <f t="shared" si="13"/>
        <v>0</v>
      </c>
      <c r="T233" s="566"/>
      <c r="U233" s="567"/>
      <c r="V233" s="812">
        <f t="shared" si="14"/>
        <v>0</v>
      </c>
      <c r="W233" s="812">
        <f t="shared" si="15"/>
        <v>0</v>
      </c>
    </row>
    <row r="234" spans="1:23" ht="27" hidden="1" customHeight="1">
      <c r="A234" s="531">
        <v>406</v>
      </c>
      <c r="B234" s="529">
        <v>4</v>
      </c>
      <c r="C234" s="531" t="s">
        <v>1077</v>
      </c>
      <c r="D234" s="531" t="s">
        <v>1078</v>
      </c>
      <c r="E234" s="547"/>
      <c r="F234" s="547"/>
      <c r="G234" s="547"/>
      <c r="H234" s="547"/>
      <c r="I234" s="547"/>
      <c r="J234" s="547"/>
      <c r="K234" s="547"/>
      <c r="L234" s="547"/>
      <c r="M234" s="547">
        <v>0</v>
      </c>
      <c r="N234" s="540"/>
      <c r="O234" s="540"/>
      <c r="P234" s="812">
        <f t="shared" si="12"/>
        <v>0</v>
      </c>
      <c r="Q234" s="547"/>
      <c r="R234" s="812">
        <f t="shared" si="13"/>
        <v>0</v>
      </c>
      <c r="S234" s="547">
        <f t="shared" si="13"/>
        <v>0</v>
      </c>
      <c r="T234" s="566"/>
      <c r="U234" s="567"/>
      <c r="V234" s="812">
        <f t="shared" si="14"/>
        <v>0</v>
      </c>
      <c r="W234" s="812">
        <f t="shared" si="15"/>
        <v>0</v>
      </c>
    </row>
    <row r="235" spans="1:23" ht="27" hidden="1" customHeight="1">
      <c r="A235" s="531">
        <v>406</v>
      </c>
      <c r="B235" s="529">
        <v>4</v>
      </c>
      <c r="C235" s="531" t="s">
        <v>1079</v>
      </c>
      <c r="D235" s="531" t="s">
        <v>1080</v>
      </c>
      <c r="E235" s="547"/>
      <c r="F235" s="547"/>
      <c r="G235" s="547"/>
      <c r="H235" s="547"/>
      <c r="I235" s="547"/>
      <c r="J235" s="547"/>
      <c r="K235" s="547"/>
      <c r="L235" s="547"/>
      <c r="M235" s="547">
        <v>0</v>
      </c>
      <c r="N235" s="540"/>
      <c r="O235" s="540"/>
      <c r="P235" s="812">
        <f t="shared" si="12"/>
        <v>0</v>
      </c>
      <c r="Q235" s="547"/>
      <c r="R235" s="812">
        <f t="shared" si="13"/>
        <v>0</v>
      </c>
      <c r="S235" s="547">
        <f t="shared" si="13"/>
        <v>0</v>
      </c>
      <c r="T235" s="566"/>
      <c r="U235" s="567"/>
      <c r="V235" s="812">
        <f t="shared" si="14"/>
        <v>0</v>
      </c>
      <c r="W235" s="812">
        <f t="shared" si="15"/>
        <v>0</v>
      </c>
    </row>
    <row r="236" spans="1:23" ht="27" hidden="1" customHeight="1">
      <c r="A236" s="531">
        <v>406</v>
      </c>
      <c r="B236" s="529">
        <v>4</v>
      </c>
      <c r="C236" s="531" t="s">
        <v>560</v>
      </c>
      <c r="D236" s="531" t="s">
        <v>1180</v>
      </c>
      <c r="E236" s="547">
        <v>1338356479</v>
      </c>
      <c r="F236" s="547"/>
      <c r="G236" s="547"/>
      <c r="H236" s="547"/>
      <c r="I236" s="547"/>
      <c r="J236" s="547"/>
      <c r="K236" s="547"/>
      <c r="L236" s="547"/>
      <c r="M236" s="547">
        <v>0</v>
      </c>
      <c r="N236" s="540"/>
      <c r="O236" s="540"/>
      <c r="P236" s="812">
        <f t="shared" si="12"/>
        <v>1338356479</v>
      </c>
      <c r="Q236" s="547"/>
      <c r="R236" s="812">
        <f t="shared" si="13"/>
        <v>1338</v>
      </c>
      <c r="S236" s="547">
        <f t="shared" si="13"/>
        <v>0</v>
      </c>
      <c r="T236" s="566"/>
      <c r="U236" s="567"/>
      <c r="V236" s="812">
        <f t="shared" si="14"/>
        <v>1338356479</v>
      </c>
      <c r="W236" s="812">
        <f t="shared" si="15"/>
        <v>1338</v>
      </c>
    </row>
    <row r="237" spans="1:23" ht="27" hidden="1" customHeight="1">
      <c r="A237" s="531">
        <v>406</v>
      </c>
      <c r="B237" s="529">
        <v>4</v>
      </c>
      <c r="C237" s="531" t="s">
        <v>1245</v>
      </c>
      <c r="D237" s="531" t="s">
        <v>1246</v>
      </c>
      <c r="E237" s="547">
        <v>236402848</v>
      </c>
      <c r="F237" s="547"/>
      <c r="G237" s="547"/>
      <c r="H237" s="547"/>
      <c r="I237" s="547"/>
      <c r="J237" s="547"/>
      <c r="K237" s="547"/>
      <c r="L237" s="547"/>
      <c r="M237" s="547">
        <v>0</v>
      </c>
      <c r="N237" s="540"/>
      <c r="O237" s="540"/>
      <c r="P237" s="812">
        <f t="shared" si="12"/>
        <v>236402848</v>
      </c>
      <c r="Q237" s="547">
        <v>-210679029</v>
      </c>
      <c r="R237" s="812">
        <f t="shared" si="13"/>
        <v>236</v>
      </c>
      <c r="S237" s="547">
        <f t="shared" si="13"/>
        <v>-211</v>
      </c>
      <c r="T237" s="566"/>
      <c r="U237" s="567"/>
      <c r="V237" s="812">
        <f t="shared" si="14"/>
        <v>236402848</v>
      </c>
      <c r="W237" s="812">
        <f t="shared" si="15"/>
        <v>236</v>
      </c>
    </row>
    <row r="238" spans="1:23" ht="27" hidden="1" customHeight="1">
      <c r="A238" s="531">
        <v>406</v>
      </c>
      <c r="B238" s="529">
        <v>4</v>
      </c>
      <c r="C238" s="531" t="s">
        <v>662</v>
      </c>
      <c r="D238" s="531" t="s">
        <v>988</v>
      </c>
      <c r="E238" s="547">
        <v>8789324456</v>
      </c>
      <c r="F238" s="547">
        <v>1378200</v>
      </c>
      <c r="G238" s="547"/>
      <c r="H238" s="547"/>
      <c r="I238" s="547"/>
      <c r="J238" s="547"/>
      <c r="K238" s="547"/>
      <c r="L238" s="547"/>
      <c r="M238" s="547">
        <v>0</v>
      </c>
      <c r="N238" s="540"/>
      <c r="O238" s="540"/>
      <c r="P238" s="812">
        <f t="shared" si="12"/>
        <v>8790702656</v>
      </c>
      <c r="Q238" s="547">
        <v>3999186144</v>
      </c>
      <c r="R238" s="812">
        <f>ROUND((P238/1000000),0)</f>
        <v>8791</v>
      </c>
      <c r="S238" s="547">
        <f t="shared" si="13"/>
        <v>3999</v>
      </c>
      <c r="T238" s="566"/>
      <c r="U238" s="567"/>
      <c r="V238" s="812">
        <f t="shared" si="14"/>
        <v>8790702656</v>
      </c>
      <c r="W238" s="812">
        <f t="shared" si="15"/>
        <v>8791</v>
      </c>
    </row>
    <row r="239" spans="1:23" ht="27" hidden="1" customHeight="1">
      <c r="A239" s="531">
        <v>1018</v>
      </c>
      <c r="B239" s="529">
        <v>10</v>
      </c>
      <c r="C239" s="531" t="s">
        <v>889</v>
      </c>
      <c r="D239" s="531" t="s">
        <v>891</v>
      </c>
      <c r="E239" s="547"/>
      <c r="F239" s="547"/>
      <c r="G239" s="547"/>
      <c r="H239" s="547"/>
      <c r="I239" s="547"/>
      <c r="J239" s="547"/>
      <c r="K239" s="547"/>
      <c r="L239" s="547"/>
      <c r="M239" s="547">
        <v>0</v>
      </c>
      <c r="N239" s="540"/>
      <c r="O239" s="540"/>
      <c r="P239" s="812">
        <f t="shared" si="12"/>
        <v>0</v>
      </c>
      <c r="Q239" s="547"/>
      <c r="R239" s="812">
        <f t="shared" si="13"/>
        <v>0</v>
      </c>
      <c r="S239" s="547">
        <f t="shared" si="13"/>
        <v>0</v>
      </c>
      <c r="T239" s="566"/>
      <c r="U239" s="567"/>
      <c r="V239" s="812">
        <f t="shared" si="14"/>
        <v>0</v>
      </c>
      <c r="W239" s="812">
        <f t="shared" si="15"/>
        <v>0</v>
      </c>
    </row>
    <row r="240" spans="1:23" ht="27" hidden="1" customHeight="1">
      <c r="A240" s="531">
        <v>1001</v>
      </c>
      <c r="B240" s="529">
        <v>10</v>
      </c>
      <c r="C240" s="531" t="s">
        <v>116</v>
      </c>
      <c r="D240" s="531" t="s">
        <v>1265</v>
      </c>
      <c r="E240" s="547">
        <v>-179950000</v>
      </c>
      <c r="F240" s="547"/>
      <c r="G240" s="547"/>
      <c r="H240" s="547"/>
      <c r="I240" s="547"/>
      <c r="J240" s="547"/>
      <c r="K240" s="547"/>
      <c r="L240" s="547"/>
      <c r="M240" s="547">
        <v>0</v>
      </c>
      <c r="N240" s="540"/>
      <c r="O240" s="540"/>
      <c r="P240" s="812">
        <f t="shared" si="12"/>
        <v>-179950000</v>
      </c>
      <c r="Q240" s="547">
        <v>49817987</v>
      </c>
      <c r="R240" s="812">
        <f t="shared" si="13"/>
        <v>-180</v>
      </c>
      <c r="S240" s="547">
        <f t="shared" si="13"/>
        <v>50</v>
      </c>
      <c r="T240" s="566"/>
      <c r="U240" s="567"/>
      <c r="V240" s="812">
        <f t="shared" si="14"/>
        <v>-179950000</v>
      </c>
      <c r="W240" s="812">
        <f t="shared" si="15"/>
        <v>-180</v>
      </c>
    </row>
    <row r="241" spans="1:23" ht="27" hidden="1" customHeight="1">
      <c r="A241" s="531">
        <v>1001</v>
      </c>
      <c r="B241" s="529">
        <v>10</v>
      </c>
      <c r="C241" s="531" t="s">
        <v>485</v>
      </c>
      <c r="D241" s="531" t="s">
        <v>898</v>
      </c>
      <c r="E241" s="547">
        <v>-183310155</v>
      </c>
      <c r="F241" s="547">
        <v>202785566</v>
      </c>
      <c r="G241" s="547"/>
      <c r="H241" s="547"/>
      <c r="I241" s="547"/>
      <c r="J241" s="547"/>
      <c r="K241" s="547"/>
      <c r="L241" s="547"/>
      <c r="M241" s="547">
        <v>0</v>
      </c>
      <c r="N241" s="540"/>
      <c r="O241" s="540"/>
      <c r="P241" s="812">
        <f t="shared" si="12"/>
        <v>19475411</v>
      </c>
      <c r="Q241" s="547">
        <v>18116199</v>
      </c>
      <c r="R241" s="812">
        <f t="shared" si="13"/>
        <v>19</v>
      </c>
      <c r="S241" s="547">
        <f t="shared" si="13"/>
        <v>18</v>
      </c>
      <c r="T241" s="566"/>
      <c r="U241" s="567"/>
      <c r="V241" s="812">
        <f t="shared" si="14"/>
        <v>19475411</v>
      </c>
      <c r="W241" s="812">
        <f t="shared" si="15"/>
        <v>19</v>
      </c>
    </row>
    <row r="242" spans="1:23" ht="27" hidden="1" customHeight="1">
      <c r="A242" s="531">
        <v>1018</v>
      </c>
      <c r="B242" s="529">
        <v>10</v>
      </c>
      <c r="C242" s="531" t="s">
        <v>845</v>
      </c>
      <c r="D242" s="531" t="s">
        <v>899</v>
      </c>
      <c r="E242" s="547">
        <v>-87381229</v>
      </c>
      <c r="F242" s="547">
        <v>87381229</v>
      </c>
      <c r="G242" s="547"/>
      <c r="H242" s="547"/>
      <c r="I242" s="547"/>
      <c r="J242" s="547"/>
      <c r="K242" s="547"/>
      <c r="L242" s="547"/>
      <c r="M242" s="547">
        <v>0</v>
      </c>
      <c r="N242" s="540"/>
      <c r="O242" s="540"/>
      <c r="P242" s="812">
        <f t="shared" si="12"/>
        <v>0</v>
      </c>
      <c r="Q242" s="547">
        <v>0</v>
      </c>
      <c r="R242" s="812">
        <f t="shared" si="13"/>
        <v>0</v>
      </c>
      <c r="S242" s="547">
        <f t="shared" si="13"/>
        <v>0</v>
      </c>
      <c r="T242" s="566"/>
      <c r="U242" s="567"/>
      <c r="V242" s="812">
        <f t="shared" si="14"/>
        <v>0</v>
      </c>
      <c r="W242" s="812">
        <f t="shared" si="15"/>
        <v>0</v>
      </c>
    </row>
    <row r="243" spans="1:23" ht="27" hidden="1" customHeight="1">
      <c r="A243" s="531">
        <v>1018</v>
      </c>
      <c r="B243" s="529">
        <v>10</v>
      </c>
      <c r="C243" s="531" t="s">
        <v>892</v>
      </c>
      <c r="D243" s="531" t="s">
        <v>1181</v>
      </c>
      <c r="E243" s="547">
        <v>-13336199</v>
      </c>
      <c r="F243" s="547">
        <v>1540000</v>
      </c>
      <c r="G243" s="547"/>
      <c r="H243" s="547"/>
      <c r="I243" s="547"/>
      <c r="J243" s="547"/>
      <c r="K243" s="547"/>
      <c r="L243" s="547"/>
      <c r="M243" s="547">
        <v>0</v>
      </c>
      <c r="N243" s="540"/>
      <c r="O243" s="540"/>
      <c r="P243" s="812">
        <f t="shared" si="12"/>
        <v>-11796199</v>
      </c>
      <c r="Q243" s="547">
        <v>-11796199</v>
      </c>
      <c r="R243" s="812">
        <f t="shared" si="13"/>
        <v>-12</v>
      </c>
      <c r="S243" s="547">
        <f t="shared" si="13"/>
        <v>-12</v>
      </c>
      <c r="T243" s="566"/>
      <c r="U243" s="567"/>
      <c r="V243" s="812">
        <f t="shared" si="14"/>
        <v>-11796199</v>
      </c>
      <c r="W243" s="812">
        <f t="shared" si="15"/>
        <v>-12</v>
      </c>
    </row>
    <row r="244" spans="1:23" ht="27" hidden="1" customHeight="1">
      <c r="A244" s="531">
        <v>1018</v>
      </c>
      <c r="B244" s="529">
        <v>10</v>
      </c>
      <c r="C244" s="531" t="s">
        <v>1182</v>
      </c>
      <c r="D244" s="531" t="s">
        <v>1183</v>
      </c>
      <c r="E244" s="547">
        <v>-270000</v>
      </c>
      <c r="F244" s="547">
        <v>270000</v>
      </c>
      <c r="G244" s="547"/>
      <c r="H244" s="547"/>
      <c r="I244" s="547"/>
      <c r="J244" s="547"/>
      <c r="K244" s="547"/>
      <c r="L244" s="547"/>
      <c r="M244" s="547">
        <v>0</v>
      </c>
      <c r="N244" s="540"/>
      <c r="O244" s="540"/>
      <c r="P244" s="812">
        <f t="shared" si="12"/>
        <v>0</v>
      </c>
      <c r="Q244" s="547">
        <v>0</v>
      </c>
      <c r="R244" s="812">
        <f t="shared" si="13"/>
        <v>0</v>
      </c>
      <c r="S244" s="547">
        <f t="shared" si="13"/>
        <v>0</v>
      </c>
      <c r="T244" s="566"/>
      <c r="U244" s="567"/>
      <c r="V244" s="812">
        <f t="shared" si="14"/>
        <v>0</v>
      </c>
      <c r="W244" s="812">
        <f t="shared" si="15"/>
        <v>0</v>
      </c>
    </row>
    <row r="245" spans="1:23" ht="27" hidden="1" customHeight="1">
      <c r="A245" s="531">
        <v>1018</v>
      </c>
      <c r="B245" s="529">
        <v>10</v>
      </c>
      <c r="C245" s="531" t="s">
        <v>1184</v>
      </c>
      <c r="D245" s="531" t="s">
        <v>1185</v>
      </c>
      <c r="E245" s="547">
        <v>-6320000</v>
      </c>
      <c r="F245" s="547"/>
      <c r="G245" s="547"/>
      <c r="H245" s="547"/>
      <c r="I245" s="547"/>
      <c r="J245" s="547"/>
      <c r="K245" s="547"/>
      <c r="L245" s="547"/>
      <c r="M245" s="547">
        <v>0</v>
      </c>
      <c r="N245" s="540"/>
      <c r="O245" s="540"/>
      <c r="P245" s="812">
        <f t="shared" si="12"/>
        <v>-6320000</v>
      </c>
      <c r="Q245" s="547">
        <v>-6320000</v>
      </c>
      <c r="R245" s="812">
        <f t="shared" si="13"/>
        <v>-6</v>
      </c>
      <c r="S245" s="547">
        <f t="shared" si="13"/>
        <v>-6</v>
      </c>
      <c r="T245" s="566"/>
      <c r="U245" s="567"/>
      <c r="V245" s="812">
        <f t="shared" si="14"/>
        <v>-6320000</v>
      </c>
      <c r="W245" s="812">
        <f t="shared" si="15"/>
        <v>-6</v>
      </c>
    </row>
    <row r="246" spans="1:23" ht="27" hidden="1" customHeight="1">
      <c r="A246" s="531">
        <v>1018</v>
      </c>
      <c r="B246" s="529">
        <v>10</v>
      </c>
      <c r="C246" s="531" t="s">
        <v>1186</v>
      </c>
      <c r="D246" s="531" t="s">
        <v>1187</v>
      </c>
      <c r="E246" s="547">
        <v>-790000</v>
      </c>
      <c r="F246" s="547">
        <v>790000</v>
      </c>
      <c r="G246" s="547"/>
      <c r="H246" s="547"/>
      <c r="I246" s="547"/>
      <c r="J246" s="547"/>
      <c r="K246" s="547"/>
      <c r="L246" s="547"/>
      <c r="M246" s="547">
        <v>0</v>
      </c>
      <c r="N246" s="540"/>
      <c r="O246" s="540"/>
      <c r="P246" s="812">
        <f t="shared" si="12"/>
        <v>0</v>
      </c>
      <c r="Q246" s="547">
        <v>0</v>
      </c>
      <c r="R246" s="812">
        <f t="shared" si="13"/>
        <v>0</v>
      </c>
      <c r="S246" s="547">
        <f t="shared" si="13"/>
        <v>0</v>
      </c>
      <c r="T246" s="566"/>
      <c r="U246" s="567"/>
      <c r="V246" s="812">
        <f t="shared" si="14"/>
        <v>0</v>
      </c>
      <c r="W246" s="812">
        <f t="shared" si="15"/>
        <v>0</v>
      </c>
    </row>
    <row r="247" spans="1:23" ht="27" hidden="1" customHeight="1">
      <c r="A247" s="531">
        <v>1018</v>
      </c>
      <c r="B247" s="529">
        <v>10</v>
      </c>
      <c r="C247" s="531" t="s">
        <v>844</v>
      </c>
      <c r="D247" s="531" t="s">
        <v>1188</v>
      </c>
      <c r="E247" s="547">
        <v>-960000</v>
      </c>
      <c r="F247" s="547">
        <v>960000</v>
      </c>
      <c r="G247" s="547"/>
      <c r="H247" s="547"/>
      <c r="I247" s="547"/>
      <c r="J247" s="547"/>
      <c r="K247" s="547"/>
      <c r="L247" s="547"/>
      <c r="M247" s="547">
        <v>0</v>
      </c>
      <c r="N247" s="540"/>
      <c r="O247" s="540"/>
      <c r="P247" s="812">
        <f t="shared" si="12"/>
        <v>0</v>
      </c>
      <c r="Q247" s="547">
        <v>0</v>
      </c>
      <c r="R247" s="812">
        <f t="shared" si="13"/>
        <v>0</v>
      </c>
      <c r="S247" s="547">
        <f t="shared" si="13"/>
        <v>0</v>
      </c>
      <c r="T247" s="566"/>
      <c r="U247" s="567"/>
      <c r="V247" s="812">
        <f t="shared" si="14"/>
        <v>0</v>
      </c>
      <c r="W247" s="812">
        <f t="shared" si="15"/>
        <v>0</v>
      </c>
    </row>
    <row r="248" spans="1:23" ht="27" hidden="1" customHeight="1">
      <c r="A248" s="531">
        <v>1018</v>
      </c>
      <c r="B248" s="529">
        <v>10</v>
      </c>
      <c r="C248" s="531" t="s">
        <v>1247</v>
      </c>
      <c r="D248" s="531" t="s">
        <v>1105</v>
      </c>
      <c r="E248" s="547"/>
      <c r="F248" s="547"/>
      <c r="G248" s="547"/>
      <c r="H248" s="547"/>
      <c r="I248" s="547"/>
      <c r="J248" s="547"/>
      <c r="K248" s="547"/>
      <c r="L248" s="547"/>
      <c r="M248" s="547">
        <v>0</v>
      </c>
      <c r="N248" s="540"/>
      <c r="O248" s="540"/>
      <c r="P248" s="812">
        <f t="shared" si="12"/>
        <v>0</v>
      </c>
      <c r="Q248" s="547">
        <v>0</v>
      </c>
      <c r="R248" s="812">
        <f t="shared" si="13"/>
        <v>0</v>
      </c>
      <c r="S248" s="547">
        <f t="shared" si="13"/>
        <v>0</v>
      </c>
      <c r="T248" s="566"/>
      <c r="U248" s="567"/>
      <c r="V248" s="812">
        <f t="shared" si="14"/>
        <v>0</v>
      </c>
      <c r="W248" s="812">
        <f t="shared" si="15"/>
        <v>0</v>
      </c>
    </row>
    <row r="249" spans="1:23" ht="27" hidden="1" customHeight="1">
      <c r="A249" s="531">
        <v>401</v>
      </c>
      <c r="B249" s="529">
        <v>4</v>
      </c>
      <c r="C249" s="531" t="s">
        <v>487</v>
      </c>
      <c r="D249" s="531" t="s">
        <v>663</v>
      </c>
      <c r="E249" s="547"/>
      <c r="F249" s="547"/>
      <c r="G249" s="547"/>
      <c r="H249" s="547"/>
      <c r="I249" s="547"/>
      <c r="J249" s="547"/>
      <c r="K249" s="547"/>
      <c r="L249" s="547"/>
      <c r="M249" s="547">
        <v>0</v>
      </c>
      <c r="N249" s="540"/>
      <c r="O249" s="540"/>
      <c r="P249" s="812">
        <f t="shared" si="12"/>
        <v>0</v>
      </c>
      <c r="Q249" s="547">
        <v>0</v>
      </c>
      <c r="R249" s="812">
        <f t="shared" si="13"/>
        <v>0</v>
      </c>
      <c r="S249" s="547">
        <f t="shared" si="13"/>
        <v>0</v>
      </c>
      <c r="T249" s="566"/>
      <c r="U249" s="567"/>
      <c r="V249" s="812">
        <f t="shared" si="14"/>
        <v>0</v>
      </c>
      <c r="W249" s="812">
        <f t="shared" si="15"/>
        <v>0</v>
      </c>
    </row>
    <row r="250" spans="1:23" ht="27" hidden="1" customHeight="1">
      <c r="A250" s="531">
        <v>401</v>
      </c>
      <c r="B250" s="529">
        <v>4</v>
      </c>
      <c r="C250" s="531" t="s">
        <v>846</v>
      </c>
      <c r="D250" s="531" t="s">
        <v>847</v>
      </c>
      <c r="E250" s="547"/>
      <c r="F250" s="547"/>
      <c r="G250" s="547"/>
      <c r="H250" s="547"/>
      <c r="I250" s="547"/>
      <c r="J250" s="547"/>
      <c r="K250" s="547"/>
      <c r="L250" s="547"/>
      <c r="M250" s="547">
        <v>0</v>
      </c>
      <c r="N250" s="540"/>
      <c r="O250" s="540"/>
      <c r="P250" s="812">
        <f t="shared" si="12"/>
        <v>0</v>
      </c>
      <c r="Q250" s="547">
        <v>0</v>
      </c>
      <c r="R250" s="812">
        <f t="shared" si="13"/>
        <v>0</v>
      </c>
      <c r="S250" s="547">
        <f t="shared" si="13"/>
        <v>0</v>
      </c>
      <c r="T250" s="566"/>
      <c r="U250" s="567"/>
      <c r="V250" s="812">
        <f t="shared" si="14"/>
        <v>0</v>
      </c>
      <c r="W250" s="812">
        <f t="shared" si="15"/>
        <v>0</v>
      </c>
    </row>
    <row r="251" spans="1:23" ht="27" hidden="1" customHeight="1">
      <c r="A251" s="531">
        <v>1018</v>
      </c>
      <c r="B251" s="529">
        <v>10</v>
      </c>
      <c r="C251" s="531" t="s">
        <v>1189</v>
      </c>
      <c r="D251" s="531" t="s">
        <v>1190</v>
      </c>
      <c r="E251" s="547"/>
      <c r="F251" s="547"/>
      <c r="G251" s="547"/>
      <c r="H251" s="547"/>
      <c r="I251" s="547"/>
      <c r="J251" s="547"/>
      <c r="K251" s="547"/>
      <c r="L251" s="547"/>
      <c r="M251" s="547">
        <v>0</v>
      </c>
      <c r="N251" s="540"/>
      <c r="O251" s="540"/>
      <c r="P251" s="812">
        <f t="shared" si="12"/>
        <v>0</v>
      </c>
      <c r="Q251" s="547">
        <v>-52081976</v>
      </c>
      <c r="R251" s="812">
        <f t="shared" si="13"/>
        <v>0</v>
      </c>
      <c r="S251" s="547">
        <f t="shared" si="13"/>
        <v>-52</v>
      </c>
      <c r="T251" s="566"/>
      <c r="U251" s="567"/>
      <c r="V251" s="812">
        <f t="shared" si="14"/>
        <v>0</v>
      </c>
      <c r="W251" s="812">
        <f t="shared" si="15"/>
        <v>0</v>
      </c>
    </row>
    <row r="252" spans="1:23" ht="27" hidden="1" customHeight="1">
      <c r="A252" s="531">
        <v>1001</v>
      </c>
      <c r="B252" s="529">
        <v>10</v>
      </c>
      <c r="C252" s="531" t="s">
        <v>1335</v>
      </c>
      <c r="D252" s="531" t="s">
        <v>1336</v>
      </c>
      <c r="E252" s="547">
        <f>-4441954-484225-493550-762205-6662931-1936899-987101-1031219</f>
        <v>-16800084</v>
      </c>
      <c r="F252" s="547"/>
      <c r="G252" s="547"/>
      <c r="H252" s="547"/>
      <c r="I252" s="547"/>
      <c r="J252" s="547"/>
      <c r="K252" s="547"/>
      <c r="L252" s="547"/>
      <c r="M252" s="547">
        <v>0</v>
      </c>
      <c r="N252" s="540"/>
      <c r="O252" s="540"/>
      <c r="P252" s="812">
        <f t="shared" si="12"/>
        <v>-16800084</v>
      </c>
      <c r="Q252" s="547"/>
      <c r="R252" s="812">
        <f t="shared" si="13"/>
        <v>-17</v>
      </c>
      <c r="S252" s="547">
        <f t="shared" si="13"/>
        <v>0</v>
      </c>
      <c r="T252" s="566"/>
      <c r="U252" s="567"/>
      <c r="V252" s="812">
        <f t="shared" si="14"/>
        <v>-16800084</v>
      </c>
      <c r="W252" s="812">
        <f t="shared" si="15"/>
        <v>-17</v>
      </c>
    </row>
    <row r="253" spans="1:23" ht="27" hidden="1" customHeight="1">
      <c r="A253" s="531">
        <v>406</v>
      </c>
      <c r="B253" s="529">
        <v>4</v>
      </c>
      <c r="C253" s="531" t="s">
        <v>1191</v>
      </c>
      <c r="D253" s="531" t="s">
        <v>1192</v>
      </c>
      <c r="E253" s="547">
        <v>3233832</v>
      </c>
      <c r="F253" s="547"/>
      <c r="G253" s="547"/>
      <c r="H253" s="547"/>
      <c r="I253" s="547"/>
      <c r="J253" s="547"/>
      <c r="K253" s="547"/>
      <c r="L253" s="547"/>
      <c r="M253" s="547">
        <v>0</v>
      </c>
      <c r="N253" s="540"/>
      <c r="O253" s="540"/>
      <c r="P253" s="812">
        <f t="shared" si="12"/>
        <v>3233832</v>
      </c>
      <c r="Q253" s="547">
        <v>3233832</v>
      </c>
      <c r="R253" s="812">
        <f t="shared" si="13"/>
        <v>3</v>
      </c>
      <c r="S253" s="547">
        <f t="shared" si="13"/>
        <v>3</v>
      </c>
      <c r="T253" s="566"/>
      <c r="U253" s="567"/>
      <c r="V253" s="812">
        <f t="shared" si="14"/>
        <v>3233832</v>
      </c>
      <c r="W253" s="812">
        <f t="shared" si="15"/>
        <v>3</v>
      </c>
    </row>
    <row r="254" spans="1:23" ht="27" hidden="1" customHeight="1">
      <c r="A254" s="531">
        <v>1018</v>
      </c>
      <c r="B254" s="529">
        <v>10</v>
      </c>
      <c r="C254" s="531" t="s">
        <v>989</v>
      </c>
      <c r="D254" s="531" t="s">
        <v>990</v>
      </c>
      <c r="E254" s="547"/>
      <c r="F254" s="547"/>
      <c r="G254" s="547"/>
      <c r="H254" s="547"/>
      <c r="I254" s="547"/>
      <c r="J254" s="547"/>
      <c r="K254" s="547"/>
      <c r="L254" s="547"/>
      <c r="M254" s="547">
        <v>0</v>
      </c>
      <c r="N254" s="540"/>
      <c r="O254" s="540"/>
      <c r="P254" s="812">
        <f t="shared" si="12"/>
        <v>0</v>
      </c>
      <c r="Q254" s="547">
        <v>0</v>
      </c>
      <c r="R254" s="812">
        <f t="shared" si="13"/>
        <v>0</v>
      </c>
      <c r="S254" s="547">
        <f t="shared" si="13"/>
        <v>0</v>
      </c>
      <c r="T254" s="566"/>
      <c r="U254" s="567"/>
      <c r="V254" s="812">
        <f t="shared" si="14"/>
        <v>0</v>
      </c>
      <c r="W254" s="812">
        <f t="shared" si="15"/>
        <v>0</v>
      </c>
    </row>
    <row r="255" spans="1:23" ht="27" hidden="1" customHeight="1">
      <c r="A255" s="531">
        <v>1018</v>
      </c>
      <c r="B255" s="529">
        <v>10</v>
      </c>
      <c r="C255" s="531" t="s">
        <v>991</v>
      </c>
      <c r="D255" s="531" t="s">
        <v>992</v>
      </c>
      <c r="E255" s="547"/>
      <c r="F255" s="547"/>
      <c r="G255" s="547"/>
      <c r="H255" s="547"/>
      <c r="I255" s="547"/>
      <c r="J255" s="547"/>
      <c r="K255" s="547"/>
      <c r="L255" s="547"/>
      <c r="M255" s="547">
        <v>0</v>
      </c>
      <c r="N255" s="540"/>
      <c r="O255" s="540"/>
      <c r="P255" s="812">
        <f t="shared" si="12"/>
        <v>0</v>
      </c>
      <c r="Q255" s="547"/>
      <c r="R255" s="812">
        <f t="shared" si="13"/>
        <v>0</v>
      </c>
      <c r="S255" s="547">
        <f t="shared" si="13"/>
        <v>0</v>
      </c>
      <c r="T255" s="566"/>
      <c r="U255" s="567"/>
      <c r="V255" s="812">
        <f t="shared" si="14"/>
        <v>0</v>
      </c>
      <c r="W255" s="812">
        <f t="shared" si="15"/>
        <v>0</v>
      </c>
    </row>
    <row r="256" spans="1:23" ht="27" hidden="1" customHeight="1">
      <c r="A256" s="531">
        <v>1018</v>
      </c>
      <c r="B256" s="529">
        <v>10</v>
      </c>
      <c r="C256" s="531" t="s">
        <v>277</v>
      </c>
      <c r="D256" s="531" t="s">
        <v>278</v>
      </c>
      <c r="E256" s="547"/>
      <c r="F256" s="547"/>
      <c r="G256" s="547"/>
      <c r="H256" s="547"/>
      <c r="I256" s="547"/>
      <c r="J256" s="547"/>
      <c r="K256" s="547"/>
      <c r="L256" s="547"/>
      <c r="M256" s="547">
        <v>0</v>
      </c>
      <c r="N256" s="540"/>
      <c r="O256" s="540"/>
      <c r="P256" s="812">
        <f t="shared" si="12"/>
        <v>0</v>
      </c>
      <c r="Q256" s="547">
        <v>-40392918</v>
      </c>
      <c r="R256" s="812">
        <f t="shared" si="13"/>
        <v>0</v>
      </c>
      <c r="S256" s="547">
        <f t="shared" si="13"/>
        <v>-40</v>
      </c>
      <c r="T256" s="566"/>
      <c r="U256" s="567"/>
      <c r="V256" s="812">
        <f t="shared" si="14"/>
        <v>0</v>
      </c>
      <c r="W256" s="812">
        <f t="shared" si="15"/>
        <v>0</v>
      </c>
    </row>
    <row r="257" spans="1:23" ht="27" hidden="1" customHeight="1">
      <c r="A257" s="531">
        <v>1018</v>
      </c>
      <c r="B257" s="529">
        <v>10</v>
      </c>
      <c r="C257" s="531" t="s">
        <v>993</v>
      </c>
      <c r="D257" s="531" t="s">
        <v>994</v>
      </c>
      <c r="E257" s="547"/>
      <c r="F257" s="547"/>
      <c r="G257" s="547"/>
      <c r="H257" s="547"/>
      <c r="I257" s="547"/>
      <c r="J257" s="547"/>
      <c r="K257" s="547"/>
      <c r="L257" s="547"/>
      <c r="M257" s="547">
        <v>0</v>
      </c>
      <c r="N257" s="540"/>
      <c r="O257" s="540"/>
      <c r="P257" s="812">
        <f t="shared" si="12"/>
        <v>0</v>
      </c>
      <c r="Q257" s="547">
        <v>0</v>
      </c>
      <c r="R257" s="812">
        <f t="shared" si="13"/>
        <v>0</v>
      </c>
      <c r="S257" s="547">
        <f t="shared" si="13"/>
        <v>0</v>
      </c>
      <c r="T257" s="566"/>
      <c r="U257" s="567"/>
      <c r="V257" s="812">
        <f t="shared" si="14"/>
        <v>0</v>
      </c>
      <c r="W257" s="812">
        <f t="shared" si="15"/>
        <v>0</v>
      </c>
    </row>
    <row r="258" spans="1:23" ht="27" hidden="1" customHeight="1">
      <c r="A258" s="531">
        <v>1018</v>
      </c>
      <c r="B258" s="529">
        <v>10</v>
      </c>
      <c r="C258" s="531" t="s">
        <v>995</v>
      </c>
      <c r="D258" s="531" t="s">
        <v>996</v>
      </c>
      <c r="E258" s="547">
        <v>-120000</v>
      </c>
      <c r="F258" s="547">
        <v>120000</v>
      </c>
      <c r="G258" s="547"/>
      <c r="H258" s="547"/>
      <c r="I258" s="547"/>
      <c r="J258" s="547"/>
      <c r="K258" s="547"/>
      <c r="L258" s="547"/>
      <c r="M258" s="547">
        <v>0</v>
      </c>
      <c r="N258" s="540"/>
      <c r="O258" s="540"/>
      <c r="P258" s="812">
        <f t="shared" si="12"/>
        <v>0</v>
      </c>
      <c r="Q258" s="547">
        <v>0</v>
      </c>
      <c r="R258" s="812">
        <f t="shared" si="13"/>
        <v>0</v>
      </c>
      <c r="S258" s="547">
        <f t="shared" si="13"/>
        <v>0</v>
      </c>
      <c r="T258" s="566"/>
      <c r="U258" s="567"/>
      <c r="V258" s="812">
        <f t="shared" si="14"/>
        <v>0</v>
      </c>
      <c r="W258" s="812">
        <f t="shared" si="15"/>
        <v>0</v>
      </c>
    </row>
    <row r="259" spans="1:23" ht="27" hidden="1" customHeight="1">
      <c r="A259" s="531">
        <v>406</v>
      </c>
      <c r="B259" s="529">
        <v>4</v>
      </c>
      <c r="C259" s="531" t="s">
        <v>1106</v>
      </c>
      <c r="D259" s="531" t="s">
        <v>1337</v>
      </c>
      <c r="E259" s="547">
        <v>250000</v>
      </c>
      <c r="F259" s="547"/>
      <c r="G259" s="547"/>
      <c r="H259" s="547"/>
      <c r="I259" s="547"/>
      <c r="J259" s="547"/>
      <c r="K259" s="547"/>
      <c r="L259" s="547"/>
      <c r="M259" s="547">
        <v>0</v>
      </c>
      <c r="N259" s="540"/>
      <c r="O259" s="540"/>
      <c r="P259" s="812">
        <f t="shared" si="12"/>
        <v>250000</v>
      </c>
      <c r="Q259" s="547"/>
      <c r="R259" s="812">
        <f t="shared" si="13"/>
        <v>0</v>
      </c>
      <c r="S259" s="547">
        <f t="shared" si="13"/>
        <v>0</v>
      </c>
      <c r="T259" s="566"/>
      <c r="U259" s="567"/>
      <c r="V259" s="812">
        <f t="shared" si="14"/>
        <v>250000</v>
      </c>
      <c r="W259" s="812">
        <f t="shared" si="15"/>
        <v>0</v>
      </c>
    </row>
    <row r="260" spans="1:23" ht="27" hidden="1" customHeight="1">
      <c r="A260" s="531">
        <v>1018</v>
      </c>
      <c r="B260" s="529">
        <v>10</v>
      </c>
      <c r="C260" s="531" t="s">
        <v>1373</v>
      </c>
      <c r="D260" s="531" t="s">
        <v>1374</v>
      </c>
      <c r="E260" s="547"/>
      <c r="F260" s="547">
        <v>-250000</v>
      </c>
      <c r="G260" s="547"/>
      <c r="H260" s="547"/>
      <c r="I260" s="547"/>
      <c r="J260" s="547"/>
      <c r="K260" s="547"/>
      <c r="L260" s="547"/>
      <c r="M260" s="547">
        <v>0</v>
      </c>
      <c r="N260" s="540"/>
      <c r="O260" s="540"/>
      <c r="P260" s="812">
        <f t="shared" ref="P260:P323" si="16">E260+F260+G260-N260+O260+H260+I260+J260+K260+L260</f>
        <v>-250000</v>
      </c>
      <c r="Q260" s="547"/>
      <c r="R260" s="812">
        <f t="shared" ref="R260:S323" si="17">ROUND((P260/1000000),0)</f>
        <v>0</v>
      </c>
      <c r="S260" s="547">
        <f t="shared" si="17"/>
        <v>0</v>
      </c>
      <c r="T260" s="566"/>
      <c r="U260" s="567"/>
      <c r="V260" s="812">
        <f t="shared" ref="V260:V323" si="18">P260-U260+T260</f>
        <v>-250000</v>
      </c>
      <c r="W260" s="812">
        <f t="shared" ref="W260:W323" si="19">ROUND((V260/1000000),0)</f>
        <v>0</v>
      </c>
    </row>
    <row r="261" spans="1:23" ht="27" hidden="1" customHeight="1">
      <c r="A261" s="531">
        <v>1018</v>
      </c>
      <c r="B261" s="529">
        <v>10</v>
      </c>
      <c r="C261" s="531" t="s">
        <v>1193</v>
      </c>
      <c r="D261" s="531" t="s">
        <v>1194</v>
      </c>
      <c r="E261" s="547">
        <v>-1800000</v>
      </c>
      <c r="F261" s="547">
        <v>1800000</v>
      </c>
      <c r="G261" s="547"/>
      <c r="H261" s="547"/>
      <c r="I261" s="547"/>
      <c r="J261" s="547"/>
      <c r="K261" s="547"/>
      <c r="L261" s="547"/>
      <c r="M261" s="547">
        <v>0</v>
      </c>
      <c r="N261" s="540"/>
      <c r="O261" s="540"/>
      <c r="P261" s="812">
        <f t="shared" si="16"/>
        <v>0</v>
      </c>
      <c r="Q261" s="547">
        <v>0</v>
      </c>
      <c r="R261" s="812">
        <f t="shared" si="17"/>
        <v>0</v>
      </c>
      <c r="S261" s="547">
        <f t="shared" si="17"/>
        <v>0</v>
      </c>
      <c r="T261" s="566"/>
      <c r="U261" s="567"/>
      <c r="V261" s="812">
        <f t="shared" si="18"/>
        <v>0</v>
      </c>
      <c r="W261" s="812">
        <f t="shared" si="19"/>
        <v>0</v>
      </c>
    </row>
    <row r="262" spans="1:23" ht="27" hidden="1" customHeight="1">
      <c r="A262" s="531">
        <v>1001</v>
      </c>
      <c r="B262" s="529">
        <v>10</v>
      </c>
      <c r="C262" s="531" t="s">
        <v>1338</v>
      </c>
      <c r="D262" s="531" t="s">
        <v>1339</v>
      </c>
      <c r="E262" s="547">
        <v>-67990000</v>
      </c>
      <c r="F262" s="547"/>
      <c r="G262" s="547"/>
      <c r="H262" s="547"/>
      <c r="I262" s="547"/>
      <c r="J262" s="547"/>
      <c r="K262" s="547"/>
      <c r="L262" s="547"/>
      <c r="M262" s="547">
        <v>0</v>
      </c>
      <c r="N262" s="540"/>
      <c r="O262" s="540"/>
      <c r="P262" s="812">
        <f t="shared" si="16"/>
        <v>-67990000</v>
      </c>
      <c r="Q262" s="547"/>
      <c r="R262" s="812">
        <f t="shared" si="17"/>
        <v>-68</v>
      </c>
      <c r="S262" s="547">
        <f t="shared" si="17"/>
        <v>0</v>
      </c>
      <c r="T262" s="566"/>
      <c r="U262" s="567"/>
      <c r="V262" s="812">
        <f t="shared" si="18"/>
        <v>-67990000</v>
      </c>
      <c r="W262" s="812">
        <f t="shared" si="19"/>
        <v>-68</v>
      </c>
    </row>
    <row r="263" spans="1:23" ht="27" hidden="1" customHeight="1">
      <c r="A263" s="531">
        <v>1018</v>
      </c>
      <c r="B263" s="529">
        <v>10</v>
      </c>
      <c r="C263" s="531" t="s">
        <v>752</v>
      </c>
      <c r="D263" s="531" t="s">
        <v>997</v>
      </c>
      <c r="E263" s="547"/>
      <c r="F263" s="547"/>
      <c r="G263" s="547"/>
      <c r="H263" s="547"/>
      <c r="I263" s="547"/>
      <c r="J263" s="547"/>
      <c r="K263" s="547"/>
      <c r="L263" s="547"/>
      <c r="M263" s="547">
        <v>0</v>
      </c>
      <c r="N263" s="540"/>
      <c r="O263" s="540"/>
      <c r="P263" s="812">
        <f t="shared" si="16"/>
        <v>0</v>
      </c>
      <c r="Q263" s="547"/>
      <c r="R263" s="812">
        <f t="shared" si="17"/>
        <v>0</v>
      </c>
      <c r="S263" s="547">
        <f t="shared" si="17"/>
        <v>0</v>
      </c>
      <c r="T263" s="566"/>
      <c r="U263" s="567"/>
      <c r="V263" s="812">
        <f t="shared" si="18"/>
        <v>0</v>
      </c>
      <c r="W263" s="812">
        <f t="shared" si="19"/>
        <v>0</v>
      </c>
    </row>
    <row r="264" spans="1:23" ht="27" hidden="1" customHeight="1">
      <c r="A264" s="531">
        <v>1018</v>
      </c>
      <c r="B264" s="529">
        <v>10</v>
      </c>
      <c r="C264" s="531" t="s">
        <v>665</v>
      </c>
      <c r="D264" s="531" t="s">
        <v>664</v>
      </c>
      <c r="E264" s="547"/>
      <c r="F264" s="547"/>
      <c r="G264" s="547"/>
      <c r="H264" s="547"/>
      <c r="I264" s="547"/>
      <c r="J264" s="547"/>
      <c r="K264" s="547"/>
      <c r="L264" s="547"/>
      <c r="M264" s="547">
        <v>0</v>
      </c>
      <c r="N264" s="540"/>
      <c r="O264" s="540"/>
      <c r="P264" s="812">
        <f t="shared" si="16"/>
        <v>0</v>
      </c>
      <c r="Q264" s="547"/>
      <c r="R264" s="812">
        <f t="shared" si="17"/>
        <v>0</v>
      </c>
      <c r="S264" s="547">
        <f t="shared" si="17"/>
        <v>0</v>
      </c>
      <c r="T264" s="566"/>
      <c r="U264" s="567"/>
      <c r="V264" s="812">
        <f t="shared" si="18"/>
        <v>0</v>
      </c>
      <c r="W264" s="812">
        <f t="shared" si="19"/>
        <v>0</v>
      </c>
    </row>
    <row r="265" spans="1:23" ht="27" hidden="1" customHeight="1">
      <c r="A265" s="531">
        <v>406</v>
      </c>
      <c r="B265" s="529">
        <v>4</v>
      </c>
      <c r="C265" s="531" t="s">
        <v>489</v>
      </c>
      <c r="D265" s="531" t="s">
        <v>854</v>
      </c>
      <c r="E265" s="547">
        <v>71320783</v>
      </c>
      <c r="F265" s="547"/>
      <c r="G265" s="547"/>
      <c r="H265" s="547"/>
      <c r="I265" s="547"/>
      <c r="J265" s="547"/>
      <c r="K265" s="547"/>
      <c r="L265" s="547"/>
      <c r="M265" s="547">
        <v>0</v>
      </c>
      <c r="N265" s="540"/>
      <c r="O265" s="540"/>
      <c r="P265" s="812">
        <f t="shared" si="16"/>
        <v>71320783</v>
      </c>
      <c r="Q265" s="547">
        <v>71320783</v>
      </c>
      <c r="R265" s="812">
        <f t="shared" si="17"/>
        <v>71</v>
      </c>
      <c r="S265" s="547">
        <f t="shared" si="17"/>
        <v>71</v>
      </c>
      <c r="T265" s="566"/>
      <c r="U265" s="567"/>
      <c r="V265" s="812">
        <f t="shared" si="18"/>
        <v>71320783</v>
      </c>
      <c r="W265" s="812">
        <f t="shared" si="19"/>
        <v>71</v>
      </c>
    </row>
    <row r="266" spans="1:23" ht="27" hidden="1" customHeight="1">
      <c r="A266" s="531">
        <v>406</v>
      </c>
      <c r="B266" s="529">
        <v>4</v>
      </c>
      <c r="C266" s="531" t="s">
        <v>293</v>
      </c>
      <c r="D266" s="531" t="s">
        <v>467</v>
      </c>
      <c r="E266" s="547">
        <v>4347974151</v>
      </c>
      <c r="F266" s="547"/>
      <c r="G266" s="547"/>
      <c r="H266" s="547"/>
      <c r="I266" s="547"/>
      <c r="J266" s="547"/>
      <c r="K266" s="547"/>
      <c r="L266" s="547"/>
      <c r="M266" s="547">
        <v>0</v>
      </c>
      <c r="N266" s="540"/>
      <c r="O266" s="540"/>
      <c r="P266" s="812">
        <f t="shared" si="16"/>
        <v>4347974151</v>
      </c>
      <c r="Q266" s="547">
        <f>844174550296-4468665731+4468665728+36961412183-36961412180-860511371003+6997956447+11342438691</f>
        <v>2003574431</v>
      </c>
      <c r="R266" s="812">
        <f t="shared" si="17"/>
        <v>4348</v>
      </c>
      <c r="S266" s="547">
        <f t="shared" si="17"/>
        <v>2004</v>
      </c>
      <c r="T266" s="566"/>
      <c r="U266" s="567"/>
      <c r="V266" s="812">
        <f t="shared" si="18"/>
        <v>4347974151</v>
      </c>
      <c r="W266" s="812">
        <f t="shared" si="19"/>
        <v>4348</v>
      </c>
    </row>
    <row r="267" spans="1:23" ht="27" hidden="1" customHeight="1">
      <c r="A267" s="531">
        <v>408</v>
      </c>
      <c r="B267" s="529">
        <v>4</v>
      </c>
      <c r="C267" s="531" t="s">
        <v>293</v>
      </c>
      <c r="D267" s="531" t="s">
        <v>1435</v>
      </c>
      <c r="E267" s="547"/>
      <c r="F267" s="547"/>
      <c r="G267" s="547">
        <v>1257347102785</v>
      </c>
      <c r="H267" s="547"/>
      <c r="I267" s="547"/>
      <c r="J267" s="547"/>
      <c r="K267" s="547">
        <v>496652400</v>
      </c>
      <c r="L267" s="547"/>
      <c r="M267" s="547">
        <v>0</v>
      </c>
      <c r="N267" s="540"/>
      <c r="O267" s="540"/>
      <c r="P267" s="812">
        <f t="shared" si="16"/>
        <v>1257843755185</v>
      </c>
      <c r="Q267" s="547">
        <f>36961412180+860511371003-6997956447-11342438691</f>
        <v>879132388045</v>
      </c>
      <c r="R267" s="812">
        <f t="shared" si="17"/>
        <v>1257844</v>
      </c>
      <c r="S267" s="547">
        <f t="shared" si="17"/>
        <v>879132</v>
      </c>
      <c r="T267" s="566"/>
      <c r="U267" s="570"/>
      <c r="V267" s="812">
        <f t="shared" si="18"/>
        <v>1257843755185</v>
      </c>
      <c r="W267" s="812">
        <f t="shared" si="19"/>
        <v>1257844</v>
      </c>
    </row>
    <row r="268" spans="1:23" ht="39.75" hidden="1" customHeight="1">
      <c r="A268" s="531">
        <v>506</v>
      </c>
      <c r="B268" s="529">
        <v>5</v>
      </c>
      <c r="C268" s="534" t="s">
        <v>298</v>
      </c>
      <c r="D268" s="534" t="s">
        <v>1055</v>
      </c>
      <c r="E268" s="547"/>
      <c r="F268" s="547"/>
      <c r="G268" s="547"/>
      <c r="H268" s="547"/>
      <c r="I268" s="547"/>
      <c r="J268" s="547"/>
      <c r="K268" s="547"/>
      <c r="L268" s="547"/>
      <c r="M268" s="547">
        <v>0</v>
      </c>
      <c r="N268" s="540"/>
      <c r="O268" s="540"/>
      <c r="P268" s="812">
        <f t="shared" si="16"/>
        <v>0</v>
      </c>
      <c r="Q268" s="547"/>
      <c r="R268" s="812">
        <f t="shared" si="17"/>
        <v>0</v>
      </c>
      <c r="S268" s="547">
        <f t="shared" si="17"/>
        <v>0</v>
      </c>
      <c r="T268" s="566"/>
      <c r="U268" s="571"/>
      <c r="V268" s="812">
        <f t="shared" si="18"/>
        <v>0</v>
      </c>
      <c r="W268" s="812">
        <f t="shared" si="19"/>
        <v>0</v>
      </c>
    </row>
    <row r="269" spans="1:23" ht="27" hidden="1" customHeight="1">
      <c r="A269" s="531">
        <v>501</v>
      </c>
      <c r="B269" s="529">
        <v>5</v>
      </c>
      <c r="C269" s="531" t="s">
        <v>449</v>
      </c>
      <c r="D269" s="531" t="s">
        <v>900</v>
      </c>
      <c r="E269" s="548"/>
      <c r="F269" s="548"/>
      <c r="G269" s="548"/>
      <c r="H269" s="548"/>
      <c r="I269" s="548"/>
      <c r="J269" s="548"/>
      <c r="K269" s="548"/>
      <c r="L269" s="548"/>
      <c r="M269" s="548">
        <v>0</v>
      </c>
      <c r="N269" s="541"/>
      <c r="O269" s="541"/>
      <c r="P269" s="812">
        <f t="shared" si="16"/>
        <v>0</v>
      </c>
      <c r="Q269" s="548"/>
      <c r="R269" s="812">
        <f t="shared" si="17"/>
        <v>0</v>
      </c>
      <c r="S269" s="548">
        <f t="shared" si="17"/>
        <v>0</v>
      </c>
      <c r="T269" s="568"/>
      <c r="U269" s="567"/>
      <c r="V269" s="812">
        <f t="shared" si="18"/>
        <v>0</v>
      </c>
      <c r="W269" s="812">
        <f t="shared" si="19"/>
        <v>0</v>
      </c>
    </row>
    <row r="270" spans="1:23" ht="27" hidden="1" customHeight="1">
      <c r="A270" s="531">
        <v>501</v>
      </c>
      <c r="B270" s="529">
        <v>5</v>
      </c>
      <c r="C270" s="531" t="s">
        <v>452</v>
      </c>
      <c r="D270" s="531" t="s">
        <v>900</v>
      </c>
      <c r="E270" s="547">
        <v>1941420</v>
      </c>
      <c r="F270" s="547"/>
      <c r="G270" s="547"/>
      <c r="H270" s="547"/>
      <c r="I270" s="547"/>
      <c r="J270" s="547"/>
      <c r="K270" s="547"/>
      <c r="L270" s="547"/>
      <c r="M270" s="547">
        <v>0</v>
      </c>
      <c r="N270" s="540"/>
      <c r="O270" s="540"/>
      <c r="P270" s="812">
        <f t="shared" si="16"/>
        <v>1941420</v>
      </c>
      <c r="Q270" s="547"/>
      <c r="R270" s="812">
        <f t="shared" si="17"/>
        <v>2</v>
      </c>
      <c r="S270" s="547">
        <f t="shared" si="17"/>
        <v>0</v>
      </c>
      <c r="T270" s="566"/>
      <c r="U270" s="567"/>
      <c r="V270" s="812">
        <f t="shared" si="18"/>
        <v>1941420</v>
      </c>
      <c r="W270" s="812">
        <f t="shared" si="19"/>
        <v>2</v>
      </c>
    </row>
    <row r="271" spans="1:23" ht="27" hidden="1" customHeight="1">
      <c r="A271" s="531">
        <v>501</v>
      </c>
      <c r="B271" s="529">
        <v>5</v>
      </c>
      <c r="C271" s="531" t="s">
        <v>460</v>
      </c>
      <c r="D271" s="531" t="s">
        <v>757</v>
      </c>
      <c r="E271" s="551">
        <v>2195551578739</v>
      </c>
      <c r="F271" s="551"/>
      <c r="G271" s="551"/>
      <c r="H271" s="551"/>
      <c r="I271" s="551"/>
      <c r="J271" s="551"/>
      <c r="K271" s="551"/>
      <c r="L271" s="551"/>
      <c r="M271" s="551">
        <v>0</v>
      </c>
      <c r="N271" s="542"/>
      <c r="O271" s="542"/>
      <c r="P271" s="812">
        <f t="shared" si="16"/>
        <v>2195551578739</v>
      </c>
      <c r="Q271" s="551">
        <v>1873755654805</v>
      </c>
      <c r="R271" s="812">
        <f t="shared" si="17"/>
        <v>2195552</v>
      </c>
      <c r="S271" s="551">
        <f t="shared" si="17"/>
        <v>1873756</v>
      </c>
      <c r="T271" s="572"/>
      <c r="U271" s="567"/>
      <c r="V271" s="812">
        <f t="shared" si="18"/>
        <v>2195551578739</v>
      </c>
      <c r="W271" s="812">
        <f t="shared" si="19"/>
        <v>2195552</v>
      </c>
    </row>
    <row r="272" spans="1:23" ht="27" hidden="1" customHeight="1">
      <c r="A272" s="531">
        <v>501</v>
      </c>
      <c r="B272" s="529">
        <v>5</v>
      </c>
      <c r="C272" s="531" t="s">
        <v>460</v>
      </c>
      <c r="D272" s="531" t="s">
        <v>758</v>
      </c>
      <c r="E272" s="547"/>
      <c r="F272" s="547"/>
      <c r="G272" s="547"/>
      <c r="H272" s="547"/>
      <c r="I272" s="547"/>
      <c r="J272" s="547"/>
      <c r="K272" s="547"/>
      <c r="L272" s="547"/>
      <c r="M272" s="547">
        <v>0</v>
      </c>
      <c r="N272" s="540"/>
      <c r="O272" s="540"/>
      <c r="P272" s="812">
        <f t="shared" si="16"/>
        <v>0</v>
      </c>
      <c r="Q272" s="547"/>
      <c r="R272" s="812">
        <f t="shared" si="17"/>
        <v>0</v>
      </c>
      <c r="S272" s="547">
        <f t="shared" si="17"/>
        <v>0</v>
      </c>
      <c r="T272" s="566"/>
      <c r="U272" s="567"/>
      <c r="V272" s="812">
        <f t="shared" si="18"/>
        <v>0</v>
      </c>
      <c r="W272" s="812">
        <f t="shared" si="19"/>
        <v>0</v>
      </c>
    </row>
    <row r="273" spans="1:23" ht="27" hidden="1" customHeight="1">
      <c r="A273" s="531">
        <v>503</v>
      </c>
      <c r="B273" s="529">
        <v>5</v>
      </c>
      <c r="C273" s="531" t="s">
        <v>460</v>
      </c>
      <c r="D273" s="531" t="s">
        <v>759</v>
      </c>
      <c r="E273" s="547"/>
      <c r="F273" s="547"/>
      <c r="G273" s="547"/>
      <c r="H273" s="547"/>
      <c r="I273" s="547"/>
      <c r="J273" s="547"/>
      <c r="K273" s="547"/>
      <c r="L273" s="547"/>
      <c r="M273" s="547">
        <v>0</v>
      </c>
      <c r="N273" s="540"/>
      <c r="O273" s="540"/>
      <c r="P273" s="812">
        <f t="shared" si="16"/>
        <v>0</v>
      </c>
      <c r="Q273" s="547"/>
      <c r="R273" s="812">
        <f t="shared" si="17"/>
        <v>0</v>
      </c>
      <c r="S273" s="547">
        <f t="shared" si="17"/>
        <v>0</v>
      </c>
      <c r="T273" s="566"/>
      <c r="U273" s="567"/>
      <c r="V273" s="812">
        <f t="shared" si="18"/>
        <v>0</v>
      </c>
      <c r="W273" s="812">
        <f t="shared" si="19"/>
        <v>0</v>
      </c>
    </row>
    <row r="274" spans="1:23" ht="27" hidden="1" customHeight="1">
      <c r="A274" s="531">
        <v>406</v>
      </c>
      <c r="B274" s="529">
        <v>4</v>
      </c>
      <c r="C274" s="531" t="s">
        <v>450</v>
      </c>
      <c r="D274" s="531" t="s">
        <v>1011</v>
      </c>
      <c r="E274" s="547"/>
      <c r="F274" s="547"/>
      <c r="G274" s="547"/>
      <c r="H274" s="547"/>
      <c r="I274" s="547"/>
      <c r="J274" s="547"/>
      <c r="K274" s="547"/>
      <c r="L274" s="547"/>
      <c r="M274" s="547">
        <v>0</v>
      </c>
      <c r="N274" s="540"/>
      <c r="O274" s="540"/>
      <c r="P274" s="812">
        <f t="shared" si="16"/>
        <v>0</v>
      </c>
      <c r="Q274" s="547"/>
      <c r="R274" s="812">
        <f t="shared" si="17"/>
        <v>0</v>
      </c>
      <c r="S274" s="547">
        <f t="shared" si="17"/>
        <v>0</v>
      </c>
      <c r="T274" s="566"/>
      <c r="U274" s="567"/>
      <c r="V274" s="812">
        <f t="shared" si="18"/>
        <v>0</v>
      </c>
      <c r="W274" s="812">
        <f t="shared" si="19"/>
        <v>0</v>
      </c>
    </row>
    <row r="275" spans="1:23" ht="27" hidden="1" customHeight="1">
      <c r="A275" s="531">
        <v>908</v>
      </c>
      <c r="B275" s="529">
        <v>9</v>
      </c>
      <c r="C275" s="531" t="s">
        <v>454</v>
      </c>
      <c r="D275" s="531" t="s">
        <v>1012</v>
      </c>
      <c r="E275" s="547"/>
      <c r="F275" s="547"/>
      <c r="G275" s="547"/>
      <c r="H275" s="547"/>
      <c r="I275" s="547"/>
      <c r="J275" s="547"/>
      <c r="K275" s="547"/>
      <c r="L275" s="547"/>
      <c r="M275" s="547">
        <v>0</v>
      </c>
      <c r="N275" s="540"/>
      <c r="O275" s="540"/>
      <c r="P275" s="812">
        <f t="shared" si="16"/>
        <v>0</v>
      </c>
      <c r="Q275" s="547"/>
      <c r="R275" s="812">
        <f t="shared" si="17"/>
        <v>0</v>
      </c>
      <c r="S275" s="547">
        <f t="shared" si="17"/>
        <v>0</v>
      </c>
      <c r="T275" s="566"/>
      <c r="U275" s="567"/>
      <c r="V275" s="812">
        <f t="shared" si="18"/>
        <v>0</v>
      </c>
      <c r="W275" s="812">
        <f t="shared" si="19"/>
        <v>0</v>
      </c>
    </row>
    <row r="276" spans="1:23" ht="27" hidden="1" customHeight="1">
      <c r="A276" s="531">
        <v>908</v>
      </c>
      <c r="B276" s="529">
        <v>9</v>
      </c>
      <c r="C276" s="531" t="s">
        <v>462</v>
      </c>
      <c r="D276" s="531" t="s">
        <v>463</v>
      </c>
      <c r="E276" s="547">
        <v>533985186443</v>
      </c>
      <c r="F276" s="547"/>
      <c r="G276" s="547"/>
      <c r="H276" s="547"/>
      <c r="I276" s="547"/>
      <c r="J276" s="547"/>
      <c r="K276" s="547"/>
      <c r="L276" s="547"/>
      <c r="M276" s="547">
        <v>0</v>
      </c>
      <c r="N276" s="540"/>
      <c r="O276" s="540"/>
      <c r="P276" s="812">
        <f t="shared" si="16"/>
        <v>533985186443</v>
      </c>
      <c r="Q276" s="547">
        <v>576543745932</v>
      </c>
      <c r="R276" s="812">
        <f t="shared" si="17"/>
        <v>533985</v>
      </c>
      <c r="S276" s="547">
        <f t="shared" si="17"/>
        <v>576544</v>
      </c>
      <c r="T276" s="566"/>
      <c r="U276" s="567"/>
      <c r="V276" s="812">
        <f t="shared" si="18"/>
        <v>533985186443</v>
      </c>
      <c r="W276" s="812">
        <f t="shared" si="19"/>
        <v>533985</v>
      </c>
    </row>
    <row r="277" spans="1:23" ht="27" hidden="1" customHeight="1">
      <c r="A277" s="531">
        <v>501</v>
      </c>
      <c r="B277" s="529">
        <v>5</v>
      </c>
      <c r="C277" s="531" t="s">
        <v>395</v>
      </c>
      <c r="D277" s="531" t="s">
        <v>1027</v>
      </c>
      <c r="E277" s="547"/>
      <c r="F277" s="547"/>
      <c r="G277" s="547"/>
      <c r="H277" s="547"/>
      <c r="I277" s="547"/>
      <c r="J277" s="547"/>
      <c r="K277" s="547"/>
      <c r="L277" s="547"/>
      <c r="M277" s="547">
        <v>0</v>
      </c>
      <c r="N277" s="540"/>
      <c r="O277" s="540"/>
      <c r="P277" s="812">
        <f t="shared" si="16"/>
        <v>0</v>
      </c>
      <c r="Q277" s="547"/>
      <c r="R277" s="812">
        <f t="shared" si="17"/>
        <v>0</v>
      </c>
      <c r="S277" s="547">
        <f t="shared" si="17"/>
        <v>0</v>
      </c>
      <c r="T277" s="566"/>
      <c r="U277" s="567"/>
      <c r="V277" s="812">
        <f t="shared" si="18"/>
        <v>0</v>
      </c>
      <c r="W277" s="812">
        <f t="shared" si="19"/>
        <v>0</v>
      </c>
    </row>
    <row r="278" spans="1:23" ht="27" hidden="1" customHeight="1">
      <c r="A278" s="531">
        <v>501</v>
      </c>
      <c r="B278" s="529">
        <v>5</v>
      </c>
      <c r="C278" s="531" t="s">
        <v>1006</v>
      </c>
      <c r="D278" s="531" t="s">
        <v>1007</v>
      </c>
      <c r="E278" s="547"/>
      <c r="F278" s="547"/>
      <c r="G278" s="547"/>
      <c r="H278" s="547"/>
      <c r="I278" s="547"/>
      <c r="J278" s="547"/>
      <c r="K278" s="547"/>
      <c r="L278" s="547"/>
      <c r="M278" s="547">
        <v>0</v>
      </c>
      <c r="N278" s="540"/>
      <c r="O278" s="540"/>
      <c r="P278" s="812">
        <f t="shared" si="16"/>
        <v>0</v>
      </c>
      <c r="Q278" s="547">
        <v>0</v>
      </c>
      <c r="R278" s="812">
        <f t="shared" si="17"/>
        <v>0</v>
      </c>
      <c r="S278" s="547">
        <f t="shared" si="17"/>
        <v>0</v>
      </c>
      <c r="T278" s="566"/>
      <c r="U278" s="567"/>
      <c r="V278" s="812">
        <f t="shared" si="18"/>
        <v>0</v>
      </c>
      <c r="W278" s="812">
        <f t="shared" si="19"/>
        <v>0</v>
      </c>
    </row>
    <row r="279" spans="1:23" ht="27" hidden="1" customHeight="1">
      <c r="A279" s="531"/>
      <c r="B279" s="529">
        <v>5</v>
      </c>
      <c r="C279" s="531" t="s">
        <v>167</v>
      </c>
      <c r="D279" s="531" t="s">
        <v>1026</v>
      </c>
      <c r="E279" s="547"/>
      <c r="F279" s="547"/>
      <c r="G279" s="547"/>
      <c r="H279" s="547"/>
      <c r="I279" s="547"/>
      <c r="J279" s="547"/>
      <c r="K279" s="547"/>
      <c r="L279" s="547"/>
      <c r="M279" s="547">
        <v>0</v>
      </c>
      <c r="N279" s="540"/>
      <c r="O279" s="540"/>
      <c r="P279" s="812">
        <f t="shared" si="16"/>
        <v>0</v>
      </c>
      <c r="Q279" s="547"/>
      <c r="R279" s="812">
        <f t="shared" si="17"/>
        <v>0</v>
      </c>
      <c r="S279" s="547">
        <f t="shared" si="17"/>
        <v>0</v>
      </c>
      <c r="T279" s="566"/>
      <c r="U279" s="567"/>
      <c r="V279" s="812">
        <f t="shared" si="18"/>
        <v>0</v>
      </c>
      <c r="W279" s="812">
        <f t="shared" si="19"/>
        <v>0</v>
      </c>
    </row>
    <row r="280" spans="1:23" ht="27" hidden="1" customHeight="1">
      <c r="A280" s="531">
        <v>501</v>
      </c>
      <c r="B280" s="529">
        <v>5</v>
      </c>
      <c r="C280" s="531" t="s">
        <v>1008</v>
      </c>
      <c r="D280" s="531" t="s">
        <v>1007</v>
      </c>
      <c r="E280" s="547">
        <v>2017</v>
      </c>
      <c r="F280" s="547"/>
      <c r="G280" s="547"/>
      <c r="H280" s="547"/>
      <c r="I280" s="547"/>
      <c r="J280" s="547"/>
      <c r="K280" s="547"/>
      <c r="L280" s="547"/>
      <c r="M280" s="547">
        <v>0</v>
      </c>
      <c r="N280" s="540"/>
      <c r="O280" s="540"/>
      <c r="P280" s="812">
        <f t="shared" si="16"/>
        <v>2017</v>
      </c>
      <c r="Q280" s="547">
        <v>0</v>
      </c>
      <c r="R280" s="812">
        <f t="shared" si="17"/>
        <v>0</v>
      </c>
      <c r="S280" s="547">
        <f t="shared" si="17"/>
        <v>0</v>
      </c>
      <c r="T280" s="566"/>
      <c r="U280" s="567"/>
      <c r="V280" s="812">
        <f t="shared" si="18"/>
        <v>2017</v>
      </c>
      <c r="W280" s="812">
        <f t="shared" si="19"/>
        <v>0</v>
      </c>
    </row>
    <row r="281" spans="1:23" ht="27" hidden="1" customHeight="1">
      <c r="A281" s="531"/>
      <c r="B281" s="529">
        <v>5</v>
      </c>
      <c r="C281" s="531" t="s">
        <v>1023</v>
      </c>
      <c r="D281" s="531" t="s">
        <v>1024</v>
      </c>
      <c r="E281" s="547"/>
      <c r="F281" s="547"/>
      <c r="G281" s="547"/>
      <c r="H281" s="547"/>
      <c r="I281" s="547"/>
      <c r="J281" s="547"/>
      <c r="K281" s="547"/>
      <c r="L281" s="547"/>
      <c r="M281" s="547">
        <v>0</v>
      </c>
      <c r="N281" s="540"/>
      <c r="O281" s="540"/>
      <c r="P281" s="812">
        <f t="shared" si="16"/>
        <v>0</v>
      </c>
      <c r="Q281" s="547"/>
      <c r="R281" s="812">
        <f t="shared" si="17"/>
        <v>0</v>
      </c>
      <c r="S281" s="547">
        <f t="shared" si="17"/>
        <v>0</v>
      </c>
      <c r="T281" s="566"/>
      <c r="U281" s="567"/>
      <c r="V281" s="812">
        <f t="shared" si="18"/>
        <v>0</v>
      </c>
      <c r="W281" s="812">
        <f t="shared" si="19"/>
        <v>0</v>
      </c>
    </row>
    <row r="282" spans="1:23" ht="27" hidden="1" customHeight="1">
      <c r="A282" s="531">
        <v>506</v>
      </c>
      <c r="B282" s="529">
        <v>5</v>
      </c>
      <c r="C282" s="531" t="s">
        <v>282</v>
      </c>
      <c r="D282" s="531" t="s">
        <v>283</v>
      </c>
      <c r="E282" s="547">
        <v>861775263</v>
      </c>
      <c r="F282" s="547"/>
      <c r="G282" s="547"/>
      <c r="H282" s="547"/>
      <c r="I282" s="547"/>
      <c r="J282" s="547"/>
      <c r="K282" s="547"/>
      <c r="L282" s="547"/>
      <c r="M282" s="547">
        <v>0</v>
      </c>
      <c r="N282" s="540"/>
      <c r="O282" s="540"/>
      <c r="P282" s="812">
        <f t="shared" si="16"/>
        <v>861775263</v>
      </c>
      <c r="Q282" s="547">
        <v>861748308</v>
      </c>
      <c r="R282" s="812">
        <f t="shared" si="17"/>
        <v>862</v>
      </c>
      <c r="S282" s="547">
        <f t="shared" si="17"/>
        <v>862</v>
      </c>
      <c r="T282" s="566"/>
      <c r="U282" s="567"/>
      <c r="V282" s="812">
        <f t="shared" si="18"/>
        <v>861775263</v>
      </c>
      <c r="W282" s="812">
        <f t="shared" si="19"/>
        <v>862</v>
      </c>
    </row>
    <row r="283" spans="1:23" ht="27" hidden="1" customHeight="1">
      <c r="A283" s="531">
        <v>907</v>
      </c>
      <c r="B283" s="529">
        <v>9</v>
      </c>
      <c r="C283" s="531" t="s">
        <v>76</v>
      </c>
      <c r="D283" s="531" t="s">
        <v>77</v>
      </c>
      <c r="E283" s="547">
        <v>103561380</v>
      </c>
      <c r="F283" s="547"/>
      <c r="G283" s="547"/>
      <c r="H283" s="547"/>
      <c r="I283" s="547"/>
      <c r="J283" s="547"/>
      <c r="K283" s="547"/>
      <c r="L283" s="547"/>
      <c r="M283" s="547">
        <v>0</v>
      </c>
      <c r="N283" s="540"/>
      <c r="O283" s="540"/>
      <c r="P283" s="812">
        <f t="shared" si="16"/>
        <v>103561380</v>
      </c>
      <c r="Q283" s="547"/>
      <c r="R283" s="812">
        <f t="shared" si="17"/>
        <v>104</v>
      </c>
      <c r="S283" s="547">
        <f t="shared" si="17"/>
        <v>0</v>
      </c>
      <c r="T283" s="566"/>
      <c r="U283" s="567"/>
      <c r="V283" s="812">
        <f t="shared" si="18"/>
        <v>103561380</v>
      </c>
      <c r="W283" s="812">
        <f t="shared" si="19"/>
        <v>104</v>
      </c>
    </row>
    <row r="284" spans="1:23" ht="27" hidden="1" customHeight="1">
      <c r="A284" s="531">
        <v>506</v>
      </c>
      <c r="B284" s="529">
        <v>5</v>
      </c>
      <c r="C284" s="531" t="s">
        <v>464</v>
      </c>
      <c r="D284" s="531" t="s">
        <v>311</v>
      </c>
      <c r="E284" s="547">
        <v>-744179185</v>
      </c>
      <c r="F284" s="547"/>
      <c r="G284" s="547"/>
      <c r="H284" s="547"/>
      <c r="I284" s="547"/>
      <c r="J284" s="547"/>
      <c r="K284" s="547"/>
      <c r="L284" s="547"/>
      <c r="M284" s="547">
        <v>0</v>
      </c>
      <c r="N284" s="540"/>
      <c r="O284" s="540"/>
      <c r="P284" s="812">
        <f t="shared" si="16"/>
        <v>-744179185</v>
      </c>
      <c r="Q284" s="547">
        <v>-740284669</v>
      </c>
      <c r="R284" s="812">
        <f t="shared" si="17"/>
        <v>-744</v>
      </c>
      <c r="S284" s="547">
        <f t="shared" si="17"/>
        <v>-740</v>
      </c>
      <c r="T284" s="566"/>
      <c r="U284" s="567"/>
      <c r="V284" s="812">
        <f t="shared" si="18"/>
        <v>-744179185</v>
      </c>
      <c r="W284" s="812">
        <f t="shared" si="19"/>
        <v>-744</v>
      </c>
    </row>
    <row r="285" spans="1:23" ht="27" hidden="1" customHeight="1">
      <c r="A285" s="531">
        <v>506</v>
      </c>
      <c r="B285" s="529">
        <v>5</v>
      </c>
      <c r="C285" s="531" t="s">
        <v>594</v>
      </c>
      <c r="D285" s="531" t="s">
        <v>314</v>
      </c>
      <c r="E285" s="547">
        <f>302233-31605</f>
        <v>270628</v>
      </c>
      <c r="F285" s="547"/>
      <c r="G285" s="547"/>
      <c r="H285" s="547"/>
      <c r="I285" s="547"/>
      <c r="J285" s="547"/>
      <c r="K285" s="547"/>
      <c r="L285" s="547"/>
      <c r="M285" s="547">
        <v>0</v>
      </c>
      <c r="N285" s="540"/>
      <c r="O285" s="540"/>
      <c r="P285" s="812">
        <f t="shared" si="16"/>
        <v>270628</v>
      </c>
      <c r="Q285" s="547"/>
      <c r="R285" s="812">
        <f t="shared" si="17"/>
        <v>0</v>
      </c>
      <c r="S285" s="547">
        <f t="shared" si="17"/>
        <v>0</v>
      </c>
      <c r="T285" s="566"/>
      <c r="U285" s="567"/>
      <c r="V285" s="812">
        <f t="shared" si="18"/>
        <v>270628</v>
      </c>
      <c r="W285" s="812">
        <f t="shared" si="19"/>
        <v>0</v>
      </c>
    </row>
    <row r="286" spans="1:23" ht="27" hidden="1" customHeight="1">
      <c r="A286" s="531">
        <v>506</v>
      </c>
      <c r="B286" s="529">
        <v>5</v>
      </c>
      <c r="C286" s="531" t="s">
        <v>595</v>
      </c>
      <c r="D286" s="531" t="s">
        <v>315</v>
      </c>
      <c r="E286" s="547"/>
      <c r="F286" s="547"/>
      <c r="G286" s="547"/>
      <c r="H286" s="547"/>
      <c r="I286" s="547"/>
      <c r="J286" s="547"/>
      <c r="K286" s="547"/>
      <c r="L286" s="547"/>
      <c r="M286" s="547">
        <v>0</v>
      </c>
      <c r="N286" s="540"/>
      <c r="O286" s="540"/>
      <c r="P286" s="812">
        <f t="shared" si="16"/>
        <v>0</v>
      </c>
      <c r="Q286" s="547"/>
      <c r="R286" s="812">
        <f t="shared" si="17"/>
        <v>0</v>
      </c>
      <c r="S286" s="547">
        <f t="shared" si="17"/>
        <v>0</v>
      </c>
      <c r="T286" s="566"/>
      <c r="U286" s="567"/>
      <c r="V286" s="812">
        <f t="shared" si="18"/>
        <v>0</v>
      </c>
      <c r="W286" s="812">
        <f t="shared" si="19"/>
        <v>0</v>
      </c>
    </row>
    <row r="287" spans="1:23" ht="27" hidden="1" customHeight="1">
      <c r="A287" s="531">
        <v>506</v>
      </c>
      <c r="B287" s="529">
        <v>5</v>
      </c>
      <c r="C287" s="531" t="s">
        <v>333</v>
      </c>
      <c r="D287" s="531" t="s">
        <v>334</v>
      </c>
      <c r="E287" s="547">
        <v>525822</v>
      </c>
      <c r="F287" s="547"/>
      <c r="G287" s="547"/>
      <c r="H287" s="547"/>
      <c r="I287" s="547"/>
      <c r="J287" s="547"/>
      <c r="K287" s="547"/>
      <c r="L287" s="547"/>
      <c r="M287" s="547">
        <v>0</v>
      </c>
      <c r="N287" s="540"/>
      <c r="O287" s="540"/>
      <c r="P287" s="812">
        <f t="shared" si="16"/>
        <v>525822</v>
      </c>
      <c r="Q287" s="547">
        <v>-5799740790</v>
      </c>
      <c r="R287" s="812">
        <f t="shared" si="17"/>
        <v>1</v>
      </c>
      <c r="S287" s="547">
        <f t="shared" si="17"/>
        <v>-5800</v>
      </c>
      <c r="T287" s="566"/>
      <c r="U287" s="567"/>
      <c r="V287" s="812">
        <f t="shared" si="18"/>
        <v>525822</v>
      </c>
      <c r="W287" s="812">
        <f t="shared" si="19"/>
        <v>1</v>
      </c>
    </row>
    <row r="288" spans="1:23" ht="27" hidden="1" customHeight="1">
      <c r="A288" s="531"/>
      <c r="B288" s="529">
        <v>5</v>
      </c>
      <c r="C288" s="531" t="s">
        <v>316</v>
      </c>
      <c r="D288" s="531" t="s">
        <v>1029</v>
      </c>
      <c r="E288" s="547">
        <v>1</v>
      </c>
      <c r="F288" s="547"/>
      <c r="G288" s="547"/>
      <c r="H288" s="547"/>
      <c r="I288" s="547"/>
      <c r="J288" s="547"/>
      <c r="K288" s="547"/>
      <c r="L288" s="547"/>
      <c r="M288" s="547">
        <v>0</v>
      </c>
      <c r="N288" s="540"/>
      <c r="O288" s="540"/>
      <c r="P288" s="812">
        <f t="shared" si="16"/>
        <v>1</v>
      </c>
      <c r="Q288" s="547">
        <v>0</v>
      </c>
      <c r="R288" s="812">
        <f t="shared" si="17"/>
        <v>0</v>
      </c>
      <c r="S288" s="547">
        <f t="shared" si="17"/>
        <v>0</v>
      </c>
      <c r="T288" s="566"/>
      <c r="U288" s="567"/>
      <c r="V288" s="812">
        <f t="shared" si="18"/>
        <v>1</v>
      </c>
      <c r="W288" s="812">
        <f t="shared" si="19"/>
        <v>0</v>
      </c>
    </row>
    <row r="289" spans="1:23" ht="27" hidden="1" customHeight="1">
      <c r="A289" s="531">
        <v>506</v>
      </c>
      <c r="B289" s="529">
        <v>5</v>
      </c>
      <c r="C289" s="531" t="s">
        <v>902</v>
      </c>
      <c r="D289" s="531" t="s">
        <v>911</v>
      </c>
      <c r="E289" s="547"/>
      <c r="F289" s="547"/>
      <c r="G289" s="547"/>
      <c r="H289" s="547"/>
      <c r="I289" s="547"/>
      <c r="J289" s="547"/>
      <c r="K289" s="547"/>
      <c r="L289" s="547"/>
      <c r="M289" s="547">
        <v>0</v>
      </c>
      <c r="N289" s="540"/>
      <c r="O289" s="540"/>
      <c r="P289" s="812">
        <f t="shared" si="16"/>
        <v>0</v>
      </c>
      <c r="Q289" s="547"/>
      <c r="R289" s="812">
        <f t="shared" si="17"/>
        <v>0</v>
      </c>
      <c r="S289" s="547">
        <f t="shared" si="17"/>
        <v>0</v>
      </c>
      <c r="T289" s="566"/>
      <c r="U289" s="567"/>
      <c r="V289" s="812">
        <f t="shared" si="18"/>
        <v>0</v>
      </c>
      <c r="W289" s="812">
        <f t="shared" si="19"/>
        <v>0</v>
      </c>
    </row>
    <row r="290" spans="1:23" ht="27" hidden="1" customHeight="1">
      <c r="A290" s="531">
        <v>506</v>
      </c>
      <c r="B290" s="529">
        <v>5</v>
      </c>
      <c r="C290" s="531" t="s">
        <v>596</v>
      </c>
      <c r="D290" s="531" t="s">
        <v>761</v>
      </c>
      <c r="E290" s="547">
        <v>8158654264</v>
      </c>
      <c r="F290" s="547"/>
      <c r="G290" s="547"/>
      <c r="H290" s="547"/>
      <c r="I290" s="547"/>
      <c r="J290" s="547"/>
      <c r="K290" s="547"/>
      <c r="L290" s="547"/>
      <c r="M290" s="547">
        <v>0</v>
      </c>
      <c r="N290" s="540"/>
      <c r="O290" s="540"/>
      <c r="P290" s="812">
        <f t="shared" si="16"/>
        <v>8158654264</v>
      </c>
      <c r="Q290" s="547">
        <f>12149735011+887217907-5870260377</f>
        <v>7166692541</v>
      </c>
      <c r="R290" s="812">
        <f t="shared" si="17"/>
        <v>8159</v>
      </c>
      <c r="S290" s="547">
        <f t="shared" si="17"/>
        <v>7167</v>
      </c>
      <c r="T290" s="566"/>
      <c r="U290" s="567"/>
      <c r="V290" s="812">
        <f t="shared" si="18"/>
        <v>8158654264</v>
      </c>
      <c r="W290" s="812">
        <f t="shared" si="19"/>
        <v>8159</v>
      </c>
    </row>
    <row r="291" spans="1:23" ht="27" hidden="1" customHeight="1">
      <c r="A291" s="531">
        <v>907</v>
      </c>
      <c r="B291" s="529">
        <v>9</v>
      </c>
      <c r="C291" s="531" t="s">
        <v>596</v>
      </c>
      <c r="D291" s="535" t="s">
        <v>1436</v>
      </c>
      <c r="E291" s="547"/>
      <c r="F291" s="547"/>
      <c r="G291" s="547"/>
      <c r="H291" s="547"/>
      <c r="I291" s="547"/>
      <c r="J291" s="547"/>
      <c r="K291" s="547"/>
      <c r="L291" s="547"/>
      <c r="M291" s="547">
        <v>0</v>
      </c>
      <c r="N291" s="540"/>
      <c r="O291" s="540"/>
      <c r="P291" s="812">
        <f t="shared" si="16"/>
        <v>0</v>
      </c>
      <c r="Q291" s="547">
        <f>887217907+5870260377</f>
        <v>6757478284</v>
      </c>
      <c r="R291" s="812">
        <f t="shared" si="17"/>
        <v>0</v>
      </c>
      <c r="S291" s="547">
        <f t="shared" si="17"/>
        <v>6757</v>
      </c>
      <c r="T291" s="566"/>
      <c r="U291" s="573"/>
      <c r="V291" s="812">
        <f t="shared" si="18"/>
        <v>0</v>
      </c>
      <c r="W291" s="812">
        <f t="shared" si="19"/>
        <v>0</v>
      </c>
    </row>
    <row r="292" spans="1:23" ht="27" hidden="1" customHeight="1">
      <c r="A292" s="531">
        <v>403</v>
      </c>
      <c r="B292" s="529">
        <v>4</v>
      </c>
      <c r="C292" s="531" t="s">
        <v>1376</v>
      </c>
      <c r="D292" s="531" t="s">
        <v>739</v>
      </c>
      <c r="E292" s="547">
        <v>4208778662</v>
      </c>
      <c r="F292" s="547"/>
      <c r="G292" s="547"/>
      <c r="H292" s="547"/>
      <c r="I292" s="547"/>
      <c r="J292" s="547"/>
      <c r="K292" s="547"/>
      <c r="L292" s="547"/>
      <c r="M292" s="547">
        <v>0</v>
      </c>
      <c r="N292" s="540"/>
      <c r="O292" s="540"/>
      <c r="P292" s="812">
        <f t="shared" si="16"/>
        <v>4208778662</v>
      </c>
      <c r="Q292" s="547">
        <v>-321331009</v>
      </c>
      <c r="R292" s="812">
        <f t="shared" si="17"/>
        <v>4209</v>
      </c>
      <c r="S292" s="547">
        <f t="shared" si="17"/>
        <v>-321</v>
      </c>
      <c r="T292" s="566"/>
      <c r="U292" s="567"/>
      <c r="V292" s="812">
        <f t="shared" si="18"/>
        <v>4208778662</v>
      </c>
      <c r="W292" s="812">
        <f t="shared" si="19"/>
        <v>4209</v>
      </c>
    </row>
    <row r="293" spans="1:23" ht="27" hidden="1" customHeight="1">
      <c r="A293" s="531">
        <v>506</v>
      </c>
      <c r="B293" s="529">
        <v>5</v>
      </c>
      <c r="C293" s="531" t="s">
        <v>1375</v>
      </c>
      <c r="D293" s="531" t="s">
        <v>1382</v>
      </c>
      <c r="E293" s="547">
        <v>20942892857</v>
      </c>
      <c r="F293" s="547"/>
      <c r="G293" s="547"/>
      <c r="H293" s="547"/>
      <c r="I293" s="547"/>
      <c r="J293" s="547"/>
      <c r="K293" s="547"/>
      <c r="L293" s="547"/>
      <c r="M293" s="547">
        <v>0</v>
      </c>
      <c r="N293" s="540"/>
      <c r="O293" s="540"/>
      <c r="P293" s="812">
        <f t="shared" si="16"/>
        <v>20942892857</v>
      </c>
      <c r="Q293" s="547">
        <v>12554021114</v>
      </c>
      <c r="R293" s="812">
        <f t="shared" si="17"/>
        <v>20943</v>
      </c>
      <c r="S293" s="547">
        <f t="shared" si="17"/>
        <v>12554</v>
      </c>
      <c r="T293" s="566"/>
      <c r="U293" s="567"/>
      <c r="V293" s="812">
        <f t="shared" si="18"/>
        <v>20942892857</v>
      </c>
      <c r="W293" s="812">
        <f t="shared" si="19"/>
        <v>20943</v>
      </c>
    </row>
    <row r="294" spans="1:23" ht="27" hidden="1" customHeight="1">
      <c r="A294" s="531">
        <v>603</v>
      </c>
      <c r="B294" s="529">
        <v>6</v>
      </c>
      <c r="C294" s="531" t="s">
        <v>319</v>
      </c>
      <c r="D294" s="531" t="s">
        <v>1034</v>
      </c>
      <c r="E294" s="547"/>
      <c r="F294" s="547"/>
      <c r="G294" s="547"/>
      <c r="H294" s="547"/>
      <c r="I294" s="547"/>
      <c r="J294" s="547"/>
      <c r="K294" s="547"/>
      <c r="L294" s="547"/>
      <c r="M294" s="547">
        <v>0</v>
      </c>
      <c r="N294" s="540"/>
      <c r="O294" s="540"/>
      <c r="P294" s="812">
        <f t="shared" si="16"/>
        <v>0</v>
      </c>
      <c r="Q294" s="547"/>
      <c r="R294" s="812">
        <f t="shared" si="17"/>
        <v>0</v>
      </c>
      <c r="S294" s="547">
        <f t="shared" si="17"/>
        <v>0</v>
      </c>
      <c r="T294" s="566"/>
      <c r="U294" s="567"/>
      <c r="V294" s="812">
        <f t="shared" si="18"/>
        <v>0</v>
      </c>
      <c r="W294" s="812">
        <f t="shared" si="19"/>
        <v>0</v>
      </c>
    </row>
    <row r="295" spans="1:23" ht="27" hidden="1" customHeight="1">
      <c r="A295" s="531">
        <v>607</v>
      </c>
      <c r="B295" s="529">
        <v>6</v>
      </c>
      <c r="C295" s="531" t="s">
        <v>321</v>
      </c>
      <c r="D295" s="531" t="s">
        <v>740</v>
      </c>
      <c r="E295" s="547">
        <v>9256064000</v>
      </c>
      <c r="F295" s="547"/>
      <c r="G295" s="547">
        <v>294880000</v>
      </c>
      <c r="H295" s="547"/>
      <c r="I295" s="547"/>
      <c r="J295" s="547"/>
      <c r="K295" s="547"/>
      <c r="L295" s="547"/>
      <c r="M295" s="547">
        <v>0</v>
      </c>
      <c r="N295" s="540"/>
      <c r="O295" s="540"/>
      <c r="P295" s="812">
        <f t="shared" si="16"/>
        <v>9550944000</v>
      </c>
      <c r="Q295" s="547">
        <v>13303650541</v>
      </c>
      <c r="R295" s="812">
        <f t="shared" si="17"/>
        <v>9551</v>
      </c>
      <c r="S295" s="547">
        <f t="shared" si="17"/>
        <v>13304</v>
      </c>
      <c r="T295" s="566"/>
      <c r="U295" s="567"/>
      <c r="V295" s="812">
        <f t="shared" si="18"/>
        <v>9550944000</v>
      </c>
      <c r="W295" s="812">
        <f t="shared" si="19"/>
        <v>9551</v>
      </c>
    </row>
    <row r="296" spans="1:23" ht="27" hidden="1" customHeight="1">
      <c r="A296" s="531">
        <v>403</v>
      </c>
      <c r="B296" s="529">
        <v>4</v>
      </c>
      <c r="C296" s="531" t="s">
        <v>323</v>
      </c>
      <c r="D296" s="531" t="s">
        <v>1035</v>
      </c>
      <c r="E296" s="547">
        <v>-16110379536</v>
      </c>
      <c r="F296" s="547"/>
      <c r="G296" s="547"/>
      <c r="H296" s="547"/>
      <c r="I296" s="547"/>
      <c r="J296" s="547"/>
      <c r="K296" s="547"/>
      <c r="L296" s="547"/>
      <c r="M296" s="547">
        <v>0</v>
      </c>
      <c r="N296" s="540"/>
      <c r="O296" s="540"/>
      <c r="P296" s="812">
        <f t="shared" si="16"/>
        <v>-16110379536</v>
      </c>
      <c r="Q296" s="547">
        <f>5640431421-16110379536-887217907</f>
        <v>-11357166022</v>
      </c>
      <c r="R296" s="812">
        <f t="shared" si="17"/>
        <v>-16110</v>
      </c>
      <c r="S296" s="547">
        <f t="shared" si="17"/>
        <v>-11357</v>
      </c>
      <c r="T296" s="566"/>
      <c r="U296" s="567"/>
      <c r="V296" s="812">
        <f t="shared" si="18"/>
        <v>-16110379536</v>
      </c>
      <c r="W296" s="812">
        <f t="shared" si="19"/>
        <v>-16110</v>
      </c>
    </row>
    <row r="297" spans="1:23" ht="27" hidden="1" customHeight="1">
      <c r="A297" s="531">
        <v>506</v>
      </c>
      <c r="B297" s="529">
        <v>5</v>
      </c>
      <c r="C297" s="531" t="s">
        <v>323</v>
      </c>
      <c r="D297" s="531" t="s">
        <v>1036</v>
      </c>
      <c r="E297" s="547">
        <v>105005572657</v>
      </c>
      <c r="F297" s="547"/>
      <c r="G297" s="547"/>
      <c r="H297" s="547"/>
      <c r="I297" s="547"/>
      <c r="J297" s="547"/>
      <c r="K297" s="547"/>
      <c r="L297" s="547"/>
      <c r="M297" s="547">
        <v>0</v>
      </c>
      <c r="N297" s="540"/>
      <c r="O297" s="540"/>
      <c r="P297" s="812">
        <f t="shared" si="16"/>
        <v>105005572657</v>
      </c>
      <c r="Q297" s="547"/>
      <c r="R297" s="812">
        <f t="shared" si="17"/>
        <v>105006</v>
      </c>
      <c r="S297" s="547">
        <f t="shared" si="17"/>
        <v>0</v>
      </c>
      <c r="T297" s="566"/>
      <c r="U297" s="567"/>
      <c r="V297" s="812">
        <f t="shared" si="18"/>
        <v>105005572657</v>
      </c>
      <c r="W297" s="812">
        <f t="shared" si="19"/>
        <v>105006</v>
      </c>
    </row>
    <row r="298" spans="1:23" ht="27" hidden="1" customHeight="1">
      <c r="A298" s="531">
        <v>907</v>
      </c>
      <c r="B298" s="529">
        <v>9</v>
      </c>
      <c r="C298" s="531" t="s">
        <v>325</v>
      </c>
      <c r="D298" s="531" t="s">
        <v>1037</v>
      </c>
      <c r="E298" s="547"/>
      <c r="F298" s="547"/>
      <c r="G298" s="547"/>
      <c r="H298" s="547"/>
      <c r="I298" s="547"/>
      <c r="J298" s="547"/>
      <c r="K298" s="547"/>
      <c r="L298" s="547"/>
      <c r="M298" s="547">
        <v>0</v>
      </c>
      <c r="N298" s="540"/>
      <c r="O298" s="540"/>
      <c r="P298" s="812">
        <f t="shared" si="16"/>
        <v>0</v>
      </c>
      <c r="Q298" s="547">
        <v>148838935014</v>
      </c>
      <c r="R298" s="812">
        <f t="shared" si="17"/>
        <v>0</v>
      </c>
      <c r="S298" s="547">
        <f t="shared" si="17"/>
        <v>148839</v>
      </c>
      <c r="T298" s="566"/>
      <c r="U298" s="567"/>
      <c r="V298" s="812">
        <f t="shared" si="18"/>
        <v>0</v>
      </c>
      <c r="W298" s="812">
        <f t="shared" si="19"/>
        <v>0</v>
      </c>
    </row>
    <row r="299" spans="1:23" ht="27" hidden="1" customHeight="1">
      <c r="A299" s="531">
        <v>601</v>
      </c>
      <c r="B299" s="529">
        <v>6</v>
      </c>
      <c r="C299" s="531" t="s">
        <v>750</v>
      </c>
      <c r="D299" s="531" t="s">
        <v>751</v>
      </c>
      <c r="E299" s="547"/>
      <c r="F299" s="547"/>
      <c r="G299" s="547"/>
      <c r="H299" s="547"/>
      <c r="I299" s="547"/>
      <c r="J299" s="547"/>
      <c r="K299" s="547"/>
      <c r="L299" s="547"/>
      <c r="M299" s="547">
        <v>0</v>
      </c>
      <c r="N299" s="540"/>
      <c r="O299" s="540"/>
      <c r="P299" s="812">
        <f t="shared" si="16"/>
        <v>0</v>
      </c>
      <c r="Q299" s="547"/>
      <c r="R299" s="812">
        <f t="shared" si="17"/>
        <v>0</v>
      </c>
      <c r="S299" s="547">
        <f t="shared" si="17"/>
        <v>0</v>
      </c>
      <c r="T299" s="566"/>
      <c r="U299" s="567"/>
      <c r="V299" s="812">
        <f t="shared" si="18"/>
        <v>0</v>
      </c>
      <c r="W299" s="812">
        <f t="shared" si="19"/>
        <v>0</v>
      </c>
    </row>
    <row r="300" spans="1:23" ht="27" hidden="1" customHeight="1">
      <c r="A300" s="531">
        <v>907</v>
      </c>
      <c r="B300" s="529">
        <v>9</v>
      </c>
      <c r="C300" s="531" t="s">
        <v>750</v>
      </c>
      <c r="D300" s="531" t="s">
        <v>751</v>
      </c>
      <c r="E300" s="547"/>
      <c r="F300" s="547"/>
      <c r="G300" s="547"/>
      <c r="H300" s="547"/>
      <c r="I300" s="547"/>
      <c r="J300" s="547"/>
      <c r="K300" s="547"/>
      <c r="L300" s="547"/>
      <c r="M300" s="547">
        <v>0</v>
      </c>
      <c r="N300" s="540"/>
      <c r="O300" s="540"/>
      <c r="P300" s="812">
        <f t="shared" si="16"/>
        <v>0</v>
      </c>
      <c r="Q300" s="547"/>
      <c r="R300" s="812">
        <f t="shared" si="17"/>
        <v>0</v>
      </c>
      <c r="S300" s="547">
        <f t="shared" si="17"/>
        <v>0</v>
      </c>
      <c r="T300" s="566"/>
      <c r="U300" s="567"/>
      <c r="V300" s="812">
        <f t="shared" si="18"/>
        <v>0</v>
      </c>
      <c r="W300" s="812">
        <f t="shared" si="19"/>
        <v>0</v>
      </c>
    </row>
    <row r="301" spans="1:23" ht="27" hidden="1" customHeight="1">
      <c r="A301" s="531">
        <v>601</v>
      </c>
      <c r="B301" s="529">
        <v>6</v>
      </c>
      <c r="C301" s="531" t="s">
        <v>749</v>
      </c>
      <c r="D301" s="531" t="s">
        <v>751</v>
      </c>
      <c r="E301" s="547"/>
      <c r="F301" s="547"/>
      <c r="G301" s="547"/>
      <c r="H301" s="547"/>
      <c r="I301" s="547"/>
      <c r="J301" s="547"/>
      <c r="K301" s="547"/>
      <c r="L301" s="547"/>
      <c r="M301" s="547">
        <v>0</v>
      </c>
      <c r="N301" s="540"/>
      <c r="O301" s="540"/>
      <c r="P301" s="812">
        <f t="shared" si="16"/>
        <v>0</v>
      </c>
      <c r="Q301" s="547"/>
      <c r="R301" s="812">
        <f t="shared" si="17"/>
        <v>0</v>
      </c>
      <c r="S301" s="547">
        <f t="shared" si="17"/>
        <v>0</v>
      </c>
      <c r="T301" s="566"/>
      <c r="U301" s="567"/>
      <c r="V301" s="812">
        <f t="shared" si="18"/>
        <v>0</v>
      </c>
      <c r="W301" s="812">
        <f t="shared" si="19"/>
        <v>0</v>
      </c>
    </row>
    <row r="302" spans="1:23" ht="27" hidden="1" customHeight="1">
      <c r="A302" s="531">
        <v>302</v>
      </c>
      <c r="B302" s="529">
        <v>3</v>
      </c>
      <c r="C302" s="531" t="s">
        <v>749</v>
      </c>
      <c r="D302" s="531" t="s">
        <v>751</v>
      </c>
      <c r="E302" s="547"/>
      <c r="F302" s="547"/>
      <c r="G302" s="547"/>
      <c r="H302" s="547"/>
      <c r="I302" s="547"/>
      <c r="J302" s="547"/>
      <c r="K302" s="547"/>
      <c r="L302" s="547"/>
      <c r="M302" s="547">
        <v>0</v>
      </c>
      <c r="N302" s="540"/>
      <c r="O302" s="540"/>
      <c r="P302" s="812">
        <f t="shared" si="16"/>
        <v>0</v>
      </c>
      <c r="Q302" s="547"/>
      <c r="R302" s="812">
        <f t="shared" si="17"/>
        <v>0</v>
      </c>
      <c r="S302" s="547">
        <f t="shared" si="17"/>
        <v>0</v>
      </c>
      <c r="T302" s="566"/>
      <c r="U302" s="567"/>
      <c r="V302" s="812">
        <f t="shared" si="18"/>
        <v>0</v>
      </c>
      <c r="W302" s="812">
        <f t="shared" si="19"/>
        <v>0</v>
      </c>
    </row>
    <row r="303" spans="1:23" ht="27" hidden="1" customHeight="1">
      <c r="A303" s="531"/>
      <c r="B303" s="529">
        <v>13</v>
      </c>
      <c r="C303" s="531" t="s">
        <v>327</v>
      </c>
      <c r="D303" s="531" t="s">
        <v>328</v>
      </c>
      <c r="E303" s="547">
        <v>-12000000000000</v>
      </c>
      <c r="F303" s="547"/>
      <c r="G303" s="547"/>
      <c r="H303" s="547"/>
      <c r="I303" s="547"/>
      <c r="J303" s="547"/>
      <c r="K303" s="547"/>
      <c r="L303" s="547"/>
      <c r="M303" s="547">
        <v>0</v>
      </c>
      <c r="N303" s="540"/>
      <c r="O303" s="540"/>
      <c r="P303" s="812">
        <f t="shared" si="16"/>
        <v>-12000000000000</v>
      </c>
      <c r="Q303" s="547">
        <v>-12000000000000</v>
      </c>
      <c r="R303" s="812">
        <f t="shared" si="17"/>
        <v>-12000000</v>
      </c>
      <c r="S303" s="547">
        <f t="shared" si="17"/>
        <v>-12000000</v>
      </c>
      <c r="T303" s="566"/>
      <c r="U303" s="567"/>
      <c r="V303" s="812">
        <f t="shared" si="18"/>
        <v>-12000000000000</v>
      </c>
      <c r="W303" s="812">
        <f t="shared" si="19"/>
        <v>-12000000</v>
      </c>
    </row>
    <row r="304" spans="1:23" ht="27" hidden="1" customHeight="1">
      <c r="A304" s="531">
        <v>10040</v>
      </c>
      <c r="B304" s="529">
        <v>14</v>
      </c>
      <c r="C304" s="531" t="s">
        <v>1340</v>
      </c>
      <c r="D304" s="531" t="s">
        <v>1341</v>
      </c>
      <c r="E304" s="547">
        <v>-3516164071595</v>
      </c>
      <c r="F304" s="547"/>
      <c r="G304" s="547"/>
      <c r="H304" s="547"/>
      <c r="I304" s="547"/>
      <c r="J304" s="547"/>
      <c r="K304" s="547"/>
      <c r="L304" s="547">
        <v>-3201925273476</v>
      </c>
      <c r="M304" s="547">
        <v>-3201925273476</v>
      </c>
      <c r="N304" s="540"/>
      <c r="O304" s="540"/>
      <c r="P304" s="812">
        <f t="shared" si="16"/>
        <v>-6718089345071</v>
      </c>
      <c r="Q304" s="547"/>
      <c r="R304" s="812">
        <f t="shared" si="17"/>
        <v>-6718089</v>
      </c>
      <c r="S304" s="547">
        <f t="shared" si="17"/>
        <v>0</v>
      </c>
      <c r="T304" s="566"/>
      <c r="U304" s="567"/>
      <c r="V304" s="812">
        <f t="shared" si="18"/>
        <v>-6718089345071</v>
      </c>
      <c r="W304" s="812">
        <f t="shared" si="19"/>
        <v>-6718089</v>
      </c>
    </row>
    <row r="305" spans="1:23" ht="27" hidden="1" customHeight="1">
      <c r="A305" s="531">
        <v>1502</v>
      </c>
      <c r="B305" s="529">
        <v>15</v>
      </c>
      <c r="C305" s="531" t="s">
        <v>329</v>
      </c>
      <c r="D305" s="531" t="s">
        <v>330</v>
      </c>
      <c r="E305" s="547">
        <v>-500000</v>
      </c>
      <c r="F305" s="547"/>
      <c r="G305" s="547"/>
      <c r="H305" s="547"/>
      <c r="I305" s="547"/>
      <c r="J305" s="547"/>
      <c r="K305" s="547"/>
      <c r="L305" s="547"/>
      <c r="M305" s="547">
        <v>0</v>
      </c>
      <c r="N305" s="540"/>
      <c r="O305" s="540"/>
      <c r="P305" s="812">
        <f t="shared" si="16"/>
        <v>-500000</v>
      </c>
      <c r="Q305" s="547">
        <f>-34123500000+34123000000</f>
        <v>-500000</v>
      </c>
      <c r="R305" s="812">
        <f t="shared" si="17"/>
        <v>-1</v>
      </c>
      <c r="S305" s="547">
        <f t="shared" si="17"/>
        <v>-1</v>
      </c>
      <c r="T305" s="566"/>
      <c r="U305" s="567"/>
      <c r="V305" s="812">
        <f t="shared" si="18"/>
        <v>-500000</v>
      </c>
      <c r="W305" s="812">
        <f t="shared" si="19"/>
        <v>-1</v>
      </c>
    </row>
    <row r="306" spans="1:23" ht="27" hidden="1" customHeight="1">
      <c r="A306" s="531">
        <v>1501</v>
      </c>
      <c r="B306" s="529">
        <v>15</v>
      </c>
      <c r="C306" s="531" t="s">
        <v>331</v>
      </c>
      <c r="D306" s="531" t="s">
        <v>332</v>
      </c>
      <c r="E306" s="547">
        <v>-2735500000</v>
      </c>
      <c r="F306" s="547"/>
      <c r="G306" s="547"/>
      <c r="H306" s="547"/>
      <c r="I306" s="547"/>
      <c r="J306" s="547"/>
      <c r="K306" s="547"/>
      <c r="L306" s="547"/>
      <c r="M306" s="547">
        <v>0</v>
      </c>
      <c r="N306" s="540"/>
      <c r="O306" s="540"/>
      <c r="P306" s="812">
        <f t="shared" si="16"/>
        <v>-2735500000</v>
      </c>
      <c r="Q306" s="547">
        <v>-2735500000</v>
      </c>
      <c r="R306" s="812">
        <f t="shared" si="17"/>
        <v>-2736</v>
      </c>
      <c r="S306" s="547">
        <f t="shared" si="17"/>
        <v>-2736</v>
      </c>
      <c r="T306" s="566"/>
      <c r="U306" s="567"/>
      <c r="V306" s="812">
        <f t="shared" si="18"/>
        <v>-2735500000</v>
      </c>
      <c r="W306" s="812">
        <f t="shared" si="19"/>
        <v>-2736</v>
      </c>
    </row>
    <row r="307" spans="1:23" ht="27" hidden="1" customHeight="1">
      <c r="A307" s="531">
        <v>406</v>
      </c>
      <c r="B307" s="529">
        <v>4</v>
      </c>
      <c r="C307" s="531" t="s">
        <v>1208</v>
      </c>
      <c r="D307" s="531" t="s">
        <v>1164</v>
      </c>
      <c r="E307" s="547"/>
      <c r="F307" s="547"/>
      <c r="G307" s="547"/>
      <c r="H307" s="547"/>
      <c r="I307" s="547"/>
      <c r="J307" s="547"/>
      <c r="K307" s="547"/>
      <c r="L307" s="547"/>
      <c r="M307" s="547">
        <v>0</v>
      </c>
      <c r="N307" s="540"/>
      <c r="O307" s="540"/>
      <c r="P307" s="812">
        <f t="shared" si="16"/>
        <v>0</v>
      </c>
      <c r="Q307" s="547"/>
      <c r="R307" s="812">
        <f t="shared" si="17"/>
        <v>0</v>
      </c>
      <c r="S307" s="547">
        <f t="shared" si="17"/>
        <v>0</v>
      </c>
      <c r="T307" s="566"/>
      <c r="U307" s="567"/>
      <c r="V307" s="812">
        <f t="shared" si="18"/>
        <v>0</v>
      </c>
      <c r="W307" s="812">
        <f t="shared" si="19"/>
        <v>0</v>
      </c>
    </row>
    <row r="308" spans="1:23" ht="27" hidden="1" customHeight="1">
      <c r="A308" s="531">
        <v>901</v>
      </c>
      <c r="B308" s="529">
        <v>9</v>
      </c>
      <c r="C308" s="531" t="s">
        <v>112</v>
      </c>
      <c r="D308" s="531" t="s">
        <v>113</v>
      </c>
      <c r="E308" s="547">
        <v>1947588804588</v>
      </c>
      <c r="F308" s="547">
        <v>111153654239</v>
      </c>
      <c r="G308" s="547"/>
      <c r="H308" s="547"/>
      <c r="I308" s="547"/>
      <c r="J308" s="547"/>
      <c r="K308" s="547"/>
      <c r="L308" s="547"/>
      <c r="M308" s="547">
        <v>0</v>
      </c>
      <c r="N308" s="540"/>
      <c r="O308" s="540"/>
      <c r="P308" s="812">
        <f t="shared" si="16"/>
        <v>2058742458827</v>
      </c>
      <c r="Q308" s="547">
        <v>1947588804588</v>
      </c>
      <c r="R308" s="812">
        <f t="shared" si="17"/>
        <v>2058742</v>
      </c>
      <c r="S308" s="547">
        <f t="shared" si="17"/>
        <v>1947589</v>
      </c>
      <c r="T308" s="566"/>
      <c r="U308" s="567"/>
      <c r="V308" s="812">
        <f t="shared" si="18"/>
        <v>2058742458827</v>
      </c>
      <c r="W308" s="812">
        <f t="shared" si="19"/>
        <v>2058742</v>
      </c>
    </row>
    <row r="309" spans="1:23" ht="27" hidden="1" customHeight="1">
      <c r="A309" s="531">
        <v>901</v>
      </c>
      <c r="B309" s="529">
        <v>9</v>
      </c>
      <c r="C309" s="531" t="s">
        <v>1015</v>
      </c>
      <c r="D309" s="531" t="s">
        <v>1016</v>
      </c>
      <c r="E309" s="547"/>
      <c r="F309" s="547"/>
      <c r="G309" s="547"/>
      <c r="H309" s="547"/>
      <c r="I309" s="547"/>
      <c r="J309" s="547"/>
      <c r="K309" s="547"/>
      <c r="L309" s="547"/>
      <c r="M309" s="547">
        <v>0</v>
      </c>
      <c r="N309" s="540"/>
      <c r="O309" s="540"/>
      <c r="P309" s="812">
        <f t="shared" si="16"/>
        <v>0</v>
      </c>
      <c r="Q309" s="547"/>
      <c r="R309" s="812">
        <f t="shared" si="17"/>
        <v>0</v>
      </c>
      <c r="S309" s="547">
        <f t="shared" si="17"/>
        <v>0</v>
      </c>
      <c r="T309" s="566"/>
      <c r="U309" s="567"/>
      <c r="V309" s="812">
        <f t="shared" si="18"/>
        <v>0</v>
      </c>
      <c r="W309" s="812">
        <f t="shared" si="19"/>
        <v>0</v>
      </c>
    </row>
    <row r="310" spans="1:23" ht="27" hidden="1" customHeight="1">
      <c r="A310" s="531">
        <v>902</v>
      </c>
      <c r="B310" s="529">
        <v>9</v>
      </c>
      <c r="C310" s="531" t="s">
        <v>114</v>
      </c>
      <c r="D310" s="531" t="s">
        <v>920</v>
      </c>
      <c r="E310" s="547">
        <v>27885186308826</v>
      </c>
      <c r="F310" s="547">
        <v>175913391691</v>
      </c>
      <c r="G310" s="547">
        <v>269010816846</v>
      </c>
      <c r="H310" s="547"/>
      <c r="I310" s="547">
        <v>14681392797</v>
      </c>
      <c r="J310" s="547"/>
      <c r="K310" s="547"/>
      <c r="L310" s="547"/>
      <c r="M310" s="547">
        <v>0</v>
      </c>
      <c r="N310" s="540"/>
      <c r="O310" s="540"/>
      <c r="P310" s="812">
        <f t="shared" si="16"/>
        <v>28344791910160</v>
      </c>
      <c r="Q310" s="547">
        <v>27029140966274</v>
      </c>
      <c r="R310" s="812">
        <f t="shared" si="17"/>
        <v>28344792</v>
      </c>
      <c r="S310" s="547">
        <f t="shared" si="17"/>
        <v>27029141</v>
      </c>
      <c r="T310" s="566"/>
      <c r="U310" s="567"/>
      <c r="V310" s="812">
        <f t="shared" si="18"/>
        <v>28344791910160</v>
      </c>
      <c r="W310" s="812">
        <f t="shared" si="19"/>
        <v>28344792</v>
      </c>
    </row>
    <row r="311" spans="1:23" ht="27" hidden="1" customHeight="1">
      <c r="A311" s="531"/>
      <c r="B311" s="529">
        <v>8</v>
      </c>
      <c r="C311" s="531" t="s">
        <v>667</v>
      </c>
      <c r="D311" s="531" t="s">
        <v>666</v>
      </c>
      <c r="E311" s="547">
        <v>8557763010</v>
      </c>
      <c r="F311" s="547"/>
      <c r="G311" s="547"/>
      <c r="H311" s="547"/>
      <c r="I311" s="547"/>
      <c r="J311" s="547"/>
      <c r="K311" s="547"/>
      <c r="L311" s="547"/>
      <c r="M311" s="547">
        <v>0</v>
      </c>
      <c r="N311" s="540"/>
      <c r="O311" s="540"/>
      <c r="P311" s="812">
        <f t="shared" si="16"/>
        <v>8557763010</v>
      </c>
      <c r="Q311" s="547">
        <v>8557763010</v>
      </c>
      <c r="R311" s="812">
        <f t="shared" si="17"/>
        <v>8558</v>
      </c>
      <c r="S311" s="547">
        <f t="shared" si="17"/>
        <v>8558</v>
      </c>
      <c r="T311" s="566"/>
      <c r="U311" s="567"/>
      <c r="V311" s="812">
        <f t="shared" si="18"/>
        <v>8557763010</v>
      </c>
      <c r="W311" s="812">
        <f t="shared" si="19"/>
        <v>8558</v>
      </c>
    </row>
    <row r="312" spans="1:23" ht="27" hidden="1" customHeight="1">
      <c r="A312" s="531">
        <v>903</v>
      </c>
      <c r="B312" s="529">
        <v>9</v>
      </c>
      <c r="C312" s="531" t="s">
        <v>105</v>
      </c>
      <c r="D312" s="531" t="s">
        <v>913</v>
      </c>
      <c r="E312" s="547">
        <v>886901633307</v>
      </c>
      <c r="F312" s="547">
        <v>144636595777</v>
      </c>
      <c r="G312" s="547">
        <v>-45400000</v>
      </c>
      <c r="H312" s="547"/>
      <c r="I312" s="547"/>
      <c r="J312" s="547"/>
      <c r="K312" s="547"/>
      <c r="L312" s="547"/>
      <c r="M312" s="547">
        <v>0</v>
      </c>
      <c r="N312" s="540"/>
      <c r="O312" s="540"/>
      <c r="P312" s="812">
        <f t="shared" si="16"/>
        <v>1031492829084</v>
      </c>
      <c r="Q312" s="547">
        <v>886901633307</v>
      </c>
      <c r="R312" s="812">
        <f t="shared" si="17"/>
        <v>1031493</v>
      </c>
      <c r="S312" s="547">
        <f t="shared" si="17"/>
        <v>886902</v>
      </c>
      <c r="T312" s="566"/>
      <c r="U312" s="567"/>
      <c r="V312" s="812">
        <f t="shared" si="18"/>
        <v>1031492829084</v>
      </c>
      <c r="W312" s="812">
        <f t="shared" si="19"/>
        <v>1031493</v>
      </c>
    </row>
    <row r="313" spans="1:23" ht="27" hidden="1" customHeight="1">
      <c r="A313" s="531">
        <v>903</v>
      </c>
      <c r="B313" s="529">
        <v>9</v>
      </c>
      <c r="C313" s="531" t="s">
        <v>1107</v>
      </c>
      <c r="D313" s="531" t="s">
        <v>1108</v>
      </c>
      <c r="E313" s="547">
        <v>140384253736</v>
      </c>
      <c r="F313" s="547">
        <v>-140384253736</v>
      </c>
      <c r="G313" s="547"/>
      <c r="H313" s="547"/>
      <c r="I313" s="547"/>
      <c r="J313" s="547"/>
      <c r="K313" s="547"/>
      <c r="L313" s="547"/>
      <c r="M313" s="547">
        <v>0</v>
      </c>
      <c r="N313" s="540"/>
      <c r="O313" s="540"/>
      <c r="P313" s="812">
        <f t="shared" si="16"/>
        <v>0</v>
      </c>
      <c r="Q313" s="547">
        <v>0</v>
      </c>
      <c r="R313" s="812">
        <f t="shared" si="17"/>
        <v>0</v>
      </c>
      <c r="S313" s="547">
        <f t="shared" si="17"/>
        <v>0</v>
      </c>
      <c r="T313" s="566"/>
      <c r="U313" s="567"/>
      <c r="V313" s="812">
        <f t="shared" si="18"/>
        <v>0</v>
      </c>
      <c r="W313" s="812">
        <f t="shared" si="19"/>
        <v>0</v>
      </c>
    </row>
    <row r="314" spans="1:23" ht="27" hidden="1" customHeight="1">
      <c r="A314" s="531">
        <v>903</v>
      </c>
      <c r="B314" s="529">
        <v>9</v>
      </c>
      <c r="C314" s="531" t="s">
        <v>1109</v>
      </c>
      <c r="D314" s="531" t="s">
        <v>1110</v>
      </c>
      <c r="E314" s="547">
        <v>-2923549656</v>
      </c>
      <c r="F314" s="547">
        <v>2923549656</v>
      </c>
      <c r="G314" s="547"/>
      <c r="H314" s="547"/>
      <c r="I314" s="547"/>
      <c r="J314" s="547"/>
      <c r="K314" s="547"/>
      <c r="L314" s="547"/>
      <c r="M314" s="547">
        <v>0</v>
      </c>
      <c r="N314" s="540"/>
      <c r="O314" s="540"/>
      <c r="P314" s="812">
        <f t="shared" si="16"/>
        <v>0</v>
      </c>
      <c r="Q314" s="547">
        <v>0</v>
      </c>
      <c r="R314" s="812">
        <f t="shared" si="17"/>
        <v>0</v>
      </c>
      <c r="S314" s="547">
        <f t="shared" si="17"/>
        <v>0</v>
      </c>
      <c r="T314" s="566"/>
      <c r="U314" s="567"/>
      <c r="V314" s="812">
        <f t="shared" si="18"/>
        <v>0</v>
      </c>
      <c r="W314" s="812">
        <f t="shared" si="19"/>
        <v>0</v>
      </c>
    </row>
    <row r="315" spans="1:23" ht="27" hidden="1" customHeight="1">
      <c r="A315" s="531">
        <v>903</v>
      </c>
      <c r="B315" s="529">
        <v>9</v>
      </c>
      <c r="C315" s="531" t="s">
        <v>1248</v>
      </c>
      <c r="D315" s="531" t="s">
        <v>1111</v>
      </c>
      <c r="E315" s="547"/>
      <c r="F315" s="547"/>
      <c r="G315" s="547"/>
      <c r="H315" s="547"/>
      <c r="I315" s="547"/>
      <c r="J315" s="547"/>
      <c r="K315" s="547"/>
      <c r="L315" s="547"/>
      <c r="M315" s="547">
        <v>0</v>
      </c>
      <c r="N315" s="540"/>
      <c r="O315" s="540"/>
      <c r="P315" s="812">
        <f t="shared" si="16"/>
        <v>0</v>
      </c>
      <c r="Q315" s="547">
        <v>0</v>
      </c>
      <c r="R315" s="812">
        <f t="shared" si="17"/>
        <v>0</v>
      </c>
      <c r="S315" s="547">
        <f t="shared" si="17"/>
        <v>0</v>
      </c>
      <c r="T315" s="566"/>
      <c r="U315" s="567"/>
      <c r="V315" s="812">
        <f t="shared" si="18"/>
        <v>0</v>
      </c>
      <c r="W315" s="812">
        <f t="shared" si="19"/>
        <v>0</v>
      </c>
    </row>
    <row r="316" spans="1:23" ht="27" hidden="1" customHeight="1">
      <c r="A316" s="531">
        <v>905</v>
      </c>
      <c r="B316" s="529">
        <v>9</v>
      </c>
      <c r="C316" s="531" t="s">
        <v>107</v>
      </c>
      <c r="D316" s="531" t="s">
        <v>917</v>
      </c>
      <c r="E316" s="547">
        <v>526166484075</v>
      </c>
      <c r="F316" s="547">
        <v>49951744398</v>
      </c>
      <c r="G316" s="547"/>
      <c r="H316" s="547"/>
      <c r="I316" s="547"/>
      <c r="J316" s="547"/>
      <c r="K316" s="547"/>
      <c r="L316" s="547"/>
      <c r="M316" s="547">
        <v>0</v>
      </c>
      <c r="N316" s="540"/>
      <c r="O316" s="540"/>
      <c r="P316" s="812">
        <f t="shared" si="16"/>
        <v>576118228473</v>
      </c>
      <c r="Q316" s="547">
        <v>526166484075</v>
      </c>
      <c r="R316" s="812">
        <f t="shared" si="17"/>
        <v>576118</v>
      </c>
      <c r="S316" s="547">
        <f t="shared" si="17"/>
        <v>526166</v>
      </c>
      <c r="T316" s="566"/>
      <c r="U316" s="567"/>
      <c r="V316" s="812">
        <f t="shared" si="18"/>
        <v>576118228473</v>
      </c>
      <c r="W316" s="812">
        <f t="shared" si="19"/>
        <v>576118</v>
      </c>
    </row>
    <row r="317" spans="1:23" ht="27" hidden="1" customHeight="1">
      <c r="A317" s="531">
        <v>905</v>
      </c>
      <c r="B317" s="529">
        <v>9</v>
      </c>
      <c r="C317" s="531" t="s">
        <v>1112</v>
      </c>
      <c r="D317" s="531" t="s">
        <v>1113</v>
      </c>
      <c r="E317" s="547">
        <v>49661314403</v>
      </c>
      <c r="F317" s="547">
        <v>-49661314403</v>
      </c>
      <c r="G317" s="547"/>
      <c r="H317" s="547"/>
      <c r="I317" s="547"/>
      <c r="J317" s="547"/>
      <c r="K317" s="547"/>
      <c r="L317" s="547"/>
      <c r="M317" s="547">
        <v>0</v>
      </c>
      <c r="N317" s="540"/>
      <c r="O317" s="540"/>
      <c r="P317" s="812">
        <f t="shared" si="16"/>
        <v>0</v>
      </c>
      <c r="Q317" s="547">
        <v>0</v>
      </c>
      <c r="R317" s="812">
        <f t="shared" si="17"/>
        <v>0</v>
      </c>
      <c r="S317" s="547">
        <f t="shared" si="17"/>
        <v>0</v>
      </c>
      <c r="T317" s="566"/>
      <c r="U317" s="567"/>
      <c r="V317" s="812">
        <f t="shared" si="18"/>
        <v>0</v>
      </c>
      <c r="W317" s="812">
        <f t="shared" si="19"/>
        <v>0</v>
      </c>
    </row>
    <row r="318" spans="1:23" ht="27" hidden="1" customHeight="1">
      <c r="A318" s="531">
        <v>905</v>
      </c>
      <c r="B318" s="529">
        <v>9</v>
      </c>
      <c r="C318" s="531" t="s">
        <v>1115</v>
      </c>
      <c r="D318" s="531" t="s">
        <v>1114</v>
      </c>
      <c r="E318" s="547">
        <v>-5</v>
      </c>
      <c r="F318" s="547">
        <v>5</v>
      </c>
      <c r="G318" s="547"/>
      <c r="H318" s="547"/>
      <c r="I318" s="547"/>
      <c r="J318" s="547"/>
      <c r="K318" s="547"/>
      <c r="L318" s="547"/>
      <c r="M318" s="547">
        <v>0</v>
      </c>
      <c r="N318" s="540"/>
      <c r="O318" s="540"/>
      <c r="P318" s="812">
        <f t="shared" si="16"/>
        <v>0</v>
      </c>
      <c r="Q318" s="547">
        <v>0</v>
      </c>
      <c r="R318" s="812">
        <f t="shared" si="17"/>
        <v>0</v>
      </c>
      <c r="S318" s="547">
        <f t="shared" si="17"/>
        <v>0</v>
      </c>
      <c r="T318" s="566"/>
      <c r="U318" s="567"/>
      <c r="V318" s="812">
        <f t="shared" si="18"/>
        <v>0</v>
      </c>
      <c r="W318" s="812">
        <f t="shared" si="19"/>
        <v>0</v>
      </c>
    </row>
    <row r="319" spans="1:23" ht="27" hidden="1" customHeight="1">
      <c r="A319" s="531"/>
      <c r="B319" s="529">
        <v>9</v>
      </c>
      <c r="C319" s="531" t="s">
        <v>1017</v>
      </c>
      <c r="D319" s="531" t="s">
        <v>1018</v>
      </c>
      <c r="E319" s="547"/>
      <c r="F319" s="547"/>
      <c r="G319" s="547"/>
      <c r="H319" s="547"/>
      <c r="I319" s="547"/>
      <c r="J319" s="547"/>
      <c r="K319" s="547"/>
      <c r="L319" s="547"/>
      <c r="M319" s="547">
        <v>0</v>
      </c>
      <c r="N319" s="540"/>
      <c r="O319" s="540"/>
      <c r="P319" s="812">
        <f t="shared" si="16"/>
        <v>0</v>
      </c>
      <c r="Q319" s="547"/>
      <c r="R319" s="812">
        <f t="shared" si="17"/>
        <v>0</v>
      </c>
      <c r="S319" s="547">
        <f t="shared" si="17"/>
        <v>0</v>
      </c>
      <c r="T319" s="566"/>
      <c r="U319" s="567"/>
      <c r="V319" s="812">
        <f t="shared" si="18"/>
        <v>0</v>
      </c>
      <c r="W319" s="812">
        <f t="shared" si="19"/>
        <v>0</v>
      </c>
    </row>
    <row r="320" spans="1:23" ht="27" hidden="1" customHeight="1">
      <c r="A320" s="531"/>
      <c r="B320" s="529">
        <v>9</v>
      </c>
      <c r="C320" s="531" t="s">
        <v>1197</v>
      </c>
      <c r="D320" s="531" t="s">
        <v>1198</v>
      </c>
      <c r="E320" s="547"/>
      <c r="F320" s="547"/>
      <c r="G320" s="547"/>
      <c r="H320" s="547"/>
      <c r="I320" s="547"/>
      <c r="J320" s="547"/>
      <c r="K320" s="547"/>
      <c r="L320" s="547"/>
      <c r="M320" s="547">
        <v>0</v>
      </c>
      <c r="N320" s="540"/>
      <c r="O320" s="540"/>
      <c r="P320" s="812">
        <f t="shared" si="16"/>
        <v>0</v>
      </c>
      <c r="Q320" s="547"/>
      <c r="R320" s="812">
        <f t="shared" si="17"/>
        <v>0</v>
      </c>
      <c r="S320" s="547">
        <f t="shared" si="17"/>
        <v>0</v>
      </c>
      <c r="T320" s="566"/>
      <c r="U320" s="567"/>
      <c r="V320" s="812">
        <f t="shared" si="18"/>
        <v>0</v>
      </c>
      <c r="W320" s="812">
        <f t="shared" si="19"/>
        <v>0</v>
      </c>
    </row>
    <row r="321" spans="1:23" ht="27" hidden="1" customHeight="1">
      <c r="A321" s="531">
        <v>904</v>
      </c>
      <c r="B321" s="529">
        <v>9</v>
      </c>
      <c r="C321" s="531" t="s">
        <v>149</v>
      </c>
      <c r="D321" s="531" t="s">
        <v>915</v>
      </c>
      <c r="E321" s="547">
        <v>257870152660</v>
      </c>
      <c r="F321" s="547">
        <v>27111721269</v>
      </c>
      <c r="G321" s="547"/>
      <c r="H321" s="547"/>
      <c r="I321" s="547"/>
      <c r="J321" s="547"/>
      <c r="K321" s="547"/>
      <c r="L321" s="547"/>
      <c r="M321" s="547">
        <v>0</v>
      </c>
      <c r="N321" s="540"/>
      <c r="O321" s="540"/>
      <c r="P321" s="812">
        <f t="shared" si="16"/>
        <v>284981873929</v>
      </c>
      <c r="Q321" s="547">
        <v>257870152660</v>
      </c>
      <c r="R321" s="812">
        <f t="shared" si="17"/>
        <v>284982</v>
      </c>
      <c r="S321" s="547">
        <f t="shared" si="17"/>
        <v>257870</v>
      </c>
      <c r="T321" s="566"/>
      <c r="U321" s="567"/>
      <c r="V321" s="812">
        <f t="shared" si="18"/>
        <v>284981873929</v>
      </c>
      <c r="W321" s="812">
        <f t="shared" si="19"/>
        <v>284982</v>
      </c>
    </row>
    <row r="322" spans="1:23" ht="27" hidden="1" customHeight="1">
      <c r="A322" s="531">
        <v>904</v>
      </c>
      <c r="B322" s="529">
        <v>9</v>
      </c>
      <c r="C322" s="531" t="s">
        <v>1116</v>
      </c>
      <c r="D322" s="531" t="s">
        <v>1119</v>
      </c>
      <c r="E322" s="547">
        <v>27428202105</v>
      </c>
      <c r="F322" s="547">
        <v>-27428202105</v>
      </c>
      <c r="G322" s="547"/>
      <c r="H322" s="547"/>
      <c r="I322" s="547"/>
      <c r="J322" s="547"/>
      <c r="K322" s="547"/>
      <c r="L322" s="547"/>
      <c r="M322" s="547">
        <v>0</v>
      </c>
      <c r="N322" s="540"/>
      <c r="O322" s="540"/>
      <c r="P322" s="812">
        <f t="shared" si="16"/>
        <v>0</v>
      </c>
      <c r="Q322" s="547">
        <v>0</v>
      </c>
      <c r="R322" s="812">
        <f t="shared" si="17"/>
        <v>0</v>
      </c>
      <c r="S322" s="547">
        <f t="shared" si="17"/>
        <v>0</v>
      </c>
      <c r="T322" s="566"/>
      <c r="U322" s="567"/>
      <c r="V322" s="812">
        <f t="shared" si="18"/>
        <v>0</v>
      </c>
      <c r="W322" s="812">
        <f t="shared" si="19"/>
        <v>0</v>
      </c>
    </row>
    <row r="323" spans="1:23" ht="27" hidden="1" customHeight="1">
      <c r="A323" s="531">
        <v>904</v>
      </c>
      <c r="B323" s="529">
        <v>9</v>
      </c>
      <c r="C323" s="531" t="s">
        <v>1117</v>
      </c>
      <c r="D323" s="531" t="s">
        <v>1120</v>
      </c>
      <c r="E323" s="547">
        <v>-682013075</v>
      </c>
      <c r="F323" s="547">
        <v>682013075</v>
      </c>
      <c r="G323" s="547"/>
      <c r="H323" s="547"/>
      <c r="I323" s="547"/>
      <c r="J323" s="547"/>
      <c r="K323" s="547"/>
      <c r="L323" s="547"/>
      <c r="M323" s="547">
        <v>0</v>
      </c>
      <c r="N323" s="540"/>
      <c r="O323" s="540"/>
      <c r="P323" s="812">
        <f t="shared" si="16"/>
        <v>0</v>
      </c>
      <c r="Q323" s="547">
        <v>0</v>
      </c>
      <c r="R323" s="812">
        <f t="shared" si="17"/>
        <v>0</v>
      </c>
      <c r="S323" s="547">
        <f t="shared" si="17"/>
        <v>0</v>
      </c>
      <c r="T323" s="566"/>
      <c r="U323" s="567"/>
      <c r="V323" s="812">
        <f t="shared" si="18"/>
        <v>0</v>
      </c>
      <c r="W323" s="812">
        <f t="shared" si="19"/>
        <v>0</v>
      </c>
    </row>
    <row r="324" spans="1:23" ht="27" hidden="1" customHeight="1">
      <c r="A324" s="531">
        <v>904</v>
      </c>
      <c r="B324" s="529">
        <v>9</v>
      </c>
      <c r="C324" s="531" t="s">
        <v>1118</v>
      </c>
      <c r="D324" s="531" t="s">
        <v>1121</v>
      </c>
      <c r="E324" s="547"/>
      <c r="F324" s="547"/>
      <c r="G324" s="547"/>
      <c r="H324" s="547"/>
      <c r="I324" s="547"/>
      <c r="J324" s="547"/>
      <c r="K324" s="547"/>
      <c r="L324" s="547"/>
      <c r="M324" s="547">
        <v>0</v>
      </c>
      <c r="N324" s="540"/>
      <c r="O324" s="540"/>
      <c r="P324" s="812">
        <f t="shared" ref="P324:P387" si="20">E324+F324+G324-N324+O324+H324+I324+J324+K324+L324</f>
        <v>0</v>
      </c>
      <c r="Q324" s="547">
        <v>0</v>
      </c>
      <c r="R324" s="812">
        <f t="shared" ref="R324:S367" si="21">ROUND((P324/1000000),0)</f>
        <v>0</v>
      </c>
      <c r="S324" s="547">
        <f t="shared" si="21"/>
        <v>0</v>
      </c>
      <c r="T324" s="566"/>
      <c r="U324" s="567"/>
      <c r="V324" s="812">
        <f t="shared" ref="V324:V387" si="22">P324-U324+T324</f>
        <v>0</v>
      </c>
      <c r="W324" s="812">
        <f t="shared" ref="W324:W387" si="23">ROUND((V324/1000000),0)</f>
        <v>0</v>
      </c>
    </row>
    <row r="325" spans="1:23" ht="27" hidden="1" customHeight="1">
      <c r="A325" s="531"/>
      <c r="B325" s="529">
        <v>9</v>
      </c>
      <c r="C325" s="531" t="s">
        <v>1019</v>
      </c>
      <c r="D325" s="531" t="s">
        <v>1020</v>
      </c>
      <c r="E325" s="547">
        <v>1536389682</v>
      </c>
      <c r="F325" s="547">
        <v>-1536389682</v>
      </c>
      <c r="G325" s="547"/>
      <c r="H325" s="547"/>
      <c r="I325" s="547"/>
      <c r="J325" s="547"/>
      <c r="K325" s="547"/>
      <c r="L325" s="547"/>
      <c r="M325" s="547">
        <v>0</v>
      </c>
      <c r="N325" s="540"/>
      <c r="O325" s="540"/>
      <c r="P325" s="812">
        <f t="shared" si="20"/>
        <v>0</v>
      </c>
      <c r="Q325" s="547">
        <v>0</v>
      </c>
      <c r="R325" s="812">
        <f t="shared" si="21"/>
        <v>0</v>
      </c>
      <c r="S325" s="547">
        <f t="shared" si="21"/>
        <v>0</v>
      </c>
      <c r="T325" s="566"/>
      <c r="U325" s="567"/>
      <c r="V325" s="812">
        <f t="shared" si="22"/>
        <v>0</v>
      </c>
      <c r="W325" s="812">
        <f t="shared" si="23"/>
        <v>0</v>
      </c>
    </row>
    <row r="326" spans="1:23" ht="27" hidden="1" customHeight="1">
      <c r="A326" s="531">
        <v>902</v>
      </c>
      <c r="B326" s="529">
        <v>9</v>
      </c>
      <c r="C326" s="531" t="s">
        <v>1009</v>
      </c>
      <c r="D326" s="531" t="s">
        <v>1010</v>
      </c>
      <c r="E326" s="547">
        <v>-2548256567962</v>
      </c>
      <c r="F326" s="547">
        <v>2548256567962</v>
      </c>
      <c r="G326" s="547"/>
      <c r="H326" s="547"/>
      <c r="I326" s="547"/>
      <c r="J326" s="547"/>
      <c r="K326" s="547"/>
      <c r="L326" s="547"/>
      <c r="M326" s="547">
        <v>0</v>
      </c>
      <c r="N326" s="540"/>
      <c r="O326" s="540"/>
      <c r="P326" s="812">
        <f t="shared" si="20"/>
        <v>0</v>
      </c>
      <c r="Q326" s="547">
        <v>0</v>
      </c>
      <c r="R326" s="812">
        <f t="shared" si="21"/>
        <v>0</v>
      </c>
      <c r="S326" s="547">
        <f t="shared" si="21"/>
        <v>0</v>
      </c>
      <c r="T326" s="566"/>
      <c r="U326" s="567"/>
      <c r="V326" s="812">
        <f t="shared" si="22"/>
        <v>0</v>
      </c>
      <c r="W326" s="812">
        <f t="shared" si="23"/>
        <v>0</v>
      </c>
    </row>
    <row r="327" spans="1:23" ht="27" hidden="1" customHeight="1">
      <c r="A327" s="531"/>
      <c r="B327" s="529">
        <v>9</v>
      </c>
      <c r="C327" s="531" t="s">
        <v>1250</v>
      </c>
      <c r="D327" s="531" t="s">
        <v>1249</v>
      </c>
      <c r="E327" s="547">
        <v>-7083324</v>
      </c>
      <c r="F327" s="547">
        <v>7083324</v>
      </c>
      <c r="G327" s="547"/>
      <c r="H327" s="547"/>
      <c r="I327" s="547"/>
      <c r="J327" s="547"/>
      <c r="K327" s="547"/>
      <c r="L327" s="547"/>
      <c r="M327" s="547">
        <v>0</v>
      </c>
      <c r="N327" s="540"/>
      <c r="O327" s="540"/>
      <c r="P327" s="812">
        <f t="shared" si="20"/>
        <v>0</v>
      </c>
      <c r="Q327" s="547">
        <v>0</v>
      </c>
      <c r="R327" s="812">
        <f t="shared" si="21"/>
        <v>0</v>
      </c>
      <c r="S327" s="547">
        <f t="shared" si="21"/>
        <v>0</v>
      </c>
      <c r="T327" s="566"/>
      <c r="U327" s="567"/>
      <c r="V327" s="812">
        <f t="shared" si="22"/>
        <v>0</v>
      </c>
      <c r="W327" s="812">
        <f t="shared" si="23"/>
        <v>0</v>
      </c>
    </row>
    <row r="328" spans="1:23" ht="27" hidden="1" customHeight="1">
      <c r="A328" s="531">
        <v>902</v>
      </c>
      <c r="B328" s="529">
        <v>9</v>
      </c>
      <c r="C328" s="531" t="s">
        <v>1122</v>
      </c>
      <c r="D328" s="531" t="s">
        <v>1123</v>
      </c>
      <c r="E328" s="547">
        <v>-92765635923</v>
      </c>
      <c r="F328" s="547">
        <v>92765635923</v>
      </c>
      <c r="G328" s="547"/>
      <c r="H328" s="547"/>
      <c r="I328" s="547"/>
      <c r="J328" s="547"/>
      <c r="K328" s="547"/>
      <c r="L328" s="547"/>
      <c r="M328" s="547">
        <v>0</v>
      </c>
      <c r="N328" s="540"/>
      <c r="O328" s="540"/>
      <c r="P328" s="812">
        <f t="shared" si="20"/>
        <v>0</v>
      </c>
      <c r="Q328" s="547">
        <v>0</v>
      </c>
      <c r="R328" s="812">
        <f t="shared" si="21"/>
        <v>0</v>
      </c>
      <c r="S328" s="547">
        <f t="shared" si="21"/>
        <v>0</v>
      </c>
      <c r="T328" s="566"/>
      <c r="U328" s="567"/>
      <c r="V328" s="812">
        <f t="shared" si="22"/>
        <v>0</v>
      </c>
      <c r="W328" s="812">
        <f t="shared" si="23"/>
        <v>0</v>
      </c>
    </row>
    <row r="329" spans="1:23" ht="27" hidden="1" customHeight="1">
      <c r="A329" s="531"/>
      <c r="B329" s="529">
        <v>9</v>
      </c>
      <c r="C329" s="531" t="s">
        <v>1251</v>
      </c>
      <c r="D329" s="531" t="s">
        <v>1252</v>
      </c>
      <c r="E329" s="547"/>
      <c r="F329" s="547"/>
      <c r="G329" s="547"/>
      <c r="H329" s="547"/>
      <c r="I329" s="547"/>
      <c r="J329" s="547"/>
      <c r="K329" s="547"/>
      <c r="L329" s="547"/>
      <c r="M329" s="547">
        <v>0</v>
      </c>
      <c r="N329" s="540"/>
      <c r="O329" s="540"/>
      <c r="P329" s="812">
        <f t="shared" si="20"/>
        <v>0</v>
      </c>
      <c r="Q329" s="547">
        <v>0</v>
      </c>
      <c r="R329" s="812">
        <f t="shared" si="21"/>
        <v>0</v>
      </c>
      <c r="S329" s="547">
        <f t="shared" si="21"/>
        <v>0</v>
      </c>
      <c r="T329" s="566"/>
      <c r="U329" s="567"/>
      <c r="V329" s="812">
        <f t="shared" si="22"/>
        <v>0</v>
      </c>
      <c r="W329" s="812">
        <f t="shared" si="23"/>
        <v>0</v>
      </c>
    </row>
    <row r="330" spans="1:23" ht="27" hidden="1" customHeight="1">
      <c r="A330" s="531">
        <v>902</v>
      </c>
      <c r="B330" s="529">
        <v>9</v>
      </c>
      <c r="C330" s="531" t="s">
        <v>1124</v>
      </c>
      <c r="D330" s="531" t="s">
        <v>1125</v>
      </c>
      <c r="E330" s="547">
        <v>-64340129450</v>
      </c>
      <c r="F330" s="547">
        <v>64340129450</v>
      </c>
      <c r="G330" s="547"/>
      <c r="H330" s="547"/>
      <c r="I330" s="547"/>
      <c r="J330" s="547"/>
      <c r="K330" s="547"/>
      <c r="L330" s="547"/>
      <c r="M330" s="547">
        <v>0</v>
      </c>
      <c r="N330" s="540"/>
      <c r="O330" s="540"/>
      <c r="P330" s="812">
        <f t="shared" si="20"/>
        <v>0</v>
      </c>
      <c r="Q330" s="547">
        <v>0</v>
      </c>
      <c r="R330" s="812">
        <f t="shared" si="21"/>
        <v>0</v>
      </c>
      <c r="S330" s="547">
        <f t="shared" si="21"/>
        <v>0</v>
      </c>
      <c r="T330" s="566"/>
      <c r="U330" s="567"/>
      <c r="V330" s="812">
        <f t="shared" si="22"/>
        <v>0</v>
      </c>
      <c r="W330" s="812">
        <f t="shared" si="23"/>
        <v>0</v>
      </c>
    </row>
    <row r="331" spans="1:23" ht="27" hidden="1" customHeight="1">
      <c r="A331" s="531"/>
      <c r="B331" s="529">
        <v>9</v>
      </c>
      <c r="C331" s="531" t="s">
        <v>1199</v>
      </c>
      <c r="D331" s="531" t="s">
        <v>1200</v>
      </c>
      <c r="E331" s="547">
        <v>-9</v>
      </c>
      <c r="F331" s="547">
        <v>9</v>
      </c>
      <c r="G331" s="547"/>
      <c r="H331" s="547"/>
      <c r="I331" s="547"/>
      <c r="J331" s="547"/>
      <c r="K331" s="547"/>
      <c r="L331" s="547"/>
      <c r="M331" s="547">
        <v>0</v>
      </c>
      <c r="N331" s="540"/>
      <c r="O331" s="540"/>
      <c r="P331" s="812">
        <f t="shared" si="20"/>
        <v>0</v>
      </c>
      <c r="Q331" s="547">
        <v>0</v>
      </c>
      <c r="R331" s="812">
        <f t="shared" si="21"/>
        <v>0</v>
      </c>
      <c r="S331" s="547">
        <f t="shared" si="21"/>
        <v>0</v>
      </c>
      <c r="T331" s="566"/>
      <c r="U331" s="567"/>
      <c r="V331" s="812">
        <f t="shared" si="22"/>
        <v>0</v>
      </c>
      <c r="W331" s="812">
        <f t="shared" si="23"/>
        <v>0</v>
      </c>
    </row>
    <row r="332" spans="1:23" ht="27" hidden="1" customHeight="1">
      <c r="A332" s="531">
        <v>902</v>
      </c>
      <c r="B332" s="529">
        <v>9</v>
      </c>
      <c r="C332" s="531" t="s">
        <v>151</v>
      </c>
      <c r="D332" s="531" t="s">
        <v>914</v>
      </c>
      <c r="E332" s="547">
        <v>-17493684650114</v>
      </c>
      <c r="F332" s="547">
        <v>-1438752937244</v>
      </c>
      <c r="G332" s="547">
        <v>-22001502065</v>
      </c>
      <c r="H332" s="547"/>
      <c r="I332" s="547">
        <v>-1216223364</v>
      </c>
      <c r="J332" s="547">
        <v>-7226036</v>
      </c>
      <c r="K332" s="547"/>
      <c r="L332" s="547"/>
      <c r="M332" s="547">
        <v>0</v>
      </c>
      <c r="N332" s="540"/>
      <c r="O332" s="540"/>
      <c r="P332" s="812">
        <f t="shared" si="20"/>
        <v>-18955662538823</v>
      </c>
      <c r="Q332" s="547">
        <v>-17493684650114</v>
      </c>
      <c r="R332" s="812">
        <f t="shared" si="21"/>
        <v>-18955663</v>
      </c>
      <c r="S332" s="547">
        <f t="shared" si="21"/>
        <v>-17493685</v>
      </c>
      <c r="T332" s="566"/>
      <c r="U332" s="567"/>
      <c r="V332" s="812">
        <f t="shared" si="22"/>
        <v>-18955662538823</v>
      </c>
      <c r="W332" s="812">
        <f t="shared" si="23"/>
        <v>-18955663</v>
      </c>
    </row>
    <row r="333" spans="1:23" ht="27" hidden="1" customHeight="1">
      <c r="A333" s="531"/>
      <c r="B333" s="529">
        <v>9</v>
      </c>
      <c r="C333" s="531" t="s">
        <v>1253</v>
      </c>
      <c r="D333" s="531" t="s">
        <v>1254</v>
      </c>
      <c r="E333" s="547"/>
      <c r="F333" s="547"/>
      <c r="G333" s="547"/>
      <c r="H333" s="547"/>
      <c r="I333" s="547"/>
      <c r="J333" s="547"/>
      <c r="K333" s="547"/>
      <c r="L333" s="547"/>
      <c r="M333" s="547">
        <v>0</v>
      </c>
      <c r="N333" s="540"/>
      <c r="O333" s="540"/>
      <c r="P333" s="812">
        <f t="shared" si="20"/>
        <v>0</v>
      </c>
      <c r="Q333" s="547">
        <v>0</v>
      </c>
      <c r="R333" s="812">
        <f t="shared" si="21"/>
        <v>0</v>
      </c>
      <c r="S333" s="547">
        <f t="shared" si="21"/>
        <v>0</v>
      </c>
      <c r="T333" s="566"/>
      <c r="U333" s="567"/>
      <c r="V333" s="812">
        <f t="shared" si="22"/>
        <v>0</v>
      </c>
      <c r="W333" s="812">
        <f t="shared" si="23"/>
        <v>0</v>
      </c>
    </row>
    <row r="334" spans="1:23" ht="27" hidden="1" customHeight="1">
      <c r="A334" s="531">
        <v>902</v>
      </c>
      <c r="B334" s="529">
        <v>9</v>
      </c>
      <c r="C334" s="531" t="s">
        <v>1126</v>
      </c>
      <c r="D334" s="531" t="s">
        <v>1127</v>
      </c>
      <c r="E334" s="547">
        <v>-3474888542</v>
      </c>
      <c r="F334" s="547">
        <v>3474888542</v>
      </c>
      <c r="G334" s="547"/>
      <c r="H334" s="547"/>
      <c r="I334" s="547"/>
      <c r="J334" s="547"/>
      <c r="K334" s="547"/>
      <c r="L334" s="547"/>
      <c r="M334" s="547">
        <v>0</v>
      </c>
      <c r="N334" s="540"/>
      <c r="O334" s="540"/>
      <c r="P334" s="812">
        <f t="shared" si="20"/>
        <v>0</v>
      </c>
      <c r="Q334" s="547">
        <v>0</v>
      </c>
      <c r="R334" s="812">
        <f t="shared" si="21"/>
        <v>0</v>
      </c>
      <c r="S334" s="547">
        <f t="shared" si="21"/>
        <v>0</v>
      </c>
      <c r="T334" s="566"/>
      <c r="U334" s="567"/>
      <c r="V334" s="812">
        <f t="shared" si="22"/>
        <v>0</v>
      </c>
      <c r="W334" s="812">
        <f t="shared" si="23"/>
        <v>0</v>
      </c>
    </row>
    <row r="335" spans="1:23" ht="27" hidden="1" customHeight="1">
      <c r="A335" s="531">
        <v>903</v>
      </c>
      <c r="B335" s="529">
        <v>9</v>
      </c>
      <c r="C335" s="531" t="s">
        <v>509</v>
      </c>
      <c r="D335" s="531" t="s">
        <v>921</v>
      </c>
      <c r="E335" s="547">
        <v>-465173329923</v>
      </c>
      <c r="F335" s="547">
        <v>-72463512338</v>
      </c>
      <c r="G335" s="547">
        <v>38398863</v>
      </c>
      <c r="H335" s="547"/>
      <c r="I335" s="547"/>
      <c r="J335" s="547"/>
      <c r="K335" s="547"/>
      <c r="L335" s="547"/>
      <c r="M335" s="547">
        <v>0</v>
      </c>
      <c r="N335" s="540"/>
      <c r="O335" s="540"/>
      <c r="P335" s="812">
        <f t="shared" si="20"/>
        <v>-537598443398</v>
      </c>
      <c r="Q335" s="547">
        <v>-465173329923</v>
      </c>
      <c r="R335" s="812">
        <f t="shared" si="21"/>
        <v>-537598</v>
      </c>
      <c r="S335" s="547">
        <f t="shared" si="21"/>
        <v>-465173</v>
      </c>
      <c r="T335" s="566"/>
      <c r="U335" s="567"/>
      <c r="V335" s="812">
        <f t="shared" si="22"/>
        <v>-537598443398</v>
      </c>
      <c r="W335" s="812">
        <f t="shared" si="23"/>
        <v>-537598</v>
      </c>
    </row>
    <row r="336" spans="1:23" ht="27" hidden="1" customHeight="1">
      <c r="A336" s="531">
        <v>903</v>
      </c>
      <c r="B336" s="529">
        <v>9</v>
      </c>
      <c r="C336" s="531" t="s">
        <v>1128</v>
      </c>
      <c r="D336" s="531" t="s">
        <v>1133</v>
      </c>
      <c r="E336" s="547">
        <v>-80951904602</v>
      </c>
      <c r="F336" s="547">
        <v>80951904602</v>
      </c>
      <c r="G336" s="547"/>
      <c r="H336" s="547"/>
      <c r="I336" s="547"/>
      <c r="J336" s="547"/>
      <c r="K336" s="547"/>
      <c r="L336" s="547"/>
      <c r="M336" s="547">
        <v>0</v>
      </c>
      <c r="N336" s="540"/>
      <c r="O336" s="540"/>
      <c r="P336" s="812">
        <f t="shared" si="20"/>
        <v>0</v>
      </c>
      <c r="Q336" s="547">
        <v>0</v>
      </c>
      <c r="R336" s="812">
        <f t="shared" si="21"/>
        <v>0</v>
      </c>
      <c r="S336" s="547">
        <f t="shared" si="21"/>
        <v>0</v>
      </c>
      <c r="T336" s="566"/>
      <c r="U336" s="567"/>
      <c r="V336" s="812">
        <f t="shared" si="22"/>
        <v>0</v>
      </c>
      <c r="W336" s="812">
        <f t="shared" si="23"/>
        <v>0</v>
      </c>
    </row>
    <row r="337" spans="1:23" ht="27" hidden="1" customHeight="1">
      <c r="A337" s="531">
        <v>903</v>
      </c>
      <c r="B337" s="529">
        <v>9</v>
      </c>
      <c r="C337" s="531" t="s">
        <v>1129</v>
      </c>
      <c r="D337" s="531" t="s">
        <v>1131</v>
      </c>
      <c r="E337" s="547">
        <v>2341895195</v>
      </c>
      <c r="F337" s="547">
        <v>-2341895195</v>
      </c>
      <c r="G337" s="547"/>
      <c r="H337" s="547"/>
      <c r="I337" s="547"/>
      <c r="J337" s="547"/>
      <c r="K337" s="547"/>
      <c r="L337" s="547"/>
      <c r="M337" s="547">
        <v>0</v>
      </c>
      <c r="N337" s="540"/>
      <c r="O337" s="540"/>
      <c r="P337" s="812">
        <f t="shared" si="20"/>
        <v>0</v>
      </c>
      <c r="Q337" s="547">
        <v>0</v>
      </c>
      <c r="R337" s="812">
        <f t="shared" si="21"/>
        <v>0</v>
      </c>
      <c r="S337" s="547">
        <f t="shared" si="21"/>
        <v>0</v>
      </c>
      <c r="T337" s="566"/>
      <c r="U337" s="567"/>
      <c r="V337" s="812">
        <f t="shared" si="22"/>
        <v>0</v>
      </c>
      <c r="W337" s="812">
        <f t="shared" si="23"/>
        <v>0</v>
      </c>
    </row>
    <row r="338" spans="1:23" ht="27" hidden="1" customHeight="1">
      <c r="A338" s="531"/>
      <c r="B338" s="529">
        <v>9</v>
      </c>
      <c r="C338" s="531" t="s">
        <v>1130</v>
      </c>
      <c r="D338" s="531" t="s">
        <v>1132</v>
      </c>
      <c r="E338" s="547"/>
      <c r="F338" s="547"/>
      <c r="G338" s="547"/>
      <c r="H338" s="547"/>
      <c r="I338" s="547"/>
      <c r="J338" s="547"/>
      <c r="K338" s="547"/>
      <c r="L338" s="547"/>
      <c r="M338" s="547">
        <v>0</v>
      </c>
      <c r="N338" s="540"/>
      <c r="O338" s="540"/>
      <c r="P338" s="812">
        <f t="shared" si="20"/>
        <v>0</v>
      </c>
      <c r="Q338" s="547">
        <v>0</v>
      </c>
      <c r="R338" s="812">
        <f t="shared" si="21"/>
        <v>0</v>
      </c>
      <c r="S338" s="547">
        <f t="shared" si="21"/>
        <v>0</v>
      </c>
      <c r="T338" s="566"/>
      <c r="U338" s="567"/>
      <c r="V338" s="812">
        <f t="shared" si="22"/>
        <v>0</v>
      </c>
      <c r="W338" s="812">
        <f t="shared" si="23"/>
        <v>0</v>
      </c>
    </row>
    <row r="339" spans="1:23" ht="27" hidden="1" customHeight="1">
      <c r="A339" s="531">
        <v>905</v>
      </c>
      <c r="B339" s="529">
        <v>9</v>
      </c>
      <c r="C339" s="531" t="s">
        <v>287</v>
      </c>
      <c r="D339" s="531" t="s">
        <v>918</v>
      </c>
      <c r="E339" s="547">
        <v>-383412456101</v>
      </c>
      <c r="F339" s="547">
        <v>-48471453296</v>
      </c>
      <c r="G339" s="547"/>
      <c r="H339" s="547"/>
      <c r="I339" s="547"/>
      <c r="J339" s="547"/>
      <c r="K339" s="547"/>
      <c r="L339" s="547"/>
      <c r="M339" s="547">
        <v>0</v>
      </c>
      <c r="N339" s="540"/>
      <c r="O339" s="540"/>
      <c r="P339" s="812">
        <f t="shared" si="20"/>
        <v>-431883909397</v>
      </c>
      <c r="Q339" s="547">
        <v>-383412456101</v>
      </c>
      <c r="R339" s="812">
        <f t="shared" si="21"/>
        <v>-431884</v>
      </c>
      <c r="S339" s="547">
        <f t="shared" si="21"/>
        <v>-383412</v>
      </c>
      <c r="T339" s="566"/>
      <c r="U339" s="567"/>
      <c r="V339" s="812">
        <f t="shared" si="22"/>
        <v>-431883909397</v>
      </c>
      <c r="W339" s="812">
        <f t="shared" si="23"/>
        <v>-431884</v>
      </c>
    </row>
    <row r="340" spans="1:23" ht="27" hidden="1" customHeight="1">
      <c r="A340" s="531">
        <v>905</v>
      </c>
      <c r="B340" s="529">
        <v>9</v>
      </c>
      <c r="C340" s="531" t="s">
        <v>1134</v>
      </c>
      <c r="D340" s="531" t="s">
        <v>1136</v>
      </c>
      <c r="E340" s="547">
        <v>-52336759552</v>
      </c>
      <c r="F340" s="547">
        <v>52336759552</v>
      </c>
      <c r="G340" s="547"/>
      <c r="H340" s="547"/>
      <c r="I340" s="547"/>
      <c r="J340" s="547"/>
      <c r="K340" s="547"/>
      <c r="L340" s="547"/>
      <c r="M340" s="547">
        <v>0</v>
      </c>
      <c r="N340" s="540"/>
      <c r="O340" s="540"/>
      <c r="P340" s="812">
        <f t="shared" si="20"/>
        <v>0</v>
      </c>
      <c r="Q340" s="547">
        <v>0</v>
      </c>
      <c r="R340" s="812">
        <f t="shared" si="21"/>
        <v>0</v>
      </c>
      <c r="S340" s="547">
        <f t="shared" si="21"/>
        <v>0</v>
      </c>
      <c r="T340" s="566"/>
      <c r="U340" s="567"/>
      <c r="V340" s="812">
        <f t="shared" si="22"/>
        <v>0</v>
      </c>
      <c r="W340" s="812">
        <f t="shared" si="23"/>
        <v>0</v>
      </c>
    </row>
    <row r="341" spans="1:23" ht="27" hidden="1" customHeight="1">
      <c r="A341" s="531">
        <v>905</v>
      </c>
      <c r="B341" s="529">
        <v>9</v>
      </c>
      <c r="C341" s="531" t="s">
        <v>1135</v>
      </c>
      <c r="D341" s="531" t="s">
        <v>1137</v>
      </c>
      <c r="E341" s="547">
        <v>-2</v>
      </c>
      <c r="F341" s="547">
        <v>2</v>
      </c>
      <c r="G341" s="547"/>
      <c r="H341" s="547"/>
      <c r="I341" s="547"/>
      <c r="J341" s="547"/>
      <c r="K341" s="547"/>
      <c r="L341" s="547"/>
      <c r="M341" s="547">
        <v>0</v>
      </c>
      <c r="N341" s="540"/>
      <c r="O341" s="540"/>
      <c r="P341" s="812">
        <f t="shared" si="20"/>
        <v>0</v>
      </c>
      <c r="Q341" s="547">
        <v>0</v>
      </c>
      <c r="R341" s="812">
        <f t="shared" si="21"/>
        <v>0</v>
      </c>
      <c r="S341" s="547">
        <f t="shared" si="21"/>
        <v>0</v>
      </c>
      <c r="T341" s="566"/>
      <c r="U341" s="567"/>
      <c r="V341" s="812">
        <f t="shared" si="22"/>
        <v>0</v>
      </c>
      <c r="W341" s="812">
        <f t="shared" si="23"/>
        <v>0</v>
      </c>
    </row>
    <row r="342" spans="1:23" ht="27" hidden="1" customHeight="1">
      <c r="A342" s="531"/>
      <c r="B342" s="529">
        <v>9</v>
      </c>
      <c r="C342" s="531" t="s">
        <v>1021</v>
      </c>
      <c r="D342" s="531" t="s">
        <v>1022</v>
      </c>
      <c r="E342" s="547"/>
      <c r="F342" s="547"/>
      <c r="G342" s="547"/>
      <c r="H342" s="547"/>
      <c r="I342" s="547"/>
      <c r="J342" s="547"/>
      <c r="K342" s="547"/>
      <c r="L342" s="547"/>
      <c r="M342" s="547">
        <v>0</v>
      </c>
      <c r="N342" s="540"/>
      <c r="O342" s="540"/>
      <c r="P342" s="812">
        <f t="shared" si="20"/>
        <v>0</v>
      </c>
      <c r="Q342" s="547">
        <v>0</v>
      </c>
      <c r="R342" s="812">
        <f t="shared" si="21"/>
        <v>0</v>
      </c>
      <c r="S342" s="547">
        <f t="shared" si="21"/>
        <v>0</v>
      </c>
      <c r="T342" s="566"/>
      <c r="U342" s="567"/>
      <c r="V342" s="812">
        <f t="shared" si="22"/>
        <v>0</v>
      </c>
      <c r="W342" s="812">
        <f t="shared" si="23"/>
        <v>0</v>
      </c>
    </row>
    <row r="343" spans="1:23" ht="27" hidden="1" customHeight="1">
      <c r="A343" s="531">
        <v>904</v>
      </c>
      <c r="B343" s="529">
        <v>9</v>
      </c>
      <c r="C343" s="531" t="s">
        <v>289</v>
      </c>
      <c r="D343" s="531" t="s">
        <v>916</v>
      </c>
      <c r="E343" s="547">
        <v>-125116163040</v>
      </c>
      <c r="F343" s="547">
        <v>-28961030398</v>
      </c>
      <c r="G343" s="547"/>
      <c r="H343" s="547"/>
      <c r="I343" s="547"/>
      <c r="J343" s="547"/>
      <c r="K343" s="547"/>
      <c r="L343" s="547"/>
      <c r="M343" s="547">
        <v>0</v>
      </c>
      <c r="N343" s="540"/>
      <c r="O343" s="540"/>
      <c r="P343" s="812">
        <f t="shared" si="20"/>
        <v>-154077193438</v>
      </c>
      <c r="Q343" s="547">
        <v>-125116163040</v>
      </c>
      <c r="R343" s="812">
        <f t="shared" si="21"/>
        <v>-154077</v>
      </c>
      <c r="S343" s="547">
        <f t="shared" si="21"/>
        <v>-125116</v>
      </c>
      <c r="T343" s="566"/>
      <c r="U343" s="567"/>
      <c r="V343" s="812">
        <f t="shared" si="22"/>
        <v>-154077193438</v>
      </c>
      <c r="W343" s="812">
        <f t="shared" si="23"/>
        <v>-154077</v>
      </c>
    </row>
    <row r="344" spans="1:23" ht="27" hidden="1" customHeight="1">
      <c r="A344" s="531">
        <v>904</v>
      </c>
      <c r="B344" s="529">
        <v>9</v>
      </c>
      <c r="C344" s="531" t="s">
        <v>1138</v>
      </c>
      <c r="D344" s="531" t="s">
        <v>1141</v>
      </c>
      <c r="E344" s="547">
        <v>-31151197271</v>
      </c>
      <c r="F344" s="547">
        <v>31151197271</v>
      </c>
      <c r="G344" s="547"/>
      <c r="H344" s="547"/>
      <c r="I344" s="547"/>
      <c r="J344" s="547"/>
      <c r="K344" s="547"/>
      <c r="L344" s="547"/>
      <c r="M344" s="547">
        <v>0</v>
      </c>
      <c r="N344" s="540"/>
      <c r="O344" s="540"/>
      <c r="P344" s="812">
        <f t="shared" si="20"/>
        <v>0</v>
      </c>
      <c r="Q344" s="547">
        <v>0</v>
      </c>
      <c r="R344" s="812">
        <f t="shared" si="21"/>
        <v>0</v>
      </c>
      <c r="S344" s="547">
        <f t="shared" si="21"/>
        <v>0</v>
      </c>
      <c r="T344" s="566"/>
      <c r="U344" s="567"/>
      <c r="V344" s="812">
        <f t="shared" si="22"/>
        <v>0</v>
      </c>
      <c r="W344" s="812">
        <f t="shared" si="23"/>
        <v>0</v>
      </c>
    </row>
    <row r="345" spans="1:23" ht="27" hidden="1" customHeight="1">
      <c r="A345" s="531">
        <v>904</v>
      </c>
      <c r="B345" s="529">
        <v>9</v>
      </c>
      <c r="C345" s="531" t="s">
        <v>1139</v>
      </c>
      <c r="D345" s="531" t="s">
        <v>1142</v>
      </c>
      <c r="E345" s="547">
        <v>616185301</v>
      </c>
      <c r="F345" s="547">
        <v>-616185301</v>
      </c>
      <c r="G345" s="547"/>
      <c r="H345" s="547"/>
      <c r="I345" s="547"/>
      <c r="J345" s="547"/>
      <c r="K345" s="547"/>
      <c r="L345" s="547"/>
      <c r="M345" s="547">
        <v>0</v>
      </c>
      <c r="N345" s="540"/>
      <c r="O345" s="540"/>
      <c r="P345" s="812">
        <f t="shared" si="20"/>
        <v>0</v>
      </c>
      <c r="Q345" s="547">
        <v>0</v>
      </c>
      <c r="R345" s="812">
        <f t="shared" si="21"/>
        <v>0</v>
      </c>
      <c r="S345" s="547">
        <f t="shared" si="21"/>
        <v>0</v>
      </c>
      <c r="T345" s="566"/>
      <c r="U345" s="567"/>
      <c r="V345" s="812">
        <f t="shared" si="22"/>
        <v>0</v>
      </c>
      <c r="W345" s="812">
        <f t="shared" si="23"/>
        <v>0</v>
      </c>
    </row>
    <row r="346" spans="1:23" ht="27" hidden="1" customHeight="1">
      <c r="A346" s="531">
        <v>904</v>
      </c>
      <c r="B346" s="529">
        <v>9</v>
      </c>
      <c r="C346" s="531" t="s">
        <v>1140</v>
      </c>
      <c r="D346" s="531" t="s">
        <v>1143</v>
      </c>
      <c r="E346" s="547"/>
      <c r="F346" s="547"/>
      <c r="G346" s="547"/>
      <c r="H346" s="547"/>
      <c r="I346" s="547"/>
      <c r="J346" s="547"/>
      <c r="K346" s="547"/>
      <c r="L346" s="547"/>
      <c r="M346" s="547">
        <v>0</v>
      </c>
      <c r="N346" s="540"/>
      <c r="O346" s="540"/>
      <c r="P346" s="812">
        <f t="shared" si="20"/>
        <v>0</v>
      </c>
      <c r="Q346" s="547">
        <v>0</v>
      </c>
      <c r="R346" s="812">
        <f t="shared" si="21"/>
        <v>0</v>
      </c>
      <c r="S346" s="547">
        <f t="shared" si="21"/>
        <v>0</v>
      </c>
      <c r="T346" s="566"/>
      <c r="U346" s="567"/>
      <c r="V346" s="812">
        <f t="shared" si="22"/>
        <v>0</v>
      </c>
      <c r="W346" s="812">
        <f t="shared" si="23"/>
        <v>0</v>
      </c>
    </row>
    <row r="347" spans="1:23" ht="27" hidden="1" customHeight="1">
      <c r="A347" s="531">
        <v>904</v>
      </c>
      <c r="B347" s="529">
        <v>9</v>
      </c>
      <c r="C347" s="531" t="s">
        <v>1144</v>
      </c>
      <c r="D347" s="531" t="s">
        <v>1146</v>
      </c>
      <c r="E347" s="547">
        <v>-2317267729</v>
      </c>
      <c r="F347" s="547">
        <v>2317267729</v>
      </c>
      <c r="G347" s="547"/>
      <c r="H347" s="547"/>
      <c r="I347" s="547"/>
      <c r="J347" s="547"/>
      <c r="K347" s="547"/>
      <c r="L347" s="547"/>
      <c r="M347" s="547">
        <v>0</v>
      </c>
      <c r="N347" s="540"/>
      <c r="O347" s="540"/>
      <c r="P347" s="812">
        <f t="shared" si="20"/>
        <v>0</v>
      </c>
      <c r="Q347" s="547">
        <v>0</v>
      </c>
      <c r="R347" s="812">
        <f t="shared" si="21"/>
        <v>0</v>
      </c>
      <c r="S347" s="547">
        <f t="shared" si="21"/>
        <v>0</v>
      </c>
      <c r="T347" s="566"/>
      <c r="U347" s="567"/>
      <c r="V347" s="812">
        <f t="shared" si="22"/>
        <v>0</v>
      </c>
      <c r="W347" s="812">
        <f t="shared" si="23"/>
        <v>0</v>
      </c>
    </row>
    <row r="348" spans="1:23" ht="27" hidden="1" customHeight="1">
      <c r="A348" s="531">
        <v>904</v>
      </c>
      <c r="B348" s="529">
        <v>9</v>
      </c>
      <c r="C348" s="531" t="s">
        <v>1145</v>
      </c>
      <c r="D348" s="531" t="s">
        <v>1147</v>
      </c>
      <c r="E348" s="547">
        <v>129893412</v>
      </c>
      <c r="F348" s="547">
        <v>-129893412</v>
      </c>
      <c r="G348" s="547"/>
      <c r="H348" s="547"/>
      <c r="I348" s="547"/>
      <c r="J348" s="547"/>
      <c r="K348" s="547"/>
      <c r="L348" s="547"/>
      <c r="M348" s="547">
        <v>0</v>
      </c>
      <c r="N348" s="540"/>
      <c r="O348" s="540"/>
      <c r="P348" s="812">
        <f t="shared" si="20"/>
        <v>0</v>
      </c>
      <c r="Q348" s="547">
        <v>0</v>
      </c>
      <c r="R348" s="812">
        <f t="shared" si="21"/>
        <v>0</v>
      </c>
      <c r="S348" s="547">
        <f t="shared" si="21"/>
        <v>0</v>
      </c>
      <c r="T348" s="566"/>
      <c r="U348" s="567"/>
      <c r="V348" s="812">
        <f t="shared" si="22"/>
        <v>0</v>
      </c>
      <c r="W348" s="812">
        <f t="shared" si="23"/>
        <v>0</v>
      </c>
    </row>
    <row r="349" spans="1:23" ht="27" hidden="1" customHeight="1">
      <c r="A349" s="531">
        <v>906</v>
      </c>
      <c r="B349" s="529">
        <v>9</v>
      </c>
      <c r="C349" s="531" t="s">
        <v>770</v>
      </c>
      <c r="D349" s="531" t="s">
        <v>772</v>
      </c>
      <c r="E349" s="547">
        <v>6598973423016</v>
      </c>
      <c r="F349" s="547">
        <v>-238464886049</v>
      </c>
      <c r="G349" s="547">
        <v>1576221353685</v>
      </c>
      <c r="H349" s="547"/>
      <c r="I349" s="547">
        <f>-14681392797+12102670192+14681392797</f>
        <v>12102670192</v>
      </c>
      <c r="J349" s="547">
        <v>15358203555</v>
      </c>
      <c r="K349" s="547">
        <v>-12102670192</v>
      </c>
      <c r="L349" s="547"/>
      <c r="M349" s="547">
        <v>0</v>
      </c>
      <c r="N349" s="540"/>
      <c r="O349" s="540"/>
      <c r="P349" s="812">
        <f t="shared" si="20"/>
        <v>7952088094207</v>
      </c>
      <c r="Q349" s="547">
        <f>6136842640999+11293310669+1105000000+2856707513+844279899-7849634228+8760946457+7621823175-381287639-2856707513-844279899+4133052571+520052967-19808123288+67114650+13440846000+82748250+1158475500</f>
        <v>6156986966083</v>
      </c>
      <c r="R349" s="812">
        <f t="shared" si="21"/>
        <v>7952088</v>
      </c>
      <c r="S349" s="547">
        <f t="shared" si="21"/>
        <v>6156987</v>
      </c>
      <c r="T349" s="566"/>
      <c r="U349" s="567"/>
      <c r="V349" s="812">
        <f t="shared" si="22"/>
        <v>7952088094207</v>
      </c>
      <c r="W349" s="812">
        <f t="shared" si="23"/>
        <v>7952088</v>
      </c>
    </row>
    <row r="350" spans="1:23" ht="27" hidden="1" customHeight="1">
      <c r="A350" s="531"/>
      <c r="B350" s="529">
        <v>9</v>
      </c>
      <c r="C350" s="531" t="s">
        <v>1013</v>
      </c>
      <c r="D350" s="531" t="s">
        <v>1014</v>
      </c>
      <c r="E350" s="547">
        <v>1115418060</v>
      </c>
      <c r="F350" s="547">
        <v>-1115418060</v>
      </c>
      <c r="G350" s="547"/>
      <c r="H350" s="547"/>
      <c r="I350" s="547"/>
      <c r="J350" s="547"/>
      <c r="K350" s="547"/>
      <c r="L350" s="547"/>
      <c r="M350" s="547">
        <v>0</v>
      </c>
      <c r="N350" s="540"/>
      <c r="O350" s="540"/>
      <c r="P350" s="812">
        <f t="shared" si="20"/>
        <v>0</v>
      </c>
      <c r="Q350" s="547">
        <v>0</v>
      </c>
      <c r="R350" s="812">
        <f t="shared" si="21"/>
        <v>0</v>
      </c>
      <c r="S350" s="547">
        <f t="shared" si="21"/>
        <v>0</v>
      </c>
      <c r="T350" s="566"/>
      <c r="U350" s="567"/>
      <c r="V350" s="812">
        <f t="shared" si="22"/>
        <v>0</v>
      </c>
      <c r="W350" s="812">
        <f t="shared" si="23"/>
        <v>0</v>
      </c>
    </row>
    <row r="351" spans="1:23" ht="27" hidden="1" customHeight="1">
      <c r="A351" s="531">
        <v>906</v>
      </c>
      <c r="B351" s="529">
        <v>9</v>
      </c>
      <c r="C351" s="531" t="s">
        <v>771</v>
      </c>
      <c r="D351" s="531" t="s">
        <v>773</v>
      </c>
      <c r="E351" s="547">
        <v>12441341071</v>
      </c>
      <c r="F351" s="547">
        <v>-218943032</v>
      </c>
      <c r="G351" s="547"/>
      <c r="H351" s="547"/>
      <c r="I351" s="547"/>
      <c r="J351" s="547"/>
      <c r="K351" s="547"/>
      <c r="L351" s="547"/>
      <c r="M351" s="547">
        <v>0</v>
      </c>
      <c r="N351" s="540"/>
      <c r="O351" s="540"/>
      <c r="P351" s="812">
        <f t="shared" si="20"/>
        <v>12222398039</v>
      </c>
      <c r="Q351" s="547">
        <v>12984627599</v>
      </c>
      <c r="R351" s="812">
        <f t="shared" si="21"/>
        <v>12222</v>
      </c>
      <c r="S351" s="547">
        <f t="shared" si="21"/>
        <v>12985</v>
      </c>
      <c r="T351" s="566"/>
      <c r="U351" s="567"/>
      <c r="V351" s="812">
        <f t="shared" si="22"/>
        <v>12222398039</v>
      </c>
      <c r="W351" s="812">
        <f t="shared" si="23"/>
        <v>12222</v>
      </c>
    </row>
    <row r="352" spans="1:23" ht="27" hidden="1" customHeight="1">
      <c r="A352" s="531"/>
      <c r="B352" s="529">
        <v>7</v>
      </c>
      <c r="C352" s="531" t="s">
        <v>291</v>
      </c>
      <c r="D352" s="531" t="s">
        <v>495</v>
      </c>
      <c r="E352" s="547">
        <v>47500000</v>
      </c>
      <c r="F352" s="547"/>
      <c r="G352" s="547"/>
      <c r="H352" s="547"/>
      <c r="I352" s="547"/>
      <c r="J352" s="547"/>
      <c r="K352" s="547"/>
      <c r="L352" s="547"/>
      <c r="M352" s="547">
        <v>0</v>
      </c>
      <c r="N352" s="540"/>
      <c r="O352" s="540"/>
      <c r="P352" s="812">
        <f t="shared" si="20"/>
        <v>47500000</v>
      </c>
      <c r="Q352" s="547">
        <v>60055700</v>
      </c>
      <c r="R352" s="812">
        <f t="shared" si="21"/>
        <v>48</v>
      </c>
      <c r="S352" s="547">
        <f t="shared" si="21"/>
        <v>60</v>
      </c>
      <c r="T352" s="566"/>
      <c r="U352" s="567"/>
      <c r="V352" s="812">
        <f t="shared" si="22"/>
        <v>47500000</v>
      </c>
      <c r="W352" s="812">
        <f t="shared" si="23"/>
        <v>48</v>
      </c>
    </row>
    <row r="353" spans="1:23" ht="27" hidden="1" customHeight="1">
      <c r="A353" s="531">
        <v>421</v>
      </c>
      <c r="B353" s="529">
        <v>4</v>
      </c>
      <c r="C353" s="531" t="s">
        <v>610</v>
      </c>
      <c r="D353" s="531" t="s">
        <v>611</v>
      </c>
      <c r="E353" s="547">
        <v>37961714147</v>
      </c>
      <c r="F353" s="547"/>
      <c r="G353" s="547"/>
      <c r="H353" s="547"/>
      <c r="I353" s="547"/>
      <c r="J353" s="547"/>
      <c r="K353" s="547"/>
      <c r="L353" s="547"/>
      <c r="M353" s="547">
        <v>0</v>
      </c>
      <c r="N353" s="540"/>
      <c r="O353" s="540"/>
      <c r="P353" s="812">
        <f t="shared" si="20"/>
        <v>37961714147</v>
      </c>
      <c r="Q353" s="547">
        <v>48977633615</v>
      </c>
      <c r="R353" s="812">
        <f t="shared" si="21"/>
        <v>37962</v>
      </c>
      <c r="S353" s="547">
        <f t="shared" si="21"/>
        <v>48978</v>
      </c>
      <c r="T353" s="566"/>
      <c r="U353" s="567"/>
      <c r="V353" s="812">
        <f t="shared" si="22"/>
        <v>37961714147</v>
      </c>
      <c r="W353" s="812">
        <f t="shared" si="23"/>
        <v>37962</v>
      </c>
    </row>
    <row r="354" spans="1:23" ht="27" hidden="1" customHeight="1">
      <c r="A354" s="531">
        <v>410</v>
      </c>
      <c r="B354" s="529">
        <v>4</v>
      </c>
      <c r="C354" s="531" t="s">
        <v>610</v>
      </c>
      <c r="D354" s="531" t="s">
        <v>611</v>
      </c>
      <c r="E354" s="547"/>
      <c r="F354" s="547"/>
      <c r="G354" s="547"/>
      <c r="H354" s="547"/>
      <c r="I354" s="547"/>
      <c r="J354" s="547"/>
      <c r="K354" s="547"/>
      <c r="L354" s="547"/>
      <c r="M354" s="547">
        <v>0</v>
      </c>
      <c r="N354" s="540"/>
      <c r="O354" s="540"/>
      <c r="P354" s="812">
        <f t="shared" si="20"/>
        <v>0</v>
      </c>
      <c r="Q354" s="547"/>
      <c r="R354" s="812">
        <f t="shared" si="21"/>
        <v>0</v>
      </c>
      <c r="S354" s="547">
        <f t="shared" si="21"/>
        <v>0</v>
      </c>
      <c r="T354" s="566"/>
      <c r="U354" s="567"/>
      <c r="V354" s="812">
        <f t="shared" si="22"/>
        <v>0</v>
      </c>
      <c r="W354" s="812">
        <f t="shared" si="23"/>
        <v>0</v>
      </c>
    </row>
    <row r="355" spans="1:23" ht="27" hidden="1" customHeight="1">
      <c r="A355" s="531">
        <v>406</v>
      </c>
      <c r="B355" s="529">
        <v>4</v>
      </c>
      <c r="C355" s="531" t="s">
        <v>893</v>
      </c>
      <c r="D355" s="531" t="s">
        <v>894</v>
      </c>
      <c r="E355" s="547"/>
      <c r="F355" s="547"/>
      <c r="G355" s="547"/>
      <c r="H355" s="547"/>
      <c r="I355" s="547"/>
      <c r="J355" s="547"/>
      <c r="K355" s="547"/>
      <c r="L355" s="547"/>
      <c r="M355" s="547">
        <v>0</v>
      </c>
      <c r="N355" s="540"/>
      <c r="O355" s="540"/>
      <c r="P355" s="812">
        <f t="shared" si="20"/>
        <v>0</v>
      </c>
      <c r="Q355" s="547"/>
      <c r="R355" s="812">
        <f t="shared" si="21"/>
        <v>0</v>
      </c>
      <c r="S355" s="547">
        <f t="shared" si="21"/>
        <v>0</v>
      </c>
      <c r="T355" s="566"/>
      <c r="U355" s="567"/>
      <c r="V355" s="812">
        <f t="shared" si="22"/>
        <v>0</v>
      </c>
      <c r="W355" s="812">
        <f t="shared" si="23"/>
        <v>0</v>
      </c>
    </row>
    <row r="356" spans="1:23" ht="27" hidden="1" customHeight="1">
      <c r="A356" s="531">
        <v>506</v>
      </c>
      <c r="B356" s="529">
        <v>5</v>
      </c>
      <c r="C356" s="531" t="s">
        <v>145</v>
      </c>
      <c r="D356" s="531" t="s">
        <v>760</v>
      </c>
      <c r="E356" s="547">
        <v>214844387</v>
      </c>
      <c r="F356" s="547"/>
      <c r="G356" s="547"/>
      <c r="H356" s="547"/>
      <c r="I356" s="547"/>
      <c r="J356" s="547"/>
      <c r="K356" s="547"/>
      <c r="L356" s="547"/>
      <c r="M356" s="547">
        <v>0</v>
      </c>
      <c r="N356" s="540"/>
      <c r="O356" s="540"/>
      <c r="P356" s="812">
        <f t="shared" si="20"/>
        <v>214844387</v>
      </c>
      <c r="Q356" s="547">
        <v>214844387</v>
      </c>
      <c r="R356" s="812">
        <f t="shared" si="21"/>
        <v>215</v>
      </c>
      <c r="S356" s="547">
        <f t="shared" si="21"/>
        <v>215</v>
      </c>
      <c r="T356" s="566"/>
      <c r="U356" s="567"/>
      <c r="V356" s="812">
        <f t="shared" si="22"/>
        <v>214844387</v>
      </c>
      <c r="W356" s="812">
        <f t="shared" si="23"/>
        <v>215</v>
      </c>
    </row>
    <row r="357" spans="1:23" ht="27" hidden="1" customHeight="1">
      <c r="A357" s="531">
        <v>504</v>
      </c>
      <c r="B357" s="529">
        <v>5</v>
      </c>
      <c r="C357" s="531" t="s">
        <v>119</v>
      </c>
      <c r="D357" s="531" t="s">
        <v>1148</v>
      </c>
      <c r="E357" s="547">
        <v>35432355000</v>
      </c>
      <c r="F357" s="547"/>
      <c r="G357" s="547"/>
      <c r="H357" s="547"/>
      <c r="I357" s="547"/>
      <c r="J357" s="547"/>
      <c r="K357" s="547"/>
      <c r="L357" s="547"/>
      <c r="M357" s="547">
        <v>0</v>
      </c>
      <c r="N357" s="540"/>
      <c r="O357" s="540"/>
      <c r="P357" s="812">
        <f t="shared" si="20"/>
        <v>35432355000</v>
      </c>
      <c r="Q357" s="547">
        <f>80653768180-40630761500-27910857180</f>
        <v>12112149500</v>
      </c>
      <c r="R357" s="812">
        <f t="shared" si="21"/>
        <v>35432</v>
      </c>
      <c r="S357" s="547">
        <f t="shared" si="21"/>
        <v>12112</v>
      </c>
      <c r="T357" s="566"/>
      <c r="U357" s="567"/>
      <c r="V357" s="812">
        <f t="shared" si="22"/>
        <v>35432355000</v>
      </c>
      <c r="W357" s="812">
        <f t="shared" si="23"/>
        <v>35432</v>
      </c>
    </row>
    <row r="358" spans="1:23" ht="27" hidden="1" customHeight="1">
      <c r="A358" s="531">
        <v>1022</v>
      </c>
      <c r="B358" s="529">
        <v>10</v>
      </c>
      <c r="C358" s="531" t="s">
        <v>121</v>
      </c>
      <c r="D358" s="531" t="s">
        <v>1149</v>
      </c>
      <c r="E358" s="547">
        <v>-355683309000</v>
      </c>
      <c r="F358" s="547">
        <v>-17104472900</v>
      </c>
      <c r="G358" s="547">
        <v>3104992000</v>
      </c>
      <c r="H358" s="547"/>
      <c r="I358" s="547"/>
      <c r="J358" s="547"/>
      <c r="K358" s="547"/>
      <c r="L358" s="547"/>
      <c r="M358" s="547">
        <v>0</v>
      </c>
      <c r="N358" s="540"/>
      <c r="O358" s="540"/>
      <c r="P358" s="812">
        <f t="shared" si="20"/>
        <v>-369682789900</v>
      </c>
      <c r="Q358" s="547">
        <v>-283404044500</v>
      </c>
      <c r="R358" s="812">
        <f>ROUND((P358/1000000),0)</f>
        <v>-369683</v>
      </c>
      <c r="S358" s="547">
        <f t="shared" si="21"/>
        <v>-283404</v>
      </c>
      <c r="T358" s="566"/>
      <c r="U358" s="567"/>
      <c r="V358" s="812">
        <f t="shared" si="22"/>
        <v>-369682789900</v>
      </c>
      <c r="W358" s="812">
        <f t="shared" si="23"/>
        <v>-369683</v>
      </c>
    </row>
    <row r="359" spans="1:23" ht="27" hidden="1" customHeight="1">
      <c r="A359" s="531">
        <v>505</v>
      </c>
      <c r="B359" s="529">
        <v>5</v>
      </c>
      <c r="C359" s="531" t="s">
        <v>123</v>
      </c>
      <c r="D359" s="531" t="s">
        <v>124</v>
      </c>
      <c r="E359" s="547">
        <v>5458552985</v>
      </c>
      <c r="F359" s="547"/>
      <c r="G359" s="547"/>
      <c r="H359" s="547"/>
      <c r="I359" s="547"/>
      <c r="J359" s="547"/>
      <c r="K359" s="547"/>
      <c r="L359" s="547"/>
      <c r="M359" s="547">
        <v>0</v>
      </c>
      <c r="N359" s="540"/>
      <c r="O359" s="540"/>
      <c r="P359" s="812">
        <f t="shared" si="20"/>
        <v>5458552985</v>
      </c>
      <c r="Q359" s="547">
        <v>12005434849</v>
      </c>
      <c r="R359" s="812">
        <f t="shared" si="21"/>
        <v>5459</v>
      </c>
      <c r="S359" s="547">
        <f t="shared" si="21"/>
        <v>12005</v>
      </c>
      <c r="T359" s="566"/>
      <c r="U359" s="567"/>
      <c r="V359" s="812">
        <f t="shared" si="22"/>
        <v>5458552985</v>
      </c>
      <c r="W359" s="812">
        <f t="shared" si="23"/>
        <v>5459</v>
      </c>
    </row>
    <row r="360" spans="1:23" ht="27" hidden="1" customHeight="1">
      <c r="A360" s="531"/>
      <c r="B360" s="529">
        <v>8</v>
      </c>
      <c r="C360" s="531" t="s">
        <v>125</v>
      </c>
      <c r="D360" s="531" t="s">
        <v>998</v>
      </c>
      <c r="E360" s="547">
        <v>60121191597</v>
      </c>
      <c r="F360" s="547"/>
      <c r="G360" s="547"/>
      <c r="H360" s="547"/>
      <c r="I360" s="547"/>
      <c r="J360" s="547"/>
      <c r="K360" s="547"/>
      <c r="L360" s="547"/>
      <c r="M360" s="547">
        <v>0</v>
      </c>
      <c r="N360" s="540"/>
      <c r="O360" s="540"/>
      <c r="P360" s="812">
        <f t="shared" si="20"/>
        <v>60121191597</v>
      </c>
      <c r="Q360" s="547">
        <v>58355115883</v>
      </c>
      <c r="R360" s="812">
        <f t="shared" si="21"/>
        <v>60121</v>
      </c>
      <c r="S360" s="547">
        <f t="shared" si="21"/>
        <v>58355</v>
      </c>
      <c r="T360" s="566"/>
      <c r="U360" s="567"/>
      <c r="V360" s="812">
        <f t="shared" si="22"/>
        <v>60121191597</v>
      </c>
      <c r="W360" s="812">
        <f t="shared" si="23"/>
        <v>60121</v>
      </c>
    </row>
    <row r="361" spans="1:23" ht="27" hidden="1" customHeight="1">
      <c r="A361" s="531">
        <v>406</v>
      </c>
      <c r="B361" s="529">
        <v>4</v>
      </c>
      <c r="C361" s="531" t="s">
        <v>63</v>
      </c>
      <c r="D361" s="531" t="s">
        <v>559</v>
      </c>
      <c r="E361" s="547">
        <v>19540869411</v>
      </c>
      <c r="F361" s="547"/>
      <c r="G361" s="547"/>
      <c r="H361" s="547"/>
      <c r="I361" s="547"/>
      <c r="J361" s="547"/>
      <c r="K361" s="547"/>
      <c r="L361" s="547"/>
      <c r="M361" s="547">
        <v>0</v>
      </c>
      <c r="N361" s="540"/>
      <c r="O361" s="540"/>
      <c r="P361" s="812">
        <f t="shared" si="20"/>
        <v>19540869411</v>
      </c>
      <c r="Q361" s="547">
        <v>20328221891</v>
      </c>
      <c r="R361" s="812">
        <f t="shared" si="21"/>
        <v>19541</v>
      </c>
      <c r="S361" s="547">
        <f t="shared" si="21"/>
        <v>20328</v>
      </c>
      <c r="T361" s="566"/>
      <c r="U361" s="567"/>
      <c r="V361" s="812">
        <f t="shared" si="22"/>
        <v>19540869411</v>
      </c>
      <c r="W361" s="812">
        <f t="shared" si="23"/>
        <v>19541</v>
      </c>
    </row>
    <row r="362" spans="1:23" ht="27" hidden="1" customHeight="1">
      <c r="A362" s="531">
        <v>606</v>
      </c>
      <c r="B362" s="529">
        <v>6</v>
      </c>
      <c r="C362" s="531" t="s">
        <v>848</v>
      </c>
      <c r="D362" s="531" t="s">
        <v>919</v>
      </c>
      <c r="E362" s="547">
        <v>6197239785</v>
      </c>
      <c r="F362" s="547"/>
      <c r="G362" s="547"/>
      <c r="H362" s="547"/>
      <c r="I362" s="547"/>
      <c r="J362" s="547"/>
      <c r="K362" s="547"/>
      <c r="L362" s="547"/>
      <c r="M362" s="547">
        <v>0</v>
      </c>
      <c r="N362" s="540"/>
      <c r="O362" s="540"/>
      <c r="P362" s="812">
        <f t="shared" si="20"/>
        <v>6197239785</v>
      </c>
      <c r="Q362" s="547">
        <v>22711086235</v>
      </c>
      <c r="R362" s="812">
        <f t="shared" si="21"/>
        <v>6197</v>
      </c>
      <c r="S362" s="547">
        <f t="shared" si="21"/>
        <v>22711</v>
      </c>
      <c r="T362" s="566"/>
      <c r="U362" s="567"/>
      <c r="V362" s="812">
        <f t="shared" si="22"/>
        <v>6197239785</v>
      </c>
      <c r="W362" s="812">
        <f t="shared" si="23"/>
        <v>6197</v>
      </c>
    </row>
    <row r="363" spans="1:23" ht="27" hidden="1" customHeight="1">
      <c r="A363" s="531">
        <v>604</v>
      </c>
      <c r="B363" s="529">
        <v>6</v>
      </c>
      <c r="C363" s="531" t="s">
        <v>69</v>
      </c>
      <c r="D363" s="531" t="s">
        <v>70</v>
      </c>
      <c r="E363" s="547">
        <v>295564797</v>
      </c>
      <c r="F363" s="547"/>
      <c r="G363" s="547"/>
      <c r="H363" s="547"/>
      <c r="I363" s="547"/>
      <c r="J363" s="547"/>
      <c r="K363" s="547"/>
      <c r="L363" s="547"/>
      <c r="M363" s="547">
        <v>0</v>
      </c>
      <c r="N363" s="540"/>
      <c r="O363" s="540"/>
      <c r="P363" s="812">
        <f t="shared" si="20"/>
        <v>295564797</v>
      </c>
      <c r="Q363" s="547">
        <v>295564797</v>
      </c>
      <c r="R363" s="812">
        <f t="shared" si="21"/>
        <v>296</v>
      </c>
      <c r="S363" s="547">
        <f t="shared" si="21"/>
        <v>296</v>
      </c>
      <c r="T363" s="566"/>
      <c r="U363" s="567"/>
      <c r="V363" s="812">
        <f t="shared" si="22"/>
        <v>295564797</v>
      </c>
      <c r="W363" s="812">
        <f t="shared" si="23"/>
        <v>296</v>
      </c>
    </row>
    <row r="364" spans="1:23" ht="27" hidden="1" customHeight="1">
      <c r="A364" s="531">
        <v>406</v>
      </c>
      <c r="B364" s="529">
        <v>4</v>
      </c>
      <c r="C364" s="531" t="s">
        <v>1150</v>
      </c>
      <c r="D364" s="531" t="s">
        <v>1151</v>
      </c>
      <c r="E364" s="547">
        <v>29946341365</v>
      </c>
      <c r="F364" s="547"/>
      <c r="G364" s="547"/>
      <c r="H364" s="547"/>
      <c r="I364" s="547"/>
      <c r="J364" s="547"/>
      <c r="K364" s="547"/>
      <c r="L364" s="547"/>
      <c r="M364" s="547">
        <v>0</v>
      </c>
      <c r="N364" s="540"/>
      <c r="O364" s="540"/>
      <c r="P364" s="812">
        <f t="shared" si="20"/>
        <v>29946341365</v>
      </c>
      <c r="Q364" s="547">
        <v>28420359765</v>
      </c>
      <c r="R364" s="812">
        <f t="shared" si="21"/>
        <v>29946</v>
      </c>
      <c r="S364" s="547">
        <f t="shared" si="21"/>
        <v>28420</v>
      </c>
      <c r="T364" s="566"/>
      <c r="U364" s="567"/>
      <c r="V364" s="812">
        <f t="shared" si="22"/>
        <v>29946341365</v>
      </c>
      <c r="W364" s="812">
        <f t="shared" si="23"/>
        <v>29946</v>
      </c>
    </row>
    <row r="365" spans="1:23" ht="27" hidden="1" customHeight="1">
      <c r="A365" s="531">
        <v>907</v>
      </c>
      <c r="B365" s="529">
        <v>9</v>
      </c>
      <c r="C365" s="531" t="s">
        <v>71</v>
      </c>
      <c r="D365" s="531" t="s">
        <v>72</v>
      </c>
      <c r="E365" s="547">
        <v>37392943450</v>
      </c>
      <c r="F365" s="547"/>
      <c r="G365" s="547"/>
      <c r="H365" s="547"/>
      <c r="I365" s="547"/>
      <c r="J365" s="547"/>
      <c r="K365" s="547"/>
      <c r="L365" s="547"/>
      <c r="M365" s="547">
        <v>0</v>
      </c>
      <c r="N365" s="540"/>
      <c r="O365" s="540"/>
      <c r="P365" s="812">
        <f t="shared" si="20"/>
        <v>37392943450</v>
      </c>
      <c r="Q365" s="547">
        <f>264432017472+7310000000+1119797292-250299188115-1119797292</f>
        <v>21442829357</v>
      </c>
      <c r="R365" s="812">
        <f t="shared" si="21"/>
        <v>37393</v>
      </c>
      <c r="S365" s="547">
        <f t="shared" si="21"/>
        <v>21443</v>
      </c>
      <c r="T365" s="566"/>
      <c r="U365" s="567"/>
      <c r="V365" s="812">
        <f t="shared" si="22"/>
        <v>37392943450</v>
      </c>
      <c r="W365" s="812">
        <f t="shared" si="23"/>
        <v>37393</v>
      </c>
    </row>
    <row r="366" spans="1:23" ht="27" hidden="1" customHeight="1">
      <c r="A366" s="531">
        <v>907</v>
      </c>
      <c r="B366" s="529">
        <v>9</v>
      </c>
      <c r="C366" s="531" t="s">
        <v>71</v>
      </c>
      <c r="D366" s="532" t="s">
        <v>1437</v>
      </c>
      <c r="E366" s="547"/>
      <c r="F366" s="547"/>
      <c r="G366" s="547">
        <v>207478871578</v>
      </c>
      <c r="H366" s="547"/>
      <c r="I366" s="547"/>
      <c r="J366" s="547"/>
      <c r="K366" s="547"/>
      <c r="L366" s="547"/>
      <c r="M366" s="547">
        <v>0</v>
      </c>
      <c r="N366" s="540"/>
      <c r="O366" s="540"/>
      <c r="P366" s="812">
        <f t="shared" si="20"/>
        <v>207478871578</v>
      </c>
      <c r="Q366" s="547">
        <f>250299188115+1119797292</f>
        <v>251418985407</v>
      </c>
      <c r="R366" s="812">
        <f t="shared" si="21"/>
        <v>207479</v>
      </c>
      <c r="S366" s="547">
        <f t="shared" si="21"/>
        <v>251419</v>
      </c>
      <c r="T366" s="566"/>
      <c r="U366" s="569"/>
      <c r="V366" s="812">
        <f t="shared" si="22"/>
        <v>207478871578</v>
      </c>
      <c r="W366" s="812">
        <f t="shared" si="23"/>
        <v>207479</v>
      </c>
    </row>
    <row r="367" spans="1:23" ht="27" hidden="1" customHeight="1">
      <c r="A367" s="531">
        <v>406</v>
      </c>
      <c r="B367" s="529">
        <v>4</v>
      </c>
      <c r="C367" s="531" t="s">
        <v>73</v>
      </c>
      <c r="D367" s="531" t="s">
        <v>74</v>
      </c>
      <c r="E367" s="547">
        <v>9610677754</v>
      </c>
      <c r="F367" s="547">
        <v>295701074</v>
      </c>
      <c r="G367" s="547">
        <v>-329819200</v>
      </c>
      <c r="H367" s="547"/>
      <c r="I367" s="547"/>
      <c r="J367" s="547"/>
      <c r="K367" s="547"/>
      <c r="L367" s="547"/>
      <c r="M367" s="547">
        <v>0</v>
      </c>
      <c r="N367" s="540"/>
      <c r="O367" s="540"/>
      <c r="P367" s="812">
        <f t="shared" si="20"/>
        <v>9576559628</v>
      </c>
      <c r="Q367" s="547">
        <v>16623444233</v>
      </c>
      <c r="R367" s="812">
        <f t="shared" si="21"/>
        <v>9577</v>
      </c>
      <c r="S367" s="547">
        <f t="shared" si="21"/>
        <v>16623</v>
      </c>
      <c r="T367" s="566"/>
      <c r="U367" s="567"/>
      <c r="V367" s="812">
        <f t="shared" si="22"/>
        <v>9576559628</v>
      </c>
      <c r="W367" s="812">
        <f t="shared" si="23"/>
        <v>9577</v>
      </c>
    </row>
    <row r="368" spans="1:23" ht="27" hidden="1" customHeight="1">
      <c r="A368" s="531">
        <v>605</v>
      </c>
      <c r="B368" s="529">
        <v>6</v>
      </c>
      <c r="C368" s="531" t="s">
        <v>1152</v>
      </c>
      <c r="D368" s="531" t="s">
        <v>1153</v>
      </c>
      <c r="E368" s="547">
        <v>1173414755202</v>
      </c>
      <c r="F368" s="547">
        <v>14280160827</v>
      </c>
      <c r="G368" s="547">
        <v>-68444588253</v>
      </c>
      <c r="H368" s="547">
        <v>-2800620</v>
      </c>
      <c r="I368" s="547"/>
      <c r="J368" s="547"/>
      <c r="K368" s="547">
        <v>5307469517</v>
      </c>
      <c r="L368" s="547"/>
      <c r="M368" s="547">
        <v>0</v>
      </c>
      <c r="N368" s="540"/>
      <c r="O368" s="540"/>
      <c r="P368" s="812">
        <f t="shared" si="20"/>
        <v>1124554996673</v>
      </c>
      <c r="Q368" s="547">
        <f>957504782861+3754508142+2392654495+1065600000+1335766011+1383968782+480000+83322718159</f>
        <v>1050760478450</v>
      </c>
      <c r="R368" s="812">
        <f>ROUND((P368/1000000),0)</f>
        <v>1124555</v>
      </c>
      <c r="S368" s="547">
        <f>ROUND((Q368/1000000),0)-2</f>
        <v>1050758</v>
      </c>
      <c r="T368" s="566"/>
      <c r="U368" s="567"/>
      <c r="V368" s="812">
        <f t="shared" si="22"/>
        <v>1124554996673</v>
      </c>
      <c r="W368" s="812">
        <f t="shared" si="23"/>
        <v>1124555</v>
      </c>
    </row>
    <row r="369" spans="1:23" ht="27" hidden="1" customHeight="1">
      <c r="A369" s="531">
        <v>406</v>
      </c>
      <c r="B369" s="529">
        <v>4</v>
      </c>
      <c r="C369" s="531" t="s">
        <v>75</v>
      </c>
      <c r="D369" s="531" t="s">
        <v>406</v>
      </c>
      <c r="E369" s="547">
        <v>17734709800</v>
      </c>
      <c r="F369" s="547"/>
      <c r="G369" s="547"/>
      <c r="H369" s="547"/>
      <c r="I369" s="547"/>
      <c r="J369" s="547"/>
      <c r="K369" s="547"/>
      <c r="L369" s="547"/>
      <c r="M369" s="547">
        <v>0</v>
      </c>
      <c r="N369" s="540"/>
      <c r="O369" s="540"/>
      <c r="P369" s="812">
        <f t="shared" si="20"/>
        <v>17734709800</v>
      </c>
      <c r="Q369" s="547">
        <v>18820932989</v>
      </c>
      <c r="R369" s="812">
        <f t="shared" ref="R369:S400" si="24">ROUND((P369/1000000),0)</f>
        <v>17735</v>
      </c>
      <c r="S369" s="547">
        <f t="shared" si="24"/>
        <v>18821</v>
      </c>
      <c r="T369" s="566"/>
      <c r="U369" s="567"/>
      <c r="V369" s="812">
        <f t="shared" si="22"/>
        <v>17734709800</v>
      </c>
      <c r="W369" s="812">
        <f t="shared" si="23"/>
        <v>17735</v>
      </c>
    </row>
    <row r="370" spans="1:23" ht="27" hidden="1" customHeight="1">
      <c r="A370" s="531">
        <v>406</v>
      </c>
      <c r="B370" s="529">
        <v>4</v>
      </c>
      <c r="C370" s="531" t="s">
        <v>407</v>
      </c>
      <c r="D370" s="531" t="s">
        <v>408</v>
      </c>
      <c r="E370" s="547">
        <v>199100360</v>
      </c>
      <c r="F370" s="547"/>
      <c r="G370" s="547"/>
      <c r="H370" s="547"/>
      <c r="I370" s="547"/>
      <c r="J370" s="547"/>
      <c r="K370" s="547"/>
      <c r="L370" s="547"/>
      <c r="M370" s="547">
        <v>0</v>
      </c>
      <c r="N370" s="540"/>
      <c r="O370" s="540"/>
      <c r="P370" s="812">
        <f t="shared" si="20"/>
        <v>199100360</v>
      </c>
      <c r="Q370" s="547">
        <v>199100360</v>
      </c>
      <c r="R370" s="812">
        <f t="shared" si="24"/>
        <v>199</v>
      </c>
      <c r="S370" s="547">
        <f t="shared" si="24"/>
        <v>199</v>
      </c>
      <c r="T370" s="566"/>
      <c r="U370" s="567"/>
      <c r="V370" s="812">
        <f t="shared" si="22"/>
        <v>199100360</v>
      </c>
      <c r="W370" s="812">
        <f t="shared" si="23"/>
        <v>199</v>
      </c>
    </row>
    <row r="371" spans="1:23" ht="27" hidden="1" customHeight="1">
      <c r="A371" s="531">
        <v>406</v>
      </c>
      <c r="B371" s="529">
        <v>4</v>
      </c>
      <c r="C371" s="531" t="s">
        <v>409</v>
      </c>
      <c r="D371" s="531" t="s">
        <v>410</v>
      </c>
      <c r="E371" s="547">
        <v>23147853693</v>
      </c>
      <c r="F371" s="547"/>
      <c r="G371" s="547"/>
      <c r="H371" s="547"/>
      <c r="I371" s="547"/>
      <c r="J371" s="547"/>
      <c r="K371" s="547"/>
      <c r="L371" s="547"/>
      <c r="M371" s="547">
        <v>0</v>
      </c>
      <c r="N371" s="540"/>
      <c r="O371" s="540"/>
      <c r="P371" s="812">
        <f t="shared" si="20"/>
        <v>23147853693</v>
      </c>
      <c r="Q371" s="547"/>
      <c r="R371" s="812">
        <f t="shared" si="24"/>
        <v>23148</v>
      </c>
      <c r="S371" s="547">
        <f t="shared" si="24"/>
        <v>0</v>
      </c>
      <c r="T371" s="566"/>
      <c r="U371" s="567"/>
      <c r="V371" s="812">
        <f t="shared" si="22"/>
        <v>23147853693</v>
      </c>
      <c r="W371" s="812">
        <f t="shared" si="23"/>
        <v>23148</v>
      </c>
    </row>
    <row r="372" spans="1:23" ht="27" hidden="1" customHeight="1">
      <c r="A372" s="531">
        <v>408</v>
      </c>
      <c r="B372" s="529">
        <v>4</v>
      </c>
      <c r="C372" s="531" t="s">
        <v>409</v>
      </c>
      <c r="D372" s="531" t="s">
        <v>1438</v>
      </c>
      <c r="E372" s="547"/>
      <c r="F372" s="547"/>
      <c r="G372" s="547">
        <v>275488814311</v>
      </c>
      <c r="H372" s="547"/>
      <c r="I372" s="547"/>
      <c r="J372" s="547"/>
      <c r="K372" s="547"/>
      <c r="L372" s="547"/>
      <c r="M372" s="547">
        <v>0</v>
      </c>
      <c r="N372" s="540"/>
      <c r="O372" s="540"/>
      <c r="P372" s="812">
        <f t="shared" si="20"/>
        <v>275488814311</v>
      </c>
      <c r="Q372" s="547">
        <f>132939300094-291683735</f>
        <v>132647616359</v>
      </c>
      <c r="R372" s="812">
        <f t="shared" si="24"/>
        <v>275489</v>
      </c>
      <c r="S372" s="547">
        <f t="shared" si="24"/>
        <v>132648</v>
      </c>
      <c r="T372" s="566"/>
      <c r="U372" s="567"/>
      <c r="V372" s="812">
        <f t="shared" si="22"/>
        <v>275488814311</v>
      </c>
      <c r="W372" s="812">
        <f t="shared" si="23"/>
        <v>275489</v>
      </c>
    </row>
    <row r="373" spans="1:23" ht="27" hidden="1" customHeight="1">
      <c r="A373" s="531">
        <v>907</v>
      </c>
      <c r="B373" s="529">
        <v>9</v>
      </c>
      <c r="C373" s="531" t="s">
        <v>411</v>
      </c>
      <c r="D373" s="531" t="s">
        <v>768</v>
      </c>
      <c r="E373" s="547">
        <v>195204712063</v>
      </c>
      <c r="F373" s="547"/>
      <c r="G373" s="547"/>
      <c r="H373" s="547"/>
      <c r="I373" s="547"/>
      <c r="J373" s="547"/>
      <c r="K373" s="547"/>
      <c r="L373" s="547"/>
      <c r="M373" s="547">
        <v>0</v>
      </c>
      <c r="N373" s="540"/>
      <c r="O373" s="540"/>
      <c r="P373" s="812">
        <f t="shared" si="20"/>
        <v>195204712063</v>
      </c>
      <c r="Q373" s="547">
        <f>1791468192342-1518394078609</f>
        <v>273074113733</v>
      </c>
      <c r="R373" s="812">
        <f t="shared" si="24"/>
        <v>195205</v>
      </c>
      <c r="S373" s="547">
        <f t="shared" si="24"/>
        <v>273074</v>
      </c>
      <c r="T373" s="566"/>
      <c r="U373" s="567"/>
      <c r="V373" s="812">
        <f t="shared" si="22"/>
        <v>195204712063</v>
      </c>
      <c r="W373" s="812">
        <f t="shared" si="23"/>
        <v>195205</v>
      </c>
    </row>
    <row r="374" spans="1:23" ht="27" hidden="1" customHeight="1">
      <c r="A374" s="531">
        <v>907</v>
      </c>
      <c r="B374" s="529">
        <v>9</v>
      </c>
      <c r="C374" s="531" t="s">
        <v>411</v>
      </c>
      <c r="D374" s="533" t="s">
        <v>1439</v>
      </c>
      <c r="E374" s="547"/>
      <c r="F374" s="547"/>
      <c r="G374" s="547">
        <v>1436486056974</v>
      </c>
      <c r="H374" s="547"/>
      <c r="I374" s="547">
        <v>-11607670192</v>
      </c>
      <c r="J374" s="547"/>
      <c r="K374" s="547">
        <v>11607670192</v>
      </c>
      <c r="L374" s="547"/>
      <c r="M374" s="547">
        <v>0</v>
      </c>
      <c r="N374" s="540"/>
      <c r="O374" s="540"/>
      <c r="P374" s="812">
        <f t="shared" si="20"/>
        <v>1436486056974</v>
      </c>
      <c r="Q374" s="547">
        <f>1518394078609+6556600000</f>
        <v>1524950678609</v>
      </c>
      <c r="R374" s="812">
        <f t="shared" si="24"/>
        <v>1436486</v>
      </c>
      <c r="S374" s="547">
        <f t="shared" si="24"/>
        <v>1524951</v>
      </c>
      <c r="T374" s="566"/>
      <c r="U374" s="570"/>
      <c r="V374" s="812">
        <f t="shared" si="22"/>
        <v>1436486056974</v>
      </c>
      <c r="W374" s="812">
        <f t="shared" si="23"/>
        <v>1436486</v>
      </c>
    </row>
    <row r="375" spans="1:23" ht="27" hidden="1" customHeight="1">
      <c r="A375" s="531">
        <v>603</v>
      </c>
      <c r="B375" s="529">
        <v>6</v>
      </c>
      <c r="C375" s="531" t="s">
        <v>353</v>
      </c>
      <c r="D375" s="531" t="s">
        <v>354</v>
      </c>
      <c r="E375" s="547">
        <v>38395483931</v>
      </c>
      <c r="F375" s="547"/>
      <c r="G375" s="547"/>
      <c r="H375" s="547"/>
      <c r="I375" s="547"/>
      <c r="J375" s="547"/>
      <c r="K375" s="547"/>
      <c r="L375" s="547"/>
      <c r="M375" s="547">
        <v>0</v>
      </c>
      <c r="N375" s="540"/>
      <c r="O375" s="540"/>
      <c r="P375" s="812">
        <f t="shared" si="20"/>
        <v>38395483931</v>
      </c>
      <c r="Q375" s="547">
        <v>38974279189</v>
      </c>
      <c r="R375" s="812">
        <f t="shared" si="24"/>
        <v>38395</v>
      </c>
      <c r="S375" s="547">
        <f t="shared" si="24"/>
        <v>38974</v>
      </c>
      <c r="T375" s="566"/>
      <c r="U375" s="567"/>
      <c r="V375" s="812">
        <f t="shared" si="22"/>
        <v>38395483931</v>
      </c>
      <c r="W375" s="812">
        <f t="shared" si="23"/>
        <v>38395</v>
      </c>
    </row>
    <row r="376" spans="1:23" ht="27" hidden="1" customHeight="1">
      <c r="A376" s="531">
        <v>1015</v>
      </c>
      <c r="B376" s="529">
        <v>10</v>
      </c>
      <c r="C376" s="531" t="s">
        <v>355</v>
      </c>
      <c r="D376" s="531" t="s">
        <v>356</v>
      </c>
      <c r="E376" s="547">
        <f>14779883-4191999666</f>
        <v>-4177219783</v>
      </c>
      <c r="F376" s="547">
        <v>-11629883</v>
      </c>
      <c r="G376" s="547"/>
      <c r="H376" s="547"/>
      <c r="I376" s="547"/>
      <c r="J376" s="547"/>
      <c r="K376" s="547"/>
      <c r="L376" s="547"/>
      <c r="M376" s="547">
        <v>0</v>
      </c>
      <c r="N376" s="540"/>
      <c r="O376" s="540"/>
      <c r="P376" s="812">
        <f t="shared" si="20"/>
        <v>-4188849666</v>
      </c>
      <c r="Q376" s="547">
        <f>-5745283047+677657825</f>
        <v>-5067625222</v>
      </c>
      <c r="R376" s="812">
        <f t="shared" si="24"/>
        <v>-4189</v>
      </c>
      <c r="S376" s="547">
        <f t="shared" si="24"/>
        <v>-5068</v>
      </c>
      <c r="T376" s="566"/>
      <c r="U376" s="567"/>
      <c r="V376" s="812">
        <f t="shared" si="22"/>
        <v>-4188849666</v>
      </c>
      <c r="W376" s="812">
        <f t="shared" si="23"/>
        <v>-4189</v>
      </c>
    </row>
    <row r="377" spans="1:23" ht="27" hidden="1" customHeight="1">
      <c r="A377" s="531">
        <v>1015</v>
      </c>
      <c r="B377" s="529">
        <v>10</v>
      </c>
      <c r="C377" s="531" t="s">
        <v>355</v>
      </c>
      <c r="D377" s="532" t="s">
        <v>1440</v>
      </c>
      <c r="E377" s="547"/>
      <c r="F377" s="547"/>
      <c r="G377" s="547">
        <v>-15023655268</v>
      </c>
      <c r="H377" s="547"/>
      <c r="I377" s="547">
        <v>-491085180</v>
      </c>
      <c r="J377" s="547"/>
      <c r="K377" s="547">
        <v>491085180</v>
      </c>
      <c r="L377" s="547"/>
      <c r="M377" s="547">
        <v>0</v>
      </c>
      <c r="N377" s="540"/>
      <c r="O377" s="540"/>
      <c r="P377" s="812">
        <f t="shared" si="20"/>
        <v>-15023655268</v>
      </c>
      <c r="Q377" s="547">
        <f>-677657825-532625898</f>
        <v>-1210283723</v>
      </c>
      <c r="R377" s="812">
        <f t="shared" si="24"/>
        <v>-15024</v>
      </c>
      <c r="S377" s="547">
        <f t="shared" si="24"/>
        <v>-1210</v>
      </c>
      <c r="T377" s="566"/>
      <c r="U377" s="569"/>
      <c r="V377" s="812">
        <f t="shared" si="22"/>
        <v>-15023655268</v>
      </c>
      <c r="W377" s="812">
        <f t="shared" si="23"/>
        <v>-15024</v>
      </c>
    </row>
    <row r="378" spans="1:23" ht="27" hidden="1" customHeight="1">
      <c r="A378" s="531">
        <v>1015</v>
      </c>
      <c r="B378" s="529">
        <v>10</v>
      </c>
      <c r="C378" s="531" t="s">
        <v>1255</v>
      </c>
      <c r="D378" s="531" t="s">
        <v>1256</v>
      </c>
      <c r="E378" s="547">
        <v>-4678514</v>
      </c>
      <c r="F378" s="547"/>
      <c r="G378" s="547"/>
      <c r="H378" s="547"/>
      <c r="I378" s="547"/>
      <c r="J378" s="547"/>
      <c r="K378" s="547"/>
      <c r="L378" s="547"/>
      <c r="M378" s="547">
        <v>0</v>
      </c>
      <c r="N378" s="540"/>
      <c r="O378" s="540"/>
      <c r="P378" s="812">
        <f t="shared" si="20"/>
        <v>-4678514</v>
      </c>
      <c r="Q378" s="547">
        <v>-38514964</v>
      </c>
      <c r="R378" s="812">
        <f t="shared" si="24"/>
        <v>-5</v>
      </c>
      <c r="S378" s="547">
        <f t="shared" si="24"/>
        <v>-39</v>
      </c>
      <c r="T378" s="566"/>
      <c r="U378" s="567"/>
      <c r="V378" s="812">
        <f t="shared" si="22"/>
        <v>-4678514</v>
      </c>
      <c r="W378" s="812">
        <f t="shared" si="23"/>
        <v>-5</v>
      </c>
    </row>
    <row r="379" spans="1:23" ht="27" hidden="1" customHeight="1">
      <c r="A379" s="531">
        <v>1015</v>
      </c>
      <c r="B379" s="529">
        <v>10</v>
      </c>
      <c r="C379" s="531" t="s">
        <v>357</v>
      </c>
      <c r="D379" s="531" t="s">
        <v>358</v>
      </c>
      <c r="E379" s="547">
        <v>-5837053825</v>
      </c>
      <c r="F379" s="547"/>
      <c r="G379" s="547"/>
      <c r="H379" s="547"/>
      <c r="I379" s="547"/>
      <c r="J379" s="547"/>
      <c r="K379" s="547"/>
      <c r="L379" s="547"/>
      <c r="M379" s="547">
        <v>0</v>
      </c>
      <c r="N379" s="540"/>
      <c r="O379" s="540"/>
      <c r="P379" s="812">
        <f t="shared" si="20"/>
        <v>-5837053825</v>
      </c>
      <c r="Q379" s="547">
        <f>92618193-4625751786</f>
        <v>-4533133593</v>
      </c>
      <c r="R379" s="812">
        <f t="shared" si="24"/>
        <v>-5837</v>
      </c>
      <c r="S379" s="547">
        <f t="shared" si="24"/>
        <v>-4533</v>
      </c>
      <c r="T379" s="566"/>
      <c r="U379" s="567"/>
      <c r="V379" s="812">
        <f t="shared" si="22"/>
        <v>-5837053825</v>
      </c>
      <c r="W379" s="812">
        <f t="shared" si="23"/>
        <v>-5837</v>
      </c>
    </row>
    <row r="380" spans="1:23" ht="27" hidden="1" customHeight="1">
      <c r="A380" s="531">
        <v>1015</v>
      </c>
      <c r="B380" s="529">
        <v>10</v>
      </c>
      <c r="C380" s="531" t="s">
        <v>359</v>
      </c>
      <c r="D380" s="531" t="s">
        <v>895</v>
      </c>
      <c r="E380" s="547"/>
      <c r="F380" s="547"/>
      <c r="G380" s="547"/>
      <c r="H380" s="547"/>
      <c r="I380" s="547"/>
      <c r="J380" s="547"/>
      <c r="K380" s="547"/>
      <c r="L380" s="547"/>
      <c r="M380" s="547">
        <v>0</v>
      </c>
      <c r="N380" s="540"/>
      <c r="O380" s="540"/>
      <c r="P380" s="812">
        <f t="shared" si="20"/>
        <v>0</v>
      </c>
      <c r="Q380" s="547">
        <v>-9853200</v>
      </c>
      <c r="R380" s="812">
        <f t="shared" si="24"/>
        <v>0</v>
      </c>
      <c r="S380" s="547">
        <f t="shared" si="24"/>
        <v>-10</v>
      </c>
      <c r="T380" s="566"/>
      <c r="U380" s="567"/>
      <c r="V380" s="812">
        <f t="shared" si="22"/>
        <v>0</v>
      </c>
      <c r="W380" s="812">
        <f t="shared" si="23"/>
        <v>0</v>
      </c>
    </row>
    <row r="381" spans="1:23" ht="27" hidden="1" customHeight="1">
      <c r="A381" s="531">
        <v>1015</v>
      </c>
      <c r="B381" s="529">
        <v>10</v>
      </c>
      <c r="C381" s="531" t="s">
        <v>598</v>
      </c>
      <c r="D381" s="531" t="s">
        <v>849</v>
      </c>
      <c r="E381" s="547">
        <v>-97583</v>
      </c>
      <c r="F381" s="547"/>
      <c r="G381" s="547"/>
      <c r="H381" s="547"/>
      <c r="I381" s="547"/>
      <c r="J381" s="547"/>
      <c r="K381" s="547"/>
      <c r="L381" s="547"/>
      <c r="M381" s="547">
        <v>0</v>
      </c>
      <c r="N381" s="540"/>
      <c r="O381" s="540"/>
      <c r="P381" s="812">
        <f t="shared" si="20"/>
        <v>-97583</v>
      </c>
      <c r="Q381" s="547"/>
      <c r="R381" s="812">
        <f t="shared" si="24"/>
        <v>0</v>
      </c>
      <c r="S381" s="547">
        <f t="shared" si="24"/>
        <v>0</v>
      </c>
      <c r="T381" s="566"/>
      <c r="U381" s="567"/>
      <c r="V381" s="812">
        <f t="shared" si="22"/>
        <v>-97583</v>
      </c>
      <c r="W381" s="812">
        <f t="shared" si="23"/>
        <v>0</v>
      </c>
    </row>
    <row r="382" spans="1:23" ht="27" hidden="1" customHeight="1">
      <c r="A382" s="531">
        <v>602</v>
      </c>
      <c r="B382" s="529">
        <v>6</v>
      </c>
      <c r="C382" s="531" t="s">
        <v>600</v>
      </c>
      <c r="D382" s="531" t="s">
        <v>601</v>
      </c>
      <c r="E382" s="547">
        <v>-170965558106</v>
      </c>
      <c r="F382" s="547"/>
      <c r="G382" s="547">
        <v>35956824097</v>
      </c>
      <c r="H382" s="547"/>
      <c r="I382" s="547"/>
      <c r="J382" s="547"/>
      <c r="K382" s="547">
        <v>23191823744</v>
      </c>
      <c r="L382" s="547"/>
      <c r="M382" s="547">
        <v>-4005074515</v>
      </c>
      <c r="N382" s="760">
        <v>0</v>
      </c>
      <c r="O382" s="760">
        <v>4005074515</v>
      </c>
      <c r="P382" s="812">
        <f t="shared" si="20"/>
        <v>-107811835750</v>
      </c>
      <c r="Q382" s="547">
        <v>-170965558106</v>
      </c>
      <c r="R382" s="812">
        <f t="shared" si="24"/>
        <v>-107812</v>
      </c>
      <c r="S382" s="547">
        <f t="shared" si="24"/>
        <v>-170966</v>
      </c>
      <c r="T382" s="566"/>
      <c r="U382" s="566">
        <f>(T453+T449+T448+T447+T445-U443+T395)*0.25</f>
        <v>4005074515</v>
      </c>
      <c r="V382" s="812">
        <f t="shared" si="22"/>
        <v>-111816910265</v>
      </c>
      <c r="W382" s="812">
        <f t="shared" si="23"/>
        <v>-111817</v>
      </c>
    </row>
    <row r="383" spans="1:23" ht="27" hidden="1" customHeight="1">
      <c r="A383" s="531">
        <v>1015</v>
      </c>
      <c r="B383" s="529">
        <v>10</v>
      </c>
      <c r="C383" s="531" t="s">
        <v>1261</v>
      </c>
      <c r="D383" s="531" t="s">
        <v>1256</v>
      </c>
      <c r="E383" s="547">
        <v>-21182134</v>
      </c>
      <c r="F383" s="547"/>
      <c r="G383" s="547"/>
      <c r="H383" s="547"/>
      <c r="I383" s="547"/>
      <c r="J383" s="547"/>
      <c r="K383" s="547"/>
      <c r="L383" s="547"/>
      <c r="M383" s="547">
        <v>0</v>
      </c>
      <c r="N383" s="540"/>
      <c r="O383" s="540"/>
      <c r="P383" s="812">
        <f t="shared" si="20"/>
        <v>-21182134</v>
      </c>
      <c r="Q383" s="547">
        <v>-2049000</v>
      </c>
      <c r="R383" s="812">
        <f t="shared" si="24"/>
        <v>-21</v>
      </c>
      <c r="S383" s="547">
        <f t="shared" si="24"/>
        <v>-2</v>
      </c>
      <c r="T383" s="566"/>
      <c r="U383" s="567"/>
      <c r="V383" s="812">
        <f t="shared" si="22"/>
        <v>-21182134</v>
      </c>
      <c r="W383" s="812">
        <f t="shared" si="23"/>
        <v>-21</v>
      </c>
    </row>
    <row r="384" spans="1:23" ht="27" hidden="1" customHeight="1">
      <c r="A384" s="531">
        <v>1015</v>
      </c>
      <c r="B384" s="529">
        <v>10</v>
      </c>
      <c r="C384" s="531" t="s">
        <v>602</v>
      </c>
      <c r="D384" s="531" t="s">
        <v>603</v>
      </c>
      <c r="E384" s="547">
        <f>576168866-1000434744</f>
        <v>-424265878</v>
      </c>
      <c r="F384" s="547"/>
      <c r="G384" s="547">
        <v>-178500</v>
      </c>
      <c r="H384" s="547"/>
      <c r="I384" s="547"/>
      <c r="J384" s="547"/>
      <c r="K384" s="547"/>
      <c r="L384" s="547"/>
      <c r="M384" s="547">
        <v>0</v>
      </c>
      <c r="N384" s="540"/>
      <c r="O384" s="540"/>
      <c r="P384" s="812">
        <f t="shared" si="20"/>
        <v>-424444378</v>
      </c>
      <c r="Q384" s="547">
        <f>644233589-869979768</f>
        <v>-225746179</v>
      </c>
      <c r="R384" s="812">
        <f t="shared" si="24"/>
        <v>-424</v>
      </c>
      <c r="S384" s="547">
        <f t="shared" si="24"/>
        <v>-226</v>
      </c>
      <c r="T384" s="566"/>
      <c r="U384" s="567"/>
      <c r="V384" s="812">
        <f t="shared" si="22"/>
        <v>-424444378</v>
      </c>
      <c r="W384" s="812">
        <f t="shared" si="23"/>
        <v>-424</v>
      </c>
    </row>
    <row r="385" spans="1:23" ht="27" hidden="1" customHeight="1">
      <c r="A385" s="531">
        <v>406</v>
      </c>
      <c r="B385" s="529">
        <v>4</v>
      </c>
      <c r="C385" s="531" t="s">
        <v>668</v>
      </c>
      <c r="D385" s="531" t="s">
        <v>669</v>
      </c>
      <c r="E385" s="547"/>
      <c r="F385" s="547"/>
      <c r="G385" s="547"/>
      <c r="H385" s="547"/>
      <c r="I385" s="547"/>
      <c r="J385" s="547"/>
      <c r="K385" s="547"/>
      <c r="L385" s="547"/>
      <c r="M385" s="547">
        <v>0</v>
      </c>
      <c r="N385" s="540"/>
      <c r="O385" s="540"/>
      <c r="P385" s="812">
        <f t="shared" si="20"/>
        <v>0</v>
      </c>
      <c r="Q385" s="547">
        <f>14749184400-14749184400</f>
        <v>0</v>
      </c>
      <c r="R385" s="812">
        <f t="shared" si="24"/>
        <v>0</v>
      </c>
      <c r="S385" s="547">
        <f t="shared" si="24"/>
        <v>0</v>
      </c>
      <c r="T385" s="566"/>
      <c r="U385" s="567"/>
      <c r="V385" s="812">
        <f t="shared" si="22"/>
        <v>0</v>
      </c>
      <c r="W385" s="812">
        <f t="shared" si="23"/>
        <v>0</v>
      </c>
    </row>
    <row r="386" spans="1:23" ht="27" hidden="1" customHeight="1">
      <c r="A386" s="531">
        <v>10040</v>
      </c>
      <c r="B386" s="529">
        <v>10</v>
      </c>
      <c r="C386" s="531" t="s">
        <v>604</v>
      </c>
      <c r="D386" s="531" t="s">
        <v>532</v>
      </c>
      <c r="E386" s="547">
        <v>-1669572741463</v>
      </c>
      <c r="F386" s="547"/>
      <c r="G386" s="547"/>
      <c r="H386" s="547">
        <v>1669572741463</v>
      </c>
      <c r="I386" s="547"/>
      <c r="J386" s="547"/>
      <c r="K386" s="547"/>
      <c r="L386" s="547"/>
      <c r="M386" s="547">
        <v>0</v>
      </c>
      <c r="N386" s="540"/>
      <c r="O386" s="540"/>
      <c r="P386" s="812">
        <f t="shared" si="20"/>
        <v>0</v>
      </c>
      <c r="Q386" s="547">
        <v>-1669572741463</v>
      </c>
      <c r="R386" s="812">
        <f t="shared" si="24"/>
        <v>0</v>
      </c>
      <c r="S386" s="547">
        <f t="shared" si="24"/>
        <v>-1669573</v>
      </c>
      <c r="T386" s="566"/>
      <c r="U386" s="567"/>
      <c r="V386" s="812">
        <f t="shared" si="22"/>
        <v>0</v>
      </c>
      <c r="W386" s="812">
        <f t="shared" si="23"/>
        <v>0</v>
      </c>
    </row>
    <row r="387" spans="1:23" ht="27" hidden="1" customHeight="1">
      <c r="A387" s="531">
        <v>1018</v>
      </c>
      <c r="B387" s="529">
        <v>10</v>
      </c>
      <c r="C387" s="531" t="s">
        <v>605</v>
      </c>
      <c r="D387" s="531" t="s">
        <v>227</v>
      </c>
      <c r="E387" s="547">
        <v>-7973723704</v>
      </c>
      <c r="F387" s="547"/>
      <c r="G387" s="547"/>
      <c r="H387" s="547"/>
      <c r="I387" s="547"/>
      <c r="J387" s="547"/>
      <c r="K387" s="547"/>
      <c r="L387" s="547"/>
      <c r="M387" s="547">
        <v>0</v>
      </c>
      <c r="N387" s="540"/>
      <c r="O387" s="540"/>
      <c r="P387" s="812">
        <f t="shared" si="20"/>
        <v>-7973723704</v>
      </c>
      <c r="Q387" s="547">
        <v>-9281068145</v>
      </c>
      <c r="R387" s="812">
        <f t="shared" si="24"/>
        <v>-7974</v>
      </c>
      <c r="S387" s="547">
        <f t="shared" si="24"/>
        <v>-9281</v>
      </c>
      <c r="T387" s="566"/>
      <c r="U387" s="567"/>
      <c r="V387" s="812">
        <f t="shared" si="22"/>
        <v>-7973723704</v>
      </c>
      <c r="W387" s="812">
        <f t="shared" si="23"/>
        <v>-7974</v>
      </c>
    </row>
    <row r="388" spans="1:23" ht="27" hidden="1" customHeight="1">
      <c r="A388" s="531">
        <v>1018</v>
      </c>
      <c r="B388" s="529">
        <v>10</v>
      </c>
      <c r="C388" s="531" t="s">
        <v>999</v>
      </c>
      <c r="D388" s="531" t="s">
        <v>1000</v>
      </c>
      <c r="E388" s="547">
        <v>-328538368</v>
      </c>
      <c r="F388" s="547"/>
      <c r="G388" s="547"/>
      <c r="H388" s="547"/>
      <c r="I388" s="547"/>
      <c r="J388" s="547"/>
      <c r="K388" s="547"/>
      <c r="L388" s="547"/>
      <c r="M388" s="547">
        <v>0</v>
      </c>
      <c r="N388" s="540"/>
      <c r="O388" s="540"/>
      <c r="P388" s="812">
        <f t="shared" ref="P388:P445" si="25">E388+F388+G388-N388+O388+H388+I388+J388+K388+L388</f>
        <v>-328538368</v>
      </c>
      <c r="Q388" s="547">
        <v>-46954080</v>
      </c>
      <c r="R388" s="812">
        <f t="shared" si="24"/>
        <v>-329</v>
      </c>
      <c r="S388" s="547">
        <f t="shared" si="24"/>
        <v>-47</v>
      </c>
      <c r="T388" s="566"/>
      <c r="U388" s="567"/>
      <c r="V388" s="812">
        <f t="shared" ref="V388:V394" si="26">P388-U388+T388</f>
        <v>-328538368</v>
      </c>
      <c r="W388" s="812">
        <f t="shared" ref="W388:W451" si="27">ROUND((V388/1000000),0)</f>
        <v>-329</v>
      </c>
    </row>
    <row r="389" spans="1:23" ht="27" hidden="1" customHeight="1">
      <c r="A389" s="531">
        <v>1018</v>
      </c>
      <c r="B389" s="529">
        <v>10</v>
      </c>
      <c r="C389" s="531" t="s">
        <v>515</v>
      </c>
      <c r="D389" s="531" t="s">
        <v>516</v>
      </c>
      <c r="E389" s="547">
        <v>-362000000</v>
      </c>
      <c r="F389" s="547"/>
      <c r="G389" s="547"/>
      <c r="H389" s="547"/>
      <c r="I389" s="547"/>
      <c r="J389" s="547"/>
      <c r="K389" s="547"/>
      <c r="L389" s="547"/>
      <c r="M389" s="547">
        <v>0</v>
      </c>
      <c r="N389" s="540"/>
      <c r="O389" s="540"/>
      <c r="P389" s="812">
        <f t="shared" si="25"/>
        <v>-362000000</v>
      </c>
      <c r="Q389" s="547">
        <v>-362000000</v>
      </c>
      <c r="R389" s="812">
        <f t="shared" si="24"/>
        <v>-362</v>
      </c>
      <c r="S389" s="547">
        <f t="shared" si="24"/>
        <v>-362</v>
      </c>
      <c r="T389" s="566"/>
      <c r="U389" s="567"/>
      <c r="V389" s="812">
        <f t="shared" si="26"/>
        <v>-362000000</v>
      </c>
      <c r="W389" s="812">
        <f t="shared" si="27"/>
        <v>-362</v>
      </c>
    </row>
    <row r="390" spans="1:23" ht="27" hidden="1" customHeight="1">
      <c r="A390" s="531">
        <v>1018</v>
      </c>
      <c r="B390" s="529">
        <v>10</v>
      </c>
      <c r="C390" s="531" t="s">
        <v>1342</v>
      </c>
      <c r="D390" s="531" t="s">
        <v>1343</v>
      </c>
      <c r="E390" s="547">
        <v>-135720000</v>
      </c>
      <c r="F390" s="547">
        <v>135720000</v>
      </c>
      <c r="G390" s="547"/>
      <c r="H390" s="547"/>
      <c r="I390" s="547"/>
      <c r="J390" s="547"/>
      <c r="K390" s="547"/>
      <c r="L390" s="547"/>
      <c r="M390" s="547">
        <v>0</v>
      </c>
      <c r="N390" s="540"/>
      <c r="O390" s="540"/>
      <c r="P390" s="812">
        <f t="shared" si="25"/>
        <v>0</v>
      </c>
      <c r="Q390" s="547"/>
      <c r="R390" s="812">
        <f t="shared" si="24"/>
        <v>0</v>
      </c>
      <c r="S390" s="547">
        <f t="shared" si="24"/>
        <v>0</v>
      </c>
      <c r="T390" s="566"/>
      <c r="U390" s="567"/>
      <c r="V390" s="812">
        <f t="shared" si="26"/>
        <v>0</v>
      </c>
      <c r="W390" s="812">
        <f t="shared" si="27"/>
        <v>0</v>
      </c>
    </row>
    <row r="391" spans="1:23" ht="27" hidden="1" customHeight="1">
      <c r="A391" s="531">
        <v>1012</v>
      </c>
      <c r="B391" s="529">
        <v>10</v>
      </c>
      <c r="C391" s="531" t="s">
        <v>18</v>
      </c>
      <c r="D391" s="531" t="s">
        <v>228</v>
      </c>
      <c r="E391" s="547">
        <v>-700973092411</v>
      </c>
      <c r="F391" s="547">
        <v>104886680927</v>
      </c>
      <c r="G391" s="547">
        <v>-720283485</v>
      </c>
      <c r="H391" s="547">
        <v>-3755861665</v>
      </c>
      <c r="I391" s="547"/>
      <c r="J391" s="547">
        <v>12578040000</v>
      </c>
      <c r="K391" s="547"/>
      <c r="L391" s="547"/>
      <c r="M391" s="547">
        <v>0</v>
      </c>
      <c r="N391" s="540"/>
      <c r="O391" s="540"/>
      <c r="P391" s="812">
        <f t="shared" si="25"/>
        <v>-587984516634</v>
      </c>
      <c r="Q391" s="547">
        <v>-1003672000624</v>
      </c>
      <c r="R391" s="812">
        <f t="shared" si="24"/>
        <v>-587985</v>
      </c>
      <c r="S391" s="547">
        <f t="shared" si="24"/>
        <v>-1003672</v>
      </c>
      <c r="T391" s="566"/>
      <c r="U391" s="567"/>
      <c r="V391" s="812">
        <f t="shared" si="26"/>
        <v>-587984516634</v>
      </c>
      <c r="W391" s="812">
        <f t="shared" si="27"/>
        <v>-587985</v>
      </c>
    </row>
    <row r="392" spans="1:23" ht="27" hidden="1" customHeight="1">
      <c r="A392" s="531">
        <v>609</v>
      </c>
      <c r="B392" s="529">
        <v>6</v>
      </c>
      <c r="C392" s="531" t="s">
        <v>201</v>
      </c>
      <c r="D392" s="533" t="s">
        <v>1405</v>
      </c>
      <c r="E392" s="547">
        <v>163167341284</v>
      </c>
      <c r="F392" s="547"/>
      <c r="G392" s="547">
        <v>-65008735552</v>
      </c>
      <c r="H392" s="547"/>
      <c r="I392" s="547"/>
      <c r="J392" s="547"/>
      <c r="K392" s="547">
        <v>56998586522</v>
      </c>
      <c r="L392" s="547"/>
      <c r="M392" s="547">
        <v>-8010149030</v>
      </c>
      <c r="N392" s="760">
        <v>0</v>
      </c>
      <c r="O392" s="760">
        <v>8010149030</v>
      </c>
      <c r="P392" s="812">
        <f t="shared" si="25"/>
        <v>163167341284</v>
      </c>
      <c r="Q392" s="547">
        <v>16834475159</v>
      </c>
      <c r="R392" s="812">
        <f t="shared" si="24"/>
        <v>163167</v>
      </c>
      <c r="S392" s="547">
        <f t="shared" si="24"/>
        <v>16834</v>
      </c>
      <c r="T392" s="566"/>
      <c r="U392" s="566">
        <f>U382*2</f>
        <v>8010149030</v>
      </c>
      <c r="V392" s="812">
        <f t="shared" si="26"/>
        <v>155157192254</v>
      </c>
      <c r="W392" s="812">
        <f t="shared" si="27"/>
        <v>155157</v>
      </c>
    </row>
    <row r="393" spans="1:23" ht="27" hidden="1" customHeight="1">
      <c r="A393" s="531">
        <v>1401</v>
      </c>
      <c r="B393" s="529">
        <v>12</v>
      </c>
      <c r="C393" s="531" t="s">
        <v>1165</v>
      </c>
      <c r="D393" s="531" t="s">
        <v>1164</v>
      </c>
      <c r="E393" s="547"/>
      <c r="F393" s="547"/>
      <c r="G393" s="547"/>
      <c r="H393" s="547"/>
      <c r="I393" s="547"/>
      <c r="J393" s="547"/>
      <c r="K393" s="547"/>
      <c r="L393" s="547"/>
      <c r="M393" s="547">
        <v>0</v>
      </c>
      <c r="N393" s="540"/>
      <c r="O393" s="540"/>
      <c r="P393" s="812">
        <f t="shared" si="25"/>
        <v>0</v>
      </c>
      <c r="Q393" s="547">
        <v>-19070000000</v>
      </c>
      <c r="R393" s="812">
        <f t="shared" si="24"/>
        <v>0</v>
      </c>
      <c r="S393" s="547">
        <f t="shared" si="24"/>
        <v>-19070</v>
      </c>
      <c r="T393" s="566"/>
      <c r="U393" s="567"/>
      <c r="V393" s="812">
        <f t="shared" si="26"/>
        <v>0</v>
      </c>
      <c r="W393" s="812">
        <f t="shared" si="27"/>
        <v>0</v>
      </c>
    </row>
    <row r="394" spans="1:23" ht="27" hidden="1" customHeight="1">
      <c r="A394" s="531">
        <v>406</v>
      </c>
      <c r="B394" s="529">
        <v>4</v>
      </c>
      <c r="C394" s="531" t="s">
        <v>19</v>
      </c>
      <c r="D394" s="531" t="s">
        <v>680</v>
      </c>
      <c r="E394" s="547"/>
      <c r="F394" s="547"/>
      <c r="G394" s="547"/>
      <c r="H394" s="547"/>
      <c r="I394" s="547"/>
      <c r="J394" s="547"/>
      <c r="K394" s="547"/>
      <c r="L394" s="547"/>
      <c r="M394" s="547">
        <v>0</v>
      </c>
      <c r="N394" s="540"/>
      <c r="O394" s="540"/>
      <c r="P394" s="812">
        <f t="shared" si="25"/>
        <v>0</v>
      </c>
      <c r="Q394" s="547"/>
      <c r="R394" s="812">
        <f t="shared" si="24"/>
        <v>0</v>
      </c>
      <c r="S394" s="547">
        <f t="shared" si="24"/>
        <v>0</v>
      </c>
      <c r="T394" s="566"/>
      <c r="U394" s="567"/>
      <c r="V394" s="812">
        <f t="shared" si="26"/>
        <v>0</v>
      </c>
      <c r="W394" s="812">
        <f t="shared" si="27"/>
        <v>0</v>
      </c>
    </row>
    <row r="395" spans="1:23" ht="27" hidden="1" customHeight="1">
      <c r="A395" s="531"/>
      <c r="B395" s="529">
        <v>20</v>
      </c>
      <c r="C395" s="531" t="s">
        <v>896</v>
      </c>
      <c r="D395" s="531" t="s">
        <v>778</v>
      </c>
      <c r="E395" s="547">
        <v>-135000000</v>
      </c>
      <c r="F395" s="547"/>
      <c r="G395" s="547">
        <v>135000000</v>
      </c>
      <c r="H395" s="547"/>
      <c r="I395" s="547"/>
      <c r="J395" s="547"/>
      <c r="K395" s="547"/>
      <c r="L395" s="547"/>
      <c r="M395" s="547">
        <v>135000000</v>
      </c>
      <c r="N395" s="540">
        <v>135000000</v>
      </c>
      <c r="O395" s="540">
        <v>0</v>
      </c>
      <c r="P395" s="812">
        <f t="shared" si="25"/>
        <v>-135000000</v>
      </c>
      <c r="Q395" s="547"/>
      <c r="R395" s="812">
        <f t="shared" si="24"/>
        <v>-135</v>
      </c>
      <c r="S395" s="547">
        <f t="shared" si="24"/>
        <v>0</v>
      </c>
      <c r="T395" s="566">
        <f>-P395</f>
        <v>135000000</v>
      </c>
      <c r="U395" s="574">
        <v>0</v>
      </c>
      <c r="V395" s="812">
        <f>P395-U395+T395</f>
        <v>0</v>
      </c>
      <c r="W395" s="812">
        <f t="shared" si="27"/>
        <v>0</v>
      </c>
    </row>
    <row r="396" spans="1:23" ht="27" hidden="1" customHeight="1">
      <c r="A396" s="531">
        <v>1020</v>
      </c>
      <c r="B396" s="529">
        <v>10</v>
      </c>
      <c r="C396" s="531" t="s">
        <v>1384</v>
      </c>
      <c r="D396" s="531" t="s">
        <v>820</v>
      </c>
      <c r="E396" s="547">
        <f>-125961757094+76931883541</f>
        <v>-49029873553</v>
      </c>
      <c r="F396" s="547">
        <v>-76931883541</v>
      </c>
      <c r="G396" s="547"/>
      <c r="H396" s="547"/>
      <c r="I396" s="547"/>
      <c r="J396" s="547"/>
      <c r="K396" s="547"/>
      <c r="L396" s="547"/>
      <c r="M396" s="547">
        <v>0</v>
      </c>
      <c r="N396" s="540"/>
      <c r="O396" s="540"/>
      <c r="P396" s="812">
        <f t="shared" si="25"/>
        <v>-125961757094</v>
      </c>
      <c r="Q396" s="547">
        <f>-768111049194+654098309676</f>
        <v>-114012739518</v>
      </c>
      <c r="R396" s="812">
        <f t="shared" si="24"/>
        <v>-125962</v>
      </c>
      <c r="S396" s="547">
        <f t="shared" si="24"/>
        <v>-114013</v>
      </c>
      <c r="T396" s="566"/>
      <c r="U396" s="567"/>
      <c r="V396" s="812">
        <f t="shared" ref="V396:V459" si="28">P396-U396+T396</f>
        <v>-125961757094</v>
      </c>
      <c r="W396" s="812">
        <f t="shared" si="27"/>
        <v>-125962</v>
      </c>
    </row>
    <row r="397" spans="1:23" ht="27" hidden="1" customHeight="1">
      <c r="A397" s="531">
        <v>1004</v>
      </c>
      <c r="B397" s="529">
        <v>10</v>
      </c>
      <c r="C397" s="531" t="s">
        <v>1411</v>
      </c>
      <c r="D397" s="531" t="s">
        <v>821</v>
      </c>
      <c r="E397" s="547">
        <v>-680852229940</v>
      </c>
      <c r="F397" s="547"/>
      <c r="G397" s="547"/>
      <c r="H397" s="547"/>
      <c r="I397" s="547"/>
      <c r="J397" s="547"/>
      <c r="K397" s="547"/>
      <c r="L397" s="547"/>
      <c r="M397" s="547">
        <v>0</v>
      </c>
      <c r="N397" s="540"/>
      <c r="O397" s="540"/>
      <c r="P397" s="812">
        <f t="shared" si="25"/>
        <v>-680852229940</v>
      </c>
      <c r="Q397" s="547">
        <v>-654098309676</v>
      </c>
      <c r="R397" s="812">
        <f t="shared" si="24"/>
        <v>-680852</v>
      </c>
      <c r="S397" s="547">
        <f t="shared" si="24"/>
        <v>-654098</v>
      </c>
      <c r="T397" s="566"/>
      <c r="U397" s="567"/>
      <c r="V397" s="812">
        <f t="shared" si="28"/>
        <v>-680852229940</v>
      </c>
      <c r="W397" s="812">
        <f t="shared" si="27"/>
        <v>-680852</v>
      </c>
    </row>
    <row r="398" spans="1:23" ht="27" hidden="1" customHeight="1">
      <c r="A398" s="531">
        <v>1018</v>
      </c>
      <c r="B398" s="529">
        <v>10</v>
      </c>
      <c r="C398" s="531" t="s">
        <v>763</v>
      </c>
      <c r="D398" s="532" t="s">
        <v>823</v>
      </c>
      <c r="E398" s="547"/>
      <c r="F398" s="547"/>
      <c r="G398" s="547"/>
      <c r="H398" s="547"/>
      <c r="I398" s="547"/>
      <c r="J398" s="547"/>
      <c r="K398" s="547"/>
      <c r="L398" s="547"/>
      <c r="M398" s="547">
        <v>0</v>
      </c>
      <c r="N398" s="540"/>
      <c r="O398" s="540"/>
      <c r="P398" s="812">
        <f t="shared" si="25"/>
        <v>0</v>
      </c>
      <c r="Q398" s="547"/>
      <c r="R398" s="812">
        <f t="shared" si="24"/>
        <v>0</v>
      </c>
      <c r="S398" s="547">
        <f t="shared" si="24"/>
        <v>0</v>
      </c>
      <c r="T398" s="566"/>
      <c r="U398" s="569"/>
      <c r="V398" s="812">
        <f t="shared" si="28"/>
        <v>0</v>
      </c>
      <c r="W398" s="812">
        <f t="shared" si="27"/>
        <v>0</v>
      </c>
    </row>
    <row r="399" spans="1:23" ht="27" hidden="1" customHeight="1">
      <c r="A399" s="531">
        <v>10040</v>
      </c>
      <c r="B399" s="529">
        <v>10</v>
      </c>
      <c r="C399" s="531" t="s">
        <v>763</v>
      </c>
      <c r="D399" s="532" t="s">
        <v>822</v>
      </c>
      <c r="E399" s="547"/>
      <c r="F399" s="547"/>
      <c r="G399" s="547"/>
      <c r="H399" s="547"/>
      <c r="I399" s="547"/>
      <c r="J399" s="547"/>
      <c r="K399" s="547"/>
      <c r="L399" s="547"/>
      <c r="M399" s="547">
        <v>0</v>
      </c>
      <c r="N399" s="540"/>
      <c r="O399" s="540"/>
      <c r="P399" s="812">
        <f t="shared" si="25"/>
        <v>0</v>
      </c>
      <c r="Q399" s="547"/>
      <c r="R399" s="812">
        <f t="shared" si="24"/>
        <v>0</v>
      </c>
      <c r="S399" s="547">
        <f t="shared" si="24"/>
        <v>0</v>
      </c>
      <c r="T399" s="566"/>
      <c r="U399" s="569"/>
      <c r="V399" s="812">
        <f t="shared" si="28"/>
        <v>0</v>
      </c>
      <c r="W399" s="812">
        <f t="shared" si="27"/>
        <v>0</v>
      </c>
    </row>
    <row r="400" spans="1:23" ht="27" hidden="1" customHeight="1">
      <c r="A400" s="531">
        <v>1002</v>
      </c>
      <c r="B400" s="529">
        <v>10</v>
      </c>
      <c r="C400" s="531" t="s">
        <v>21</v>
      </c>
      <c r="D400" s="531" t="s">
        <v>22</v>
      </c>
      <c r="E400" s="547">
        <v>-650753814364</v>
      </c>
      <c r="F400" s="547">
        <v>-706985665070</v>
      </c>
      <c r="G400" s="547">
        <v>-2951756982</v>
      </c>
      <c r="H400" s="547">
        <v>-83295186016</v>
      </c>
      <c r="I400" s="547"/>
      <c r="J400" s="547"/>
      <c r="K400" s="547"/>
      <c r="L400" s="547"/>
      <c r="M400" s="547">
        <v>0</v>
      </c>
      <c r="N400" s="540"/>
      <c r="O400" s="540"/>
      <c r="P400" s="812">
        <f t="shared" si="25"/>
        <v>-1443986422432</v>
      </c>
      <c r="Q400" s="547">
        <f>-317427387911-21246333936+6000000000-18640419349+21246333936-435767382600-31976364206</f>
        <v>-797811554066</v>
      </c>
      <c r="R400" s="812">
        <f t="shared" si="24"/>
        <v>-1443986</v>
      </c>
      <c r="S400" s="547">
        <f t="shared" si="24"/>
        <v>-797812</v>
      </c>
      <c r="T400" s="566"/>
      <c r="U400" s="567"/>
      <c r="V400" s="812">
        <f t="shared" si="28"/>
        <v>-1443986422432</v>
      </c>
      <c r="W400" s="812">
        <f t="shared" si="27"/>
        <v>-1443986</v>
      </c>
    </row>
    <row r="401" spans="1:23" ht="27" hidden="1" customHeight="1">
      <c r="A401" s="531">
        <v>1013</v>
      </c>
      <c r="B401" s="529">
        <v>10</v>
      </c>
      <c r="C401" s="531" t="s">
        <v>681</v>
      </c>
      <c r="D401" s="531" t="s">
        <v>682</v>
      </c>
      <c r="E401" s="547">
        <v>226846332842</v>
      </c>
      <c r="F401" s="547">
        <v>505066710</v>
      </c>
      <c r="G401" s="547">
        <v>1322008017</v>
      </c>
      <c r="H401" s="547">
        <v>12369943</v>
      </c>
      <c r="I401" s="547"/>
      <c r="J401" s="547">
        <v>-634936006</v>
      </c>
      <c r="K401" s="547"/>
      <c r="L401" s="547"/>
      <c r="M401" s="547">
        <v>0</v>
      </c>
      <c r="N401" s="540"/>
      <c r="O401" s="540"/>
      <c r="P401" s="812">
        <f t="shared" si="25"/>
        <v>228050841506</v>
      </c>
      <c r="Q401" s="547">
        <f>77534321016+506682</f>
        <v>77534827698</v>
      </c>
      <c r="R401" s="812">
        <f t="shared" ref="R401:S432" si="29">ROUND((P401/1000000),0)</f>
        <v>228051</v>
      </c>
      <c r="S401" s="547">
        <f t="shared" si="29"/>
        <v>77535</v>
      </c>
      <c r="T401" s="566"/>
      <c r="U401" s="567"/>
      <c r="V401" s="812">
        <f t="shared" si="28"/>
        <v>228050841506</v>
      </c>
      <c r="W401" s="812">
        <f t="shared" si="27"/>
        <v>228051</v>
      </c>
    </row>
    <row r="402" spans="1:23" ht="27" hidden="1" customHeight="1">
      <c r="A402" s="531">
        <v>1013</v>
      </c>
      <c r="B402" s="529">
        <v>10</v>
      </c>
      <c r="C402" s="531" t="s">
        <v>683</v>
      </c>
      <c r="D402" s="531" t="s">
        <v>684</v>
      </c>
      <c r="E402" s="547">
        <v>111015589209</v>
      </c>
      <c r="F402" s="547">
        <v>254069405</v>
      </c>
      <c r="G402" s="547">
        <v>660264793</v>
      </c>
      <c r="H402" s="547">
        <v>6184971</v>
      </c>
      <c r="I402" s="547"/>
      <c r="J402" s="547">
        <v>-317467994</v>
      </c>
      <c r="K402" s="547"/>
      <c r="L402" s="547"/>
      <c r="M402" s="547">
        <v>0</v>
      </c>
      <c r="N402" s="540"/>
      <c r="O402" s="540"/>
      <c r="P402" s="812">
        <f t="shared" si="25"/>
        <v>111618640384</v>
      </c>
      <c r="Q402" s="547">
        <f>35244722304-113054237</f>
        <v>35131668067</v>
      </c>
      <c r="R402" s="812">
        <f t="shared" si="29"/>
        <v>111619</v>
      </c>
      <c r="S402" s="547">
        <f t="shared" si="29"/>
        <v>35132</v>
      </c>
      <c r="T402" s="566"/>
      <c r="U402" s="567"/>
      <c r="V402" s="812">
        <f t="shared" si="28"/>
        <v>111618640384</v>
      </c>
      <c r="W402" s="812">
        <f t="shared" si="27"/>
        <v>111619</v>
      </c>
    </row>
    <row r="403" spans="1:23" ht="27" hidden="1" customHeight="1">
      <c r="A403" s="531">
        <v>1013</v>
      </c>
      <c r="B403" s="529">
        <v>10</v>
      </c>
      <c r="C403" s="531" t="s">
        <v>685</v>
      </c>
      <c r="D403" s="531" t="s">
        <v>688</v>
      </c>
      <c r="E403" s="547">
        <f>2524753-509177338561</f>
        <v>-509174813808</v>
      </c>
      <c r="F403" s="547">
        <v>2922292696</v>
      </c>
      <c r="G403" s="547">
        <v>-189381939</v>
      </c>
      <c r="H403" s="547">
        <v>1567545013</v>
      </c>
      <c r="I403" s="547"/>
      <c r="J403" s="547"/>
      <c r="K403" s="547"/>
      <c r="L403" s="547"/>
      <c r="M403" s="547">
        <v>0</v>
      </c>
      <c r="N403" s="540"/>
      <c r="O403" s="540"/>
      <c r="P403" s="812">
        <f t="shared" si="25"/>
        <v>-504874358038</v>
      </c>
      <c r="Q403" s="547">
        <f>-422560745262-124126375-10691832233</f>
        <v>-433376703870</v>
      </c>
      <c r="R403" s="812">
        <f t="shared" si="29"/>
        <v>-504874</v>
      </c>
      <c r="S403" s="547">
        <f t="shared" si="29"/>
        <v>-433377</v>
      </c>
      <c r="T403" s="566"/>
      <c r="U403" s="567"/>
      <c r="V403" s="812">
        <f t="shared" si="28"/>
        <v>-504874358038</v>
      </c>
      <c r="W403" s="812">
        <f t="shared" si="27"/>
        <v>-504874</v>
      </c>
    </row>
    <row r="404" spans="1:23" ht="27" hidden="1" customHeight="1">
      <c r="A404" s="531">
        <v>1013</v>
      </c>
      <c r="B404" s="529">
        <v>10</v>
      </c>
      <c r="C404" s="531" t="s">
        <v>686</v>
      </c>
      <c r="D404" s="531" t="s">
        <v>689</v>
      </c>
      <c r="E404" s="547">
        <f>585034693-379431171697</f>
        <v>-378846137004</v>
      </c>
      <c r="F404" s="547">
        <v>1461146349</v>
      </c>
      <c r="G404" s="547">
        <v>-94690970</v>
      </c>
      <c r="H404" s="547">
        <v>783772506</v>
      </c>
      <c r="I404" s="547"/>
      <c r="J404" s="547"/>
      <c r="K404" s="547"/>
      <c r="L404" s="547"/>
      <c r="M404" s="547">
        <v>0</v>
      </c>
      <c r="N404" s="540"/>
      <c r="O404" s="540"/>
      <c r="P404" s="812">
        <f t="shared" si="25"/>
        <v>-376695909119</v>
      </c>
      <c r="Q404" s="547">
        <f>582893727-220209977796-82750917-5446782458</f>
        <v>-225156617444</v>
      </c>
      <c r="R404" s="812">
        <f t="shared" si="29"/>
        <v>-376696</v>
      </c>
      <c r="S404" s="547">
        <f t="shared" si="29"/>
        <v>-225157</v>
      </c>
      <c r="T404" s="566"/>
      <c r="U404" s="567"/>
      <c r="V404" s="812">
        <f t="shared" si="28"/>
        <v>-376695909119</v>
      </c>
      <c r="W404" s="812">
        <f t="shared" si="27"/>
        <v>-376696</v>
      </c>
    </row>
    <row r="405" spans="1:23" ht="27" hidden="1" customHeight="1">
      <c r="A405" s="531">
        <v>1013</v>
      </c>
      <c r="B405" s="529">
        <v>10</v>
      </c>
      <c r="C405" s="531" t="s">
        <v>687</v>
      </c>
      <c r="D405" s="531" t="s">
        <v>691</v>
      </c>
      <c r="E405" s="547">
        <v>6958914855</v>
      </c>
      <c r="F405" s="547"/>
      <c r="G405" s="547"/>
      <c r="H405" s="547"/>
      <c r="I405" s="547"/>
      <c r="J405" s="547"/>
      <c r="K405" s="547"/>
      <c r="L405" s="547"/>
      <c r="M405" s="547">
        <v>0</v>
      </c>
      <c r="N405" s="540"/>
      <c r="O405" s="540"/>
      <c r="P405" s="812">
        <f t="shared" si="25"/>
        <v>6958914855</v>
      </c>
      <c r="Q405" s="547">
        <v>6958914855</v>
      </c>
      <c r="R405" s="812">
        <f t="shared" si="29"/>
        <v>6959</v>
      </c>
      <c r="S405" s="547">
        <f t="shared" si="29"/>
        <v>6959</v>
      </c>
      <c r="T405" s="566"/>
      <c r="U405" s="567"/>
      <c r="V405" s="812">
        <f t="shared" si="28"/>
        <v>6958914855</v>
      </c>
      <c r="W405" s="812">
        <f t="shared" si="27"/>
        <v>6959</v>
      </c>
    </row>
    <row r="406" spans="1:23" ht="27" hidden="1" customHeight="1">
      <c r="A406" s="531">
        <v>1013</v>
      </c>
      <c r="B406" s="529">
        <v>10</v>
      </c>
      <c r="C406" s="531" t="s">
        <v>690</v>
      </c>
      <c r="D406" s="531" t="s">
        <v>692</v>
      </c>
      <c r="E406" s="547">
        <v>7115226945</v>
      </c>
      <c r="F406" s="547"/>
      <c r="G406" s="547"/>
      <c r="H406" s="547"/>
      <c r="I406" s="547"/>
      <c r="J406" s="547"/>
      <c r="K406" s="547"/>
      <c r="L406" s="547"/>
      <c r="M406" s="547">
        <v>0</v>
      </c>
      <c r="N406" s="540"/>
      <c r="O406" s="540"/>
      <c r="P406" s="812">
        <f t="shared" si="25"/>
        <v>7115226945</v>
      </c>
      <c r="Q406" s="547">
        <v>7115226945</v>
      </c>
      <c r="R406" s="812">
        <f t="shared" si="29"/>
        <v>7115</v>
      </c>
      <c r="S406" s="547">
        <f t="shared" si="29"/>
        <v>7115</v>
      </c>
      <c r="T406" s="566"/>
      <c r="U406" s="567"/>
      <c r="V406" s="812">
        <f t="shared" si="28"/>
        <v>7115226945</v>
      </c>
      <c r="W406" s="812">
        <f t="shared" si="27"/>
        <v>7115</v>
      </c>
    </row>
    <row r="407" spans="1:23" ht="27" hidden="1" customHeight="1">
      <c r="A407" s="531">
        <v>100201</v>
      </c>
      <c r="B407" s="529">
        <v>10</v>
      </c>
      <c r="C407" s="531" t="s">
        <v>23</v>
      </c>
      <c r="D407" s="531" t="s">
        <v>537</v>
      </c>
      <c r="E407" s="547">
        <v>-2109271701212</v>
      </c>
      <c r="F407" s="547"/>
      <c r="G407" s="547"/>
      <c r="H407" s="547"/>
      <c r="I407" s="547"/>
      <c r="J407" s="547"/>
      <c r="K407" s="547"/>
      <c r="L407" s="547"/>
      <c r="M407" s="547">
        <v>0</v>
      </c>
      <c r="N407" s="540"/>
      <c r="O407" s="540"/>
      <c r="P407" s="812">
        <f t="shared" si="25"/>
        <v>-2109271701212</v>
      </c>
      <c r="Q407" s="547">
        <v>-2109271701212</v>
      </c>
      <c r="R407" s="812">
        <f t="shared" si="29"/>
        <v>-2109272</v>
      </c>
      <c r="S407" s="547">
        <f t="shared" si="29"/>
        <v>-2109272</v>
      </c>
      <c r="T407" s="566"/>
      <c r="U407" s="567"/>
      <c r="V407" s="812">
        <f t="shared" si="28"/>
        <v>-2109271701212</v>
      </c>
      <c r="W407" s="812">
        <f t="shared" si="27"/>
        <v>-2109272</v>
      </c>
    </row>
    <row r="408" spans="1:23" ht="27" hidden="1" customHeight="1">
      <c r="A408" s="531">
        <v>100201</v>
      </c>
      <c r="B408" s="529">
        <v>10</v>
      </c>
      <c r="C408" s="531" t="s">
        <v>1159</v>
      </c>
      <c r="D408" s="531" t="s">
        <v>1160</v>
      </c>
      <c r="E408" s="547">
        <v>-122556759860</v>
      </c>
      <c r="F408" s="547"/>
      <c r="G408" s="547"/>
      <c r="H408" s="547"/>
      <c r="I408" s="547"/>
      <c r="J408" s="547">
        <v>-15358203555</v>
      </c>
      <c r="K408" s="547"/>
      <c r="L408" s="547"/>
      <c r="M408" s="547">
        <v>0</v>
      </c>
      <c r="N408" s="540"/>
      <c r="O408" s="540"/>
      <c r="P408" s="812">
        <f t="shared" si="25"/>
        <v>-137914963415</v>
      </c>
      <c r="Q408" s="547">
        <f>-71112701850+25930608586-71252181298-25930608586+19808123288</f>
        <v>-122556759860</v>
      </c>
      <c r="R408" s="812">
        <f t="shared" si="29"/>
        <v>-137915</v>
      </c>
      <c r="S408" s="547">
        <f t="shared" si="29"/>
        <v>-122557</v>
      </c>
      <c r="T408" s="566"/>
      <c r="U408" s="567"/>
      <c r="V408" s="812">
        <f t="shared" si="28"/>
        <v>-137914963415</v>
      </c>
      <c r="W408" s="812">
        <f t="shared" si="27"/>
        <v>-137915</v>
      </c>
    </row>
    <row r="409" spans="1:23" ht="27" hidden="1" customHeight="1">
      <c r="A409" s="531">
        <v>10040</v>
      </c>
      <c r="B409" s="529">
        <v>10</v>
      </c>
      <c r="C409" s="531" t="s">
        <v>1195</v>
      </c>
      <c r="D409" s="531" t="s">
        <v>1196</v>
      </c>
      <c r="E409" s="547">
        <v>-1608227089374</v>
      </c>
      <c r="F409" s="547">
        <v>-33323498867</v>
      </c>
      <c r="G409" s="547">
        <v>-3710285230214</v>
      </c>
      <c r="H409" s="547"/>
      <c r="I409" s="547">
        <f>28784169559-40886839751-28784169559</f>
        <v>-40886839751</v>
      </c>
      <c r="J409" s="547"/>
      <c r="K409" s="547">
        <v>40886839751</v>
      </c>
      <c r="L409" s="547">
        <f>3201925273476+2149910544979</f>
        <v>5351835818455</v>
      </c>
      <c r="M409" s="547">
        <v>5351835818455</v>
      </c>
      <c r="N409" s="540"/>
      <c r="O409" s="540"/>
      <c r="P409" s="812">
        <f t="shared" si="25"/>
        <v>0</v>
      </c>
      <c r="Q409" s="547">
        <f>-5410437093259-153366865840+2453000000+3025688762+74448710110</f>
        <v>-5483876560227</v>
      </c>
      <c r="R409" s="812">
        <f t="shared" si="29"/>
        <v>0</v>
      </c>
      <c r="S409" s="547">
        <f t="shared" si="29"/>
        <v>-5483877</v>
      </c>
      <c r="T409" s="566"/>
      <c r="U409" s="567"/>
      <c r="V409" s="812">
        <f t="shared" si="28"/>
        <v>0</v>
      </c>
      <c r="W409" s="812">
        <f t="shared" si="27"/>
        <v>0</v>
      </c>
    </row>
    <row r="410" spans="1:23" ht="27" hidden="1" customHeight="1">
      <c r="A410" s="531">
        <v>100201</v>
      </c>
      <c r="B410" s="529">
        <v>10</v>
      </c>
      <c r="C410" s="531" t="s">
        <v>1473</v>
      </c>
      <c r="D410" s="531" t="s">
        <v>1496</v>
      </c>
      <c r="E410" s="547"/>
      <c r="F410" s="547"/>
      <c r="G410" s="547"/>
      <c r="H410" s="547"/>
      <c r="I410" s="547"/>
      <c r="J410" s="547"/>
      <c r="K410" s="547"/>
      <c r="L410" s="547">
        <v>-2149910544979</v>
      </c>
      <c r="M410" s="547">
        <v>-2149910544979</v>
      </c>
      <c r="N410" s="540"/>
      <c r="O410" s="540"/>
      <c r="P410" s="812">
        <f t="shared" si="25"/>
        <v>-2149910544979</v>
      </c>
      <c r="Q410" s="547"/>
      <c r="R410" s="812">
        <f t="shared" si="29"/>
        <v>-2149911</v>
      </c>
      <c r="S410" s="547">
        <f t="shared" si="29"/>
        <v>0</v>
      </c>
      <c r="T410" s="566"/>
      <c r="U410" s="567"/>
      <c r="V410" s="812">
        <f t="shared" si="28"/>
        <v>-2149910544979</v>
      </c>
      <c r="W410" s="812">
        <f t="shared" si="27"/>
        <v>-2149911</v>
      </c>
    </row>
    <row r="411" spans="1:23" ht="27" hidden="1" customHeight="1">
      <c r="A411" s="531">
        <v>10040</v>
      </c>
      <c r="B411" s="529">
        <v>10</v>
      </c>
      <c r="C411" s="531" t="s">
        <v>538</v>
      </c>
      <c r="D411" s="531" t="s">
        <v>1441</v>
      </c>
      <c r="E411" s="547">
        <v>-24866347713</v>
      </c>
      <c r="F411" s="547"/>
      <c r="G411" s="547">
        <v>164045000</v>
      </c>
      <c r="H411" s="547">
        <v>24702302713</v>
      </c>
      <c r="I411" s="547"/>
      <c r="J411" s="547"/>
      <c r="K411" s="547"/>
      <c r="L411" s="547"/>
      <c r="M411" s="547">
        <v>0</v>
      </c>
      <c r="N411" s="540"/>
      <c r="O411" s="540"/>
      <c r="P411" s="812">
        <f t="shared" si="25"/>
        <v>0</v>
      </c>
      <c r="Q411" s="547">
        <v>-24866347713</v>
      </c>
      <c r="R411" s="812">
        <f t="shared" si="29"/>
        <v>0</v>
      </c>
      <c r="S411" s="547">
        <f t="shared" si="29"/>
        <v>-24866</v>
      </c>
      <c r="T411" s="566"/>
      <c r="U411" s="567"/>
      <c r="V411" s="812">
        <f t="shared" si="28"/>
        <v>0</v>
      </c>
      <c r="W411" s="812">
        <f t="shared" si="27"/>
        <v>0</v>
      </c>
    </row>
    <row r="412" spans="1:23" ht="27" hidden="1" customHeight="1">
      <c r="A412" s="531">
        <v>1011</v>
      </c>
      <c r="B412" s="529">
        <v>10</v>
      </c>
      <c r="C412" s="531" t="s">
        <v>540</v>
      </c>
      <c r="D412" s="531" t="s">
        <v>229</v>
      </c>
      <c r="E412" s="547">
        <v>-1556493185</v>
      </c>
      <c r="F412" s="547"/>
      <c r="G412" s="547"/>
      <c r="H412" s="547"/>
      <c r="I412" s="547"/>
      <c r="J412" s="547"/>
      <c r="K412" s="547"/>
      <c r="L412" s="547"/>
      <c r="M412" s="547">
        <v>0</v>
      </c>
      <c r="N412" s="540"/>
      <c r="O412" s="540"/>
      <c r="P412" s="812">
        <f t="shared" si="25"/>
        <v>-1556493185</v>
      </c>
      <c r="Q412" s="547">
        <v>-717286400</v>
      </c>
      <c r="R412" s="812">
        <f t="shared" si="29"/>
        <v>-1556</v>
      </c>
      <c r="S412" s="547">
        <f t="shared" si="29"/>
        <v>-717</v>
      </c>
      <c r="T412" s="566"/>
      <c r="U412" s="567"/>
      <c r="V412" s="812">
        <f t="shared" si="28"/>
        <v>-1556493185</v>
      </c>
      <c r="W412" s="812">
        <f t="shared" si="27"/>
        <v>-1556</v>
      </c>
    </row>
    <row r="413" spans="1:23" ht="27" hidden="1" customHeight="1">
      <c r="A413" s="531">
        <v>1014</v>
      </c>
      <c r="B413" s="529">
        <v>10</v>
      </c>
      <c r="C413" s="531" t="s">
        <v>541</v>
      </c>
      <c r="D413" s="531" t="s">
        <v>693</v>
      </c>
      <c r="E413" s="547">
        <v>-23242911820</v>
      </c>
      <c r="F413" s="547"/>
      <c r="G413" s="547"/>
      <c r="H413" s="547"/>
      <c r="I413" s="547"/>
      <c r="J413" s="547"/>
      <c r="K413" s="547"/>
      <c r="L413" s="547"/>
      <c r="M413" s="547">
        <v>0</v>
      </c>
      <c r="N413" s="540"/>
      <c r="O413" s="540"/>
      <c r="P413" s="812">
        <f t="shared" si="25"/>
        <v>-23242911820</v>
      </c>
      <c r="Q413" s="547">
        <v>-17494383078</v>
      </c>
      <c r="R413" s="812">
        <f t="shared" si="29"/>
        <v>-23243</v>
      </c>
      <c r="S413" s="547">
        <f t="shared" si="29"/>
        <v>-17494</v>
      </c>
      <c r="T413" s="566"/>
      <c r="U413" s="567"/>
      <c r="V413" s="812">
        <f t="shared" si="28"/>
        <v>-23242911820</v>
      </c>
      <c r="W413" s="812">
        <f t="shared" si="27"/>
        <v>-23243</v>
      </c>
    </row>
    <row r="414" spans="1:23" ht="27" hidden="1" customHeight="1">
      <c r="A414" s="531">
        <v>1007</v>
      </c>
      <c r="B414" s="529">
        <v>10</v>
      </c>
      <c r="C414" s="531" t="s">
        <v>543</v>
      </c>
      <c r="D414" s="531" t="s">
        <v>544</v>
      </c>
      <c r="E414" s="547">
        <v>-133775096236</v>
      </c>
      <c r="F414" s="547"/>
      <c r="G414" s="547"/>
      <c r="H414" s="547"/>
      <c r="I414" s="547"/>
      <c r="J414" s="547"/>
      <c r="K414" s="547"/>
      <c r="L414" s="547"/>
      <c r="M414" s="547">
        <v>0</v>
      </c>
      <c r="N414" s="540"/>
      <c r="O414" s="540"/>
      <c r="P414" s="812">
        <f t="shared" si="25"/>
        <v>-133775096236</v>
      </c>
      <c r="Q414" s="547"/>
      <c r="R414" s="812">
        <f t="shared" si="29"/>
        <v>-133775</v>
      </c>
      <c r="S414" s="547">
        <f t="shared" si="29"/>
        <v>0</v>
      </c>
      <c r="T414" s="566"/>
      <c r="U414" s="567"/>
      <c r="V414" s="812">
        <f t="shared" si="28"/>
        <v>-133775096236</v>
      </c>
      <c r="W414" s="812">
        <f t="shared" si="27"/>
        <v>-133775</v>
      </c>
    </row>
    <row r="415" spans="1:23" ht="27" hidden="1" customHeight="1">
      <c r="A415" s="531">
        <v>1007</v>
      </c>
      <c r="B415" s="529">
        <v>10</v>
      </c>
      <c r="C415" s="531" t="s">
        <v>543</v>
      </c>
      <c r="D415" s="531" t="s">
        <v>1442</v>
      </c>
      <c r="E415" s="547"/>
      <c r="F415" s="547"/>
      <c r="G415" s="547">
        <v>-271876820753</v>
      </c>
      <c r="H415" s="547"/>
      <c r="I415" s="547">
        <v>492737580</v>
      </c>
      <c r="J415" s="547"/>
      <c r="K415" s="547">
        <v>-492737580</v>
      </c>
      <c r="L415" s="547"/>
      <c r="M415" s="547">
        <v>0</v>
      </c>
      <c r="N415" s="540"/>
      <c r="O415" s="540"/>
      <c r="P415" s="812">
        <f t="shared" si="25"/>
        <v>-271876820753</v>
      </c>
      <c r="Q415" s="547">
        <v>-237313599479</v>
      </c>
      <c r="R415" s="812">
        <f t="shared" si="29"/>
        <v>-271877</v>
      </c>
      <c r="S415" s="547">
        <f t="shared" si="29"/>
        <v>-237314</v>
      </c>
      <c r="T415" s="566"/>
      <c r="U415" s="567"/>
      <c r="V415" s="812">
        <f t="shared" si="28"/>
        <v>-271876820753</v>
      </c>
      <c r="W415" s="812">
        <f t="shared" si="27"/>
        <v>-271877</v>
      </c>
    </row>
    <row r="416" spans="1:23" ht="27" hidden="1" customHeight="1">
      <c r="A416" s="531">
        <v>1007</v>
      </c>
      <c r="B416" s="529">
        <v>10</v>
      </c>
      <c r="C416" s="531" t="s">
        <v>545</v>
      </c>
      <c r="D416" s="531" t="s">
        <v>510</v>
      </c>
      <c r="E416" s="547"/>
      <c r="F416" s="547"/>
      <c r="G416" s="547"/>
      <c r="H416" s="547"/>
      <c r="I416" s="547"/>
      <c r="J416" s="547"/>
      <c r="K416" s="547"/>
      <c r="L416" s="547"/>
      <c r="M416" s="547">
        <v>0</v>
      </c>
      <c r="N416" s="540"/>
      <c r="O416" s="540"/>
      <c r="P416" s="812">
        <f t="shared" si="25"/>
        <v>0</v>
      </c>
      <c r="Q416" s="547">
        <v>-1002800000</v>
      </c>
      <c r="R416" s="812">
        <f t="shared" si="29"/>
        <v>0</v>
      </c>
      <c r="S416" s="547">
        <f t="shared" si="29"/>
        <v>-1003</v>
      </c>
      <c r="T416" s="566"/>
      <c r="U416" s="567"/>
      <c r="V416" s="812">
        <f t="shared" si="28"/>
        <v>0</v>
      </c>
      <c r="W416" s="812">
        <f t="shared" si="27"/>
        <v>0</v>
      </c>
    </row>
    <row r="417" spans="1:23" ht="27" hidden="1" customHeight="1">
      <c r="A417" s="531">
        <v>1008</v>
      </c>
      <c r="B417" s="529">
        <v>10</v>
      </c>
      <c r="C417" s="531" t="s">
        <v>511</v>
      </c>
      <c r="D417" s="531" t="s">
        <v>512</v>
      </c>
      <c r="E417" s="547">
        <v>-1009421168</v>
      </c>
      <c r="F417" s="547"/>
      <c r="G417" s="547"/>
      <c r="H417" s="547"/>
      <c r="I417" s="547"/>
      <c r="J417" s="547"/>
      <c r="K417" s="547"/>
      <c r="L417" s="547"/>
      <c r="M417" s="547">
        <v>0</v>
      </c>
      <c r="N417" s="540"/>
      <c r="O417" s="540"/>
      <c r="P417" s="812">
        <f t="shared" si="25"/>
        <v>-1009421168</v>
      </c>
      <c r="Q417" s="547">
        <v>-1009421168</v>
      </c>
      <c r="R417" s="812">
        <f t="shared" si="29"/>
        <v>-1009</v>
      </c>
      <c r="S417" s="547">
        <f t="shared" si="29"/>
        <v>-1009</v>
      </c>
      <c r="T417" s="566"/>
      <c r="U417" s="567"/>
      <c r="V417" s="812">
        <f t="shared" si="28"/>
        <v>-1009421168</v>
      </c>
      <c r="W417" s="812">
        <f t="shared" si="27"/>
        <v>-1009</v>
      </c>
    </row>
    <row r="418" spans="1:23" ht="27" hidden="1" customHeight="1">
      <c r="A418" s="531">
        <v>1008</v>
      </c>
      <c r="B418" s="529">
        <v>10</v>
      </c>
      <c r="C418" s="531" t="s">
        <v>513</v>
      </c>
      <c r="D418" s="531" t="s">
        <v>279</v>
      </c>
      <c r="E418" s="547">
        <v>-83797997981</v>
      </c>
      <c r="F418" s="547"/>
      <c r="G418" s="547"/>
      <c r="H418" s="547"/>
      <c r="I418" s="547"/>
      <c r="J418" s="547"/>
      <c r="K418" s="547"/>
      <c r="L418" s="547"/>
      <c r="M418" s="547">
        <v>0</v>
      </c>
      <c r="N418" s="540"/>
      <c r="O418" s="540"/>
      <c r="P418" s="812">
        <f t="shared" si="25"/>
        <v>-83797997981</v>
      </c>
      <c r="Q418" s="547"/>
      <c r="R418" s="812">
        <f t="shared" si="29"/>
        <v>-83798</v>
      </c>
      <c r="S418" s="547">
        <f t="shared" si="29"/>
        <v>0</v>
      </c>
      <c r="T418" s="566"/>
      <c r="U418" s="567"/>
      <c r="V418" s="812">
        <f t="shared" si="28"/>
        <v>-83797997981</v>
      </c>
      <c r="W418" s="812">
        <f t="shared" si="27"/>
        <v>-83798</v>
      </c>
    </row>
    <row r="419" spans="1:23" ht="27" hidden="1" customHeight="1">
      <c r="A419" s="531">
        <v>1008</v>
      </c>
      <c r="B419" s="529">
        <v>10</v>
      </c>
      <c r="C419" s="531" t="s">
        <v>513</v>
      </c>
      <c r="D419" s="531" t="s">
        <v>1443</v>
      </c>
      <c r="E419" s="547"/>
      <c r="F419" s="547"/>
      <c r="G419" s="547">
        <v>-103073072284</v>
      </c>
      <c r="H419" s="547"/>
      <c r="I419" s="547"/>
      <c r="J419" s="547"/>
      <c r="K419" s="547"/>
      <c r="L419" s="547"/>
      <c r="M419" s="547">
        <v>0</v>
      </c>
      <c r="N419" s="540"/>
      <c r="O419" s="540"/>
      <c r="P419" s="812">
        <f t="shared" si="25"/>
        <v>-103073072284</v>
      </c>
      <c r="Q419" s="547">
        <v>-156116689814</v>
      </c>
      <c r="R419" s="812">
        <f t="shared" si="29"/>
        <v>-103073</v>
      </c>
      <c r="S419" s="547">
        <f t="shared" si="29"/>
        <v>-156117</v>
      </c>
      <c r="T419" s="566"/>
      <c r="U419" s="567"/>
      <c r="V419" s="812">
        <f t="shared" si="28"/>
        <v>-103073072284</v>
      </c>
      <c r="W419" s="812">
        <f t="shared" si="27"/>
        <v>-103073</v>
      </c>
    </row>
    <row r="420" spans="1:23" ht="27" hidden="1" customHeight="1">
      <c r="A420" s="531">
        <v>1007</v>
      </c>
      <c r="B420" s="529">
        <v>10</v>
      </c>
      <c r="C420" s="531" t="s">
        <v>499</v>
      </c>
      <c r="D420" s="531" t="s">
        <v>694</v>
      </c>
      <c r="E420" s="547">
        <v>-7113932144</v>
      </c>
      <c r="F420" s="547"/>
      <c r="G420" s="547"/>
      <c r="H420" s="547"/>
      <c r="I420" s="547"/>
      <c r="J420" s="547"/>
      <c r="K420" s="547"/>
      <c r="L420" s="547"/>
      <c r="M420" s="547">
        <v>0</v>
      </c>
      <c r="N420" s="540"/>
      <c r="O420" s="540"/>
      <c r="P420" s="812">
        <f t="shared" si="25"/>
        <v>-7113932144</v>
      </c>
      <c r="Q420" s="547"/>
      <c r="R420" s="812">
        <f t="shared" si="29"/>
        <v>-7114</v>
      </c>
      <c r="S420" s="547">
        <f t="shared" si="29"/>
        <v>0</v>
      </c>
      <c r="T420" s="566"/>
      <c r="U420" s="567"/>
      <c r="V420" s="812">
        <f t="shared" si="28"/>
        <v>-7113932144</v>
      </c>
      <c r="W420" s="812">
        <f t="shared" si="27"/>
        <v>-7114</v>
      </c>
    </row>
    <row r="421" spans="1:23" ht="27" hidden="1" customHeight="1">
      <c r="A421" s="531">
        <v>1007</v>
      </c>
      <c r="B421" s="529">
        <v>10</v>
      </c>
      <c r="C421" s="531" t="s">
        <v>499</v>
      </c>
      <c r="D421" s="531" t="s">
        <v>1444</v>
      </c>
      <c r="E421" s="547"/>
      <c r="F421" s="547"/>
      <c r="G421" s="547">
        <v>-268022180425</v>
      </c>
      <c r="H421" s="547"/>
      <c r="I421" s="547"/>
      <c r="J421" s="547"/>
      <c r="K421" s="547"/>
      <c r="L421" s="547"/>
      <c r="M421" s="547">
        <v>0</v>
      </c>
      <c r="N421" s="540"/>
      <c r="O421" s="540"/>
      <c r="P421" s="812">
        <f t="shared" si="25"/>
        <v>-268022180425</v>
      </c>
      <c r="Q421" s="547">
        <f>-446708284084-40338185738+3561546235</f>
        <v>-483484923587</v>
      </c>
      <c r="R421" s="812">
        <f t="shared" si="29"/>
        <v>-268022</v>
      </c>
      <c r="S421" s="547">
        <f t="shared" si="29"/>
        <v>-483485</v>
      </c>
      <c r="T421" s="566"/>
      <c r="U421" s="567"/>
      <c r="V421" s="812">
        <f t="shared" si="28"/>
        <v>-268022180425</v>
      </c>
      <c r="W421" s="812">
        <f t="shared" si="27"/>
        <v>-268022</v>
      </c>
    </row>
    <row r="422" spans="1:23" ht="27" hidden="1" customHeight="1">
      <c r="A422" s="531">
        <v>1018</v>
      </c>
      <c r="B422" s="529">
        <v>10</v>
      </c>
      <c r="C422" s="531" t="s">
        <v>501</v>
      </c>
      <c r="D422" s="531" t="s">
        <v>695</v>
      </c>
      <c r="E422" s="547">
        <v>-50900000</v>
      </c>
      <c r="F422" s="547"/>
      <c r="G422" s="547"/>
      <c r="H422" s="547"/>
      <c r="I422" s="547"/>
      <c r="J422" s="547"/>
      <c r="K422" s="547"/>
      <c r="L422" s="547"/>
      <c r="M422" s="547">
        <v>0</v>
      </c>
      <c r="N422" s="540"/>
      <c r="O422" s="540"/>
      <c r="P422" s="812">
        <f t="shared" si="25"/>
        <v>-50900000</v>
      </c>
      <c r="Q422" s="547">
        <v>-106900000</v>
      </c>
      <c r="R422" s="812">
        <f t="shared" si="29"/>
        <v>-51</v>
      </c>
      <c r="S422" s="547">
        <f t="shared" si="29"/>
        <v>-107</v>
      </c>
      <c r="T422" s="566"/>
      <c r="U422" s="567"/>
      <c r="V422" s="812">
        <f t="shared" si="28"/>
        <v>-50900000</v>
      </c>
      <c r="W422" s="812">
        <f t="shared" si="27"/>
        <v>-51</v>
      </c>
    </row>
    <row r="423" spans="1:23" ht="27" hidden="1" customHeight="1">
      <c r="A423" s="531">
        <v>1016</v>
      </c>
      <c r="B423" s="529">
        <v>10</v>
      </c>
      <c r="C423" s="531" t="s">
        <v>503</v>
      </c>
      <c r="D423" s="531" t="s">
        <v>504</v>
      </c>
      <c r="E423" s="547">
        <v>-50305874180</v>
      </c>
      <c r="F423" s="547"/>
      <c r="G423" s="547"/>
      <c r="H423" s="547"/>
      <c r="I423" s="547"/>
      <c r="J423" s="547"/>
      <c r="K423" s="547"/>
      <c r="L423" s="547"/>
      <c r="M423" s="547">
        <v>0</v>
      </c>
      <c r="N423" s="540"/>
      <c r="O423" s="540"/>
      <c r="P423" s="812">
        <f t="shared" si="25"/>
        <v>-50305874180</v>
      </c>
      <c r="Q423" s="547">
        <v>-11328913444</v>
      </c>
      <c r="R423" s="812">
        <f t="shared" si="29"/>
        <v>-50306</v>
      </c>
      <c r="S423" s="547">
        <f t="shared" si="29"/>
        <v>-11329</v>
      </c>
      <c r="T423" s="566"/>
      <c r="U423" s="567"/>
      <c r="V423" s="812">
        <f t="shared" si="28"/>
        <v>-50305874180</v>
      </c>
      <c r="W423" s="812">
        <f t="shared" si="27"/>
        <v>-50306</v>
      </c>
    </row>
    <row r="424" spans="1:23" ht="27" hidden="1" customHeight="1">
      <c r="A424" s="531">
        <v>1017</v>
      </c>
      <c r="B424" s="529">
        <v>10</v>
      </c>
      <c r="C424" s="531" t="s">
        <v>697</v>
      </c>
      <c r="D424" s="531" t="s">
        <v>696</v>
      </c>
      <c r="E424" s="547">
        <v>-88886635507</v>
      </c>
      <c r="F424" s="547"/>
      <c r="G424" s="547"/>
      <c r="H424" s="547"/>
      <c r="I424" s="547"/>
      <c r="J424" s="547"/>
      <c r="K424" s="547"/>
      <c r="L424" s="547"/>
      <c r="M424" s="547">
        <v>0</v>
      </c>
      <c r="N424" s="540"/>
      <c r="O424" s="540"/>
      <c r="P424" s="812">
        <f t="shared" si="25"/>
        <v>-88886635507</v>
      </c>
      <c r="Q424" s="547">
        <f>153538229-3375137496</f>
        <v>-3221599267</v>
      </c>
      <c r="R424" s="812">
        <f t="shared" si="29"/>
        <v>-88887</v>
      </c>
      <c r="S424" s="547">
        <f t="shared" si="29"/>
        <v>-3222</v>
      </c>
      <c r="T424" s="566"/>
      <c r="U424" s="567"/>
      <c r="V424" s="812">
        <f t="shared" si="28"/>
        <v>-88886635507</v>
      </c>
      <c r="W424" s="812">
        <f t="shared" si="27"/>
        <v>-88887</v>
      </c>
    </row>
    <row r="425" spans="1:23" ht="27" hidden="1" customHeight="1">
      <c r="A425" s="531">
        <v>1007</v>
      </c>
      <c r="B425" s="529">
        <v>10</v>
      </c>
      <c r="C425" s="531" t="s">
        <v>505</v>
      </c>
      <c r="D425" s="531" t="s">
        <v>506</v>
      </c>
      <c r="E425" s="547">
        <v>-8849225650</v>
      </c>
      <c r="F425" s="547"/>
      <c r="G425" s="547"/>
      <c r="H425" s="547"/>
      <c r="I425" s="547"/>
      <c r="J425" s="547"/>
      <c r="K425" s="547"/>
      <c r="L425" s="547"/>
      <c r="M425" s="547">
        <v>0</v>
      </c>
      <c r="N425" s="540"/>
      <c r="O425" s="540"/>
      <c r="P425" s="812">
        <f t="shared" si="25"/>
        <v>-8849225650</v>
      </c>
      <c r="Q425" s="547">
        <v>-7806728836</v>
      </c>
      <c r="R425" s="812">
        <f t="shared" si="29"/>
        <v>-8849</v>
      </c>
      <c r="S425" s="547">
        <f t="shared" si="29"/>
        <v>-7807</v>
      </c>
      <c r="T425" s="566"/>
      <c r="U425" s="567"/>
      <c r="V425" s="812">
        <f t="shared" si="28"/>
        <v>-8849225650</v>
      </c>
      <c r="W425" s="812">
        <f t="shared" si="27"/>
        <v>-8849</v>
      </c>
    </row>
    <row r="426" spans="1:23" ht="27" hidden="1" customHeight="1">
      <c r="A426" s="531">
        <v>1007</v>
      </c>
      <c r="B426" s="529">
        <v>10</v>
      </c>
      <c r="C426" s="531" t="s">
        <v>507</v>
      </c>
      <c r="D426" s="531" t="s">
        <v>185</v>
      </c>
      <c r="E426" s="547"/>
      <c r="F426" s="547"/>
      <c r="G426" s="547"/>
      <c r="H426" s="547"/>
      <c r="I426" s="547"/>
      <c r="J426" s="547"/>
      <c r="K426" s="547"/>
      <c r="L426" s="547"/>
      <c r="M426" s="547">
        <v>0</v>
      </c>
      <c r="N426" s="540"/>
      <c r="O426" s="540"/>
      <c r="P426" s="812">
        <f t="shared" si="25"/>
        <v>0</v>
      </c>
      <c r="Q426" s="547">
        <v>-485122350</v>
      </c>
      <c r="R426" s="812">
        <f t="shared" si="29"/>
        <v>0</v>
      </c>
      <c r="S426" s="547">
        <f t="shared" si="29"/>
        <v>-485</v>
      </c>
      <c r="T426" s="566"/>
      <c r="U426" s="567"/>
      <c r="V426" s="812">
        <f t="shared" si="28"/>
        <v>0</v>
      </c>
      <c r="W426" s="812">
        <f t="shared" si="27"/>
        <v>0</v>
      </c>
    </row>
    <row r="427" spans="1:23" ht="27" hidden="1" customHeight="1">
      <c r="A427" s="531">
        <v>1010</v>
      </c>
      <c r="B427" s="529">
        <v>10</v>
      </c>
      <c r="C427" s="531" t="s">
        <v>186</v>
      </c>
      <c r="D427" s="531" t="s">
        <v>187</v>
      </c>
      <c r="E427" s="547"/>
      <c r="F427" s="547"/>
      <c r="G427" s="547"/>
      <c r="H427" s="547"/>
      <c r="I427" s="547"/>
      <c r="J427" s="547"/>
      <c r="K427" s="547"/>
      <c r="L427" s="547"/>
      <c r="M427" s="547">
        <v>0</v>
      </c>
      <c r="N427" s="540"/>
      <c r="O427" s="540"/>
      <c r="P427" s="812">
        <f t="shared" si="25"/>
        <v>0</v>
      </c>
      <c r="Q427" s="547"/>
      <c r="R427" s="812">
        <f t="shared" si="29"/>
        <v>0</v>
      </c>
      <c r="S427" s="547">
        <f t="shared" si="29"/>
        <v>0</v>
      </c>
      <c r="T427" s="566"/>
      <c r="U427" s="567"/>
      <c r="V427" s="812">
        <f t="shared" si="28"/>
        <v>0</v>
      </c>
      <c r="W427" s="812">
        <f t="shared" si="27"/>
        <v>0</v>
      </c>
    </row>
    <row r="428" spans="1:23" ht="27" hidden="1" customHeight="1">
      <c r="A428" s="531">
        <v>1010</v>
      </c>
      <c r="B428" s="529">
        <v>10</v>
      </c>
      <c r="C428" s="531" t="s">
        <v>188</v>
      </c>
      <c r="D428" s="531" t="s">
        <v>748</v>
      </c>
      <c r="E428" s="547">
        <v>-62833092331</v>
      </c>
      <c r="F428" s="547"/>
      <c r="G428" s="547"/>
      <c r="H428" s="547"/>
      <c r="I428" s="547"/>
      <c r="J428" s="547"/>
      <c r="K428" s="547"/>
      <c r="L428" s="547"/>
      <c r="M428" s="547">
        <v>0</v>
      </c>
      <c r="N428" s="540"/>
      <c r="O428" s="540"/>
      <c r="P428" s="812">
        <f t="shared" si="25"/>
        <v>-62833092331</v>
      </c>
      <c r="Q428" s="547">
        <v>-36661545309</v>
      </c>
      <c r="R428" s="812">
        <f t="shared" si="29"/>
        <v>-62833</v>
      </c>
      <c r="S428" s="547">
        <f t="shared" si="29"/>
        <v>-36662</v>
      </c>
      <c r="T428" s="566"/>
      <c r="U428" s="567"/>
      <c r="V428" s="812">
        <f t="shared" si="28"/>
        <v>-62833092331</v>
      </c>
      <c r="W428" s="812">
        <f t="shared" si="27"/>
        <v>-62833</v>
      </c>
    </row>
    <row r="429" spans="1:23" ht="27" hidden="1" customHeight="1">
      <c r="A429" s="531">
        <v>1007</v>
      </c>
      <c r="B429" s="529">
        <v>10</v>
      </c>
      <c r="C429" s="531" t="s">
        <v>190</v>
      </c>
      <c r="D429" s="531" t="s">
        <v>191</v>
      </c>
      <c r="E429" s="547">
        <v>-6377251561</v>
      </c>
      <c r="F429" s="547"/>
      <c r="G429" s="547">
        <v>-3500000</v>
      </c>
      <c r="H429" s="547"/>
      <c r="I429" s="547"/>
      <c r="J429" s="547"/>
      <c r="K429" s="547"/>
      <c r="L429" s="547"/>
      <c r="M429" s="547">
        <v>0</v>
      </c>
      <c r="N429" s="540"/>
      <c r="O429" s="540"/>
      <c r="P429" s="812">
        <f t="shared" si="25"/>
        <v>-6380751561</v>
      </c>
      <c r="Q429" s="547">
        <v>-4659261666</v>
      </c>
      <c r="R429" s="812">
        <f t="shared" si="29"/>
        <v>-6381</v>
      </c>
      <c r="S429" s="547">
        <f t="shared" si="29"/>
        <v>-4659</v>
      </c>
      <c r="T429" s="566"/>
      <c r="U429" s="567"/>
      <c r="V429" s="812">
        <f t="shared" si="28"/>
        <v>-6380751561</v>
      </c>
      <c r="W429" s="812">
        <f t="shared" si="27"/>
        <v>-6381</v>
      </c>
    </row>
    <row r="430" spans="1:23" ht="27" hidden="1" customHeight="1">
      <c r="A430" s="531">
        <v>1017</v>
      </c>
      <c r="B430" s="529">
        <v>10</v>
      </c>
      <c r="C430" s="531" t="s">
        <v>192</v>
      </c>
      <c r="D430" s="531" t="s">
        <v>25</v>
      </c>
      <c r="E430" s="547">
        <v>-12872422186</v>
      </c>
      <c r="F430" s="547"/>
      <c r="G430" s="547"/>
      <c r="H430" s="547"/>
      <c r="I430" s="547"/>
      <c r="J430" s="547"/>
      <c r="K430" s="547"/>
      <c r="L430" s="547"/>
      <c r="M430" s="547">
        <v>0</v>
      </c>
      <c r="N430" s="540"/>
      <c r="O430" s="540"/>
      <c r="P430" s="812">
        <f t="shared" si="25"/>
        <v>-12872422186</v>
      </c>
      <c r="Q430" s="547">
        <v>-11380167186</v>
      </c>
      <c r="R430" s="812">
        <f t="shared" si="29"/>
        <v>-12872</v>
      </c>
      <c r="S430" s="547">
        <f t="shared" si="29"/>
        <v>-11380</v>
      </c>
      <c r="T430" s="566"/>
      <c r="U430" s="567"/>
      <c r="V430" s="812">
        <f t="shared" si="28"/>
        <v>-12872422186</v>
      </c>
      <c r="W430" s="812">
        <f t="shared" si="27"/>
        <v>-12872</v>
      </c>
    </row>
    <row r="431" spans="1:23" ht="27" hidden="1" customHeight="1">
      <c r="A431" s="531">
        <v>302</v>
      </c>
      <c r="B431" s="529">
        <v>3</v>
      </c>
      <c r="C431" s="531" t="s">
        <v>26</v>
      </c>
      <c r="D431" s="531" t="s">
        <v>27</v>
      </c>
      <c r="E431" s="547">
        <v>1110000000</v>
      </c>
      <c r="F431" s="547"/>
      <c r="G431" s="547"/>
      <c r="H431" s="547"/>
      <c r="I431" s="547"/>
      <c r="J431" s="547"/>
      <c r="K431" s="547"/>
      <c r="L431" s="547"/>
      <c r="M431" s="547">
        <v>0</v>
      </c>
      <c r="N431" s="540"/>
      <c r="O431" s="540"/>
      <c r="P431" s="812">
        <f t="shared" si="25"/>
        <v>1110000000</v>
      </c>
      <c r="Q431" s="547">
        <v>1105124741</v>
      </c>
      <c r="R431" s="812">
        <f t="shared" si="29"/>
        <v>1110</v>
      </c>
      <c r="S431" s="547">
        <f t="shared" si="29"/>
        <v>1105</v>
      </c>
      <c r="T431" s="566"/>
      <c r="U431" s="567"/>
      <c r="V431" s="812">
        <f t="shared" si="28"/>
        <v>1110000000</v>
      </c>
      <c r="W431" s="812">
        <f t="shared" si="27"/>
        <v>1110</v>
      </c>
    </row>
    <row r="432" spans="1:23" ht="27" hidden="1" customHeight="1">
      <c r="A432" s="531">
        <v>302</v>
      </c>
      <c r="B432" s="529">
        <v>3</v>
      </c>
      <c r="C432" s="531" t="s">
        <v>850</v>
      </c>
      <c r="D432" s="531" t="s">
        <v>851</v>
      </c>
      <c r="E432" s="547">
        <v>1180000</v>
      </c>
      <c r="F432" s="547"/>
      <c r="G432" s="547"/>
      <c r="H432" s="547"/>
      <c r="I432" s="547"/>
      <c r="J432" s="547"/>
      <c r="K432" s="547"/>
      <c r="L432" s="547"/>
      <c r="M432" s="547">
        <v>0</v>
      </c>
      <c r="N432" s="540"/>
      <c r="O432" s="540"/>
      <c r="P432" s="812">
        <f t="shared" si="25"/>
        <v>1180000</v>
      </c>
      <c r="Q432" s="547">
        <v>4130000</v>
      </c>
      <c r="R432" s="812">
        <f t="shared" si="29"/>
        <v>1</v>
      </c>
      <c r="S432" s="547">
        <f t="shared" si="29"/>
        <v>4</v>
      </c>
      <c r="T432" s="566"/>
      <c r="U432" s="567"/>
      <c r="V432" s="812">
        <f t="shared" si="28"/>
        <v>1180000</v>
      </c>
      <c r="W432" s="812">
        <f t="shared" si="27"/>
        <v>1</v>
      </c>
    </row>
    <row r="433" spans="1:23" ht="27" hidden="1" customHeight="1">
      <c r="A433" s="531">
        <v>303</v>
      </c>
      <c r="B433" s="529">
        <v>3</v>
      </c>
      <c r="C433" s="531" t="s">
        <v>28</v>
      </c>
      <c r="D433" s="531" t="s">
        <v>29</v>
      </c>
      <c r="E433" s="547">
        <f>14175797771-2543000000</f>
        <v>11632797771</v>
      </c>
      <c r="F433" s="547">
        <v>2543000000</v>
      </c>
      <c r="G433" s="547"/>
      <c r="H433" s="547"/>
      <c r="I433" s="547"/>
      <c r="J433" s="547"/>
      <c r="K433" s="547"/>
      <c r="L433" s="547"/>
      <c r="M433" s="547">
        <v>0</v>
      </c>
      <c r="N433" s="540"/>
      <c r="O433" s="540"/>
      <c r="P433" s="812">
        <f t="shared" si="25"/>
        <v>14175797771</v>
      </c>
      <c r="Q433" s="547">
        <v>13036178852</v>
      </c>
      <c r="R433" s="812">
        <f t="shared" ref="R433:S465" si="30">ROUND((P433/1000000),0)</f>
        <v>14176</v>
      </c>
      <c r="S433" s="547">
        <f t="shared" si="30"/>
        <v>13036</v>
      </c>
      <c r="T433" s="566"/>
      <c r="U433" s="567"/>
      <c r="V433" s="812">
        <f t="shared" si="28"/>
        <v>14175797771</v>
      </c>
      <c r="W433" s="812">
        <f t="shared" si="27"/>
        <v>14176</v>
      </c>
    </row>
    <row r="434" spans="1:23" ht="27" hidden="1" customHeight="1">
      <c r="A434" s="531">
        <v>1018</v>
      </c>
      <c r="B434" s="529">
        <v>10</v>
      </c>
      <c r="C434" s="531" t="s">
        <v>30</v>
      </c>
      <c r="D434" s="531" t="s">
        <v>31</v>
      </c>
      <c r="E434" s="547"/>
      <c r="F434" s="554"/>
      <c r="G434" s="547"/>
      <c r="H434" s="547"/>
      <c r="I434" s="547"/>
      <c r="J434" s="547"/>
      <c r="K434" s="547"/>
      <c r="L434" s="547"/>
      <c r="M434" s="547">
        <v>0</v>
      </c>
      <c r="N434" s="540"/>
      <c r="O434" s="540"/>
      <c r="P434" s="812">
        <f t="shared" si="25"/>
        <v>0</v>
      </c>
      <c r="Q434" s="547"/>
      <c r="R434" s="812">
        <f t="shared" si="30"/>
        <v>0</v>
      </c>
      <c r="S434" s="547">
        <f t="shared" si="30"/>
        <v>0</v>
      </c>
      <c r="T434" s="566"/>
      <c r="U434" s="567"/>
      <c r="V434" s="812">
        <f t="shared" si="28"/>
        <v>0</v>
      </c>
      <c r="W434" s="812">
        <f t="shared" si="27"/>
        <v>0</v>
      </c>
    </row>
    <row r="435" spans="1:23" ht="27" hidden="1" customHeight="1">
      <c r="A435" s="531"/>
      <c r="B435" s="529">
        <v>3</v>
      </c>
      <c r="C435" s="531" t="s">
        <v>1154</v>
      </c>
      <c r="D435" s="531" t="s">
        <v>1155</v>
      </c>
      <c r="E435" s="547">
        <f>332654456-5880000</f>
        <v>326774456</v>
      </c>
      <c r="F435" s="547">
        <v>-326774456</v>
      </c>
      <c r="G435" s="547"/>
      <c r="H435" s="547"/>
      <c r="I435" s="547"/>
      <c r="J435" s="547"/>
      <c r="K435" s="547"/>
      <c r="L435" s="547"/>
      <c r="M435" s="547">
        <v>0</v>
      </c>
      <c r="N435" s="540"/>
      <c r="O435" s="540"/>
      <c r="P435" s="812">
        <f t="shared" si="25"/>
        <v>0</v>
      </c>
      <c r="Q435" s="547"/>
      <c r="R435" s="812">
        <f t="shared" si="30"/>
        <v>0</v>
      </c>
      <c r="S435" s="547">
        <f t="shared" si="30"/>
        <v>0</v>
      </c>
      <c r="T435" s="566"/>
      <c r="U435" s="567"/>
      <c r="V435" s="812">
        <f t="shared" si="28"/>
        <v>0</v>
      </c>
      <c r="W435" s="812">
        <f t="shared" si="27"/>
        <v>0</v>
      </c>
    </row>
    <row r="436" spans="1:23" ht="27" hidden="1" customHeight="1">
      <c r="A436" s="531"/>
      <c r="B436" s="529">
        <v>3</v>
      </c>
      <c r="C436" s="531" t="s">
        <v>1156</v>
      </c>
      <c r="D436" s="531" t="s">
        <v>1155</v>
      </c>
      <c r="E436" s="547">
        <f>5880000-332654456</f>
        <v>-326774456</v>
      </c>
      <c r="F436" s="547">
        <v>326774456</v>
      </c>
      <c r="G436" s="547"/>
      <c r="H436" s="547"/>
      <c r="I436" s="547"/>
      <c r="J436" s="547"/>
      <c r="K436" s="547"/>
      <c r="L436" s="547"/>
      <c r="M436" s="547">
        <v>0</v>
      </c>
      <c r="N436" s="540"/>
      <c r="O436" s="540"/>
      <c r="P436" s="812">
        <f t="shared" si="25"/>
        <v>0</v>
      </c>
      <c r="Q436" s="547">
        <v>0</v>
      </c>
      <c r="R436" s="812">
        <f t="shared" si="30"/>
        <v>0</v>
      </c>
      <c r="S436" s="547">
        <f t="shared" si="30"/>
        <v>0</v>
      </c>
      <c r="T436" s="566"/>
      <c r="U436" s="567"/>
      <c r="V436" s="812">
        <f t="shared" si="28"/>
        <v>0</v>
      </c>
      <c r="W436" s="812">
        <f t="shared" si="27"/>
        <v>0</v>
      </c>
    </row>
    <row r="437" spans="1:23" ht="27" hidden="1" customHeight="1">
      <c r="A437" s="531">
        <v>302</v>
      </c>
      <c r="B437" s="529">
        <v>3</v>
      </c>
      <c r="C437" s="531" t="s">
        <v>775</v>
      </c>
      <c r="D437" s="531" t="s">
        <v>1432</v>
      </c>
      <c r="E437" s="547"/>
      <c r="F437" s="547"/>
      <c r="G437" s="547"/>
      <c r="H437" s="547">
        <v>164045000</v>
      </c>
      <c r="I437" s="547"/>
      <c r="J437" s="547"/>
      <c r="K437" s="547"/>
      <c r="L437" s="547"/>
      <c r="M437" s="547">
        <v>0</v>
      </c>
      <c r="N437" s="540"/>
      <c r="O437" s="540"/>
      <c r="P437" s="812">
        <f t="shared" si="25"/>
        <v>164045000</v>
      </c>
      <c r="Q437" s="547"/>
      <c r="R437" s="812">
        <f t="shared" si="30"/>
        <v>164</v>
      </c>
      <c r="S437" s="547">
        <f t="shared" si="30"/>
        <v>0</v>
      </c>
      <c r="T437" s="566"/>
      <c r="U437" s="567"/>
      <c r="V437" s="812">
        <f t="shared" si="28"/>
        <v>164045000</v>
      </c>
      <c r="W437" s="812">
        <f t="shared" si="27"/>
        <v>164</v>
      </c>
    </row>
    <row r="438" spans="1:23" ht="27" hidden="1" customHeight="1">
      <c r="A438" s="531">
        <v>907</v>
      </c>
      <c r="B438" s="529">
        <v>9</v>
      </c>
      <c r="C438" s="531" t="s">
        <v>32</v>
      </c>
      <c r="D438" s="531" t="s">
        <v>769</v>
      </c>
      <c r="E438" s="547">
        <v>377616606194</v>
      </c>
      <c r="F438" s="547"/>
      <c r="G438" s="547"/>
      <c r="H438" s="547"/>
      <c r="I438" s="547"/>
      <c r="J438" s="547"/>
      <c r="K438" s="547"/>
      <c r="L438" s="547"/>
      <c r="M438" s="547">
        <v>0</v>
      </c>
      <c r="N438" s="540"/>
      <c r="O438" s="540"/>
      <c r="P438" s="812">
        <f t="shared" si="25"/>
        <v>377616606194</v>
      </c>
      <c r="Q438" s="547">
        <v>328843423202</v>
      </c>
      <c r="R438" s="812">
        <f t="shared" si="30"/>
        <v>377617</v>
      </c>
      <c r="S438" s="547">
        <f t="shared" si="30"/>
        <v>328843</v>
      </c>
      <c r="T438" s="566"/>
      <c r="U438" s="567"/>
      <c r="V438" s="812">
        <f t="shared" si="28"/>
        <v>377616606194</v>
      </c>
      <c r="W438" s="812">
        <f t="shared" si="27"/>
        <v>377617</v>
      </c>
    </row>
    <row r="439" spans="1:23" ht="27" hidden="1" customHeight="1">
      <c r="A439" s="531">
        <v>909</v>
      </c>
      <c r="B439" s="529">
        <v>9</v>
      </c>
      <c r="C439" s="533" t="s">
        <v>32</v>
      </c>
      <c r="D439" s="533" t="s">
        <v>1445</v>
      </c>
      <c r="E439" s="547"/>
      <c r="F439" s="547"/>
      <c r="G439" s="547"/>
      <c r="H439" s="547"/>
      <c r="I439" s="547"/>
      <c r="J439" s="547"/>
      <c r="K439" s="547"/>
      <c r="L439" s="547"/>
      <c r="M439" s="547">
        <v>0</v>
      </c>
      <c r="N439" s="540"/>
      <c r="O439" s="540"/>
      <c r="P439" s="812">
        <f t="shared" si="25"/>
        <v>0</v>
      </c>
      <c r="Q439" s="547"/>
      <c r="R439" s="812">
        <f t="shared" si="30"/>
        <v>0</v>
      </c>
      <c r="S439" s="547">
        <f t="shared" si="30"/>
        <v>0</v>
      </c>
      <c r="T439" s="566"/>
      <c r="U439" s="570"/>
      <c r="V439" s="812">
        <f t="shared" si="28"/>
        <v>0</v>
      </c>
      <c r="W439" s="812">
        <f t="shared" si="27"/>
        <v>0</v>
      </c>
    </row>
    <row r="440" spans="1:23" ht="27" hidden="1" customHeight="1">
      <c r="A440" s="531">
        <v>601</v>
      </c>
      <c r="B440" s="529">
        <v>6</v>
      </c>
      <c r="C440" s="531" t="s">
        <v>34</v>
      </c>
      <c r="D440" s="531" t="s">
        <v>35</v>
      </c>
      <c r="E440" s="547">
        <v>269965645408</v>
      </c>
      <c r="F440" s="547"/>
      <c r="G440" s="547"/>
      <c r="H440" s="547"/>
      <c r="I440" s="547"/>
      <c r="J440" s="547"/>
      <c r="K440" s="547"/>
      <c r="L440" s="547"/>
      <c r="M440" s="547">
        <v>0</v>
      </c>
      <c r="N440" s="540"/>
      <c r="O440" s="540"/>
      <c r="P440" s="812">
        <f t="shared" si="25"/>
        <v>269965645408</v>
      </c>
      <c r="Q440" s="547">
        <v>76123330006</v>
      </c>
      <c r="R440" s="812">
        <f t="shared" si="30"/>
        <v>269966</v>
      </c>
      <c r="S440" s="547">
        <f t="shared" si="30"/>
        <v>76123</v>
      </c>
      <c r="T440" s="566"/>
      <c r="U440" s="567"/>
      <c r="V440" s="812">
        <f t="shared" si="28"/>
        <v>269965645408</v>
      </c>
      <c r="W440" s="812">
        <f t="shared" si="27"/>
        <v>269966</v>
      </c>
    </row>
    <row r="441" spans="1:23" ht="27" hidden="1" customHeight="1">
      <c r="A441" s="531">
        <v>301</v>
      </c>
      <c r="B441" s="529">
        <v>3</v>
      </c>
      <c r="C441" s="531" t="s">
        <v>36</v>
      </c>
      <c r="D441" s="531" t="s">
        <v>37</v>
      </c>
      <c r="E441" s="547">
        <v>115826676416</v>
      </c>
      <c r="F441" s="547">
        <v>-500000000</v>
      </c>
      <c r="G441" s="547">
        <v>-91555289</v>
      </c>
      <c r="H441" s="547"/>
      <c r="I441" s="547"/>
      <c r="J441" s="547"/>
      <c r="K441" s="547"/>
      <c r="L441" s="547"/>
      <c r="M441" s="547">
        <v>0</v>
      </c>
      <c r="N441" s="540"/>
      <c r="O441" s="540"/>
      <c r="P441" s="812">
        <f t="shared" si="25"/>
        <v>115235121127</v>
      </c>
      <c r="Q441" s="547">
        <v>85363605554</v>
      </c>
      <c r="R441" s="812">
        <f t="shared" si="30"/>
        <v>115235</v>
      </c>
      <c r="S441" s="547">
        <f t="shared" si="30"/>
        <v>85364</v>
      </c>
      <c r="T441" s="566"/>
      <c r="U441" s="567"/>
      <c r="V441" s="812">
        <f t="shared" si="28"/>
        <v>115235121127</v>
      </c>
      <c r="W441" s="812">
        <f t="shared" si="27"/>
        <v>115235</v>
      </c>
    </row>
    <row r="442" spans="1:23" ht="27" hidden="1" customHeight="1">
      <c r="A442" s="531">
        <v>301</v>
      </c>
      <c r="B442" s="529">
        <v>3</v>
      </c>
      <c r="C442" s="531" t="s">
        <v>38</v>
      </c>
      <c r="D442" s="531" t="s">
        <v>624</v>
      </c>
      <c r="E442" s="547">
        <v>251978800792</v>
      </c>
      <c r="F442" s="547"/>
      <c r="G442" s="547"/>
      <c r="H442" s="547"/>
      <c r="I442" s="547"/>
      <c r="J442" s="547"/>
      <c r="K442" s="547"/>
      <c r="L442" s="547"/>
      <c r="M442" s="547">
        <v>0</v>
      </c>
      <c r="N442" s="540"/>
      <c r="O442" s="540"/>
      <c r="P442" s="812">
        <f t="shared" si="25"/>
        <v>251978800792</v>
      </c>
      <c r="Q442" s="547">
        <v>172478031533</v>
      </c>
      <c r="R442" s="812">
        <f t="shared" si="30"/>
        <v>251979</v>
      </c>
      <c r="S442" s="547">
        <f t="shared" si="30"/>
        <v>172478</v>
      </c>
      <c r="T442" s="566"/>
      <c r="U442" s="567"/>
      <c r="V442" s="812">
        <f t="shared" si="28"/>
        <v>251978800792</v>
      </c>
      <c r="W442" s="812">
        <f t="shared" si="27"/>
        <v>251979</v>
      </c>
    </row>
    <row r="443" spans="1:23" ht="27" hidden="1" customHeight="1">
      <c r="A443" s="531"/>
      <c r="B443" s="529">
        <v>20</v>
      </c>
      <c r="C443" s="531" t="s">
        <v>733</v>
      </c>
      <c r="D443" s="531" t="s">
        <v>735</v>
      </c>
      <c r="E443" s="547">
        <v>11900638392216</v>
      </c>
      <c r="F443" s="547">
        <v>-292727433238</v>
      </c>
      <c r="G443" s="547">
        <v>-11607910958978</v>
      </c>
      <c r="H443" s="547">
        <v>98273609424</v>
      </c>
      <c r="I443" s="547">
        <f>1218743342-2519978</f>
        <v>1216223364</v>
      </c>
      <c r="J443" s="547">
        <f>7226036-6991818000-4633818000</f>
        <v>-11618409964</v>
      </c>
      <c r="K443" s="547">
        <v>-87871422824</v>
      </c>
      <c r="L443" s="547"/>
      <c r="M443" s="547">
        <v>-11788593605198</v>
      </c>
      <c r="N443" s="760">
        <v>0</v>
      </c>
      <c r="O443" s="760">
        <v>11788593605198</v>
      </c>
      <c r="P443" s="812">
        <f t="shared" si="25"/>
        <v>11788593605198</v>
      </c>
      <c r="Q443" s="547">
        <f>10679491693015+21246333936-6000000000+1151500000-45395772+18640419349+774487558-123826429921+4535580000-14938000000+435767382600+40630761500+27910857180+31976364206+2586000000</f>
        <v>11119901553651</v>
      </c>
      <c r="R443" s="812">
        <f t="shared" si="30"/>
        <v>11788594</v>
      </c>
      <c r="S443" s="547">
        <f t="shared" si="30"/>
        <v>11119902</v>
      </c>
      <c r="T443" s="566"/>
      <c r="U443" s="574">
        <f>P443</f>
        <v>11788593605198</v>
      </c>
      <c r="V443" s="812">
        <f t="shared" si="28"/>
        <v>0</v>
      </c>
      <c r="W443" s="812">
        <f t="shared" si="27"/>
        <v>0</v>
      </c>
    </row>
    <row r="444" spans="1:23" ht="27" hidden="1" customHeight="1">
      <c r="A444" s="531"/>
      <c r="B444" s="529">
        <v>20</v>
      </c>
      <c r="C444" s="531" t="s">
        <v>734</v>
      </c>
      <c r="D444" s="531" t="s">
        <v>903</v>
      </c>
      <c r="E444" s="547">
        <v>-11458574100</v>
      </c>
      <c r="F444" s="547">
        <v>-27438272756</v>
      </c>
      <c r="G444" s="547">
        <v>38896846856</v>
      </c>
      <c r="H444" s="547">
        <v>-7001137</v>
      </c>
      <c r="I444" s="547"/>
      <c r="J444" s="547"/>
      <c r="K444" s="547">
        <v>7001137</v>
      </c>
      <c r="L444" s="547"/>
      <c r="M444" s="547">
        <v>63778021084</v>
      </c>
      <c r="N444" s="540">
        <v>63778021084</v>
      </c>
      <c r="O444" s="540">
        <v>0</v>
      </c>
      <c r="P444" s="812">
        <f t="shared" si="25"/>
        <v>-63778021084</v>
      </c>
      <c r="Q444" s="547"/>
      <c r="R444" s="812">
        <f t="shared" si="30"/>
        <v>-63778</v>
      </c>
      <c r="S444" s="547">
        <f t="shared" si="30"/>
        <v>0</v>
      </c>
      <c r="T444" s="566">
        <f>-P444</f>
        <v>63778021084</v>
      </c>
      <c r="U444" s="574"/>
      <c r="V444" s="812">
        <f t="shared" si="28"/>
        <v>0</v>
      </c>
      <c r="W444" s="812">
        <f t="shared" si="27"/>
        <v>0</v>
      </c>
    </row>
    <row r="445" spans="1:23" ht="27" hidden="1" customHeight="1">
      <c r="A445" s="531"/>
      <c r="B445" s="529">
        <v>20</v>
      </c>
      <c r="C445" s="531" t="s">
        <v>905</v>
      </c>
      <c r="D445" s="531" t="s">
        <v>904</v>
      </c>
      <c r="E445" s="547">
        <v>-30907149669</v>
      </c>
      <c r="F445" s="547">
        <v>1943437</v>
      </c>
      <c r="G445" s="547">
        <v>30905206232</v>
      </c>
      <c r="H445" s="547"/>
      <c r="I445" s="547"/>
      <c r="J445" s="547"/>
      <c r="K445" s="547"/>
      <c r="L445" s="547"/>
      <c r="M445" s="547">
        <v>31635326232</v>
      </c>
      <c r="N445" s="540">
        <v>31635326232</v>
      </c>
      <c r="O445" s="540">
        <v>0</v>
      </c>
      <c r="P445" s="812">
        <f t="shared" si="25"/>
        <v>-31635326232</v>
      </c>
      <c r="Q445" s="547">
        <v>-36987142262</v>
      </c>
      <c r="R445" s="812">
        <f t="shared" si="30"/>
        <v>-31635</v>
      </c>
      <c r="S445" s="547">
        <f t="shared" si="30"/>
        <v>-36987</v>
      </c>
      <c r="T445" s="566">
        <f>-P445</f>
        <v>31635326232</v>
      </c>
      <c r="U445" s="574"/>
      <c r="V445" s="812">
        <f t="shared" si="28"/>
        <v>0</v>
      </c>
      <c r="W445" s="812">
        <f t="shared" si="27"/>
        <v>0</v>
      </c>
    </row>
    <row r="446" spans="1:23" ht="27" hidden="1" customHeight="1">
      <c r="A446" s="531">
        <v>10010101</v>
      </c>
      <c r="B446" s="529">
        <v>10</v>
      </c>
      <c r="C446" s="531" t="s">
        <v>608</v>
      </c>
      <c r="D446" s="531" t="s">
        <v>609</v>
      </c>
      <c r="E446" s="547">
        <v>-2343123626251</v>
      </c>
      <c r="F446" s="547">
        <v>-202834861740</v>
      </c>
      <c r="G446" s="547">
        <v>204494676922</v>
      </c>
      <c r="H446" s="547">
        <v>-2213170939462</v>
      </c>
      <c r="I446" s="547">
        <f>-14681392797+14681392797</f>
        <v>0</v>
      </c>
      <c r="J446" s="547">
        <v>527267017439</v>
      </c>
      <c r="K446" s="547"/>
      <c r="L446" s="547"/>
      <c r="M446" s="547">
        <v>0</v>
      </c>
      <c r="N446" s="540"/>
      <c r="O446" s="540"/>
      <c r="P446" s="812">
        <f>E446+F446+G446-N446+O446+H446+I446+J446+K446+M446</f>
        <v>-4027367733092</v>
      </c>
      <c r="Q446" s="547">
        <f>-2080482021537+12013021886-1151500000-774487558+123826429921+6461567558-4535580000+14938000000-21246333936+321331009-93773250212</f>
        <v>-2044402822869</v>
      </c>
      <c r="R446" s="812">
        <f t="shared" si="30"/>
        <v>-4027368</v>
      </c>
      <c r="S446" s="547">
        <f t="shared" si="30"/>
        <v>-2044403</v>
      </c>
      <c r="T446" s="566"/>
      <c r="U446" s="567"/>
      <c r="V446" s="812">
        <f t="shared" si="28"/>
        <v>-4027367733092</v>
      </c>
      <c r="W446" s="812">
        <f t="shared" si="27"/>
        <v>-4027368</v>
      </c>
    </row>
    <row r="447" spans="1:23" ht="27" hidden="1" customHeight="1">
      <c r="A447" s="531"/>
      <c r="B447" s="529">
        <v>20</v>
      </c>
      <c r="C447" s="531" t="s">
        <v>737</v>
      </c>
      <c r="D447" s="531" t="s">
        <v>736</v>
      </c>
      <c r="E447" s="547">
        <v>-82828919904</v>
      </c>
      <c r="F447" s="547"/>
      <c r="G447" s="547">
        <v>82828919904</v>
      </c>
      <c r="H447" s="547"/>
      <c r="I447" s="547"/>
      <c r="J447" s="547"/>
      <c r="K447" s="547"/>
      <c r="L447" s="547"/>
      <c r="M447" s="547">
        <v>82828919904</v>
      </c>
      <c r="N447" s="540">
        <v>82828919904</v>
      </c>
      <c r="O447" s="540">
        <v>0</v>
      </c>
      <c r="P447" s="812">
        <f t="shared" ref="P447:P478" si="31">E447+F447+G447-N447+O447+H447+I447+J447+K447+L447</f>
        <v>-82828919904</v>
      </c>
      <c r="Q447" s="547">
        <v>-218560357639</v>
      </c>
      <c r="R447" s="812">
        <f t="shared" si="30"/>
        <v>-82829</v>
      </c>
      <c r="S447" s="547">
        <f t="shared" si="30"/>
        <v>-218560</v>
      </c>
      <c r="T447" s="566">
        <f>-P447</f>
        <v>82828919904</v>
      </c>
      <c r="U447" s="574"/>
      <c r="V447" s="812">
        <f t="shared" si="28"/>
        <v>0</v>
      </c>
      <c r="W447" s="812">
        <f t="shared" si="27"/>
        <v>0</v>
      </c>
    </row>
    <row r="448" spans="1:23" ht="27" hidden="1" customHeight="1">
      <c r="A448" s="531"/>
      <c r="B448" s="529">
        <v>20</v>
      </c>
      <c r="C448" s="531" t="s">
        <v>906</v>
      </c>
      <c r="D448" s="531" t="s">
        <v>907</v>
      </c>
      <c r="E448" s="547">
        <v>-5658337367148</v>
      </c>
      <c r="F448" s="547"/>
      <c r="G448" s="547">
        <v>5658337367148</v>
      </c>
      <c r="H448" s="547"/>
      <c r="I448" s="547"/>
      <c r="J448" s="547"/>
      <c r="K448" s="547"/>
      <c r="L448" s="547"/>
      <c r="M448" s="547">
        <v>5670873284148</v>
      </c>
      <c r="N448" s="540">
        <v>5670873284148</v>
      </c>
      <c r="O448" s="540">
        <v>0</v>
      </c>
      <c r="P448" s="812">
        <f t="shared" si="31"/>
        <v>-5670873284148</v>
      </c>
      <c r="Q448" s="547">
        <v>-5569006456095</v>
      </c>
      <c r="R448" s="812">
        <f t="shared" si="30"/>
        <v>-5670873</v>
      </c>
      <c r="S448" s="547">
        <f t="shared" si="30"/>
        <v>-5569006</v>
      </c>
      <c r="T448" s="566">
        <f>-P448</f>
        <v>5670873284148</v>
      </c>
      <c r="U448" s="574"/>
      <c r="V448" s="812">
        <f t="shared" si="28"/>
        <v>0</v>
      </c>
      <c r="W448" s="812">
        <f t="shared" si="27"/>
        <v>0</v>
      </c>
    </row>
    <row r="449" spans="1:23" ht="27" hidden="1" customHeight="1">
      <c r="A449" s="531"/>
      <c r="B449" s="529">
        <v>20</v>
      </c>
      <c r="C449" s="531" t="s">
        <v>908</v>
      </c>
      <c r="D449" s="531" t="s">
        <v>909</v>
      </c>
      <c r="E449" s="547">
        <v>-6061648448495</v>
      </c>
      <c r="F449" s="547">
        <v>48687904277</v>
      </c>
      <c r="G449" s="547">
        <v>6012960544218</v>
      </c>
      <c r="H449" s="547">
        <v>27548962220</v>
      </c>
      <c r="I449" s="547"/>
      <c r="J449" s="547"/>
      <c r="K449" s="547">
        <v>-27548962220</v>
      </c>
      <c r="L449" s="547"/>
      <c r="M449" s="547">
        <v>5976029438633</v>
      </c>
      <c r="N449" s="540">
        <v>5976029438633</v>
      </c>
      <c r="O449" s="540">
        <v>0</v>
      </c>
      <c r="P449" s="812">
        <f t="shared" si="31"/>
        <v>-5976029438633</v>
      </c>
      <c r="Q449" s="547">
        <f>-5166927158400-201732683645-3447954870</f>
        <v>-5372107796915</v>
      </c>
      <c r="R449" s="812">
        <f t="shared" si="30"/>
        <v>-5976029</v>
      </c>
      <c r="S449" s="547">
        <f t="shared" si="30"/>
        <v>-5372108</v>
      </c>
      <c r="T449" s="566">
        <f>-P449</f>
        <v>5976029438633</v>
      </c>
      <c r="U449" s="574"/>
      <c r="V449" s="812">
        <f t="shared" si="28"/>
        <v>0</v>
      </c>
      <c r="W449" s="812">
        <f t="shared" si="27"/>
        <v>0</v>
      </c>
    </row>
    <row r="450" spans="1:23" ht="27" hidden="1" customHeight="1">
      <c r="A450" s="558"/>
      <c r="B450" s="536">
        <v>20</v>
      </c>
      <c r="C450" s="537" t="s">
        <v>738</v>
      </c>
      <c r="D450" s="537" t="s">
        <v>910</v>
      </c>
      <c r="E450" s="552"/>
      <c r="F450" s="552"/>
      <c r="G450" s="555"/>
      <c r="H450" s="555"/>
      <c r="I450" s="555"/>
      <c r="J450" s="555"/>
      <c r="K450" s="555"/>
      <c r="L450" s="555"/>
      <c r="M450" s="555">
        <v>0</v>
      </c>
      <c r="N450" s="543"/>
      <c r="O450" s="543">
        <v>0</v>
      </c>
      <c r="P450" s="812">
        <f t="shared" si="31"/>
        <v>0</v>
      </c>
      <c r="Q450" s="552">
        <v>-588669356</v>
      </c>
      <c r="R450" s="812">
        <f t="shared" si="30"/>
        <v>0</v>
      </c>
      <c r="S450" s="552">
        <f t="shared" si="30"/>
        <v>-589</v>
      </c>
      <c r="T450" s="575"/>
      <c r="U450" s="576">
        <f>-P450</f>
        <v>0</v>
      </c>
      <c r="V450" s="812">
        <f t="shared" si="28"/>
        <v>0</v>
      </c>
      <c r="W450" s="812">
        <f t="shared" si="27"/>
        <v>0</v>
      </c>
    </row>
    <row r="451" spans="1:23" ht="27" hidden="1" customHeight="1">
      <c r="A451" s="531">
        <v>1001</v>
      </c>
      <c r="B451" s="529">
        <v>10</v>
      </c>
      <c r="C451" s="531" t="s">
        <v>586</v>
      </c>
      <c r="D451" s="531" t="s">
        <v>587</v>
      </c>
      <c r="E451" s="547">
        <v>-1781457351</v>
      </c>
      <c r="F451" s="547"/>
      <c r="G451" s="547">
        <v>173531577</v>
      </c>
      <c r="H451" s="547">
        <v>-290000</v>
      </c>
      <c r="I451" s="547"/>
      <c r="J451" s="547"/>
      <c r="K451" s="547"/>
      <c r="L451" s="547"/>
      <c r="M451" s="547">
        <v>0</v>
      </c>
      <c r="N451" s="540"/>
      <c r="O451" s="540"/>
      <c r="P451" s="812">
        <f t="shared" si="31"/>
        <v>-1608215774</v>
      </c>
      <c r="Q451" s="547">
        <v>14483663</v>
      </c>
      <c r="R451" s="812">
        <f t="shared" si="30"/>
        <v>-1608</v>
      </c>
      <c r="S451" s="547">
        <f t="shared" si="30"/>
        <v>14</v>
      </c>
      <c r="T451" s="566"/>
      <c r="U451" s="567"/>
      <c r="V451" s="812">
        <f t="shared" si="28"/>
        <v>-1608215774</v>
      </c>
      <c r="W451" s="812">
        <f t="shared" si="27"/>
        <v>-1608</v>
      </c>
    </row>
    <row r="452" spans="1:23" ht="27" hidden="1" customHeight="1">
      <c r="A452" s="531">
        <v>1011</v>
      </c>
      <c r="B452" s="529">
        <v>10</v>
      </c>
      <c r="C452" s="531" t="s">
        <v>588</v>
      </c>
      <c r="D452" s="531" t="s">
        <v>468</v>
      </c>
      <c r="E452" s="547">
        <v>-5064396358</v>
      </c>
      <c r="F452" s="547"/>
      <c r="G452" s="547"/>
      <c r="H452" s="547"/>
      <c r="I452" s="547"/>
      <c r="J452" s="547"/>
      <c r="K452" s="547"/>
      <c r="L452" s="547"/>
      <c r="M452" s="547">
        <v>0</v>
      </c>
      <c r="N452" s="540"/>
      <c r="O452" s="540"/>
      <c r="P452" s="812">
        <f t="shared" si="31"/>
        <v>-5064396358</v>
      </c>
      <c r="Q452" s="547">
        <v>-4978596358</v>
      </c>
      <c r="R452" s="812">
        <f t="shared" si="30"/>
        <v>-5064</v>
      </c>
      <c r="S452" s="547">
        <f t="shared" si="30"/>
        <v>-4979</v>
      </c>
      <c r="T452" s="566"/>
      <c r="U452" s="567"/>
      <c r="V452" s="812">
        <f t="shared" si="28"/>
        <v>-5064396358</v>
      </c>
      <c r="W452" s="812">
        <f t="shared" ref="W452:W478" si="32">ROUND((V452/1000000),0)</f>
        <v>-5064</v>
      </c>
    </row>
    <row r="453" spans="1:23" ht="27" hidden="1" customHeight="1">
      <c r="A453" s="531"/>
      <c r="B453" s="529">
        <v>20</v>
      </c>
      <c r="C453" s="531" t="s">
        <v>747</v>
      </c>
      <c r="D453" s="531" t="s">
        <v>746</v>
      </c>
      <c r="E453" s="547">
        <v>-41752700171</v>
      </c>
      <c r="F453" s="547">
        <v>63977830</v>
      </c>
      <c r="G453" s="547">
        <v>41688722341</v>
      </c>
      <c r="H453" s="547">
        <v>-1423212000</v>
      </c>
      <c r="I453" s="547"/>
      <c r="J453" s="547"/>
      <c r="K453" s="547">
        <v>1423212000</v>
      </c>
      <c r="L453" s="547"/>
      <c r="M453" s="547">
        <v>43111934341</v>
      </c>
      <c r="N453" s="540">
        <v>43111934341</v>
      </c>
      <c r="O453" s="540">
        <v>0</v>
      </c>
      <c r="P453" s="812">
        <f t="shared" si="31"/>
        <v>-43111934341</v>
      </c>
      <c r="Q453" s="547">
        <v>-37467710573</v>
      </c>
      <c r="R453" s="812">
        <f t="shared" si="30"/>
        <v>-43112</v>
      </c>
      <c r="S453" s="547">
        <f t="shared" si="30"/>
        <v>-37468</v>
      </c>
      <c r="T453" s="566">
        <f>-P453</f>
        <v>43111934341</v>
      </c>
      <c r="U453" s="574"/>
      <c r="V453" s="812">
        <f t="shared" si="28"/>
        <v>0</v>
      </c>
      <c r="W453" s="812">
        <f t="shared" si="32"/>
        <v>0</v>
      </c>
    </row>
    <row r="454" spans="1:23" ht="27" hidden="1" customHeight="1">
      <c r="A454" s="531"/>
      <c r="B454" s="529">
        <v>20</v>
      </c>
      <c r="C454" s="531" t="s">
        <v>852</v>
      </c>
      <c r="D454" s="531" t="s">
        <v>1040</v>
      </c>
      <c r="E454" s="547"/>
      <c r="F454" s="547"/>
      <c r="G454" s="547"/>
      <c r="H454" s="547"/>
      <c r="I454" s="547"/>
      <c r="J454" s="547"/>
      <c r="K454" s="547"/>
      <c r="L454" s="547"/>
      <c r="M454" s="547"/>
      <c r="N454" s="540">
        <v>4005074515</v>
      </c>
      <c r="O454" s="540">
        <v>16020298060</v>
      </c>
      <c r="P454" s="812">
        <f t="shared" si="31"/>
        <v>12015223545</v>
      </c>
      <c r="Q454" s="547"/>
      <c r="R454" s="812">
        <f t="shared" si="30"/>
        <v>12015</v>
      </c>
      <c r="S454" s="547">
        <f t="shared" si="30"/>
        <v>0</v>
      </c>
      <c r="T454" s="566">
        <f>U454*0.25</f>
        <v>4005074515</v>
      </c>
      <c r="U454" s="566">
        <f>T453+T449+T448+T447+T445-U443+T395</f>
        <v>16020298060</v>
      </c>
      <c r="V454" s="812">
        <f t="shared" si="28"/>
        <v>0</v>
      </c>
      <c r="W454" s="812">
        <f t="shared" si="32"/>
        <v>0</v>
      </c>
    </row>
    <row r="455" spans="1:23" ht="27" hidden="1" customHeight="1">
      <c r="A455" s="531"/>
      <c r="B455" s="529">
        <v>21</v>
      </c>
      <c r="C455" s="531" t="s">
        <v>852</v>
      </c>
      <c r="D455" s="531" t="s">
        <v>1040</v>
      </c>
      <c r="E455" s="547"/>
      <c r="F455" s="547"/>
      <c r="G455" s="547"/>
      <c r="H455" s="547"/>
      <c r="I455" s="547"/>
      <c r="J455" s="547"/>
      <c r="K455" s="547"/>
      <c r="L455" s="547"/>
      <c r="M455" s="547"/>
      <c r="N455" s="540">
        <v>12015223545</v>
      </c>
      <c r="O455" s="540"/>
      <c r="P455" s="812">
        <f t="shared" si="31"/>
        <v>-12015223545</v>
      </c>
      <c r="Q455" s="547"/>
      <c r="R455" s="812">
        <f t="shared" si="30"/>
        <v>-12015</v>
      </c>
      <c r="S455" s="547">
        <f t="shared" si="30"/>
        <v>0</v>
      </c>
      <c r="T455" s="566">
        <f>U454*0.75</f>
        <v>12015223545</v>
      </c>
      <c r="U455" s="566"/>
      <c r="V455" s="812">
        <f t="shared" si="28"/>
        <v>0</v>
      </c>
      <c r="W455" s="812">
        <f t="shared" si="32"/>
        <v>0</v>
      </c>
    </row>
    <row r="456" spans="1:23" ht="27" customHeight="1">
      <c r="A456" s="531"/>
      <c r="B456" s="529">
        <v>20</v>
      </c>
      <c r="C456" s="531" t="s">
        <v>613</v>
      </c>
      <c r="D456" s="531" t="s">
        <v>614</v>
      </c>
      <c r="E456" s="547">
        <v>2217949537543</v>
      </c>
      <c r="F456" s="547"/>
      <c r="G456" s="547">
        <v>-96275387723</v>
      </c>
      <c r="H456" s="547"/>
      <c r="I456" s="547"/>
      <c r="J456" s="547"/>
      <c r="K456" s="547">
        <v>28492292124</v>
      </c>
      <c r="L456" s="547"/>
      <c r="M456" s="547">
        <v>-67783095599</v>
      </c>
      <c r="N456" s="540">
        <v>8010149030</v>
      </c>
      <c r="O456" s="540">
        <v>75793244629</v>
      </c>
      <c r="P456" s="812">
        <f t="shared" si="31"/>
        <v>2217949537543</v>
      </c>
      <c r="Q456" s="547">
        <f>2281419561032+146346000000+116188000000-34123000000-228640000000-24339000000+75910000000</f>
        <v>2332761561032</v>
      </c>
      <c r="R456" s="812">
        <f t="shared" si="30"/>
        <v>2217950</v>
      </c>
      <c r="S456" s="547">
        <f t="shared" si="30"/>
        <v>2332762</v>
      </c>
      <c r="T456" s="566">
        <f>U454*0.5</f>
        <v>8010149030</v>
      </c>
      <c r="U456" s="574">
        <f>T444+T455</f>
        <v>75793244629</v>
      </c>
      <c r="V456" s="812">
        <f t="shared" si="28"/>
        <v>2150166441944</v>
      </c>
      <c r="W456" s="812">
        <f t="shared" si="32"/>
        <v>2150166</v>
      </c>
    </row>
    <row r="457" spans="1:23" ht="27" hidden="1" customHeight="1">
      <c r="A457" s="531"/>
      <c r="B457" s="529">
        <v>4</v>
      </c>
      <c r="C457" s="531" t="s">
        <v>1257</v>
      </c>
      <c r="D457" s="531" t="s">
        <v>1029</v>
      </c>
      <c r="E457" s="547"/>
      <c r="F457" s="547"/>
      <c r="G457" s="547"/>
      <c r="H457" s="547"/>
      <c r="I457" s="547"/>
      <c r="J457" s="547"/>
      <c r="K457" s="547"/>
      <c r="L457" s="547"/>
      <c r="M457" s="547">
        <v>0</v>
      </c>
      <c r="N457" s="540"/>
      <c r="O457" s="540"/>
      <c r="P457" s="812">
        <f t="shared" si="31"/>
        <v>0</v>
      </c>
      <c r="Q457" s="547"/>
      <c r="R457" s="812">
        <f t="shared" si="30"/>
        <v>0</v>
      </c>
      <c r="S457" s="547">
        <f t="shared" si="30"/>
        <v>0</v>
      </c>
      <c r="T457" s="566"/>
      <c r="U457" s="567"/>
      <c r="V457" s="812">
        <f t="shared" si="28"/>
        <v>0</v>
      </c>
      <c r="W457" s="812">
        <f t="shared" si="32"/>
        <v>0</v>
      </c>
    </row>
    <row r="458" spans="1:23" ht="27" hidden="1" customHeight="1">
      <c r="A458" s="531">
        <v>406</v>
      </c>
      <c r="B458" s="529">
        <v>4</v>
      </c>
      <c r="C458" s="531" t="s">
        <v>1157</v>
      </c>
      <c r="D458" s="531" t="s">
        <v>956</v>
      </c>
      <c r="E458" s="547">
        <v>1091133664</v>
      </c>
      <c r="F458" s="547">
        <v>-1091133664</v>
      </c>
      <c r="G458" s="547"/>
      <c r="H458" s="547"/>
      <c r="I458" s="547"/>
      <c r="J458" s="547"/>
      <c r="K458" s="547"/>
      <c r="L458" s="547"/>
      <c r="M458" s="547">
        <v>0</v>
      </c>
      <c r="N458" s="540"/>
      <c r="O458" s="540"/>
      <c r="P458" s="812">
        <f t="shared" si="31"/>
        <v>0</v>
      </c>
      <c r="Q458" s="547"/>
      <c r="R458" s="812">
        <f t="shared" si="30"/>
        <v>0</v>
      </c>
      <c r="S458" s="547">
        <f t="shared" si="30"/>
        <v>0</v>
      </c>
      <c r="T458" s="566"/>
      <c r="U458" s="567"/>
      <c r="V458" s="812">
        <f t="shared" si="28"/>
        <v>0</v>
      </c>
      <c r="W458" s="812">
        <f t="shared" si="32"/>
        <v>0</v>
      </c>
    </row>
    <row r="459" spans="1:23" ht="27" hidden="1" customHeight="1">
      <c r="A459" s="531"/>
      <c r="B459" s="529">
        <v>4</v>
      </c>
      <c r="C459" s="531" t="s">
        <v>1003</v>
      </c>
      <c r="D459" s="531" t="s">
        <v>1258</v>
      </c>
      <c r="E459" s="547"/>
      <c r="F459" s="547"/>
      <c r="G459" s="547"/>
      <c r="H459" s="547"/>
      <c r="I459" s="547"/>
      <c r="J459" s="547"/>
      <c r="K459" s="547"/>
      <c r="L459" s="547"/>
      <c r="M459" s="547">
        <v>0</v>
      </c>
      <c r="N459" s="540"/>
      <c r="O459" s="540"/>
      <c r="P459" s="812">
        <f t="shared" si="31"/>
        <v>0</v>
      </c>
      <c r="Q459" s="547">
        <v>0</v>
      </c>
      <c r="R459" s="812">
        <f t="shared" si="30"/>
        <v>0</v>
      </c>
      <c r="S459" s="547">
        <f t="shared" si="30"/>
        <v>0</v>
      </c>
      <c r="T459" s="566"/>
      <c r="U459" s="567"/>
      <c r="V459" s="812">
        <f t="shared" si="28"/>
        <v>0</v>
      </c>
      <c r="W459" s="812">
        <f t="shared" si="32"/>
        <v>0</v>
      </c>
    </row>
    <row r="460" spans="1:23" ht="27" hidden="1" customHeight="1">
      <c r="A460" s="531"/>
      <c r="B460" s="529">
        <v>4</v>
      </c>
      <c r="C460" s="531" t="s">
        <v>1259</v>
      </c>
      <c r="D460" s="531" t="s">
        <v>1260</v>
      </c>
      <c r="E460" s="547"/>
      <c r="F460" s="547"/>
      <c r="G460" s="547"/>
      <c r="H460" s="547"/>
      <c r="I460" s="547"/>
      <c r="J460" s="547"/>
      <c r="K460" s="547"/>
      <c r="L460" s="547"/>
      <c r="M460" s="547">
        <v>0</v>
      </c>
      <c r="N460" s="540"/>
      <c r="O460" s="540"/>
      <c r="P460" s="812">
        <f t="shared" si="31"/>
        <v>0</v>
      </c>
      <c r="Q460" s="547"/>
      <c r="R460" s="812">
        <f t="shared" si="30"/>
        <v>0</v>
      </c>
      <c r="S460" s="547">
        <f t="shared" si="30"/>
        <v>0</v>
      </c>
      <c r="T460" s="566"/>
      <c r="U460" s="567"/>
      <c r="V460" s="812">
        <f t="shared" ref="V460:V478" si="33">P460-U460+T460</f>
        <v>0</v>
      </c>
      <c r="W460" s="812">
        <f t="shared" si="32"/>
        <v>0</v>
      </c>
    </row>
    <row r="461" spans="1:23" ht="27" hidden="1" customHeight="1">
      <c r="A461" s="531">
        <v>10040</v>
      </c>
      <c r="B461" s="529">
        <v>10</v>
      </c>
      <c r="C461" s="531" t="s">
        <v>615</v>
      </c>
      <c r="D461" s="531" t="s">
        <v>616</v>
      </c>
      <c r="E461" s="547">
        <v>-473188</v>
      </c>
      <c r="F461" s="547"/>
      <c r="G461" s="547"/>
      <c r="H461" s="547"/>
      <c r="I461" s="547"/>
      <c r="J461" s="547"/>
      <c r="K461" s="547"/>
      <c r="L461" s="547"/>
      <c r="M461" s="547">
        <v>0</v>
      </c>
      <c r="N461" s="540"/>
      <c r="O461" s="540"/>
      <c r="P461" s="812">
        <f t="shared" si="31"/>
        <v>-473188</v>
      </c>
      <c r="Q461" s="547">
        <v>-473188</v>
      </c>
      <c r="R461" s="812">
        <f t="shared" si="30"/>
        <v>0</v>
      </c>
      <c r="S461" s="547">
        <f t="shared" si="30"/>
        <v>0</v>
      </c>
      <c r="T461" s="566"/>
      <c r="U461" s="567"/>
      <c r="V461" s="812">
        <f t="shared" si="33"/>
        <v>-473188</v>
      </c>
      <c r="W461" s="812">
        <f t="shared" si="32"/>
        <v>0</v>
      </c>
    </row>
    <row r="462" spans="1:23" ht="27" hidden="1" customHeight="1">
      <c r="A462" s="531"/>
      <c r="B462" s="529">
        <v>19</v>
      </c>
      <c r="C462" s="531" t="s">
        <v>617</v>
      </c>
      <c r="D462" s="531" t="s">
        <v>618</v>
      </c>
      <c r="E462" s="547">
        <v>1325074394539</v>
      </c>
      <c r="F462" s="547">
        <v>-1666200000</v>
      </c>
      <c r="G462" s="547"/>
      <c r="H462" s="547"/>
      <c r="I462" s="547"/>
      <c r="J462" s="547">
        <v>10000000</v>
      </c>
      <c r="K462" s="547"/>
      <c r="L462" s="547"/>
      <c r="M462" s="547">
        <v>0</v>
      </c>
      <c r="N462" s="540"/>
      <c r="O462" s="540"/>
      <c r="P462" s="812">
        <f t="shared" si="31"/>
        <v>1323418194539</v>
      </c>
      <c r="Q462" s="547">
        <v>3562314434167</v>
      </c>
      <c r="R462" s="812">
        <f t="shared" si="30"/>
        <v>1323418</v>
      </c>
      <c r="S462" s="547">
        <f t="shared" si="30"/>
        <v>3562314</v>
      </c>
      <c r="T462" s="566"/>
      <c r="U462" s="567"/>
      <c r="V462" s="812">
        <f t="shared" si="33"/>
        <v>1323418194539</v>
      </c>
      <c r="W462" s="812">
        <f t="shared" si="32"/>
        <v>1323418</v>
      </c>
    </row>
    <row r="463" spans="1:23" ht="27" hidden="1" customHeight="1">
      <c r="A463" s="531"/>
      <c r="B463" s="529">
        <v>19</v>
      </c>
      <c r="C463" s="531" t="s">
        <v>1202</v>
      </c>
      <c r="D463" s="531" t="s">
        <v>1203</v>
      </c>
      <c r="E463" s="547"/>
      <c r="F463" s="547"/>
      <c r="G463" s="547"/>
      <c r="H463" s="547"/>
      <c r="I463" s="547"/>
      <c r="J463" s="547">
        <v>-10000000</v>
      </c>
      <c r="K463" s="547"/>
      <c r="L463" s="547"/>
      <c r="M463" s="547">
        <v>0</v>
      </c>
      <c r="N463" s="540"/>
      <c r="O463" s="540"/>
      <c r="P463" s="812">
        <f t="shared" si="31"/>
        <v>-10000000</v>
      </c>
      <c r="Q463" s="547">
        <v>363696094523</v>
      </c>
      <c r="R463" s="812">
        <f t="shared" si="30"/>
        <v>-10</v>
      </c>
      <c r="S463" s="547">
        <f t="shared" si="30"/>
        <v>363696</v>
      </c>
      <c r="T463" s="566"/>
      <c r="U463" s="567"/>
      <c r="V463" s="812">
        <f t="shared" si="33"/>
        <v>-10000000</v>
      </c>
      <c r="W463" s="812">
        <f t="shared" si="32"/>
        <v>-10</v>
      </c>
    </row>
    <row r="464" spans="1:23" ht="27" hidden="1" customHeight="1">
      <c r="A464" s="531"/>
      <c r="B464" s="529">
        <v>19</v>
      </c>
      <c r="C464" s="531" t="s">
        <v>619</v>
      </c>
      <c r="D464" s="531" t="s">
        <v>620</v>
      </c>
      <c r="E464" s="547">
        <v>-1325074394539</v>
      </c>
      <c r="F464" s="547">
        <v>1666200000</v>
      </c>
      <c r="G464" s="547"/>
      <c r="H464" s="547"/>
      <c r="I464" s="547"/>
      <c r="J464" s="547"/>
      <c r="K464" s="547"/>
      <c r="L464" s="547"/>
      <c r="M464" s="547">
        <v>0</v>
      </c>
      <c r="N464" s="540"/>
      <c r="O464" s="540"/>
      <c r="P464" s="812">
        <f t="shared" si="31"/>
        <v>-1323408194539</v>
      </c>
      <c r="Q464" s="547">
        <v>-3562314434167</v>
      </c>
      <c r="R464" s="812">
        <f t="shared" si="30"/>
        <v>-1323408</v>
      </c>
      <c r="S464" s="547">
        <f t="shared" si="30"/>
        <v>-3562314</v>
      </c>
      <c r="T464" s="566"/>
      <c r="U464" s="567"/>
      <c r="V464" s="812">
        <f t="shared" si="33"/>
        <v>-1323408194539</v>
      </c>
      <c r="W464" s="812">
        <f t="shared" si="32"/>
        <v>-1323408</v>
      </c>
    </row>
    <row r="465" spans="1:23" ht="27" hidden="1" customHeight="1">
      <c r="A465" s="531"/>
      <c r="B465" s="529">
        <v>19</v>
      </c>
      <c r="C465" s="531" t="s">
        <v>1204</v>
      </c>
      <c r="D465" s="531" t="s">
        <v>1205</v>
      </c>
      <c r="E465" s="547"/>
      <c r="F465" s="547"/>
      <c r="G465" s="547"/>
      <c r="H465" s="547"/>
      <c r="I465" s="547"/>
      <c r="J465" s="547"/>
      <c r="K465" s="547"/>
      <c r="L465" s="547"/>
      <c r="M465" s="547">
        <v>0</v>
      </c>
      <c r="N465" s="540"/>
      <c r="O465" s="540"/>
      <c r="P465" s="812">
        <f t="shared" si="31"/>
        <v>0</v>
      </c>
      <c r="Q465" s="547">
        <v>-363696094523</v>
      </c>
      <c r="R465" s="812">
        <f t="shared" si="30"/>
        <v>0</v>
      </c>
      <c r="S465" s="547">
        <f t="shared" si="30"/>
        <v>-363696</v>
      </c>
      <c r="T465" s="566"/>
      <c r="U465" s="567"/>
      <c r="V465" s="812">
        <f t="shared" si="33"/>
        <v>0</v>
      </c>
      <c r="W465" s="812">
        <f t="shared" si="32"/>
        <v>0</v>
      </c>
    </row>
    <row r="466" spans="1:23" ht="27" hidden="1" customHeight="1">
      <c r="A466" s="531">
        <v>501</v>
      </c>
      <c r="B466" s="529">
        <v>5</v>
      </c>
      <c r="C466" s="531" t="s">
        <v>1266</v>
      </c>
      <c r="D466" s="531" t="s">
        <v>1267</v>
      </c>
      <c r="E466" s="547">
        <v>1042687796</v>
      </c>
      <c r="F466" s="547"/>
      <c r="G466" s="547"/>
      <c r="H466" s="547"/>
      <c r="I466" s="547"/>
      <c r="J466" s="547"/>
      <c r="K466" s="547"/>
      <c r="L466" s="547"/>
      <c r="M466" s="547">
        <v>0</v>
      </c>
      <c r="N466" s="540"/>
      <c r="O466" s="540"/>
      <c r="P466" s="812">
        <f t="shared" si="31"/>
        <v>1042687796</v>
      </c>
      <c r="Q466" s="547">
        <v>0</v>
      </c>
      <c r="R466" s="812">
        <f t="shared" ref="R466:S478" si="34">ROUND((P466/1000000),0)</f>
        <v>1043</v>
      </c>
      <c r="S466" s="547">
        <f t="shared" si="34"/>
        <v>0</v>
      </c>
      <c r="T466" s="566"/>
      <c r="U466" s="567"/>
      <c r="V466" s="812">
        <f t="shared" si="33"/>
        <v>1042687796</v>
      </c>
      <c r="W466" s="812">
        <f t="shared" si="32"/>
        <v>1043</v>
      </c>
    </row>
    <row r="467" spans="1:23" ht="27" hidden="1" customHeight="1">
      <c r="A467" s="531">
        <v>506</v>
      </c>
      <c r="B467" s="529">
        <v>5</v>
      </c>
      <c r="C467" s="531" t="s">
        <v>97</v>
      </c>
      <c r="D467" s="531" t="s">
        <v>95</v>
      </c>
      <c r="E467" s="547">
        <v>-103679858706</v>
      </c>
      <c r="F467" s="547"/>
      <c r="G467" s="547"/>
      <c r="H467" s="547"/>
      <c r="I467" s="547"/>
      <c r="J467" s="547"/>
      <c r="K467" s="547"/>
      <c r="L467" s="547"/>
      <c r="M467" s="547">
        <v>0</v>
      </c>
      <c r="N467" s="540"/>
      <c r="O467" s="540"/>
      <c r="P467" s="812">
        <f t="shared" si="31"/>
        <v>-103679858706</v>
      </c>
      <c r="Q467" s="547">
        <v>9239308907</v>
      </c>
      <c r="R467" s="683">
        <f>ROUND((P467/1000000),0)</f>
        <v>-103680</v>
      </c>
      <c r="S467" s="547">
        <f t="shared" si="34"/>
        <v>9239</v>
      </c>
      <c r="T467" s="566"/>
      <c r="U467" s="567"/>
      <c r="V467" s="812">
        <f t="shared" si="33"/>
        <v>-103679858706</v>
      </c>
      <c r="W467" s="812">
        <f t="shared" si="32"/>
        <v>-103680</v>
      </c>
    </row>
    <row r="468" spans="1:23" ht="27" hidden="1" customHeight="1">
      <c r="A468" s="531">
        <v>506</v>
      </c>
      <c r="B468" s="529">
        <v>5</v>
      </c>
      <c r="C468" s="531" t="s">
        <v>471</v>
      </c>
      <c r="D468" s="531" t="s">
        <v>98</v>
      </c>
      <c r="E468" s="547">
        <v>-54076067902</v>
      </c>
      <c r="F468" s="547"/>
      <c r="G468" s="547">
        <v>2063</v>
      </c>
      <c r="H468" s="547"/>
      <c r="I468" s="547"/>
      <c r="J468" s="547"/>
      <c r="K468" s="547"/>
      <c r="L468" s="547"/>
      <c r="M468" s="547">
        <v>0</v>
      </c>
      <c r="N468" s="540"/>
      <c r="O468" s="540"/>
      <c r="P468" s="812">
        <f t="shared" si="31"/>
        <v>-54076065839</v>
      </c>
      <c r="Q468" s="547">
        <v>-35230861792</v>
      </c>
      <c r="R468" s="812">
        <f t="shared" si="34"/>
        <v>-54076</v>
      </c>
      <c r="S468" s="547">
        <f t="shared" si="34"/>
        <v>-35231</v>
      </c>
      <c r="T468" s="566"/>
      <c r="U468" s="567"/>
      <c r="V468" s="812">
        <f t="shared" si="33"/>
        <v>-54076065839</v>
      </c>
      <c r="W468" s="812">
        <f t="shared" si="32"/>
        <v>-54076</v>
      </c>
    </row>
    <row r="469" spans="1:23" ht="27" hidden="1" customHeight="1">
      <c r="A469" s="531">
        <v>506</v>
      </c>
      <c r="B469" s="529">
        <v>5</v>
      </c>
      <c r="C469" s="531" t="s">
        <v>100</v>
      </c>
      <c r="D469" s="531" t="s">
        <v>99</v>
      </c>
      <c r="E469" s="547">
        <v>-4540937004</v>
      </c>
      <c r="F469" s="547">
        <v>-269500000</v>
      </c>
      <c r="G469" s="547"/>
      <c r="H469" s="547"/>
      <c r="I469" s="547"/>
      <c r="J469" s="547"/>
      <c r="K469" s="547"/>
      <c r="L469" s="547"/>
      <c r="M469" s="547">
        <v>0</v>
      </c>
      <c r="N469" s="540"/>
      <c r="O469" s="540"/>
      <c r="P469" s="812">
        <f t="shared" si="31"/>
        <v>-4810437004</v>
      </c>
      <c r="Q469" s="547">
        <v>1973026004</v>
      </c>
      <c r="R469" s="812">
        <f t="shared" si="34"/>
        <v>-4810</v>
      </c>
      <c r="S469" s="547">
        <f t="shared" si="34"/>
        <v>1973</v>
      </c>
      <c r="T469" s="566"/>
      <c r="U469" s="567"/>
      <c r="V469" s="812">
        <f t="shared" si="33"/>
        <v>-4810437004</v>
      </c>
      <c r="W469" s="812">
        <f t="shared" si="32"/>
        <v>-4810</v>
      </c>
    </row>
    <row r="470" spans="1:23" ht="27" hidden="1" customHeight="1">
      <c r="A470" s="531">
        <v>506</v>
      </c>
      <c r="B470" s="529">
        <v>5</v>
      </c>
      <c r="C470" s="531" t="s">
        <v>1360</v>
      </c>
      <c r="D470" s="531" t="s">
        <v>1361</v>
      </c>
      <c r="E470" s="547"/>
      <c r="F470" s="547">
        <v>-1941420</v>
      </c>
      <c r="G470" s="547"/>
      <c r="H470" s="547"/>
      <c r="I470" s="547"/>
      <c r="J470" s="547"/>
      <c r="K470" s="547"/>
      <c r="L470" s="547"/>
      <c r="M470" s="547">
        <v>0</v>
      </c>
      <c r="N470" s="540"/>
      <c r="O470" s="540"/>
      <c r="P470" s="812">
        <f t="shared" si="31"/>
        <v>-1941420</v>
      </c>
      <c r="Q470" s="547"/>
      <c r="R470" s="812">
        <f t="shared" si="34"/>
        <v>-2</v>
      </c>
      <c r="S470" s="547">
        <f t="shared" si="34"/>
        <v>0</v>
      </c>
      <c r="T470" s="566"/>
      <c r="U470" s="567"/>
      <c r="V470" s="812">
        <f t="shared" si="33"/>
        <v>-1941420</v>
      </c>
      <c r="W470" s="812">
        <f t="shared" si="32"/>
        <v>-2</v>
      </c>
    </row>
    <row r="471" spans="1:23" ht="27" hidden="1" customHeight="1">
      <c r="A471" s="531">
        <v>506</v>
      </c>
      <c r="B471" s="529">
        <v>5</v>
      </c>
      <c r="C471" s="531" t="s">
        <v>593</v>
      </c>
      <c r="D471" s="531" t="s">
        <v>99</v>
      </c>
      <c r="E471" s="547">
        <v>9528154498</v>
      </c>
      <c r="F471" s="547"/>
      <c r="G471" s="547"/>
      <c r="H471" s="547"/>
      <c r="I471" s="547"/>
      <c r="J471" s="547"/>
      <c r="K471" s="547"/>
      <c r="L471" s="547"/>
      <c r="M471" s="547">
        <v>0</v>
      </c>
      <c r="N471" s="540"/>
      <c r="O471" s="540"/>
      <c r="P471" s="812">
        <f t="shared" si="31"/>
        <v>9528154498</v>
      </c>
      <c r="Q471" s="547">
        <v>8815267120</v>
      </c>
      <c r="R471" s="812">
        <f t="shared" si="34"/>
        <v>9528</v>
      </c>
      <c r="S471" s="547">
        <f t="shared" si="34"/>
        <v>8815</v>
      </c>
      <c r="T471" s="566"/>
      <c r="U471" s="567"/>
      <c r="V471" s="812">
        <f t="shared" si="33"/>
        <v>9528154498</v>
      </c>
      <c r="W471" s="812">
        <f t="shared" si="32"/>
        <v>9528</v>
      </c>
    </row>
    <row r="472" spans="1:23" ht="27" hidden="1" customHeight="1">
      <c r="A472" s="531">
        <v>506</v>
      </c>
      <c r="B472" s="529">
        <v>5</v>
      </c>
      <c r="C472" s="531" t="s">
        <v>101</v>
      </c>
      <c r="D472" s="531" t="s">
        <v>102</v>
      </c>
      <c r="E472" s="547">
        <v>31678773986</v>
      </c>
      <c r="F472" s="547"/>
      <c r="G472" s="547"/>
      <c r="H472" s="547"/>
      <c r="I472" s="547"/>
      <c r="J472" s="547"/>
      <c r="K472" s="547"/>
      <c r="L472" s="547"/>
      <c r="M472" s="547">
        <v>0</v>
      </c>
      <c r="N472" s="540"/>
      <c r="O472" s="540"/>
      <c r="P472" s="812">
        <f t="shared" si="31"/>
        <v>31678773986</v>
      </c>
      <c r="Q472" s="547">
        <v>-15616363913</v>
      </c>
      <c r="R472" s="812">
        <f t="shared" si="34"/>
        <v>31679</v>
      </c>
      <c r="S472" s="547">
        <f t="shared" si="34"/>
        <v>-15616</v>
      </c>
      <c r="T472" s="566"/>
      <c r="U472" s="567"/>
      <c r="V472" s="812">
        <f t="shared" si="33"/>
        <v>31678773986</v>
      </c>
      <c r="W472" s="812">
        <f t="shared" si="32"/>
        <v>31679</v>
      </c>
    </row>
    <row r="473" spans="1:23" ht="27" hidden="1" customHeight="1">
      <c r="A473" s="531">
        <v>506</v>
      </c>
      <c r="B473" s="529">
        <v>5</v>
      </c>
      <c r="C473" s="531" t="s">
        <v>1362</v>
      </c>
      <c r="D473" s="531" t="s">
        <v>1363</v>
      </c>
      <c r="E473" s="547"/>
      <c r="F473" s="547">
        <v>-2017</v>
      </c>
      <c r="G473" s="547"/>
      <c r="H473" s="547"/>
      <c r="I473" s="547"/>
      <c r="J473" s="547"/>
      <c r="K473" s="547"/>
      <c r="L473" s="547"/>
      <c r="M473" s="547">
        <v>0</v>
      </c>
      <c r="N473" s="540"/>
      <c r="O473" s="540"/>
      <c r="P473" s="812">
        <f t="shared" si="31"/>
        <v>-2017</v>
      </c>
      <c r="Q473" s="547"/>
      <c r="R473" s="812">
        <f t="shared" si="34"/>
        <v>0</v>
      </c>
      <c r="S473" s="547">
        <f t="shared" si="34"/>
        <v>0</v>
      </c>
      <c r="T473" s="566"/>
      <c r="U473" s="567"/>
      <c r="V473" s="812">
        <f t="shared" si="33"/>
        <v>-2017</v>
      </c>
      <c r="W473" s="812">
        <f t="shared" si="32"/>
        <v>0</v>
      </c>
    </row>
    <row r="474" spans="1:23" ht="27" hidden="1" customHeight="1">
      <c r="A474" s="531">
        <v>501</v>
      </c>
      <c r="B474" s="529">
        <v>5</v>
      </c>
      <c r="C474" s="531" t="s">
        <v>912</v>
      </c>
      <c r="D474" s="531" t="s">
        <v>1005</v>
      </c>
      <c r="E474" s="547">
        <v>-339656007</v>
      </c>
      <c r="F474" s="547"/>
      <c r="G474" s="547"/>
      <c r="H474" s="547"/>
      <c r="I474" s="547"/>
      <c r="J474" s="547"/>
      <c r="K474" s="547"/>
      <c r="L474" s="547"/>
      <c r="M474" s="547">
        <v>0</v>
      </c>
      <c r="N474" s="540"/>
      <c r="O474" s="540"/>
      <c r="P474" s="812">
        <f t="shared" si="31"/>
        <v>-339656007</v>
      </c>
      <c r="Q474" s="547">
        <v>-339241760</v>
      </c>
      <c r="R474" s="812">
        <f t="shared" si="34"/>
        <v>-340</v>
      </c>
      <c r="S474" s="547">
        <f t="shared" si="34"/>
        <v>-339</v>
      </c>
      <c r="T474" s="566"/>
      <c r="U474" s="567"/>
      <c r="V474" s="812">
        <f t="shared" si="33"/>
        <v>-339656007</v>
      </c>
      <c r="W474" s="812">
        <f t="shared" si="32"/>
        <v>-340</v>
      </c>
    </row>
    <row r="475" spans="1:23" ht="27" hidden="1" customHeight="1">
      <c r="A475" s="531"/>
      <c r="B475" s="529">
        <v>4</v>
      </c>
      <c r="C475" s="531" t="s">
        <v>1025</v>
      </c>
      <c r="D475" s="531" t="s">
        <v>1029</v>
      </c>
      <c r="E475" s="547">
        <v>1</v>
      </c>
      <c r="F475" s="547"/>
      <c r="G475" s="547"/>
      <c r="H475" s="547"/>
      <c r="I475" s="547"/>
      <c r="J475" s="547"/>
      <c r="K475" s="547"/>
      <c r="L475" s="547"/>
      <c r="M475" s="547">
        <v>0</v>
      </c>
      <c r="N475" s="540"/>
      <c r="O475" s="540"/>
      <c r="P475" s="812">
        <f t="shared" si="31"/>
        <v>1</v>
      </c>
      <c r="Q475" s="547"/>
      <c r="R475" s="812">
        <f t="shared" si="34"/>
        <v>0</v>
      </c>
      <c r="S475" s="547">
        <f t="shared" si="34"/>
        <v>0</v>
      </c>
      <c r="T475" s="566"/>
      <c r="U475" s="567"/>
      <c r="V475" s="812">
        <f t="shared" si="33"/>
        <v>1</v>
      </c>
      <c r="W475" s="812">
        <f t="shared" si="32"/>
        <v>0</v>
      </c>
    </row>
    <row r="476" spans="1:23" ht="27" hidden="1" customHeight="1">
      <c r="A476" s="531">
        <v>501</v>
      </c>
      <c r="B476" s="529">
        <v>5</v>
      </c>
      <c r="C476" s="531" t="s">
        <v>741</v>
      </c>
      <c r="D476" s="531" t="s">
        <v>742</v>
      </c>
      <c r="E476" s="547">
        <v>-3999804000</v>
      </c>
      <c r="F476" s="547"/>
      <c r="G476" s="547"/>
      <c r="H476" s="547"/>
      <c r="I476" s="547"/>
      <c r="J476" s="547"/>
      <c r="K476" s="547"/>
      <c r="L476" s="547"/>
      <c r="M476" s="547">
        <v>0</v>
      </c>
      <c r="N476" s="540"/>
      <c r="O476" s="540"/>
      <c r="P476" s="812">
        <f t="shared" si="31"/>
        <v>-3999804000</v>
      </c>
      <c r="Q476" s="547"/>
      <c r="R476" s="812">
        <f t="shared" si="34"/>
        <v>-4000</v>
      </c>
      <c r="S476" s="547">
        <f t="shared" si="34"/>
        <v>0</v>
      </c>
      <c r="T476" s="566"/>
      <c r="U476" s="567"/>
      <c r="V476" s="812">
        <f t="shared" si="33"/>
        <v>-3999804000</v>
      </c>
      <c r="W476" s="812">
        <f t="shared" si="32"/>
        <v>-4000</v>
      </c>
    </row>
    <row r="477" spans="1:23" ht="27" hidden="1" customHeight="1">
      <c r="A477" s="531"/>
      <c r="B477" s="529">
        <v>19</v>
      </c>
      <c r="C477" s="531" t="s">
        <v>621</v>
      </c>
      <c r="D477" s="531" t="s">
        <v>622</v>
      </c>
      <c r="E477" s="547">
        <v>302030917428</v>
      </c>
      <c r="F477" s="547"/>
      <c r="G477" s="547">
        <v>1065488563495</v>
      </c>
      <c r="H477" s="547"/>
      <c r="I477" s="547"/>
      <c r="J477" s="547"/>
      <c r="K477" s="547"/>
      <c r="L477" s="547"/>
      <c r="M477" s="547">
        <v>0</v>
      </c>
      <c r="N477" s="540"/>
      <c r="O477" s="540"/>
      <c r="P477" s="812">
        <f t="shared" si="31"/>
        <v>1367519480923</v>
      </c>
      <c r="Q477" s="547">
        <v>1114766690053</v>
      </c>
      <c r="R477" s="812">
        <f t="shared" si="34"/>
        <v>1367519</v>
      </c>
      <c r="S477" s="547">
        <f t="shared" si="34"/>
        <v>1114767</v>
      </c>
      <c r="T477" s="566"/>
      <c r="U477" s="567"/>
      <c r="V477" s="812">
        <f t="shared" si="33"/>
        <v>1367519480923</v>
      </c>
      <c r="W477" s="812">
        <f t="shared" si="32"/>
        <v>1367519</v>
      </c>
    </row>
    <row r="478" spans="1:23" ht="27" hidden="1" customHeight="1">
      <c r="A478" s="531"/>
      <c r="B478" s="529">
        <v>19</v>
      </c>
      <c r="C478" s="531" t="s">
        <v>623</v>
      </c>
      <c r="D478" s="531" t="s">
        <v>160</v>
      </c>
      <c r="E478" s="547">
        <v>-302030917428</v>
      </c>
      <c r="F478" s="547"/>
      <c r="G478" s="547">
        <v>-1065488563495</v>
      </c>
      <c r="H478" s="547"/>
      <c r="I478" s="547"/>
      <c r="J478" s="547"/>
      <c r="K478" s="547"/>
      <c r="L478" s="547"/>
      <c r="M478" s="547">
        <v>0</v>
      </c>
      <c r="N478" s="540"/>
      <c r="O478" s="540"/>
      <c r="P478" s="812">
        <f t="shared" si="31"/>
        <v>-1367519480923</v>
      </c>
      <c r="Q478" s="547">
        <v>-1114766690053</v>
      </c>
      <c r="R478" s="812">
        <f t="shared" si="34"/>
        <v>-1367519</v>
      </c>
      <c r="S478" s="547">
        <f>ROUND((Q478/1000000),0)</f>
        <v>-1114767</v>
      </c>
      <c r="T478" s="566"/>
      <c r="U478" s="567"/>
      <c r="V478" s="812">
        <f t="shared" si="33"/>
        <v>-1367519480923</v>
      </c>
      <c r="W478" s="812">
        <f t="shared" si="32"/>
        <v>-1367519</v>
      </c>
    </row>
    <row r="479" spans="1:23" ht="27" customHeight="1">
      <c r="A479" s="539"/>
      <c r="B479" s="538"/>
      <c r="C479" s="539"/>
      <c r="D479" s="539"/>
      <c r="E479" s="544">
        <f t="shared" ref="E479:K479" si="35">SUM(E3:E478)</f>
        <v>21009</v>
      </c>
      <c r="F479" s="544">
        <f t="shared" si="35"/>
        <v>0</v>
      </c>
      <c r="G479" s="544">
        <f t="shared" si="35"/>
        <v>0</v>
      </c>
      <c r="H479" s="544">
        <f t="shared" si="35"/>
        <v>0</v>
      </c>
      <c r="I479" s="544">
        <f t="shared" si="35"/>
        <v>0</v>
      </c>
      <c r="J479" s="544">
        <f t="shared" si="35"/>
        <v>0</v>
      </c>
      <c r="K479" s="544">
        <f t="shared" si="35"/>
        <v>0</v>
      </c>
      <c r="L479" s="544">
        <f>SUM(L3:L478)</f>
        <v>0</v>
      </c>
      <c r="M479" s="544">
        <f>SUM(M3:M478)</f>
        <v>0</v>
      </c>
      <c r="N479" s="544">
        <f t="shared" ref="N479:W479" si="36">SUBTOTAL(9,N3:N478)</f>
        <v>8010149030</v>
      </c>
      <c r="O479" s="544">
        <f t="shared" si="36"/>
        <v>75793244629</v>
      </c>
      <c r="P479" s="553">
        <f t="shared" si="36"/>
        <v>2217949537543</v>
      </c>
      <c r="Q479" s="544">
        <f t="shared" si="36"/>
        <v>2332761561032</v>
      </c>
      <c r="R479" s="553">
        <f t="shared" si="36"/>
        <v>2217950</v>
      </c>
      <c r="S479" s="544">
        <f t="shared" si="36"/>
        <v>2332762</v>
      </c>
      <c r="T479" s="544">
        <f t="shared" si="36"/>
        <v>8010149030</v>
      </c>
      <c r="U479" s="544">
        <f t="shared" si="36"/>
        <v>75793244629</v>
      </c>
      <c r="V479" s="553">
        <f t="shared" si="36"/>
        <v>2150166441944</v>
      </c>
      <c r="W479" s="553">
        <f t="shared" si="36"/>
        <v>2150166</v>
      </c>
    </row>
    <row r="480" spans="1:23" ht="19.5" customHeight="1">
      <c r="P480" s="559"/>
      <c r="R480" s="559"/>
      <c r="V480" s="559"/>
      <c r="W480" s="559"/>
    </row>
    <row r="481" spans="2:23" ht="19.5" customHeight="1">
      <c r="P481" s="545" t="s">
        <v>1521</v>
      </c>
      <c r="R481" s="545">
        <f>R121+R446</f>
        <v>-6549561</v>
      </c>
      <c r="V481" s="545" t="s">
        <v>1521</v>
      </c>
    </row>
    <row r="482" spans="2:23" ht="19.5" customHeight="1">
      <c r="P482" s="545" t="s">
        <v>1522</v>
      </c>
      <c r="R482" s="545">
        <f>R407+R408+R410</f>
        <v>-4397098</v>
      </c>
      <c r="V482" s="545" t="s">
        <v>1522</v>
      </c>
    </row>
    <row r="483" spans="2:23" ht="19.5" customHeight="1">
      <c r="B483" s="545"/>
      <c r="P483" s="545" t="s">
        <v>1523</v>
      </c>
      <c r="R483" s="545">
        <f>R304</f>
        <v>-6718089</v>
      </c>
      <c r="V483" s="545" t="s">
        <v>1523</v>
      </c>
    </row>
    <row r="484" spans="2:23" ht="21">
      <c r="B484" s="545"/>
      <c r="P484" s="546"/>
      <c r="Q484" s="546"/>
      <c r="R484" s="546"/>
      <c r="S484" s="546"/>
      <c r="V484" s="546"/>
      <c r="W484" s="546"/>
    </row>
    <row r="485" spans="2:23" ht="21">
      <c r="B485" s="545"/>
      <c r="P485" s="546"/>
      <c r="Q485" s="546"/>
      <c r="R485" s="546"/>
      <c r="S485" s="546"/>
      <c r="V485" s="546"/>
      <c r="W485" s="546"/>
    </row>
    <row r="486" spans="2:23" ht="21">
      <c r="B486" s="545"/>
      <c r="P486" s="546"/>
      <c r="Q486" s="546"/>
      <c r="R486" s="546"/>
      <c r="S486" s="546"/>
      <c r="V486" s="546"/>
      <c r="W486" s="546"/>
    </row>
    <row r="487" spans="2:23" ht="21">
      <c r="B487" s="545"/>
      <c r="P487" s="560"/>
      <c r="Q487" s="560"/>
      <c r="R487" s="560"/>
      <c r="S487" s="560"/>
      <c r="V487" s="560"/>
      <c r="W487" s="560"/>
    </row>
    <row r="488" spans="2:23" ht="21">
      <c r="B488" s="545"/>
      <c r="P488" s="560"/>
      <c r="Q488" s="560"/>
      <c r="R488" s="560"/>
      <c r="S488" s="560"/>
      <c r="V488" s="560"/>
      <c r="W488" s="560"/>
    </row>
    <row r="489" spans="2:23" ht="21">
      <c r="B489" s="545"/>
      <c r="P489" s="561"/>
      <c r="Q489" s="561"/>
      <c r="R489" s="561"/>
      <c r="S489" s="561"/>
      <c r="V489" s="561"/>
      <c r="W489" s="561"/>
    </row>
    <row r="490" spans="2:23" ht="21">
      <c r="B490" s="545"/>
      <c r="P490" s="560"/>
      <c r="Q490" s="560"/>
      <c r="R490" s="560"/>
      <c r="S490" s="560"/>
      <c r="V490" s="560"/>
      <c r="W490" s="560"/>
    </row>
    <row r="491" spans="2:23" ht="21">
      <c r="B491" s="545"/>
      <c r="C491" s="546"/>
      <c r="D491" s="546"/>
      <c r="E491" s="546"/>
      <c r="F491" s="546"/>
      <c r="G491" s="546"/>
      <c r="H491" s="546"/>
      <c r="I491" s="546"/>
      <c r="J491" s="546"/>
      <c r="K491" s="546"/>
      <c r="L491" s="546"/>
      <c r="M491" s="546"/>
      <c r="N491" s="546"/>
      <c r="O491" s="546"/>
      <c r="P491" s="561"/>
      <c r="Q491" s="561"/>
      <c r="R491" s="561"/>
      <c r="S491" s="561"/>
      <c r="T491" s="546"/>
      <c r="U491" s="546"/>
      <c r="V491" s="561"/>
      <c r="W491" s="561"/>
    </row>
    <row r="492" spans="2:23" ht="21">
      <c r="B492" s="545"/>
      <c r="C492" s="546"/>
      <c r="D492" s="546"/>
      <c r="E492" s="546"/>
      <c r="F492" s="546"/>
      <c r="G492" s="546"/>
      <c r="H492" s="546"/>
      <c r="I492" s="546"/>
      <c r="J492" s="546"/>
      <c r="K492" s="546"/>
      <c r="L492" s="546"/>
      <c r="M492" s="546"/>
      <c r="N492" s="546"/>
      <c r="O492" s="546"/>
      <c r="P492" s="561"/>
      <c r="Q492" s="561"/>
      <c r="R492" s="561"/>
      <c r="S492" s="561"/>
      <c r="T492" s="546"/>
      <c r="U492" s="546"/>
      <c r="V492" s="561"/>
      <c r="W492" s="561"/>
    </row>
    <row r="493" spans="2:23" ht="21">
      <c r="B493" s="545"/>
      <c r="C493" s="546"/>
      <c r="D493" s="546"/>
      <c r="E493" s="546"/>
      <c r="F493" s="546"/>
      <c r="G493" s="546"/>
      <c r="H493" s="546"/>
      <c r="I493" s="546"/>
      <c r="J493" s="546"/>
      <c r="K493" s="546"/>
      <c r="L493" s="546"/>
      <c r="M493" s="546"/>
      <c r="N493" s="546"/>
      <c r="O493" s="546"/>
      <c r="P493" s="561"/>
      <c r="Q493" s="561"/>
      <c r="R493" s="561"/>
      <c r="S493" s="561"/>
      <c r="T493" s="546"/>
      <c r="U493" s="546"/>
      <c r="V493" s="561"/>
      <c r="W493" s="561"/>
    </row>
    <row r="494" spans="2:23" ht="21">
      <c r="B494" s="545"/>
      <c r="C494" s="546"/>
      <c r="D494" s="546"/>
      <c r="E494" s="546"/>
      <c r="F494" s="546"/>
      <c r="G494" s="546"/>
      <c r="H494" s="546"/>
      <c r="I494" s="546"/>
      <c r="J494" s="546"/>
      <c r="K494" s="546"/>
      <c r="L494" s="546"/>
      <c r="M494" s="546"/>
      <c r="N494" s="546"/>
      <c r="O494" s="546"/>
      <c r="P494" s="561"/>
      <c r="Q494" s="561"/>
      <c r="R494" s="561"/>
      <c r="S494" s="561"/>
      <c r="T494" s="546"/>
      <c r="U494" s="546"/>
      <c r="V494" s="561"/>
      <c r="W494" s="561"/>
    </row>
    <row r="495" spans="2:23" ht="21">
      <c r="B495" s="545"/>
      <c r="C495" s="546"/>
      <c r="D495" s="546"/>
      <c r="E495" s="546"/>
      <c r="F495" s="546"/>
      <c r="G495" s="546"/>
      <c r="H495" s="546"/>
      <c r="I495" s="546"/>
      <c r="J495" s="546"/>
      <c r="K495" s="546"/>
      <c r="L495" s="546"/>
      <c r="M495" s="546"/>
      <c r="N495" s="546"/>
      <c r="O495" s="546"/>
      <c r="P495" s="561"/>
      <c r="Q495" s="561"/>
      <c r="R495" s="561"/>
      <c r="S495" s="561"/>
      <c r="T495" s="546"/>
      <c r="U495" s="546"/>
      <c r="V495" s="561"/>
      <c r="W495" s="561"/>
    </row>
    <row r="496" spans="2:23" ht="21">
      <c r="B496" s="545"/>
      <c r="C496" s="546"/>
      <c r="D496" s="546"/>
      <c r="E496" s="546"/>
      <c r="F496" s="546"/>
      <c r="G496" s="546"/>
      <c r="H496" s="546"/>
      <c r="I496" s="546"/>
      <c r="J496" s="546"/>
      <c r="K496" s="546"/>
      <c r="L496" s="546"/>
      <c r="M496" s="546"/>
      <c r="N496" s="546"/>
      <c r="O496" s="546"/>
      <c r="P496" s="560"/>
      <c r="Q496" s="560"/>
      <c r="R496" s="560"/>
      <c r="S496" s="560"/>
      <c r="T496" s="546"/>
      <c r="U496" s="546"/>
      <c r="V496" s="560"/>
      <c r="W496" s="560"/>
    </row>
    <row r="497" spans="2:23" ht="21">
      <c r="B497" s="545"/>
      <c r="P497" s="561"/>
      <c r="Q497" s="561"/>
      <c r="R497" s="561"/>
      <c r="S497" s="561"/>
      <c r="V497" s="561"/>
      <c r="W497" s="561"/>
    </row>
    <row r="498" spans="2:23" ht="21">
      <c r="B498" s="545"/>
      <c r="P498" s="561"/>
      <c r="Q498" s="561"/>
      <c r="R498" s="561"/>
      <c r="S498" s="561"/>
      <c r="V498" s="561"/>
      <c r="W498" s="561"/>
    </row>
    <row r="499" spans="2:23" ht="21">
      <c r="B499" s="545"/>
      <c r="P499" s="561"/>
      <c r="Q499" s="561"/>
      <c r="R499" s="561"/>
      <c r="S499" s="561"/>
      <c r="V499" s="561"/>
      <c r="W499" s="561"/>
    </row>
    <row r="500" spans="2:23" ht="21">
      <c r="B500" s="545"/>
      <c r="P500" s="561"/>
      <c r="Q500" s="561"/>
      <c r="R500" s="561"/>
      <c r="S500" s="561"/>
      <c r="V500" s="561"/>
      <c r="W500" s="561"/>
    </row>
    <row r="501" spans="2:23" ht="21">
      <c r="B501" s="545"/>
      <c r="P501" s="561"/>
      <c r="Q501" s="561"/>
      <c r="R501" s="561"/>
      <c r="S501" s="561"/>
      <c r="V501" s="561"/>
      <c r="W501" s="561"/>
    </row>
    <row r="502" spans="2:23" ht="21">
      <c r="B502" s="545"/>
      <c r="P502" s="561"/>
      <c r="Q502" s="561"/>
      <c r="R502" s="561"/>
      <c r="S502" s="561"/>
      <c r="V502" s="561"/>
      <c r="W502" s="561"/>
    </row>
    <row r="503" spans="2:23" ht="21">
      <c r="B503" s="545"/>
      <c r="P503" s="561"/>
      <c r="Q503" s="561"/>
      <c r="R503" s="561"/>
      <c r="S503" s="561"/>
      <c r="V503" s="561"/>
      <c r="W503" s="561"/>
    </row>
    <row r="504" spans="2:23" ht="21">
      <c r="B504" s="545"/>
      <c r="P504" s="561"/>
      <c r="Q504" s="561"/>
      <c r="R504" s="561"/>
      <c r="S504" s="561"/>
      <c r="V504" s="561"/>
      <c r="W504" s="561"/>
    </row>
    <row r="505" spans="2:23" ht="21">
      <c r="B505" s="545"/>
      <c r="P505" s="561"/>
      <c r="Q505" s="561"/>
      <c r="R505" s="561"/>
      <c r="S505" s="561"/>
      <c r="V505" s="561"/>
      <c r="W505" s="561"/>
    </row>
    <row r="506" spans="2:23" ht="21">
      <c r="B506" s="545"/>
      <c r="P506" s="546"/>
      <c r="Q506" s="546"/>
      <c r="R506" s="546"/>
      <c r="S506" s="546"/>
      <c r="V506" s="546"/>
      <c r="W506" s="546"/>
    </row>
  </sheetData>
  <autoFilter ref="A1:V478">
    <filterColumn colId="2">
      <filters>
        <filter val="90008984"/>
      </filters>
    </filterColumn>
  </autoFilter>
  <mergeCells count="23">
    <mergeCell ref="H1:H2"/>
    <mergeCell ref="I1:I2"/>
    <mergeCell ref="J1:J2"/>
    <mergeCell ref="K1:K2"/>
    <mergeCell ref="O1:O2"/>
    <mergeCell ref="N1:N2"/>
    <mergeCell ref="M1:M2"/>
    <mergeCell ref="W1:W2"/>
    <mergeCell ref="L1:L2"/>
    <mergeCell ref="A1:A2"/>
    <mergeCell ref="B1:B2"/>
    <mergeCell ref="C1:C2"/>
    <mergeCell ref="D1:D2"/>
    <mergeCell ref="E1:E2"/>
    <mergeCell ref="V1:V2"/>
    <mergeCell ref="U1:U2"/>
    <mergeCell ref="T1:T2"/>
    <mergeCell ref="F1:F2"/>
    <mergeCell ref="G1:G2"/>
    <mergeCell ref="S1:S2"/>
    <mergeCell ref="R1:R2"/>
    <mergeCell ref="Q1:Q2"/>
    <mergeCell ref="P1:P2"/>
  </mergeCells>
  <printOptions horizontalCentered="1" verticalCentered="1"/>
  <pageMargins left="0" right="0" top="0.35433070866141736" bottom="0.19685039370078741" header="0.31496062992125984" footer="0.31496062992125984"/>
  <pageSetup paperSize="9"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50"/>
  <sheetViews>
    <sheetView rightToLeft="1" view="pageBreakPreview" topLeftCell="C19" zoomScale="60" zoomScaleNormal="120" workbookViewId="0">
      <selection activeCell="O43" sqref="O43:P43"/>
    </sheetView>
  </sheetViews>
  <sheetFormatPr defaultColWidth="2.125" defaultRowHeight="26.25"/>
  <cols>
    <col min="1" max="1" width="1.375" style="338" customWidth="1"/>
    <col min="2" max="2" width="6.125" style="150" customWidth="1"/>
    <col min="3" max="3" width="7.5" style="953" customWidth="1"/>
    <col min="4" max="4" width="21.75" style="150" customWidth="1"/>
    <col min="5" max="5" width="86.5" style="150" customWidth="1"/>
    <col min="6" max="6" width="6.5" style="1083" customWidth="1"/>
    <col min="7" max="7" width="7.25" style="250" customWidth="1"/>
    <col min="8" max="8" width="6.5" style="2072" customWidth="1"/>
    <col min="9" max="9" width="7.25" style="2066" customWidth="1"/>
    <col min="10" max="10" width="9" style="150" customWidth="1"/>
    <col min="11" max="11" width="17.25" style="150" customWidth="1"/>
    <col min="12" max="12" width="14" style="475" customWidth="1"/>
    <col min="13" max="13" width="16.375" style="150" customWidth="1"/>
    <col min="14" max="14" width="15.75" style="150" customWidth="1"/>
    <col min="15" max="15" width="13.25" style="150" customWidth="1"/>
    <col min="16" max="16" width="17.25" style="150" customWidth="1"/>
    <col min="17" max="17" width="14.5" style="150" customWidth="1"/>
    <col min="18" max="18" width="16.875" style="463" customWidth="1"/>
    <col min="19" max="21" width="2.125" style="150"/>
    <col min="22" max="22" width="12.625" style="150" bestFit="1" customWidth="1"/>
    <col min="23" max="16384" width="2.125" style="150"/>
  </cols>
  <sheetData>
    <row r="1" spans="1:22" s="408" customFormat="1" ht="28.5" customHeight="1">
      <c r="A1" s="1105"/>
      <c r="D1" s="3470" t="s">
        <v>612</v>
      </c>
      <c r="E1" s="3470"/>
      <c r="F1" s="3470"/>
      <c r="G1" s="3470"/>
      <c r="H1" s="3470"/>
      <c r="I1" s="3470"/>
      <c r="J1" s="3470"/>
      <c r="K1" s="3470"/>
      <c r="L1" s="3470"/>
      <c r="M1" s="3470"/>
      <c r="N1" s="3470"/>
      <c r="O1" s="3470"/>
      <c r="P1" s="3470"/>
      <c r="Q1" s="3470"/>
      <c r="R1" s="3470"/>
    </row>
    <row r="2" spans="1:22" s="408" customFormat="1" ht="31.5" customHeight="1">
      <c r="A2" s="1105"/>
      <c r="D2" s="3471" t="str">
        <f>مفروضات!A2</f>
        <v>يادداشت هاي توضيحي صورت هاي مالي</v>
      </c>
      <c r="E2" s="3471"/>
      <c r="F2" s="3471"/>
      <c r="G2" s="3471"/>
      <c r="H2" s="3471"/>
      <c r="I2" s="3471"/>
      <c r="J2" s="3471"/>
      <c r="K2" s="3471"/>
      <c r="L2" s="3471"/>
      <c r="M2" s="3471"/>
      <c r="N2" s="3471"/>
      <c r="O2" s="3471"/>
      <c r="P2" s="3471"/>
      <c r="Q2" s="3471"/>
      <c r="R2" s="3471"/>
    </row>
    <row r="3" spans="1:22" s="408" customFormat="1" ht="32.25" customHeight="1">
      <c r="A3" s="1105"/>
      <c r="D3" s="3470" t="str">
        <f>mafrozat!A3</f>
        <v xml:space="preserve"> سال مالي منتهي به 29 اسفند 1402</v>
      </c>
      <c r="E3" s="3470"/>
      <c r="F3" s="3470"/>
      <c r="G3" s="3470"/>
      <c r="H3" s="3470"/>
      <c r="I3" s="3470"/>
      <c r="J3" s="3470"/>
      <c r="K3" s="3470"/>
      <c r="L3" s="3470"/>
      <c r="M3" s="3470"/>
      <c r="N3" s="3470"/>
      <c r="O3" s="3470"/>
      <c r="P3" s="3470"/>
      <c r="Q3" s="3470"/>
      <c r="R3" s="3470"/>
    </row>
    <row r="4" spans="1:22" s="408" customFormat="1" ht="6" customHeight="1">
      <c r="A4" s="1105"/>
      <c r="D4" s="455"/>
      <c r="E4" s="455"/>
      <c r="F4" s="1084"/>
      <c r="G4" s="1212"/>
      <c r="H4" s="2067"/>
      <c r="I4" s="2058"/>
      <c r="J4" s="455"/>
      <c r="K4" s="768"/>
      <c r="L4" s="455"/>
      <c r="M4" s="455"/>
      <c r="N4" s="455"/>
      <c r="O4" s="455"/>
      <c r="P4" s="455"/>
      <c r="Q4" s="768"/>
      <c r="R4" s="455"/>
    </row>
    <row r="5" spans="1:22" s="408" customFormat="1" ht="9.75" hidden="1" customHeight="1">
      <c r="A5" s="1105"/>
      <c r="D5" s="456"/>
      <c r="E5" s="456"/>
      <c r="F5" s="456"/>
      <c r="G5" s="1213"/>
      <c r="H5" s="2068"/>
      <c r="I5" s="2059"/>
      <c r="J5" s="456"/>
      <c r="K5" s="456"/>
      <c r="L5" s="457"/>
      <c r="M5" s="456"/>
      <c r="N5" s="456"/>
      <c r="O5" s="456"/>
      <c r="P5" s="458"/>
      <c r="Q5" s="458"/>
      <c r="R5" s="459"/>
    </row>
    <row r="6" spans="1:22" s="1520" customFormat="1" ht="33" customHeight="1" thickBot="1">
      <c r="A6" s="338"/>
      <c r="B6" s="460"/>
      <c r="C6" s="3508" t="s">
        <v>2619</v>
      </c>
      <c r="D6" s="3508"/>
      <c r="E6" s="3508"/>
      <c r="F6" s="461"/>
      <c r="G6" s="1214"/>
      <c r="H6" s="2069"/>
      <c r="I6" s="2060"/>
      <c r="J6" s="462"/>
      <c r="K6" s="462"/>
      <c r="M6" s="3490"/>
      <c r="N6" s="3490"/>
      <c r="O6" s="3490"/>
      <c r="P6" s="3490"/>
      <c r="Q6" s="1519"/>
      <c r="R6" s="463"/>
    </row>
    <row r="7" spans="1:22" s="1520" customFormat="1" ht="33" customHeight="1" thickBot="1">
      <c r="A7" s="338"/>
      <c r="C7" s="954" t="s">
        <v>1665</v>
      </c>
      <c r="D7" s="1716" t="s">
        <v>2490</v>
      </c>
      <c r="E7" s="1006"/>
      <c r="F7" s="955"/>
      <c r="G7" s="956"/>
      <c r="H7" s="955"/>
      <c r="I7" s="2061"/>
      <c r="J7" s="955"/>
      <c r="K7" s="955"/>
      <c r="L7" s="957"/>
      <c r="M7" s="958"/>
      <c r="N7" s="958"/>
      <c r="O7" s="958"/>
      <c r="P7" s="250"/>
      <c r="Q7" s="250"/>
      <c r="R7" s="103" t="s">
        <v>1676</v>
      </c>
    </row>
    <row r="8" spans="1:22" s="1520" customFormat="1" ht="46.5" customHeight="1" thickBot="1">
      <c r="A8" s="338"/>
      <c r="C8" s="179"/>
      <c r="D8" s="3496" t="s">
        <v>629</v>
      </c>
      <c r="E8" s="3494" t="s">
        <v>707</v>
      </c>
      <c r="F8" s="3484" t="s">
        <v>2491</v>
      </c>
      <c r="G8" s="3485"/>
      <c r="H8" s="3484" t="s">
        <v>1741</v>
      </c>
      <c r="I8" s="3485"/>
      <c r="J8" s="3498" t="s">
        <v>1466</v>
      </c>
      <c r="K8" s="3472" t="s">
        <v>2657</v>
      </c>
      <c r="L8" s="3479" t="s">
        <v>1465</v>
      </c>
      <c r="M8" s="3480"/>
      <c r="N8" s="3480"/>
      <c r="O8" s="3480"/>
      <c r="P8" s="3480"/>
      <c r="Q8" s="3481"/>
      <c r="R8" s="3474" t="s">
        <v>2660</v>
      </c>
    </row>
    <row r="9" spans="1:22" s="464" customFormat="1" ht="21.75" customHeight="1">
      <c r="A9" s="1106"/>
      <c r="C9" s="954"/>
      <c r="D9" s="3496"/>
      <c r="E9" s="3494"/>
      <c r="F9" s="3486"/>
      <c r="G9" s="3487"/>
      <c r="H9" s="3486"/>
      <c r="I9" s="3487"/>
      <c r="J9" s="3499"/>
      <c r="K9" s="3473"/>
      <c r="L9" s="3476" t="s">
        <v>2658</v>
      </c>
      <c r="M9" s="3493" t="s">
        <v>2799</v>
      </c>
      <c r="N9" s="3482" t="s">
        <v>1670</v>
      </c>
      <c r="O9" s="3491" t="s">
        <v>1464</v>
      </c>
      <c r="P9" s="3492"/>
      <c r="Q9" s="3478" t="s">
        <v>2659</v>
      </c>
      <c r="R9" s="3475"/>
      <c r="V9" s="465"/>
    </row>
    <row r="10" spans="1:22" s="464" customFormat="1" ht="43.5" customHeight="1">
      <c r="A10" s="1106"/>
      <c r="C10" s="954"/>
      <c r="D10" s="3497"/>
      <c r="E10" s="3495"/>
      <c r="F10" s="1551">
        <v>1402</v>
      </c>
      <c r="G10" s="1550">
        <v>1401</v>
      </c>
      <c r="H10" s="2070" t="s">
        <v>2656</v>
      </c>
      <c r="I10" s="2062" t="s">
        <v>2655</v>
      </c>
      <c r="J10" s="3500"/>
      <c r="K10" s="3473"/>
      <c r="L10" s="3477"/>
      <c r="M10" s="3492"/>
      <c r="N10" s="3483"/>
      <c r="O10" s="1549" t="s">
        <v>1378</v>
      </c>
      <c r="P10" s="1548" t="s">
        <v>1377</v>
      </c>
      <c r="Q10" s="3477"/>
      <c r="R10" s="3475"/>
      <c r="V10" s="466" t="s">
        <v>1379</v>
      </c>
    </row>
    <row r="11" spans="1:22" s="464" customFormat="1" ht="24.75" customHeight="1">
      <c r="A11" s="1106"/>
      <c r="C11" s="954"/>
      <c r="D11" s="2697">
        <v>90225</v>
      </c>
      <c r="E11" s="1547" t="s">
        <v>2492</v>
      </c>
      <c r="F11" s="1720">
        <v>92</v>
      </c>
      <c r="G11" s="1531">
        <v>99</v>
      </c>
      <c r="H11" s="2071" t="s">
        <v>2268</v>
      </c>
      <c r="I11" s="2063">
        <v>99.5</v>
      </c>
      <c r="J11" s="3504" t="s">
        <v>2240</v>
      </c>
      <c r="K11" s="1530">
        <v>8836469</v>
      </c>
      <c r="L11" s="1522">
        <v>516806</v>
      </c>
      <c r="M11" s="1522">
        <v>16617</v>
      </c>
      <c r="N11" s="1522"/>
      <c r="O11" s="1522">
        <v>-1921</v>
      </c>
      <c r="P11" s="1522">
        <v>-7486</v>
      </c>
      <c r="Q11" s="1522">
        <f>L11+M11+N11+O11+P11</f>
        <v>524016</v>
      </c>
      <c r="R11" s="1524">
        <v>8087237</v>
      </c>
      <c r="V11" s="467">
        <f t="shared" ref="V11:V17" si="0">M11-N11</f>
        <v>16617</v>
      </c>
    </row>
    <row r="12" spans="1:22" s="1520" customFormat="1" ht="24.75" customHeight="1">
      <c r="A12" s="338"/>
      <c r="C12" s="179"/>
      <c r="D12" s="2697">
        <v>90226</v>
      </c>
      <c r="E12" s="1547" t="s">
        <v>2493</v>
      </c>
      <c r="F12" s="1720">
        <v>84</v>
      </c>
      <c r="G12" s="1531">
        <v>92</v>
      </c>
      <c r="H12" s="2071" t="s">
        <v>2698</v>
      </c>
      <c r="I12" s="2063" t="s">
        <v>2255</v>
      </c>
      <c r="J12" s="3505"/>
      <c r="K12" s="1530">
        <v>3881376</v>
      </c>
      <c r="L12" s="1522">
        <v>1263321</v>
      </c>
      <c r="M12" s="1522">
        <v>416495</v>
      </c>
      <c r="N12" s="1522"/>
      <c r="O12" s="1522"/>
      <c r="P12" s="1522">
        <v>-55964</v>
      </c>
      <c r="Q12" s="1522">
        <f t="shared" ref="Q12:Q17" si="1">L12+M12+N12+O12+P12</f>
        <v>1623852</v>
      </c>
      <c r="R12" s="1524">
        <v>3275100</v>
      </c>
      <c r="V12" s="467">
        <f t="shared" si="0"/>
        <v>416495</v>
      </c>
    </row>
    <row r="13" spans="1:22" s="1520" customFormat="1" ht="24.75" customHeight="1">
      <c r="A13" s="338"/>
      <c r="C13" s="179"/>
      <c r="D13" s="2697">
        <v>90227</v>
      </c>
      <c r="E13" s="1547" t="s">
        <v>2556</v>
      </c>
      <c r="F13" s="1720">
        <v>61</v>
      </c>
      <c r="G13" s="1531">
        <v>85</v>
      </c>
      <c r="H13" s="2071" t="s">
        <v>2255</v>
      </c>
      <c r="I13" s="2063" t="s">
        <v>2256</v>
      </c>
      <c r="J13" s="3505"/>
      <c r="K13" s="1530">
        <v>610694</v>
      </c>
      <c r="L13" s="1522">
        <v>70648</v>
      </c>
      <c r="M13" s="1522">
        <v>59127</v>
      </c>
      <c r="N13" s="1522">
        <v>0</v>
      </c>
      <c r="O13" s="1522"/>
      <c r="P13" s="1522">
        <v>-104438</v>
      </c>
      <c r="Q13" s="1522">
        <f t="shared" si="1"/>
        <v>25337</v>
      </c>
      <c r="R13" s="1524">
        <v>372080</v>
      </c>
      <c r="V13" s="467">
        <f t="shared" si="0"/>
        <v>59127</v>
      </c>
    </row>
    <row r="14" spans="1:22" s="1520" customFormat="1" ht="24.75" customHeight="1">
      <c r="A14" s="338"/>
      <c r="C14" s="179"/>
      <c r="D14" s="2697">
        <v>90228</v>
      </c>
      <c r="E14" s="1533" t="s">
        <v>2494</v>
      </c>
      <c r="F14" s="1720">
        <v>100</v>
      </c>
      <c r="G14" s="1531">
        <v>100</v>
      </c>
      <c r="H14" s="2071" t="s">
        <v>2257</v>
      </c>
      <c r="I14" s="2063" t="s">
        <v>2257</v>
      </c>
      <c r="J14" s="3505"/>
      <c r="K14" s="1530">
        <v>6837874</v>
      </c>
      <c r="L14" s="1522">
        <v>3430843</v>
      </c>
      <c r="M14" s="1522">
        <v>986940</v>
      </c>
      <c r="N14" s="1522">
        <v>-29</v>
      </c>
      <c r="O14" s="1522"/>
      <c r="P14" s="1522">
        <v>-223916</v>
      </c>
      <c r="Q14" s="1522">
        <f t="shared" si="1"/>
        <v>4193838</v>
      </c>
      <c r="R14" s="1524">
        <v>7849914</v>
      </c>
      <c r="V14" s="467">
        <f t="shared" si="0"/>
        <v>986969</v>
      </c>
    </row>
    <row r="15" spans="1:22" s="1520" customFormat="1" ht="30" customHeight="1">
      <c r="A15" s="338"/>
      <c r="C15" s="179"/>
      <c r="D15" s="2697">
        <v>90229</v>
      </c>
      <c r="E15" s="1533" t="s">
        <v>1380</v>
      </c>
      <c r="F15" s="1720">
        <v>17</v>
      </c>
      <c r="G15" s="1531">
        <v>52</v>
      </c>
      <c r="H15" s="2071" t="s">
        <v>2699</v>
      </c>
      <c r="I15" s="2063" t="s">
        <v>2258</v>
      </c>
      <c r="J15" s="3505"/>
      <c r="K15" s="1530">
        <v>78299</v>
      </c>
      <c r="L15" s="1522">
        <v>11084</v>
      </c>
      <c r="M15" s="1522">
        <v>-11118</v>
      </c>
      <c r="N15" s="1522">
        <v>0</v>
      </c>
      <c r="O15" s="1522"/>
      <c r="P15" s="1522"/>
      <c r="Q15" s="1522">
        <f t="shared" si="1"/>
        <v>-34</v>
      </c>
      <c r="R15" s="1524">
        <v>13281</v>
      </c>
      <c r="V15" s="467">
        <f t="shared" si="0"/>
        <v>-11118</v>
      </c>
    </row>
    <row r="16" spans="1:22" s="1520" customFormat="1" ht="28.5" customHeight="1">
      <c r="A16" s="338"/>
      <c r="C16" s="179"/>
      <c r="D16" s="2697">
        <v>90230</v>
      </c>
      <c r="E16" s="1533" t="s">
        <v>1038</v>
      </c>
      <c r="F16" s="1720">
        <v>100</v>
      </c>
      <c r="G16" s="1531">
        <v>94</v>
      </c>
      <c r="H16" s="2071" t="s">
        <v>2700</v>
      </c>
      <c r="I16" s="2063" t="s">
        <v>2259</v>
      </c>
      <c r="J16" s="3505"/>
      <c r="K16" s="1530">
        <v>1462705</v>
      </c>
      <c r="L16" s="1522">
        <v>24443</v>
      </c>
      <c r="M16" s="1522">
        <v>184952</v>
      </c>
      <c r="N16" s="1522">
        <v>0</v>
      </c>
      <c r="O16" s="1522"/>
      <c r="P16" s="1522"/>
      <c r="Q16" s="1522">
        <f t="shared" si="1"/>
        <v>209395</v>
      </c>
      <c r="R16" s="1524">
        <v>1461694</v>
      </c>
      <c r="V16" s="467">
        <f t="shared" si="0"/>
        <v>184952</v>
      </c>
    </row>
    <row r="17" spans="1:22" s="1520" customFormat="1" ht="24.75" customHeight="1" thickBot="1">
      <c r="A17" s="338"/>
      <c r="C17" s="179"/>
      <c r="D17" s="3088">
        <v>90231</v>
      </c>
      <c r="E17" s="1529" t="s">
        <v>1348</v>
      </c>
      <c r="F17" s="3089">
        <v>71</v>
      </c>
      <c r="G17" s="1527">
        <v>55</v>
      </c>
      <c r="H17" s="3090" t="s">
        <v>2260</v>
      </c>
      <c r="I17" s="2065" t="s">
        <v>2260</v>
      </c>
      <c r="J17" s="3505"/>
      <c r="K17" s="1526">
        <v>86079</v>
      </c>
      <c r="L17" s="1525"/>
      <c r="M17" s="1525">
        <v>17254</v>
      </c>
      <c r="N17" s="1525">
        <v>0</v>
      </c>
      <c r="O17" s="1525">
        <v>0</v>
      </c>
      <c r="P17" s="1525">
        <v>0</v>
      </c>
      <c r="Q17" s="1525">
        <f t="shared" si="1"/>
        <v>17254</v>
      </c>
      <c r="R17" s="1538">
        <v>60848</v>
      </c>
      <c r="V17" s="467">
        <f t="shared" si="0"/>
        <v>17254</v>
      </c>
    </row>
    <row r="18" spans="1:22" s="1520" customFormat="1" ht="24.75" customHeight="1" thickBot="1">
      <c r="A18" s="706" t="s">
        <v>2064</v>
      </c>
      <c r="C18" s="179"/>
      <c r="D18" s="3096"/>
      <c r="E18" s="3100" t="s">
        <v>2502</v>
      </c>
      <c r="F18" s="3501"/>
      <c r="G18" s="3502"/>
      <c r="H18" s="3502"/>
      <c r="I18" s="3503"/>
      <c r="J18" s="2135"/>
      <c r="K18" s="1536">
        <f>SUM(K11:K17)</f>
        <v>21793496</v>
      </c>
      <c r="L18" s="1536">
        <f t="shared" ref="L18:R18" si="2">SUM(L11:L17)</f>
        <v>5317145</v>
      </c>
      <c r="M18" s="1536">
        <f t="shared" si="2"/>
        <v>1670267</v>
      </c>
      <c r="N18" s="1536">
        <f t="shared" si="2"/>
        <v>-29</v>
      </c>
      <c r="O18" s="1536">
        <f t="shared" si="2"/>
        <v>-1921</v>
      </c>
      <c r="P18" s="1536">
        <f t="shared" si="2"/>
        <v>-391804</v>
      </c>
      <c r="Q18" s="1536">
        <f t="shared" si="2"/>
        <v>6593658</v>
      </c>
      <c r="R18" s="1535">
        <f t="shared" si="2"/>
        <v>21120154</v>
      </c>
      <c r="V18" s="469">
        <f>SUM(V11:V17)</f>
        <v>1670296</v>
      </c>
    </row>
    <row r="19" spans="1:22" s="239" customFormat="1" ht="33.75" customHeight="1" thickBot="1">
      <c r="A19" s="839"/>
      <c r="C19" s="1546" t="s">
        <v>1404</v>
      </c>
      <c r="D19" s="3468" t="s">
        <v>2495</v>
      </c>
      <c r="E19" s="3469"/>
      <c r="F19" s="3091"/>
      <c r="G19" s="3092"/>
      <c r="H19" s="3093"/>
      <c r="I19" s="3094"/>
      <c r="J19" s="1545"/>
      <c r="K19" s="3092"/>
      <c r="L19" s="3092"/>
      <c r="M19" s="3092"/>
      <c r="N19" s="3092"/>
      <c r="O19" s="3092"/>
      <c r="P19" s="3092"/>
      <c r="Q19" s="3092"/>
      <c r="R19" s="3095"/>
      <c r="U19" s="470"/>
      <c r="V19" s="471"/>
    </row>
    <row r="20" spans="1:22" s="464" customFormat="1" ht="26.25" customHeight="1" thickBot="1">
      <c r="A20" s="1106"/>
      <c r="C20" s="954"/>
      <c r="D20" s="2697">
        <v>90232</v>
      </c>
      <c r="E20" s="1544" t="s">
        <v>2496</v>
      </c>
      <c r="F20" s="1543">
        <v>100</v>
      </c>
      <c r="G20" s="1539">
        <v>88</v>
      </c>
      <c r="H20" s="2064" t="s">
        <v>2701</v>
      </c>
      <c r="I20" s="2064" t="s">
        <v>2260</v>
      </c>
      <c r="J20" s="3506" t="s">
        <v>2240</v>
      </c>
      <c r="K20" s="1542">
        <v>4832232</v>
      </c>
      <c r="L20" s="1541">
        <v>807298</v>
      </c>
      <c r="M20" s="1541">
        <v>883117</v>
      </c>
      <c r="N20" s="1541">
        <v>0</v>
      </c>
      <c r="O20" s="1541">
        <v>0</v>
      </c>
      <c r="P20" s="1541">
        <v>-421622</v>
      </c>
      <c r="Q20" s="1522">
        <f>L20+M20+N20+O20+P20</f>
        <v>1268793</v>
      </c>
      <c r="R20" s="1540">
        <v>4961725</v>
      </c>
      <c r="T20" s="472"/>
      <c r="V20" s="467">
        <f t="shared" ref="V20:V27" si="3">M20-N20</f>
        <v>883117</v>
      </c>
    </row>
    <row r="21" spans="1:22" s="1520" customFormat="1" ht="26.25" customHeight="1" thickBot="1">
      <c r="A21" s="338"/>
      <c r="C21" s="179"/>
      <c r="D21" s="2697">
        <v>90233</v>
      </c>
      <c r="E21" s="1533" t="s">
        <v>2497</v>
      </c>
      <c r="F21" s="1531">
        <v>77</v>
      </c>
      <c r="G21" s="1531">
        <v>78</v>
      </c>
      <c r="H21" s="2064" t="s">
        <v>2261</v>
      </c>
      <c r="I21" s="2063" t="s">
        <v>2261</v>
      </c>
      <c r="J21" s="3505"/>
      <c r="K21" s="1530">
        <v>8669614</v>
      </c>
      <c r="L21" s="1522">
        <v>1780289</v>
      </c>
      <c r="M21" s="1522">
        <v>1078722</v>
      </c>
      <c r="N21" s="1522"/>
      <c r="O21" s="1522">
        <v>0</v>
      </c>
      <c r="P21" s="1522">
        <v>-718468</v>
      </c>
      <c r="Q21" s="1522">
        <f t="shared" ref="Q21:Q27" si="4">L21+M21+N21+O21+P21</f>
        <v>2140543</v>
      </c>
      <c r="R21" s="1524">
        <v>6688255</v>
      </c>
      <c r="V21" s="467">
        <f t="shared" si="3"/>
        <v>1078722</v>
      </c>
    </row>
    <row r="22" spans="1:22" s="1520" customFormat="1" ht="26.25" customHeight="1" thickBot="1">
      <c r="A22" s="338"/>
      <c r="C22" s="179"/>
      <c r="D22" s="2697">
        <v>90234</v>
      </c>
      <c r="E22" s="1533" t="s">
        <v>2498</v>
      </c>
      <c r="F22" s="1531">
        <v>89</v>
      </c>
      <c r="G22" s="1531">
        <v>98</v>
      </c>
      <c r="H22" s="2064" t="s">
        <v>2255</v>
      </c>
      <c r="I22" s="2063" t="s">
        <v>2262</v>
      </c>
      <c r="J22" s="3505"/>
      <c r="K22" s="1530">
        <v>1234371</v>
      </c>
      <c r="L22" s="1522">
        <v>206369</v>
      </c>
      <c r="M22" s="1522">
        <v>451877</v>
      </c>
      <c r="N22" s="1522">
        <v>-3603</v>
      </c>
      <c r="O22" s="1522">
        <v>0</v>
      </c>
      <c r="P22" s="1522">
        <v>-316086</v>
      </c>
      <c r="Q22" s="1522">
        <f t="shared" si="4"/>
        <v>338557</v>
      </c>
      <c r="R22" s="1524">
        <v>1554951</v>
      </c>
      <c r="V22" s="467">
        <f t="shared" si="3"/>
        <v>455480</v>
      </c>
    </row>
    <row r="23" spans="1:22" s="464" customFormat="1" ht="26.25" customHeight="1" thickBot="1">
      <c r="A23" s="1106"/>
      <c r="C23" s="986"/>
      <c r="D23" s="2697">
        <v>90235</v>
      </c>
      <c r="E23" s="1533" t="s">
        <v>2555</v>
      </c>
      <c r="F23" s="1531">
        <v>100</v>
      </c>
      <c r="G23" s="1531">
        <v>95</v>
      </c>
      <c r="H23" s="2064" t="s">
        <v>2265</v>
      </c>
      <c r="I23" s="2063" t="s">
        <v>2263</v>
      </c>
      <c r="J23" s="3505"/>
      <c r="K23" s="1530">
        <v>1375921</v>
      </c>
      <c r="L23" s="1522">
        <f>290504</f>
        <v>290504</v>
      </c>
      <c r="M23" s="1522">
        <f>541685+3045</f>
        <v>544730</v>
      </c>
      <c r="N23" s="1522">
        <v>-631</v>
      </c>
      <c r="O23" s="1522">
        <v>0</v>
      </c>
      <c r="P23" s="1522">
        <v>-346413</v>
      </c>
      <c r="Q23" s="1522">
        <f t="shared" si="4"/>
        <v>488190</v>
      </c>
      <c r="R23" s="1524">
        <v>1531473</v>
      </c>
      <c r="V23" s="467">
        <f t="shared" si="3"/>
        <v>545361</v>
      </c>
    </row>
    <row r="24" spans="1:22" s="1520" customFormat="1" ht="26.25" customHeight="1" thickBot="1">
      <c r="A24" s="338"/>
      <c r="C24" s="179"/>
      <c r="D24" s="2697">
        <v>90236</v>
      </c>
      <c r="E24" s="1533" t="s">
        <v>2499</v>
      </c>
      <c r="F24" s="1531">
        <v>75</v>
      </c>
      <c r="G24" s="1531">
        <v>82</v>
      </c>
      <c r="H24" s="2064" t="s">
        <v>2702</v>
      </c>
      <c r="I24" s="2063" t="s">
        <v>2264</v>
      </c>
      <c r="J24" s="3505"/>
      <c r="K24" s="1530">
        <v>203636</v>
      </c>
      <c r="L24" s="1522">
        <v>1678</v>
      </c>
      <c r="M24" s="1522">
        <v>-74</v>
      </c>
      <c r="N24" s="1522">
        <v>0</v>
      </c>
      <c r="O24" s="1522">
        <v>0</v>
      </c>
      <c r="P24" s="1522">
        <v>-1600</v>
      </c>
      <c r="Q24" s="1522">
        <f t="shared" si="4"/>
        <v>4</v>
      </c>
      <c r="R24" s="1524">
        <v>153230</v>
      </c>
      <c r="V24" s="467">
        <f t="shared" si="3"/>
        <v>-74</v>
      </c>
    </row>
    <row r="25" spans="1:22" s="464" customFormat="1" ht="26.25" customHeight="1" thickBot="1">
      <c r="A25" s="1106"/>
      <c r="C25" s="954"/>
      <c r="D25" s="2697">
        <v>90237</v>
      </c>
      <c r="E25" s="1533" t="s">
        <v>2501</v>
      </c>
      <c r="F25" s="1531">
        <v>77</v>
      </c>
      <c r="G25" s="1531">
        <v>78</v>
      </c>
      <c r="H25" s="2064" t="s">
        <v>2703</v>
      </c>
      <c r="I25" s="2063" t="s">
        <v>2265</v>
      </c>
      <c r="J25" s="3505"/>
      <c r="K25" s="1530">
        <v>1156323</v>
      </c>
      <c r="L25" s="1522">
        <v>154407</v>
      </c>
      <c r="M25" s="1522">
        <v>135334</v>
      </c>
      <c r="N25" s="1522">
        <v>0</v>
      </c>
      <c r="O25" s="1522">
        <v>0</v>
      </c>
      <c r="P25" s="1522">
        <v>-40490</v>
      </c>
      <c r="Q25" s="1522">
        <f t="shared" si="4"/>
        <v>249251</v>
      </c>
      <c r="R25" s="1524">
        <v>891430</v>
      </c>
      <c r="V25" s="467">
        <f t="shared" si="3"/>
        <v>135334</v>
      </c>
    </row>
    <row r="26" spans="1:22" s="1520" customFormat="1" ht="26.25" customHeight="1" thickBot="1">
      <c r="A26" s="338"/>
      <c r="C26" s="179"/>
      <c r="D26" s="2697">
        <v>90238</v>
      </c>
      <c r="E26" s="1533" t="s">
        <v>2500</v>
      </c>
      <c r="F26" s="1531">
        <v>75</v>
      </c>
      <c r="G26" s="1531">
        <v>77</v>
      </c>
      <c r="H26" s="2064" t="s">
        <v>2699</v>
      </c>
      <c r="I26" s="2063" t="s">
        <v>2266</v>
      </c>
      <c r="J26" s="3505"/>
      <c r="K26" s="1530">
        <v>2743644</v>
      </c>
      <c r="L26" s="1522">
        <v>29437</v>
      </c>
      <c r="M26" s="1522">
        <v>710192</v>
      </c>
      <c r="N26" s="1522">
        <v>0</v>
      </c>
      <c r="O26" s="1522">
        <v>0</v>
      </c>
      <c r="P26" s="1522">
        <v>-555039</v>
      </c>
      <c r="Q26" s="1522">
        <f t="shared" si="4"/>
        <v>184590</v>
      </c>
      <c r="R26" s="1524">
        <v>2053380</v>
      </c>
      <c r="V26" s="467">
        <f t="shared" si="3"/>
        <v>710192</v>
      </c>
    </row>
    <row r="27" spans="1:22" s="464" customFormat="1" ht="26.25" customHeight="1" thickBot="1">
      <c r="A27" s="1106"/>
      <c r="C27" s="954"/>
      <c r="D27" s="3088">
        <v>90239</v>
      </c>
      <c r="E27" s="1529" t="s">
        <v>1355</v>
      </c>
      <c r="F27" s="1527">
        <v>100</v>
      </c>
      <c r="G27" s="1527">
        <v>81</v>
      </c>
      <c r="H27" s="2064" t="s">
        <v>2704</v>
      </c>
      <c r="I27" s="2065" t="s">
        <v>2267</v>
      </c>
      <c r="J27" s="3507"/>
      <c r="K27" s="1526">
        <v>280222</v>
      </c>
      <c r="L27" s="1525">
        <v>29936</v>
      </c>
      <c r="M27" s="1525">
        <v>171154</v>
      </c>
      <c r="N27" s="1525">
        <v>0</v>
      </c>
      <c r="O27" s="1525">
        <v>0</v>
      </c>
      <c r="P27" s="1525">
        <v>-60167</v>
      </c>
      <c r="Q27" s="1522">
        <f t="shared" si="4"/>
        <v>140923</v>
      </c>
      <c r="R27" s="1538">
        <v>344669</v>
      </c>
      <c r="V27" s="467">
        <f t="shared" si="3"/>
        <v>171154</v>
      </c>
    </row>
    <row r="28" spans="1:22" s="1520" customFormat="1" ht="26.25" customHeight="1" thickBot="1">
      <c r="A28" s="338"/>
      <c r="C28" s="179"/>
      <c r="D28" s="3097"/>
      <c r="E28" s="3098" t="s">
        <v>2503</v>
      </c>
      <c r="F28" s="3501"/>
      <c r="G28" s="3502"/>
      <c r="H28" s="3502"/>
      <c r="I28" s="3503"/>
      <c r="J28" s="1523"/>
      <c r="K28" s="1537">
        <f t="shared" ref="K28:R28" si="5">SUM(K20:K27)</f>
        <v>20495963</v>
      </c>
      <c r="L28" s="1536">
        <f t="shared" si="5"/>
        <v>3299918</v>
      </c>
      <c r="M28" s="1536">
        <f>SUM(M20:M27)</f>
        <v>3975052</v>
      </c>
      <c r="N28" s="1536">
        <f t="shared" si="5"/>
        <v>-4234</v>
      </c>
      <c r="O28" s="1536">
        <f t="shared" si="5"/>
        <v>0</v>
      </c>
      <c r="P28" s="1536">
        <f t="shared" si="5"/>
        <v>-2459885</v>
      </c>
      <c r="Q28" s="1536">
        <f t="shared" si="5"/>
        <v>4810851</v>
      </c>
      <c r="R28" s="1535">
        <f t="shared" si="5"/>
        <v>18179113</v>
      </c>
      <c r="S28" s="369"/>
      <c r="V28" s="469">
        <f>SUM(V20:V27)</f>
        <v>3979286</v>
      </c>
    </row>
    <row r="29" spans="1:22" s="1520" customFormat="1" ht="37.5" customHeight="1" thickBot="1">
      <c r="A29" s="338"/>
      <c r="C29" s="1534" t="s">
        <v>1666</v>
      </c>
      <c r="D29" s="3468" t="s">
        <v>1607</v>
      </c>
      <c r="E29" s="3469"/>
      <c r="F29" s="977"/>
      <c r="G29" s="977"/>
      <c r="H29" s="977"/>
      <c r="I29" s="977"/>
      <c r="J29" s="977"/>
      <c r="K29" s="977"/>
      <c r="L29" s="977"/>
      <c r="M29" s="977"/>
      <c r="N29" s="977"/>
      <c r="O29" s="977"/>
      <c r="P29" s="977"/>
      <c r="Q29" s="977"/>
      <c r="R29" s="1006"/>
      <c r="V29" s="473"/>
    </row>
    <row r="30" spans="1:22" s="1520" customFormat="1" ht="26.25" customHeight="1">
      <c r="A30" s="338"/>
      <c r="C30" s="179"/>
      <c r="D30" s="2697">
        <v>94240</v>
      </c>
      <c r="E30" s="2127" t="s">
        <v>2504</v>
      </c>
      <c r="F30" s="1543">
        <v>100</v>
      </c>
      <c r="G30" s="1539">
        <v>100</v>
      </c>
      <c r="H30" s="2128" t="s">
        <v>2257</v>
      </c>
      <c r="I30" s="2064" t="s">
        <v>2257</v>
      </c>
      <c r="J30" s="3506" t="s">
        <v>2814</v>
      </c>
      <c r="K30" s="1542">
        <v>388800</v>
      </c>
      <c r="L30" s="1541">
        <v>0</v>
      </c>
      <c r="M30" s="1541">
        <v>0</v>
      </c>
      <c r="N30" s="1541">
        <v>0</v>
      </c>
      <c r="O30" s="1541">
        <v>0</v>
      </c>
      <c r="P30" s="1541"/>
      <c r="Q30" s="1541">
        <f>L30+M30+N30+O30+P30</f>
        <v>0</v>
      </c>
      <c r="R30" s="2129">
        <v>413877</v>
      </c>
      <c r="V30" s="467">
        <v>331737</v>
      </c>
    </row>
    <row r="31" spans="1:22" s="464" customFormat="1" ht="26.25" customHeight="1">
      <c r="A31" s="1106"/>
      <c r="C31" s="986"/>
      <c r="D31" s="2697">
        <v>94241</v>
      </c>
      <c r="E31" s="1533" t="s">
        <v>2505</v>
      </c>
      <c r="F31" s="1532">
        <v>90</v>
      </c>
      <c r="G31" s="2130">
        <v>89</v>
      </c>
      <c r="H31" s="2071" t="s">
        <v>2257</v>
      </c>
      <c r="I31" s="2131" t="s">
        <v>2268</v>
      </c>
      <c r="J31" s="3505"/>
      <c r="K31" s="2132">
        <v>390326</v>
      </c>
      <c r="L31" s="2079">
        <v>8497</v>
      </c>
      <c r="M31" s="2079">
        <v>6725</v>
      </c>
      <c r="N31" s="2079">
        <v>0</v>
      </c>
      <c r="O31" s="2079">
        <v>0</v>
      </c>
      <c r="P31" s="2079">
        <v>-15222</v>
      </c>
      <c r="Q31" s="2079">
        <f t="shared" ref="Q31:Q35" si="6">L31+M31+N31+O31+P31</f>
        <v>0</v>
      </c>
      <c r="R31" s="2133">
        <v>353192</v>
      </c>
      <c r="V31" s="467">
        <v>151427</v>
      </c>
    </row>
    <row r="32" spans="1:22" s="1520" customFormat="1" ht="26.25" customHeight="1">
      <c r="A32" s="338"/>
      <c r="C32" s="179"/>
      <c r="D32" s="2697">
        <v>94242</v>
      </c>
      <c r="E32" s="1533" t="s">
        <v>1697</v>
      </c>
      <c r="F32" s="1532">
        <v>95</v>
      </c>
      <c r="G32" s="2130">
        <v>93</v>
      </c>
      <c r="H32" s="2071" t="s">
        <v>2259</v>
      </c>
      <c r="I32" s="2131" t="s">
        <v>2269</v>
      </c>
      <c r="J32" s="3505"/>
      <c r="K32" s="2132">
        <v>2170358</v>
      </c>
      <c r="L32" s="2079">
        <v>1365574</v>
      </c>
      <c r="M32" s="2079">
        <v>178312</v>
      </c>
      <c r="N32" s="2079">
        <v>0</v>
      </c>
      <c r="O32" s="2079">
        <v>0</v>
      </c>
      <c r="P32" s="2079"/>
      <c r="Q32" s="2079">
        <f t="shared" si="6"/>
        <v>1543886</v>
      </c>
      <c r="R32" s="2133">
        <v>2065745</v>
      </c>
      <c r="V32" s="467">
        <v>72089</v>
      </c>
    </row>
    <row r="33" spans="1:22" s="464" customFormat="1" ht="26.25" customHeight="1">
      <c r="A33" s="1106"/>
      <c r="C33" s="954"/>
      <c r="D33" s="2697">
        <v>94243</v>
      </c>
      <c r="E33" s="1533" t="s">
        <v>2506</v>
      </c>
      <c r="F33" s="1532">
        <v>100</v>
      </c>
      <c r="G33" s="2130">
        <v>100</v>
      </c>
      <c r="H33" s="2071" t="s">
        <v>2259</v>
      </c>
      <c r="I33" s="2131" t="s">
        <v>2259</v>
      </c>
      <c r="J33" s="3505"/>
      <c r="K33" s="2132">
        <v>133484</v>
      </c>
      <c r="L33" s="2079">
        <v>23096</v>
      </c>
      <c r="M33" s="2079">
        <v>17536</v>
      </c>
      <c r="N33" s="2079">
        <v>0</v>
      </c>
      <c r="O33" s="2079">
        <v>0</v>
      </c>
      <c r="P33" s="2079">
        <v>-40632</v>
      </c>
      <c r="Q33" s="2079">
        <f t="shared" si="6"/>
        <v>0</v>
      </c>
      <c r="R33" s="2133">
        <v>154226</v>
      </c>
      <c r="V33" s="467">
        <v>340881</v>
      </c>
    </row>
    <row r="34" spans="1:22" s="1520" customFormat="1" ht="26.25" customHeight="1">
      <c r="A34" s="338"/>
      <c r="C34" s="179"/>
      <c r="D34" s="2697">
        <v>94244</v>
      </c>
      <c r="E34" s="1533" t="s">
        <v>2507</v>
      </c>
      <c r="F34" s="1532">
        <v>98</v>
      </c>
      <c r="G34" s="2130">
        <v>98</v>
      </c>
      <c r="H34" s="2071" t="s">
        <v>2257</v>
      </c>
      <c r="I34" s="2131" t="s">
        <v>2257</v>
      </c>
      <c r="J34" s="3505"/>
      <c r="K34" s="2132">
        <v>30000</v>
      </c>
      <c r="L34" s="2079">
        <v>0</v>
      </c>
      <c r="M34" s="2079">
        <v>0</v>
      </c>
      <c r="N34" s="2079">
        <v>0</v>
      </c>
      <c r="O34" s="2079">
        <v>0</v>
      </c>
      <c r="P34" s="2079">
        <v>0</v>
      </c>
      <c r="Q34" s="2079">
        <f t="shared" si="6"/>
        <v>0</v>
      </c>
      <c r="R34" s="2133">
        <v>29534</v>
      </c>
      <c r="V34" s="467">
        <v>226287</v>
      </c>
    </row>
    <row r="35" spans="1:22" s="464" customFormat="1" ht="26.25" customHeight="1" thickBot="1">
      <c r="A35" s="1106"/>
      <c r="C35" s="954"/>
      <c r="D35" s="3088">
        <v>94245</v>
      </c>
      <c r="E35" s="1529" t="s">
        <v>1697</v>
      </c>
      <c r="F35" s="1528">
        <v>100</v>
      </c>
      <c r="G35" s="1527">
        <v>100</v>
      </c>
      <c r="H35" s="2065" t="s">
        <v>2257</v>
      </c>
      <c r="I35" s="2065" t="s">
        <v>2257</v>
      </c>
      <c r="J35" s="3505"/>
      <c r="K35" s="1526">
        <v>1242742</v>
      </c>
      <c r="L35" s="1525">
        <v>487730</v>
      </c>
      <c r="M35" s="1525">
        <v>830054</v>
      </c>
      <c r="N35" s="1525">
        <v>0</v>
      </c>
      <c r="O35" s="1525">
        <v>0</v>
      </c>
      <c r="P35" s="2079">
        <v>-465158</v>
      </c>
      <c r="Q35" s="2079">
        <f t="shared" si="6"/>
        <v>852626</v>
      </c>
      <c r="R35" s="2134">
        <v>1809594</v>
      </c>
      <c r="V35" s="468">
        <v>2038</v>
      </c>
    </row>
    <row r="36" spans="1:22" s="1520" customFormat="1" ht="26.25" customHeight="1" thickBot="1">
      <c r="A36" s="338"/>
      <c r="C36" s="179"/>
      <c r="D36" s="3097"/>
      <c r="E36" s="3099" t="s">
        <v>1698</v>
      </c>
      <c r="F36" s="3501"/>
      <c r="G36" s="3502"/>
      <c r="H36" s="3502"/>
      <c r="I36" s="3503"/>
      <c r="J36" s="2135"/>
      <c r="K36" s="2136">
        <f>SUM(K30:K35)</f>
        <v>4355710</v>
      </c>
      <c r="L36" s="1536">
        <f>SUM(L30:L35)</f>
        <v>1884897</v>
      </c>
      <c r="M36" s="1536">
        <f t="shared" ref="M36:R36" si="7">SUM(M30:M35)</f>
        <v>1032627</v>
      </c>
      <c r="N36" s="1536">
        <f t="shared" si="7"/>
        <v>0</v>
      </c>
      <c r="O36" s="1536">
        <f t="shared" si="7"/>
        <v>0</v>
      </c>
      <c r="P36" s="1536">
        <f t="shared" si="7"/>
        <v>-521012</v>
      </c>
      <c r="Q36" s="1536">
        <f t="shared" si="7"/>
        <v>2396512</v>
      </c>
      <c r="R36" s="1535">
        <f t="shared" si="7"/>
        <v>4826168</v>
      </c>
      <c r="S36" s="369"/>
      <c r="V36" s="469">
        <f>SUM(V28:V35)</f>
        <v>5103745</v>
      </c>
    </row>
    <row r="37" spans="1:22" s="2123" customFormat="1" ht="31.5" customHeight="1" thickBot="1">
      <c r="A37" s="338"/>
      <c r="C37" s="179" t="s">
        <v>2324</v>
      </c>
      <c r="D37" s="3509" t="s">
        <v>2323</v>
      </c>
      <c r="E37" s="3510"/>
      <c r="F37" s="2137"/>
      <c r="G37" s="2137"/>
      <c r="H37" s="2137"/>
      <c r="I37" s="2137"/>
      <c r="J37" s="2137"/>
      <c r="K37" s="2137"/>
      <c r="L37" s="2137"/>
      <c r="M37" s="2137"/>
      <c r="N37" s="2137"/>
      <c r="O37" s="2137"/>
      <c r="P37" s="2137"/>
      <c r="Q37" s="2137"/>
      <c r="R37" s="2137"/>
      <c r="S37" s="369"/>
      <c r="V37" s="473"/>
    </row>
    <row r="38" spans="1:22" s="2123" customFormat="1" ht="31.5" customHeight="1" thickBot="1">
      <c r="A38" s="338"/>
      <c r="C38" s="179"/>
      <c r="D38" s="3101"/>
      <c r="E38" s="2140" t="s">
        <v>2325</v>
      </c>
      <c r="F38" s="3290">
        <v>10</v>
      </c>
      <c r="G38" s="3102"/>
      <c r="H38" s="3290">
        <v>25</v>
      </c>
      <c r="I38" s="3102"/>
      <c r="J38" s="3294" t="s">
        <v>2811</v>
      </c>
      <c r="K38" s="3103">
        <v>4336500</v>
      </c>
      <c r="L38" s="3104">
        <v>0</v>
      </c>
      <c r="M38" s="3288">
        <v>74616</v>
      </c>
      <c r="N38" s="3104">
        <v>0</v>
      </c>
      <c r="O38" s="3104">
        <v>0</v>
      </c>
      <c r="P38" s="3102"/>
      <c r="Q38" s="1536">
        <f>P38+O38+N38+M38+L38</f>
        <v>74616</v>
      </c>
      <c r="R38" s="3105">
        <v>74616</v>
      </c>
      <c r="S38" s="369"/>
      <c r="V38" s="473"/>
    </row>
    <row r="39" spans="1:22" s="2123" customFormat="1" ht="26.25" customHeight="1" thickBot="1">
      <c r="A39" s="338"/>
      <c r="C39" s="179"/>
      <c r="D39" s="3096"/>
      <c r="E39" s="3107" t="s">
        <v>2326</v>
      </c>
      <c r="F39" s="3106"/>
      <c r="G39" s="3106"/>
      <c r="H39" s="3106"/>
      <c r="I39" s="3106"/>
      <c r="J39" s="2135"/>
      <c r="K39" s="1537">
        <f>SUM(K38)</f>
        <v>4336500</v>
      </c>
      <c r="L39" s="1536">
        <v>0</v>
      </c>
      <c r="M39" s="3106">
        <f>M38</f>
        <v>74616</v>
      </c>
      <c r="N39" s="1536">
        <v>0</v>
      </c>
      <c r="O39" s="1536">
        <v>0</v>
      </c>
      <c r="P39" s="1536"/>
      <c r="Q39" s="1536">
        <f>SUM(Q38)</f>
        <v>74616</v>
      </c>
      <c r="R39" s="1535">
        <v>74616</v>
      </c>
      <c r="S39" s="369"/>
      <c r="V39" s="473"/>
    </row>
    <row r="40" spans="1:22" s="1520" customFormat="1" ht="26.25" customHeight="1" thickBot="1">
      <c r="A40" s="338"/>
      <c r="D40" s="3113"/>
      <c r="E40" s="3114" t="s">
        <v>1667</v>
      </c>
      <c r="F40" s="2135"/>
      <c r="G40" s="2135"/>
      <c r="H40" s="3115"/>
      <c r="I40" s="3115"/>
      <c r="J40" s="3116"/>
      <c r="K40" s="3117">
        <f>K36+K28+K18+K39</f>
        <v>50981669</v>
      </c>
      <c r="L40" s="3117">
        <f>L36+L28+L18</f>
        <v>10501960</v>
      </c>
      <c r="M40" s="3117">
        <f>M36+M28+M18+M38</f>
        <v>6752562</v>
      </c>
      <c r="N40" s="3117">
        <f t="shared" ref="N40:R41" si="8">N36+N28+N18</f>
        <v>-4263</v>
      </c>
      <c r="O40" s="3117">
        <f t="shared" si="8"/>
        <v>-1921</v>
      </c>
      <c r="P40" s="3117">
        <f t="shared" si="8"/>
        <v>-3372701</v>
      </c>
      <c r="Q40" s="3117">
        <f>Q36+Q28+Q18+Q38</f>
        <v>13875637</v>
      </c>
      <c r="R40" s="1535">
        <f t="shared" si="8"/>
        <v>44125435</v>
      </c>
    </row>
    <row r="41" spans="1:22" s="1520" customFormat="1" ht="26.25" customHeight="1" thickBot="1">
      <c r="A41" s="338"/>
      <c r="D41" s="3108"/>
      <c r="E41" s="3240" t="s">
        <v>2587</v>
      </c>
      <c r="F41" s="3110"/>
      <c r="G41" s="3110"/>
      <c r="H41" s="3111"/>
      <c r="I41" s="3111"/>
      <c r="J41" s="3112"/>
      <c r="K41" s="3110"/>
      <c r="L41" s="3110">
        <v>-767896</v>
      </c>
      <c r="M41" s="3289">
        <v>767896</v>
      </c>
      <c r="N41" s="3110"/>
      <c r="O41" s="3110">
        <v>0</v>
      </c>
      <c r="P41" s="3110">
        <v>0</v>
      </c>
      <c r="Q41" s="3117">
        <f t="shared" si="8"/>
        <v>0</v>
      </c>
      <c r="R41" s="3110"/>
      <c r="V41" s="474">
        <v>19802146</v>
      </c>
    </row>
    <row r="42" spans="1:22" s="3238" customFormat="1" ht="26.25" customHeight="1">
      <c r="A42" s="338"/>
      <c r="D42" s="3239"/>
      <c r="E42" s="3245" t="s">
        <v>2690</v>
      </c>
      <c r="F42" s="3241"/>
      <c r="G42" s="3241"/>
      <c r="H42" s="3242"/>
      <c r="I42" s="3242"/>
      <c r="J42" s="3243"/>
      <c r="K42" s="3241"/>
      <c r="L42" s="3241"/>
      <c r="M42" s="3241">
        <v>-6636766</v>
      </c>
      <c r="N42" s="3241"/>
      <c r="O42" s="3241"/>
      <c r="P42" s="3241"/>
      <c r="Q42" s="3244">
        <f>L42+M42+N42+O42+P42</f>
        <v>-6636766</v>
      </c>
      <c r="R42" s="3241"/>
      <c r="V42" s="474"/>
    </row>
    <row r="43" spans="1:22" s="1520" customFormat="1" ht="26.25" customHeight="1" thickBot="1">
      <c r="A43" s="338"/>
      <c r="D43" s="3119"/>
      <c r="E43" s="3120" t="s">
        <v>1737</v>
      </c>
      <c r="F43" s="3121"/>
      <c r="G43" s="3121"/>
      <c r="H43" s="3122"/>
      <c r="I43" s="3122"/>
      <c r="J43" s="3121"/>
      <c r="K43" s="1525">
        <f>K41+K40</f>
        <v>50981669</v>
      </c>
      <c r="L43" s="1525">
        <f>L18+L28+L36+L41</f>
        <v>9734064</v>
      </c>
      <c r="M43" s="1525">
        <f>M40+M41+M42</f>
        <v>883692</v>
      </c>
      <c r="N43" s="1525">
        <f t="shared" ref="N43:P43" si="9">N41+N40</f>
        <v>-4263</v>
      </c>
      <c r="O43" s="1525">
        <f t="shared" si="9"/>
        <v>-1921</v>
      </c>
      <c r="P43" s="1525">
        <f t="shared" si="9"/>
        <v>-3372701</v>
      </c>
      <c r="Q43" s="1525">
        <f>Q40+Q42</f>
        <v>7238871</v>
      </c>
      <c r="R43" s="1525">
        <f>R40+R41</f>
        <v>44125435</v>
      </c>
      <c r="V43" s="474"/>
    </row>
    <row r="44" spans="1:22" s="1520" customFormat="1" ht="26.25" customHeight="1" thickBot="1">
      <c r="A44" s="338"/>
      <c r="D44" s="3133">
        <v>3200</v>
      </c>
      <c r="E44" s="3107" t="s">
        <v>2812</v>
      </c>
      <c r="F44" s="1536"/>
      <c r="G44" s="1536"/>
      <c r="H44" s="3115"/>
      <c r="I44" s="3115"/>
      <c r="J44" s="2135"/>
      <c r="K44" s="1536"/>
      <c r="L44" s="1536">
        <v>38506375</v>
      </c>
      <c r="M44" s="1536">
        <v>17090122</v>
      </c>
      <c r="N44" s="1536">
        <v>-4364911</v>
      </c>
      <c r="O44" s="1536">
        <v>0</v>
      </c>
      <c r="P44" s="1536"/>
      <c r="Q44" s="1536">
        <f>L44+M44+N44+O44+P44</f>
        <v>51231586</v>
      </c>
      <c r="R44" s="1535"/>
      <c r="V44" s="474"/>
    </row>
    <row r="45" spans="1:22" s="1520" customFormat="1" ht="26.25" hidden="1" customHeight="1" thickBot="1">
      <c r="A45" s="338"/>
      <c r="D45" s="3131"/>
      <c r="E45" s="3109" t="s">
        <v>1944</v>
      </c>
      <c r="F45" s="3110"/>
      <c r="G45" s="3110"/>
      <c r="H45" s="3111"/>
      <c r="I45" s="3111"/>
      <c r="J45" s="3110"/>
      <c r="K45" s="3110"/>
      <c r="L45" s="3110"/>
      <c r="M45" s="3110">
        <v>0</v>
      </c>
      <c r="N45" s="3110"/>
      <c r="O45" s="3110"/>
      <c r="P45" s="3110"/>
      <c r="Q45" s="3110">
        <f>N45+L45</f>
        <v>0</v>
      </c>
      <c r="R45" s="3132">
        <f>Q45</f>
        <v>0</v>
      </c>
      <c r="V45" s="474"/>
    </row>
    <row r="46" spans="1:22" s="2078" customFormat="1" ht="26.25" hidden="1" customHeight="1" thickBot="1">
      <c r="A46" s="338"/>
      <c r="D46" s="3123"/>
      <c r="E46" s="2138" t="s">
        <v>2272</v>
      </c>
      <c r="F46" s="2079"/>
      <c r="G46" s="2079"/>
      <c r="H46" s="2080"/>
      <c r="I46" s="2080"/>
      <c r="J46" s="2079"/>
      <c r="K46" s="2079"/>
      <c r="L46" s="2079"/>
      <c r="M46" s="2079"/>
      <c r="N46" s="2079"/>
      <c r="O46" s="2079"/>
      <c r="P46" s="2079"/>
      <c r="Q46" s="2079">
        <f>M46</f>
        <v>0</v>
      </c>
      <c r="R46" s="1524">
        <f>Q46</f>
        <v>0</v>
      </c>
      <c r="V46" s="474"/>
    </row>
    <row r="47" spans="1:22" s="1520" customFormat="1" ht="26.25" hidden="1" customHeight="1">
      <c r="A47" s="338"/>
      <c r="D47" s="3124">
        <v>3200</v>
      </c>
      <c r="E47" s="3118" t="s">
        <v>1715</v>
      </c>
      <c r="F47" s="2079"/>
      <c r="G47" s="3125"/>
      <c r="H47" s="2080"/>
      <c r="I47" s="2080"/>
      <c r="J47" s="3125"/>
      <c r="K47" s="2079"/>
      <c r="L47" s="2079"/>
      <c r="M47" s="2079"/>
      <c r="N47" s="2079"/>
      <c r="O47" s="2079">
        <f t="shared" ref="O47" si="10">O44+O45</f>
        <v>0</v>
      </c>
      <c r="P47" s="2079"/>
      <c r="Q47" s="2079"/>
      <c r="R47" s="1524"/>
      <c r="V47" s="474"/>
    </row>
    <row r="48" spans="1:22" s="1520" customFormat="1" ht="39" customHeight="1" thickBot="1">
      <c r="A48" s="338"/>
      <c r="D48" s="3126"/>
      <c r="E48" s="3134" t="s">
        <v>2508</v>
      </c>
      <c r="F48" s="3127"/>
      <c r="G48" s="2139"/>
      <c r="H48" s="3128"/>
      <c r="I48" s="3128"/>
      <c r="J48" s="3129"/>
      <c r="K48" s="3127">
        <f t="shared" ref="K48:P48" si="11">K43+K44</f>
        <v>50981669</v>
      </c>
      <c r="L48" s="3127">
        <f t="shared" si="11"/>
        <v>48240439</v>
      </c>
      <c r="M48" s="3127">
        <f t="shared" si="11"/>
        <v>17973814</v>
      </c>
      <c r="N48" s="3127">
        <f t="shared" si="11"/>
        <v>-4369174</v>
      </c>
      <c r="O48" s="3127">
        <f t="shared" si="11"/>
        <v>-1921</v>
      </c>
      <c r="P48" s="3127">
        <f t="shared" si="11"/>
        <v>-3372701</v>
      </c>
      <c r="Q48" s="3127">
        <f>Q43+Q44</f>
        <v>58470457</v>
      </c>
      <c r="R48" s="3130">
        <f>R43+R44</f>
        <v>44125435</v>
      </c>
    </row>
    <row r="49" spans="4:18" ht="72" customHeight="1">
      <c r="D49" s="3488" t="s">
        <v>2472</v>
      </c>
      <c r="E49" s="3489"/>
      <c r="F49" s="3489"/>
      <c r="G49" s="3489"/>
      <c r="H49" s="3489"/>
      <c r="I49" s="3489"/>
      <c r="J49" s="3489"/>
      <c r="K49" s="3489"/>
      <c r="L49" s="3489"/>
      <c r="M49" s="3489"/>
      <c r="N49" s="3489"/>
      <c r="O49" s="3489"/>
      <c r="P49" s="3489"/>
      <c r="Q49" s="3489"/>
      <c r="R49" s="3489"/>
    </row>
    <row r="50" spans="4:18">
      <c r="E50" s="961"/>
    </row>
  </sheetData>
  <mergeCells count="28">
    <mergeCell ref="D49:R49"/>
    <mergeCell ref="M6:P6"/>
    <mergeCell ref="O9:P9"/>
    <mergeCell ref="M9:M10"/>
    <mergeCell ref="E8:E10"/>
    <mergeCell ref="D8:D10"/>
    <mergeCell ref="J8:J10"/>
    <mergeCell ref="H8:I9"/>
    <mergeCell ref="F18:I18"/>
    <mergeCell ref="F28:I28"/>
    <mergeCell ref="F36:I36"/>
    <mergeCell ref="J11:J17"/>
    <mergeCell ref="J20:J27"/>
    <mergeCell ref="J30:J35"/>
    <mergeCell ref="C6:E6"/>
    <mergeCell ref="D37:E37"/>
    <mergeCell ref="D29:E29"/>
    <mergeCell ref="D19:E19"/>
    <mergeCell ref="D1:R1"/>
    <mergeCell ref="D2:R2"/>
    <mergeCell ref="D3:R3"/>
    <mergeCell ref="K8:K10"/>
    <mergeCell ref="R8:R10"/>
    <mergeCell ref="L9:L10"/>
    <mergeCell ref="Q9:Q10"/>
    <mergeCell ref="L8:Q8"/>
    <mergeCell ref="N9:N10"/>
    <mergeCell ref="F8:G9"/>
  </mergeCells>
  <printOptions horizontalCentered="1" verticalCentered="1"/>
  <pageMargins left="0.17" right="0.17" top="0.17" bottom="0.15748031496062992" header="0.17" footer="0.17"/>
  <pageSetup paperSize="9" scale="42"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pageSetUpPr fitToPage="1"/>
  </sheetPr>
  <dimension ref="A1:BZ46"/>
  <sheetViews>
    <sheetView rightToLeft="1" view="pageBreakPreview" topLeftCell="B11" zoomScale="50" zoomScaleNormal="89" zoomScaleSheetLayoutView="50" workbookViewId="0">
      <selection activeCell="E12" sqref="E12"/>
    </sheetView>
  </sheetViews>
  <sheetFormatPr defaultColWidth="1.375" defaultRowHeight="26.25"/>
  <cols>
    <col min="1" max="1" width="5.5" style="820" hidden="1" customWidth="1"/>
    <col min="2" max="2" width="14.125" style="250" customWidth="1"/>
    <col min="3" max="3" width="10.375" style="250" customWidth="1"/>
    <col min="4" max="4" width="1.25" style="250" customWidth="1"/>
    <col min="5" max="5" width="48.875" style="250" customWidth="1"/>
    <col min="6" max="6" width="1.25" style="250" customWidth="1"/>
    <col min="7" max="7" width="15.75" style="250" customWidth="1"/>
    <col min="8" max="8" width="2.5" style="250" customWidth="1"/>
    <col min="9" max="9" width="15.75" style="250" customWidth="1"/>
    <col min="10" max="10" width="4" style="250" customWidth="1"/>
    <col min="11" max="11" width="15.75" style="250" customWidth="1"/>
    <col min="12" max="12" width="3.125" style="250" customWidth="1"/>
    <col min="13" max="13" width="18.75" style="250" customWidth="1"/>
    <col min="14" max="14" width="4.625" style="250" customWidth="1"/>
    <col min="15" max="15" width="16" style="250" customWidth="1"/>
    <col min="16" max="16" width="3.625" style="250" customWidth="1"/>
    <col min="17" max="17" width="18.25" style="250" customWidth="1"/>
    <col min="18" max="18" width="3" style="250" customWidth="1"/>
    <col min="19" max="19" width="15.5" style="250" customWidth="1"/>
    <col min="20" max="20" width="2.375" style="250" customWidth="1"/>
    <col min="21" max="21" width="17" style="250" customWidth="1"/>
    <col min="22" max="23" width="19.875" style="959" hidden="1" customWidth="1"/>
    <col min="24" max="24" width="4.125" style="959" customWidth="1"/>
    <col min="25" max="25" width="19.875" style="959" customWidth="1"/>
    <col min="26" max="26" width="1.625" style="250" customWidth="1"/>
    <col min="27" max="27" width="21.125" style="250" customWidth="1"/>
    <col min="28" max="16384" width="1.375" style="250"/>
  </cols>
  <sheetData>
    <row r="1" spans="1:27" s="439" customFormat="1" ht="45" customHeight="1">
      <c r="A1" s="3512" t="s">
        <v>612</v>
      </c>
      <c r="B1" s="3512"/>
      <c r="C1" s="3512"/>
      <c r="D1" s="3512"/>
      <c r="E1" s="3512"/>
      <c r="F1" s="3512"/>
      <c r="G1" s="3512"/>
      <c r="H1" s="3512"/>
      <c r="I1" s="3512"/>
      <c r="J1" s="3512"/>
      <c r="K1" s="3512"/>
      <c r="L1" s="3512"/>
      <c r="M1" s="3512"/>
      <c r="N1" s="3512"/>
      <c r="O1" s="3512"/>
      <c r="P1" s="3512"/>
      <c r="Q1" s="3512"/>
      <c r="R1" s="3512"/>
      <c r="S1" s="3512"/>
      <c r="T1" s="3512"/>
      <c r="U1" s="3512"/>
      <c r="V1" s="3512"/>
      <c r="W1" s="3512"/>
      <c r="X1" s="3512"/>
      <c r="Y1" s="3512"/>
      <c r="Z1" s="3512"/>
      <c r="AA1" s="3512"/>
    </row>
    <row r="2" spans="1:27" s="439" customFormat="1" ht="45" customHeight="1">
      <c r="A2" s="3512" t="s">
        <v>1489</v>
      </c>
      <c r="B2" s="3512"/>
      <c r="C2" s="3512"/>
      <c r="D2" s="3512"/>
      <c r="E2" s="3512"/>
      <c r="F2" s="3512"/>
      <c r="G2" s="3512"/>
      <c r="H2" s="3512"/>
      <c r="I2" s="3512"/>
      <c r="J2" s="3512"/>
      <c r="K2" s="3512"/>
      <c r="L2" s="3512"/>
      <c r="M2" s="3512"/>
      <c r="N2" s="3512"/>
      <c r="O2" s="3512"/>
      <c r="P2" s="3512"/>
      <c r="Q2" s="3512"/>
      <c r="R2" s="3512"/>
      <c r="S2" s="3512"/>
      <c r="T2" s="3512"/>
      <c r="U2" s="3512"/>
      <c r="V2" s="3512"/>
      <c r="W2" s="3512"/>
      <c r="X2" s="3512"/>
      <c r="Y2" s="3512"/>
      <c r="Z2" s="3512"/>
      <c r="AA2" s="3512"/>
    </row>
    <row r="3" spans="1:27" s="439" customFormat="1" ht="45" customHeight="1">
      <c r="A3" s="3512" t="str">
        <f>mafrozat!A3</f>
        <v xml:space="preserve"> سال مالي منتهي به 29 اسفند 1402</v>
      </c>
      <c r="B3" s="3512"/>
      <c r="C3" s="3512"/>
      <c r="D3" s="3512"/>
      <c r="E3" s="3512"/>
      <c r="F3" s="3512"/>
      <c r="G3" s="3512"/>
      <c r="H3" s="3512"/>
      <c r="I3" s="3512"/>
      <c r="J3" s="3512"/>
      <c r="K3" s="3512"/>
      <c r="L3" s="3512"/>
      <c r="M3" s="3512"/>
      <c r="N3" s="3512"/>
      <c r="O3" s="3512"/>
      <c r="P3" s="3512"/>
      <c r="Q3" s="3512"/>
      <c r="R3" s="3512"/>
      <c r="S3" s="3512"/>
      <c r="T3" s="3512"/>
      <c r="U3" s="3512"/>
      <c r="V3" s="3512"/>
      <c r="W3" s="3512"/>
      <c r="X3" s="3512"/>
      <c r="Y3" s="3512"/>
      <c r="Z3" s="3512"/>
      <c r="AA3" s="3512"/>
    </row>
    <row r="4" spans="1:27" ht="43.5" hidden="1" customHeight="1">
      <c r="C4" s="251"/>
      <c r="D4" s="251"/>
      <c r="E4" s="251"/>
      <c r="F4" s="251"/>
      <c r="G4" s="251"/>
      <c r="H4" s="251"/>
      <c r="I4" s="251"/>
      <c r="J4" s="251"/>
      <c r="K4" s="251"/>
      <c r="L4" s="251"/>
      <c r="M4" s="251"/>
      <c r="N4" s="251"/>
      <c r="O4" s="251"/>
      <c r="P4" s="251"/>
      <c r="Q4" s="251"/>
      <c r="R4" s="251"/>
      <c r="S4" s="251"/>
      <c r="T4" s="251"/>
      <c r="U4" s="251"/>
    </row>
    <row r="5" spans="1:27" ht="43.5" customHeight="1">
      <c r="C5" s="251"/>
      <c r="D5" s="251"/>
      <c r="E5" s="251"/>
      <c r="F5" s="251"/>
      <c r="G5" s="251"/>
      <c r="H5" s="251"/>
      <c r="I5" s="251"/>
      <c r="J5" s="251"/>
      <c r="K5" s="251"/>
      <c r="L5" s="251"/>
      <c r="M5" s="251"/>
      <c r="N5" s="251"/>
      <c r="O5" s="251"/>
      <c r="P5" s="251"/>
      <c r="Q5" s="251"/>
      <c r="R5" s="251"/>
      <c r="S5" s="251"/>
      <c r="T5" s="251"/>
      <c r="U5" s="251"/>
    </row>
    <row r="6" spans="1:27" ht="39.75" customHeight="1">
      <c r="B6" s="2698" t="s">
        <v>2620</v>
      </c>
      <c r="C6" s="3513" t="s">
        <v>2763</v>
      </c>
      <c r="D6" s="3513"/>
      <c r="E6" s="3513"/>
      <c r="F6" s="3513"/>
      <c r="G6" s="3513"/>
      <c r="H6" s="3513"/>
      <c r="I6" s="3513"/>
      <c r="J6" s="3513"/>
      <c r="K6" s="3513"/>
      <c r="L6" s="3513"/>
      <c r="M6" s="3513"/>
      <c r="N6" s="3513"/>
      <c r="O6" s="3513"/>
      <c r="P6" s="3513"/>
      <c r="Q6" s="3513"/>
      <c r="R6" s="3513"/>
      <c r="S6" s="3513"/>
      <c r="T6" s="3513"/>
      <c r="U6" s="3513"/>
      <c r="V6" s="3513"/>
      <c r="W6" s="3513"/>
      <c r="X6" s="3513"/>
      <c r="Y6" s="3513"/>
      <c r="Z6" s="3513"/>
      <c r="AA6" s="3513"/>
    </row>
    <row r="7" spans="1:27" ht="39.75" customHeight="1">
      <c r="B7" s="2601"/>
      <c r="C7" s="2644"/>
      <c r="D7" s="2644"/>
      <c r="E7" s="2644"/>
      <c r="F7" s="2644"/>
      <c r="G7" s="2644"/>
      <c r="H7" s="2644"/>
      <c r="I7" s="2644"/>
      <c r="J7" s="2644"/>
      <c r="K7" s="2644"/>
      <c r="L7" s="2644"/>
      <c r="M7" s="2644"/>
      <c r="N7" s="2644"/>
      <c r="O7" s="2644"/>
      <c r="P7" s="2644"/>
      <c r="Q7" s="2644"/>
      <c r="R7" s="2644"/>
      <c r="S7" s="2644"/>
      <c r="T7" s="2644"/>
      <c r="U7" s="2644"/>
      <c r="V7" s="2644"/>
      <c r="W7" s="2644"/>
      <c r="X7" s="2680"/>
      <c r="Y7" s="2680"/>
      <c r="Z7" s="3517" t="s">
        <v>1879</v>
      </c>
      <c r="AA7" s="3517"/>
    </row>
    <row r="8" spans="1:27" ht="24.75" customHeight="1" thickBot="1">
      <c r="B8" s="2602"/>
      <c r="C8" s="2603"/>
      <c r="D8" s="2603"/>
      <c r="E8" s="2603"/>
      <c r="F8" s="2603"/>
      <c r="G8" s="3516">
        <v>1401</v>
      </c>
      <c r="H8" s="3516"/>
      <c r="I8" s="3516"/>
      <c r="J8" s="3516"/>
      <c r="K8" s="3516"/>
      <c r="L8" s="2641"/>
      <c r="M8" s="3516">
        <v>1402</v>
      </c>
      <c r="N8" s="3516"/>
      <c r="O8" s="3516"/>
      <c r="P8" s="3516"/>
      <c r="Q8" s="3516"/>
      <c r="R8" s="3516"/>
      <c r="S8" s="3516"/>
      <c r="T8" s="3516"/>
      <c r="U8" s="3516"/>
      <c r="V8" s="3516"/>
      <c r="W8" s="3516"/>
      <c r="X8" s="3516"/>
      <c r="Y8" s="3516"/>
      <c r="Z8" s="3516"/>
      <c r="AA8" s="3516"/>
    </row>
    <row r="9" spans="1:27" ht="141.75" customHeight="1" thickBot="1">
      <c r="B9" s="2604"/>
      <c r="C9" s="2605" t="s">
        <v>671</v>
      </c>
      <c r="D9" s="2640"/>
      <c r="E9" s="2607" t="s">
        <v>62</v>
      </c>
      <c r="F9" s="2608"/>
      <c r="G9" s="2643" t="s">
        <v>2304</v>
      </c>
      <c r="H9" s="2643"/>
      <c r="I9" s="2643" t="s">
        <v>2305</v>
      </c>
      <c r="J9" s="2643"/>
      <c r="K9" s="2643" t="s">
        <v>2446</v>
      </c>
      <c r="L9" s="2642"/>
      <c r="M9" s="2605" t="s">
        <v>2691</v>
      </c>
      <c r="N9" s="2605"/>
      <c r="O9" s="2605" t="s">
        <v>2307</v>
      </c>
      <c r="P9" s="2607"/>
      <c r="Q9" s="2605" t="s">
        <v>2305</v>
      </c>
      <c r="R9" s="2605"/>
      <c r="S9" s="2605" t="s">
        <v>2308</v>
      </c>
      <c r="T9" s="2609"/>
      <c r="U9" s="2605" t="s">
        <v>2303</v>
      </c>
      <c r="V9" s="3514" t="s">
        <v>1669</v>
      </c>
      <c r="W9" s="3514"/>
      <c r="X9" s="2681"/>
      <c r="Y9" s="2605" t="s">
        <v>2466</v>
      </c>
      <c r="Z9" s="2639"/>
      <c r="AA9" s="2607" t="s">
        <v>2306</v>
      </c>
    </row>
    <row r="10" spans="1:27" ht="9.75" customHeight="1">
      <c r="B10" s="2604"/>
      <c r="C10" s="2610"/>
      <c r="D10" s="2610"/>
      <c r="E10" s="2611"/>
      <c r="F10" s="2611"/>
      <c r="G10" s="2606"/>
      <c r="H10" s="2606"/>
      <c r="I10" s="2606"/>
      <c r="J10" s="2606"/>
      <c r="K10" s="2606"/>
      <c r="L10" s="2606"/>
      <c r="M10" s="2606"/>
      <c r="N10" s="2606"/>
      <c r="O10" s="2606"/>
      <c r="P10" s="2606"/>
      <c r="Q10" s="2612"/>
      <c r="R10" s="2612"/>
      <c r="S10" s="2608"/>
      <c r="T10" s="2613"/>
      <c r="U10" s="2613"/>
      <c r="V10" s="2614"/>
      <c r="W10" s="2614"/>
      <c r="X10" s="2614"/>
      <c r="Y10" s="2614"/>
      <c r="Z10" s="2604"/>
      <c r="AA10" s="2608"/>
    </row>
    <row r="11" spans="1:27" ht="37.5" customHeight="1">
      <c r="B11" s="2604"/>
      <c r="C11" s="2615">
        <v>3344</v>
      </c>
      <c r="D11" s="2616"/>
      <c r="E11" s="2616" t="s">
        <v>765</v>
      </c>
      <c r="F11" s="2616"/>
      <c r="G11" s="479"/>
      <c r="H11" s="479"/>
      <c r="I11" s="479"/>
      <c r="J11" s="479"/>
      <c r="K11" s="479"/>
      <c r="L11" s="479"/>
      <c r="M11" s="479"/>
      <c r="N11" s="479"/>
      <c r="O11" s="479"/>
      <c r="P11" s="479"/>
      <c r="Q11" s="2617"/>
      <c r="R11" s="2617"/>
      <c r="S11" s="2618"/>
      <c r="T11" s="2618"/>
      <c r="U11" s="2618"/>
      <c r="V11" s="2619"/>
      <c r="W11" s="2619"/>
      <c r="X11" s="2623"/>
      <c r="Y11" s="2623"/>
      <c r="Z11" s="2620"/>
      <c r="AA11" s="2620"/>
    </row>
    <row r="12" spans="1:27" ht="37.5" customHeight="1">
      <c r="B12" s="2604"/>
      <c r="C12" s="2615"/>
      <c r="D12" s="2616"/>
      <c r="E12" s="2616" t="s">
        <v>1041</v>
      </c>
      <c r="F12" s="2616"/>
      <c r="G12" s="479">
        <v>2837709</v>
      </c>
      <c r="H12" s="479"/>
      <c r="I12" s="479">
        <v>-1049608</v>
      </c>
      <c r="J12" s="479"/>
      <c r="K12" s="479">
        <v>26</v>
      </c>
      <c r="L12" s="479"/>
      <c r="M12" s="479">
        <v>-26</v>
      </c>
      <c r="N12" s="479"/>
      <c r="O12" s="479">
        <v>1562103</v>
      </c>
      <c r="P12" s="479"/>
      <c r="Q12" s="479">
        <v>-1049608</v>
      </c>
      <c r="R12" s="479"/>
      <c r="S12" s="479">
        <v>0</v>
      </c>
      <c r="T12" s="479"/>
      <c r="U12" s="479">
        <v>0</v>
      </c>
      <c r="V12" s="2614">
        <v>191631</v>
      </c>
      <c r="W12" s="2614"/>
      <c r="X12" s="2614"/>
      <c r="Y12" s="2614"/>
      <c r="Z12" s="2604"/>
      <c r="AA12" s="479">
        <f>U12+S12+Q12+O12+I12+G12</f>
        <v>2300596</v>
      </c>
    </row>
    <row r="13" spans="1:27" ht="37.5" customHeight="1">
      <c r="B13" s="2604"/>
      <c r="C13" s="2615"/>
      <c r="D13" s="2616"/>
      <c r="E13" s="2616" t="s">
        <v>1042</v>
      </c>
      <c r="F13" s="2616"/>
      <c r="G13" s="2621">
        <v>4682</v>
      </c>
      <c r="H13" s="479"/>
      <c r="I13" s="2621">
        <v>0</v>
      </c>
      <c r="J13" s="479"/>
      <c r="K13" s="2621">
        <v>0</v>
      </c>
      <c r="L13" s="479"/>
      <c r="M13" s="2621">
        <v>0</v>
      </c>
      <c r="N13" s="2621"/>
      <c r="O13" s="2621">
        <v>0</v>
      </c>
      <c r="P13" s="479"/>
      <c r="Q13" s="2621">
        <v>0</v>
      </c>
      <c r="R13" s="479"/>
      <c r="S13" s="2621"/>
      <c r="T13" s="479"/>
      <c r="U13" s="2621">
        <v>0</v>
      </c>
      <c r="V13" s="2622"/>
      <c r="W13" s="2623"/>
      <c r="X13" s="2623"/>
      <c r="Y13" s="2622"/>
      <c r="Z13" s="2604"/>
      <c r="AA13" s="2621">
        <f>G13+O13+Q13+S13</f>
        <v>4682</v>
      </c>
    </row>
    <row r="14" spans="1:27" ht="37.5" customHeight="1">
      <c r="B14" s="2604"/>
      <c r="C14" s="2615"/>
      <c r="D14" s="2616"/>
      <c r="E14" s="2624"/>
      <c r="F14" s="2624"/>
      <c r="G14" s="479">
        <f>SUM(G12:G13)</f>
        <v>2842391</v>
      </c>
      <c r="H14" s="479"/>
      <c r="I14" s="479">
        <f>SUM(I12:I13)</f>
        <v>-1049608</v>
      </c>
      <c r="J14" s="479"/>
      <c r="K14" s="479">
        <f>SUM(K12:K13)</f>
        <v>26</v>
      </c>
      <c r="L14" s="479"/>
      <c r="M14" s="479">
        <f>SUM(M12:M13)</f>
        <v>-26</v>
      </c>
      <c r="N14" s="479"/>
      <c r="O14" s="479">
        <f>SUM(O12:O13)</f>
        <v>1562103</v>
      </c>
      <c r="P14" s="479"/>
      <c r="Q14" s="479">
        <f>SUM(Q12:Q13)</f>
        <v>-1049608</v>
      </c>
      <c r="R14" s="479"/>
      <c r="S14" s="479">
        <f>SUM(S12:S13)</f>
        <v>0</v>
      </c>
      <c r="T14" s="479"/>
      <c r="U14" s="479">
        <f>SUM(U12:U13)</f>
        <v>0</v>
      </c>
      <c r="V14" s="2614"/>
      <c r="W14" s="2614">
        <f>V12+V13</f>
        <v>191631</v>
      </c>
      <c r="X14" s="2614"/>
      <c r="Y14" s="2614"/>
      <c r="Z14" s="2604"/>
      <c r="AA14" s="479">
        <f>SUM(AA12:AA13)</f>
        <v>2305278</v>
      </c>
    </row>
    <row r="15" spans="1:27" ht="37.5" customHeight="1">
      <c r="B15" s="2604"/>
      <c r="C15" s="2615">
        <v>3345</v>
      </c>
      <c r="D15" s="2616"/>
      <c r="E15" s="2616" t="s">
        <v>766</v>
      </c>
      <c r="F15" s="2616"/>
      <c r="G15" s="479"/>
      <c r="H15" s="479"/>
      <c r="I15" s="479"/>
      <c r="J15" s="479"/>
      <c r="K15" s="479"/>
      <c r="L15" s="479"/>
      <c r="M15" s="479"/>
      <c r="N15" s="479"/>
      <c r="O15" s="479"/>
      <c r="P15" s="479"/>
      <c r="Q15" s="2625"/>
      <c r="R15" s="2625"/>
      <c r="S15" s="479"/>
      <c r="T15" s="479"/>
      <c r="U15" s="479"/>
      <c r="V15" s="2614"/>
      <c r="W15" s="2614"/>
      <c r="X15" s="2614"/>
      <c r="Y15" s="2614"/>
      <c r="Z15" s="2604"/>
      <c r="AA15" s="479"/>
    </row>
    <row r="16" spans="1:27" ht="37.5" hidden="1" customHeight="1">
      <c r="B16" s="2604"/>
      <c r="C16" s="2615"/>
      <c r="D16" s="2616"/>
      <c r="E16" s="2616" t="s">
        <v>1663</v>
      </c>
      <c r="F16" s="2616"/>
      <c r="G16" s="479"/>
      <c r="H16" s="479"/>
      <c r="I16" s="479"/>
      <c r="J16" s="479"/>
      <c r="K16" s="479"/>
      <c r="L16" s="479"/>
      <c r="M16" s="479"/>
      <c r="N16" s="479"/>
      <c r="O16" s="479"/>
      <c r="P16" s="479"/>
      <c r="Q16" s="2625"/>
      <c r="R16" s="2625"/>
      <c r="S16" s="479">
        <v>0</v>
      </c>
      <c r="T16" s="479"/>
      <c r="U16" s="479"/>
      <c r="V16" s="2614">
        <v>40966</v>
      </c>
      <c r="W16" s="2614"/>
      <c r="X16" s="2614"/>
      <c r="Y16" s="2614"/>
      <c r="Z16" s="2604"/>
      <c r="AA16" s="479"/>
    </row>
    <row r="17" spans="1:29" ht="37.5" customHeight="1">
      <c r="A17" s="970" t="s">
        <v>2061</v>
      </c>
      <c r="B17" s="2604"/>
      <c r="C17" s="2615"/>
      <c r="D17" s="2616"/>
      <c r="E17" s="2616" t="s">
        <v>1043</v>
      </c>
      <c r="F17" s="2616"/>
      <c r="G17" s="2621">
        <v>10975512</v>
      </c>
      <c r="H17" s="479"/>
      <c r="I17" s="2621">
        <v>-998270</v>
      </c>
      <c r="J17" s="479"/>
      <c r="K17" s="2621">
        <v>1341134</v>
      </c>
      <c r="L17" s="479"/>
      <c r="M17" s="2621">
        <v>-1341134</v>
      </c>
      <c r="N17" s="479"/>
      <c r="O17" s="2621">
        <v>6443366</v>
      </c>
      <c r="P17" s="479"/>
      <c r="Q17" s="2621">
        <v>-998270</v>
      </c>
      <c r="R17" s="479"/>
      <c r="S17" s="2621">
        <v>669226</v>
      </c>
      <c r="T17" s="479"/>
      <c r="U17" s="2621">
        <v>0</v>
      </c>
      <c r="V17" s="2614"/>
      <c r="W17" s="2614"/>
      <c r="X17" s="2614"/>
      <c r="Y17" s="2621">
        <v>0</v>
      </c>
      <c r="Z17" s="2604"/>
      <c r="AA17" s="2621">
        <f>U17+S17+Q17+O17+I17+G17+Y17</f>
        <v>16091564</v>
      </c>
    </row>
    <row r="18" spans="1:29" ht="37.5" customHeight="1">
      <c r="B18" s="2604"/>
      <c r="C18" s="2615"/>
      <c r="D18" s="2616"/>
      <c r="E18" s="2624"/>
      <c r="F18" s="2624"/>
      <c r="G18" s="479">
        <f>SUM(G17)</f>
        <v>10975512</v>
      </c>
      <c r="H18" s="479"/>
      <c r="I18" s="479">
        <f>SUM(I17)</f>
        <v>-998270</v>
      </c>
      <c r="J18" s="479"/>
      <c r="K18" s="479">
        <f>SUM(K17)</f>
        <v>1341134</v>
      </c>
      <c r="L18" s="479"/>
      <c r="M18" s="479">
        <f>SUM(M17)</f>
        <v>-1341134</v>
      </c>
      <c r="N18" s="479"/>
      <c r="O18" s="479">
        <f>SUM(O17)</f>
        <v>6443366</v>
      </c>
      <c r="P18" s="479"/>
      <c r="Q18" s="479">
        <f>SUM(Q17)</f>
        <v>-998270</v>
      </c>
      <c r="R18" s="2625"/>
      <c r="S18" s="479">
        <f>SUM(S16:S17)</f>
        <v>669226</v>
      </c>
      <c r="T18" s="479"/>
      <c r="U18" s="479">
        <v>0</v>
      </c>
      <c r="V18" s="2614"/>
      <c r="W18" s="2614" t="e">
        <f>V16+V17+#REF!+#REF!</f>
        <v>#REF!</v>
      </c>
      <c r="X18" s="2614"/>
      <c r="Y18" s="479">
        <f>SUM(Y17)</f>
        <v>0</v>
      </c>
      <c r="Z18" s="2604"/>
      <c r="AA18" s="479">
        <f>SUM(AA17)</f>
        <v>16091564</v>
      </c>
    </row>
    <row r="19" spans="1:29" ht="37.5" hidden="1" customHeight="1">
      <c r="B19" s="2604"/>
      <c r="C19" s="2626"/>
      <c r="D19" s="2616"/>
      <c r="E19" s="2624"/>
      <c r="F19" s="2624"/>
      <c r="G19" s="479"/>
      <c r="H19" s="479"/>
      <c r="I19" s="479"/>
      <c r="J19" s="479"/>
      <c r="K19" s="479"/>
      <c r="L19" s="479"/>
      <c r="M19" s="479"/>
      <c r="N19" s="479"/>
      <c r="O19" s="479"/>
      <c r="P19" s="479"/>
      <c r="Q19" s="2625"/>
      <c r="R19" s="2625"/>
      <c r="S19" s="479"/>
      <c r="T19" s="479"/>
      <c r="U19" s="479"/>
      <c r="V19" s="2614"/>
      <c r="W19" s="2614"/>
      <c r="X19" s="2614"/>
      <c r="Y19" s="2614"/>
      <c r="Z19" s="2604"/>
      <c r="AA19" s="479"/>
    </row>
    <row r="20" spans="1:29" ht="37.5" customHeight="1">
      <c r="B20" s="2604"/>
      <c r="C20" s="2626">
        <v>8616</v>
      </c>
      <c r="D20" s="2616"/>
      <c r="E20" s="2616" t="s">
        <v>767</v>
      </c>
      <c r="F20" s="2616"/>
      <c r="G20" s="479">
        <v>4640115</v>
      </c>
      <c r="H20" s="479"/>
      <c r="I20" s="479">
        <v>0</v>
      </c>
      <c r="J20" s="479"/>
      <c r="K20" s="479">
        <v>99560</v>
      </c>
      <c r="L20" s="479"/>
      <c r="M20" s="479">
        <v>-99560</v>
      </c>
      <c r="N20" s="479"/>
      <c r="O20" s="479">
        <v>148174</v>
      </c>
      <c r="P20" s="479"/>
      <c r="Q20" s="479">
        <v>0</v>
      </c>
      <c r="R20" s="2627"/>
      <c r="S20" s="479">
        <v>32443</v>
      </c>
      <c r="T20" s="479"/>
      <c r="U20" s="479">
        <v>0</v>
      </c>
      <c r="V20" s="2614"/>
      <c r="W20" s="2614"/>
      <c r="X20" s="2614"/>
      <c r="Y20" s="2614"/>
      <c r="Z20" s="2604"/>
      <c r="AA20" s="479">
        <f>U20+S20+Q20+O20+I20+G20</f>
        <v>4820732</v>
      </c>
    </row>
    <row r="21" spans="1:29" ht="37.5" customHeight="1">
      <c r="B21" s="2604"/>
      <c r="C21" s="2626">
        <v>2055</v>
      </c>
      <c r="D21" s="2616"/>
      <c r="E21" s="2616" t="s">
        <v>2249</v>
      </c>
      <c r="F21" s="2616"/>
      <c r="G21" s="479">
        <v>19338612</v>
      </c>
      <c r="H21" s="479"/>
      <c r="I21" s="479">
        <v>-1896777</v>
      </c>
      <c r="J21" s="479"/>
      <c r="K21" s="479">
        <v>2875753</v>
      </c>
      <c r="L21" s="479"/>
      <c r="M21" s="479">
        <v>-2875753</v>
      </c>
      <c r="N21" s="479"/>
      <c r="O21" s="479">
        <v>12024568</v>
      </c>
      <c r="P21" s="479"/>
      <c r="Q21" s="479">
        <v>-1896777</v>
      </c>
      <c r="R21" s="2625"/>
      <c r="S21" s="479">
        <v>0</v>
      </c>
      <c r="T21" s="479"/>
      <c r="U21" s="479">
        <v>0</v>
      </c>
      <c r="V21" s="2614">
        <v>815599</v>
      </c>
      <c r="W21" s="2614"/>
      <c r="X21" s="2614"/>
      <c r="Y21" s="479">
        <v>0</v>
      </c>
      <c r="Z21" s="2604"/>
      <c r="AA21" s="479">
        <f>U21+S21+Q21+O21+I21+G21+Y21</f>
        <v>27569626</v>
      </c>
    </row>
    <row r="22" spans="1:29" ht="37.5" customHeight="1">
      <c r="B22" s="2604"/>
      <c r="C22" s="2626">
        <v>1153</v>
      </c>
      <c r="D22" s="2628"/>
      <c r="E22" s="2616" t="s">
        <v>2302</v>
      </c>
      <c r="F22" s="2616"/>
      <c r="G22" s="479">
        <v>133848</v>
      </c>
      <c r="H22" s="479"/>
      <c r="I22" s="479">
        <v>0</v>
      </c>
      <c r="J22" s="479"/>
      <c r="K22" s="479">
        <v>0</v>
      </c>
      <c r="L22" s="479"/>
      <c r="M22" s="479">
        <v>0</v>
      </c>
      <c r="N22" s="479"/>
      <c r="O22" s="479">
        <v>108597</v>
      </c>
      <c r="P22" s="479"/>
      <c r="Q22" s="479">
        <v>0</v>
      </c>
      <c r="R22" s="2625"/>
      <c r="S22" s="479">
        <v>8134</v>
      </c>
      <c r="T22" s="479"/>
      <c r="U22" s="479">
        <v>0</v>
      </c>
      <c r="V22" s="2614"/>
      <c r="W22" s="2614"/>
      <c r="X22" s="2614"/>
      <c r="Y22" s="2614"/>
      <c r="Z22" s="2604"/>
      <c r="AA22" s="479">
        <f>U22+S22+Q22+O22+I22+G22</f>
        <v>250579</v>
      </c>
    </row>
    <row r="23" spans="1:29" ht="37.5" hidden="1" customHeight="1">
      <c r="B23" s="2604"/>
      <c r="C23" s="2629"/>
      <c r="D23" s="2628"/>
      <c r="E23" s="2616"/>
      <c r="F23" s="2616"/>
      <c r="G23" s="479"/>
      <c r="H23" s="479"/>
      <c r="I23" s="479"/>
      <c r="J23" s="479"/>
      <c r="K23" s="479"/>
      <c r="L23" s="479"/>
      <c r="M23" s="479"/>
      <c r="N23" s="479"/>
      <c r="O23" s="479"/>
      <c r="P23" s="479"/>
      <c r="Q23" s="479"/>
      <c r="R23" s="2625"/>
      <c r="S23" s="479"/>
      <c r="T23" s="479"/>
      <c r="U23" s="479"/>
      <c r="V23" s="2614"/>
      <c r="W23" s="2614"/>
      <c r="X23" s="2614"/>
      <c r="Y23" s="2614"/>
      <c r="Z23" s="2604"/>
      <c r="AA23" s="479">
        <f>G23+O23+Q23+S23</f>
        <v>0</v>
      </c>
    </row>
    <row r="24" spans="1:29" ht="37.5" hidden="1" customHeight="1">
      <c r="B24" s="2604"/>
      <c r="C24" s="2629"/>
      <c r="D24" s="2628"/>
      <c r="E24" s="2616"/>
      <c r="F24" s="2616"/>
      <c r="G24" s="479"/>
      <c r="H24" s="479"/>
      <c r="I24" s="479"/>
      <c r="J24" s="479"/>
      <c r="K24" s="479"/>
      <c r="L24" s="479"/>
      <c r="M24" s="479"/>
      <c r="N24" s="479"/>
      <c r="O24" s="479"/>
      <c r="P24" s="479"/>
      <c r="Q24" s="479"/>
      <c r="R24" s="2625"/>
      <c r="S24" s="479"/>
      <c r="T24" s="479"/>
      <c r="U24" s="479"/>
      <c r="V24" s="2614"/>
      <c r="W24" s="2614"/>
      <c r="X24" s="2614"/>
      <c r="Y24" s="2614"/>
      <c r="Z24" s="2604"/>
      <c r="AA24" s="479">
        <f>G24+O24+Q24+S24</f>
        <v>0</v>
      </c>
    </row>
    <row r="25" spans="1:29" ht="37.5" customHeight="1">
      <c r="B25" s="2604"/>
      <c r="C25" s="2626">
        <v>3041</v>
      </c>
      <c r="D25" s="2628"/>
      <c r="E25" s="2616" t="s">
        <v>1749</v>
      </c>
      <c r="F25" s="2616"/>
      <c r="G25" s="479">
        <v>802822</v>
      </c>
      <c r="H25" s="479"/>
      <c r="I25" s="479">
        <v>-802822</v>
      </c>
      <c r="J25" s="479"/>
      <c r="K25" s="479">
        <v>0</v>
      </c>
      <c r="L25" s="479"/>
      <c r="M25" s="479">
        <v>0</v>
      </c>
      <c r="N25" s="479"/>
      <c r="O25" s="479">
        <v>802822</v>
      </c>
      <c r="P25" s="479"/>
      <c r="Q25" s="479">
        <v>-802822</v>
      </c>
      <c r="R25" s="2625"/>
      <c r="S25" s="479">
        <v>0</v>
      </c>
      <c r="T25" s="479"/>
      <c r="U25" s="479"/>
      <c r="V25" s="2622">
        <v>758321</v>
      </c>
      <c r="W25" s="2614"/>
      <c r="X25" s="2614"/>
      <c r="Y25" s="2614"/>
      <c r="Z25" s="2604"/>
      <c r="AA25" s="479">
        <f>U25+S25+Q25+O25+I25+G25</f>
        <v>0</v>
      </c>
    </row>
    <row r="26" spans="1:29" ht="37.5" customHeight="1">
      <c r="B26" s="2604"/>
      <c r="C26" s="2626">
        <v>3041</v>
      </c>
      <c r="D26" s="2628"/>
      <c r="E26" s="2616" t="s">
        <v>1748</v>
      </c>
      <c r="F26" s="2616"/>
      <c r="G26" s="2621">
        <v>155641</v>
      </c>
      <c r="H26" s="479"/>
      <c r="I26" s="2621">
        <v>0</v>
      </c>
      <c r="J26" s="479"/>
      <c r="K26" s="2621">
        <v>48438</v>
      </c>
      <c r="L26" s="479"/>
      <c r="M26" s="2621">
        <v>-48438</v>
      </c>
      <c r="N26" s="2621"/>
      <c r="O26" s="2621">
        <v>31707</v>
      </c>
      <c r="P26" s="479"/>
      <c r="Q26" s="2621">
        <v>0</v>
      </c>
      <c r="R26" s="2625"/>
      <c r="S26" s="2621">
        <v>6459</v>
      </c>
      <c r="T26" s="479"/>
      <c r="U26" s="2621"/>
      <c r="V26" s="2622">
        <v>758321</v>
      </c>
      <c r="W26" s="2614"/>
      <c r="X26" s="2614"/>
      <c r="Y26" s="2614"/>
      <c r="Z26" s="2604"/>
      <c r="AA26" s="479">
        <f>U26+S26+Q26+O26+I26+G26</f>
        <v>193807</v>
      </c>
    </row>
    <row r="27" spans="1:29" ht="37.5" customHeight="1">
      <c r="B27" s="2604"/>
      <c r="C27" s="2626"/>
      <c r="D27" s="2628"/>
      <c r="E27" s="2616"/>
      <c r="F27" s="2630"/>
      <c r="G27" s="2631">
        <f>SUM(G20:G26)</f>
        <v>25071038</v>
      </c>
      <c r="H27" s="479"/>
      <c r="I27" s="2632">
        <f>SUM(I21:I26)</f>
        <v>-2699599</v>
      </c>
      <c r="J27" s="479"/>
      <c r="K27" s="2631">
        <f>SUM(K20:K26)</f>
        <v>3023751</v>
      </c>
      <c r="L27" s="479"/>
      <c r="M27" s="2631">
        <f>SUM(M20:M26)</f>
        <v>-3023751</v>
      </c>
      <c r="N27" s="2621"/>
      <c r="O27" s="2621">
        <f>SUM(O20:O26)</f>
        <v>13115868</v>
      </c>
      <c r="P27" s="479"/>
      <c r="Q27" s="2631">
        <f>SUM(Q20:Q26)</f>
        <v>-2699599</v>
      </c>
      <c r="R27" s="2625"/>
      <c r="S27" s="2631">
        <f>SUM(S20:S26)</f>
        <v>47036</v>
      </c>
      <c r="T27" s="479"/>
      <c r="U27" s="2631">
        <f>SUM(U22:U26)</f>
        <v>0</v>
      </c>
      <c r="V27" s="2614"/>
      <c r="W27" s="2623">
        <f>V21+V26</f>
        <v>1573920</v>
      </c>
      <c r="X27" s="2623"/>
      <c r="Y27" s="2631">
        <f>Y21</f>
        <v>0</v>
      </c>
      <c r="Z27" s="2604"/>
      <c r="AA27" s="2633">
        <f>SUM(AA20:AA26)</f>
        <v>32834744</v>
      </c>
    </row>
    <row r="28" spans="1:29" ht="37.5" customHeight="1" thickBot="1">
      <c r="B28" s="2604"/>
      <c r="C28" s="2626"/>
      <c r="D28" s="2628"/>
      <c r="E28" s="2616"/>
      <c r="F28" s="2616"/>
      <c r="G28" s="2634">
        <f>G14+G18+G27</f>
        <v>38888941</v>
      </c>
      <c r="H28" s="2634"/>
      <c r="I28" s="2635">
        <f>I14+I18+I27</f>
        <v>-4747477</v>
      </c>
      <c r="J28" s="2635"/>
      <c r="K28" s="2635">
        <f>K27+K18+K14</f>
        <v>4364911</v>
      </c>
      <c r="L28" s="479"/>
      <c r="M28" s="2635">
        <f>M27+M18+M14</f>
        <v>-4364911</v>
      </c>
      <c r="N28" s="2635"/>
      <c r="O28" s="2635">
        <f>O14+O18+O27</f>
        <v>21121337</v>
      </c>
      <c r="P28" s="2634"/>
      <c r="Q28" s="2635">
        <f>Q14+Q18+Q27</f>
        <v>-4747477</v>
      </c>
      <c r="R28" s="2636"/>
      <c r="S28" s="2635">
        <f>S14+S18+S27</f>
        <v>716262</v>
      </c>
      <c r="T28" s="2634"/>
      <c r="U28" s="2634">
        <f>U27</f>
        <v>0</v>
      </c>
      <c r="V28" s="2637"/>
      <c r="W28" s="2637" t="e">
        <f>W27+W19+W18+W14+#REF!</f>
        <v>#REF!</v>
      </c>
      <c r="X28" s="2637"/>
      <c r="Y28" s="2634">
        <f>Y27+Y18</f>
        <v>0</v>
      </c>
      <c r="Z28" s="2638"/>
      <c r="AA28" s="2634">
        <f>SUM(+U28+S28+Q28+O28+M28+K28+I28+G28)</f>
        <v>51231586</v>
      </c>
    </row>
    <row r="29" spans="1:29" ht="13.5" customHeight="1" thickTop="1">
      <c r="D29" s="1251"/>
      <c r="E29" s="253"/>
      <c r="F29" s="253"/>
      <c r="G29" s="254"/>
      <c r="H29" s="254"/>
      <c r="I29" s="254"/>
      <c r="J29" s="254"/>
      <c r="K29" s="254"/>
      <c r="L29" s="254"/>
      <c r="M29" s="254"/>
      <c r="N29" s="254"/>
      <c r="O29" s="254"/>
      <c r="P29" s="254"/>
      <c r="Q29" s="1245"/>
      <c r="R29" s="1245"/>
      <c r="S29" s="254"/>
      <c r="T29" s="1245"/>
      <c r="U29" s="254"/>
      <c r="V29" s="2081"/>
      <c r="W29" s="2081"/>
      <c r="X29" s="2081"/>
      <c r="Y29" s="2081"/>
      <c r="Z29" s="2082"/>
      <c r="AA29" s="254"/>
    </row>
    <row r="30" spans="1:29" ht="11.25" customHeight="1">
      <c r="C30" s="1244"/>
      <c r="D30" s="1244"/>
      <c r="E30" s="1244"/>
      <c r="F30" s="1244"/>
      <c r="G30" s="1244"/>
      <c r="H30" s="1244"/>
      <c r="I30" s="1244"/>
      <c r="J30" s="1244"/>
      <c r="K30" s="1244"/>
      <c r="L30" s="1244"/>
      <c r="M30" s="1244"/>
      <c r="N30" s="1244"/>
      <c r="O30" s="1244"/>
      <c r="P30" s="1244"/>
      <c r="Q30" s="1244"/>
      <c r="R30" s="1244"/>
      <c r="S30" s="1244"/>
      <c r="T30" s="1244"/>
      <c r="U30" s="254"/>
      <c r="V30" s="960"/>
      <c r="W30" s="960"/>
      <c r="X30" s="960"/>
      <c r="Y30" s="960"/>
      <c r="Z30" s="562"/>
      <c r="AA30" s="254"/>
    </row>
    <row r="31" spans="1:29" ht="83.25" customHeight="1">
      <c r="B31" s="2698" t="s">
        <v>2621</v>
      </c>
      <c r="C31" s="3518" t="s">
        <v>2449</v>
      </c>
      <c r="D31" s="3518"/>
      <c r="E31" s="3518"/>
      <c r="F31" s="3518"/>
      <c r="G31" s="3518"/>
      <c r="H31" s="3518"/>
      <c r="I31" s="3518"/>
      <c r="J31" s="3518"/>
      <c r="K31" s="3518"/>
      <c r="L31" s="3518"/>
      <c r="M31" s="3518"/>
      <c r="N31" s="3518"/>
      <c r="O31" s="3518"/>
      <c r="P31" s="3518"/>
      <c r="Q31" s="3518"/>
      <c r="R31" s="3518"/>
      <c r="S31" s="3518"/>
      <c r="T31" s="3518"/>
      <c r="U31" s="3518"/>
      <c r="V31" s="3518"/>
      <c r="W31" s="3518"/>
      <c r="X31" s="3518"/>
      <c r="Y31" s="3518"/>
      <c r="Z31" s="3518"/>
      <c r="AA31" s="3518"/>
      <c r="AB31" s="2654"/>
      <c r="AC31" s="1252"/>
    </row>
    <row r="32" spans="1:29" ht="90.75" customHeight="1">
      <c r="B32" s="2698" t="s">
        <v>2622</v>
      </c>
      <c r="C32" s="3518" t="s">
        <v>2762</v>
      </c>
      <c r="D32" s="3518"/>
      <c r="E32" s="3518"/>
      <c r="F32" s="3518"/>
      <c r="G32" s="3518"/>
      <c r="H32" s="3518"/>
      <c r="I32" s="3518"/>
      <c r="J32" s="3518"/>
      <c r="K32" s="3518"/>
      <c r="L32" s="3518"/>
      <c r="M32" s="3518"/>
      <c r="N32" s="3518"/>
      <c r="O32" s="3518"/>
      <c r="P32" s="3518"/>
      <c r="Q32" s="3518"/>
      <c r="R32" s="3518"/>
      <c r="S32" s="3518"/>
      <c r="T32" s="3518"/>
      <c r="U32" s="3518"/>
      <c r="V32" s="3518"/>
      <c r="W32" s="3518"/>
      <c r="X32" s="3518"/>
      <c r="Y32" s="3518"/>
      <c r="Z32" s="3518"/>
      <c r="AA32" s="3518"/>
      <c r="AB32" s="2654"/>
      <c r="AC32" s="1252"/>
    </row>
    <row r="33" spans="2:78" ht="73.5" customHeight="1">
      <c r="B33" s="3515">
        <v>17</v>
      </c>
      <c r="C33" s="3515"/>
      <c r="D33" s="3515"/>
      <c r="E33" s="3515"/>
      <c r="F33" s="3515"/>
      <c r="G33" s="3515"/>
      <c r="H33" s="3515"/>
      <c r="I33" s="3515"/>
      <c r="J33" s="3515"/>
      <c r="K33" s="3515"/>
      <c r="L33" s="3515"/>
      <c r="M33" s="3515"/>
      <c r="N33" s="3515"/>
      <c r="O33" s="3515"/>
      <c r="P33" s="3515"/>
      <c r="Q33" s="3515"/>
      <c r="R33" s="3515"/>
      <c r="S33" s="3515"/>
      <c r="T33" s="3515"/>
      <c r="U33" s="3515"/>
      <c r="V33" s="3515"/>
      <c r="W33" s="3515"/>
      <c r="X33" s="3515"/>
      <c r="Y33" s="3515"/>
      <c r="Z33" s="3515"/>
      <c r="AA33" s="3515"/>
      <c r="AB33" s="1250"/>
      <c r="AC33" s="1250"/>
      <c r="AD33" s="1250"/>
      <c r="AE33" s="1250"/>
      <c r="AF33" s="1250"/>
      <c r="AG33" s="1250"/>
      <c r="AH33" s="1250"/>
      <c r="AI33" s="1250"/>
    </row>
    <row r="34" spans="2:78">
      <c r="C34" s="255"/>
      <c r="D34" s="255"/>
      <c r="E34" s="252"/>
      <c r="F34" s="252"/>
      <c r="G34" s="252"/>
      <c r="H34" s="252"/>
      <c r="I34" s="252"/>
      <c r="J34" s="252"/>
      <c r="K34" s="252"/>
      <c r="L34" s="252"/>
      <c r="M34" s="252"/>
      <c r="N34" s="252"/>
      <c r="O34" s="252"/>
      <c r="P34" s="252"/>
      <c r="Q34" s="252"/>
      <c r="R34" s="252"/>
      <c r="S34" s="252"/>
      <c r="T34" s="252"/>
      <c r="U34" s="256"/>
      <c r="BM34" s="3511"/>
      <c r="BN34" s="3511"/>
      <c r="BO34" s="3511"/>
      <c r="BP34" s="3511"/>
      <c r="BQ34" s="3511"/>
      <c r="BR34" s="3511"/>
      <c r="BS34" s="3511"/>
      <c r="BT34" s="3511"/>
      <c r="BU34" s="3511"/>
      <c r="BV34" s="3511"/>
      <c r="BW34" s="3511"/>
      <c r="BX34" s="3511"/>
      <c r="BY34" s="3511"/>
      <c r="BZ34" s="3511"/>
    </row>
    <row r="35" spans="2:78">
      <c r="C35" s="257"/>
      <c r="D35" s="257"/>
      <c r="E35" s="252"/>
      <c r="F35" s="252"/>
      <c r="G35" s="252"/>
      <c r="H35" s="252"/>
      <c r="I35" s="252"/>
      <c r="J35" s="252"/>
      <c r="K35" s="252"/>
      <c r="L35" s="252"/>
      <c r="M35" s="252"/>
      <c r="N35" s="252"/>
      <c r="O35" s="252"/>
      <c r="P35" s="252"/>
      <c r="Q35" s="252"/>
      <c r="R35" s="252"/>
      <c r="S35" s="252"/>
      <c r="T35" s="252"/>
      <c r="U35" s="256"/>
    </row>
    <row r="39" spans="2:78" ht="39.75">
      <c r="G39" s="249"/>
      <c r="H39" s="249"/>
      <c r="I39" s="249"/>
      <c r="J39" s="249"/>
      <c r="K39" s="249"/>
      <c r="L39" s="249"/>
      <c r="M39" s="249"/>
      <c r="N39" s="249"/>
      <c r="O39" s="249"/>
      <c r="P39" s="249"/>
      <c r="Q39" s="249"/>
      <c r="R39" s="249"/>
    </row>
    <row r="40" spans="2:78" ht="39.75">
      <c r="B40" s="250" t="s">
        <v>1714</v>
      </c>
      <c r="G40" s="249"/>
      <c r="H40" s="249"/>
      <c r="I40" s="249"/>
      <c r="J40" s="249"/>
      <c r="K40" s="249"/>
      <c r="L40" s="249"/>
      <c r="M40" s="249"/>
      <c r="N40" s="249"/>
      <c r="O40" s="249"/>
      <c r="P40" s="249"/>
      <c r="Q40" s="249"/>
      <c r="R40" s="249"/>
      <c r="T40" s="250">
        <v>1681605</v>
      </c>
    </row>
    <row r="41" spans="2:78" ht="39.75">
      <c r="G41" s="249"/>
      <c r="H41" s="249"/>
      <c r="I41" s="249"/>
      <c r="J41" s="249"/>
      <c r="K41" s="249"/>
      <c r="L41" s="249"/>
      <c r="M41" s="249"/>
      <c r="N41" s="249"/>
      <c r="O41" s="249"/>
      <c r="P41" s="249"/>
      <c r="Q41" s="249"/>
      <c r="R41" s="249"/>
    </row>
    <row r="42" spans="2:78" ht="39.75">
      <c r="G42" s="249"/>
      <c r="H42" s="249"/>
      <c r="I42" s="249"/>
      <c r="J42" s="249"/>
      <c r="K42" s="249"/>
      <c r="L42" s="249"/>
      <c r="M42" s="249"/>
      <c r="N42" s="249"/>
      <c r="O42" s="249"/>
      <c r="P42" s="249"/>
      <c r="Q42" s="249"/>
      <c r="R42" s="249"/>
    </row>
    <row r="43" spans="2:78" ht="39.75">
      <c r="G43" s="249"/>
      <c r="H43" s="249"/>
      <c r="I43" s="249"/>
      <c r="J43" s="249"/>
      <c r="K43" s="249"/>
      <c r="L43" s="249"/>
      <c r="M43" s="249"/>
      <c r="N43" s="249"/>
      <c r="O43" s="249"/>
      <c r="P43" s="249"/>
      <c r="Q43" s="249"/>
      <c r="R43" s="249"/>
    </row>
    <row r="44" spans="2:78" ht="39.75">
      <c r="G44" s="249"/>
      <c r="H44" s="249"/>
      <c r="I44" s="249"/>
      <c r="J44" s="249"/>
      <c r="K44" s="249"/>
      <c r="L44" s="249"/>
      <c r="M44" s="249"/>
      <c r="N44" s="249"/>
      <c r="O44" s="249"/>
      <c r="P44" s="249"/>
      <c r="Q44" s="249"/>
      <c r="R44" s="249"/>
    </row>
    <row r="45" spans="2:78" ht="39.75">
      <c r="G45" s="249"/>
      <c r="H45" s="249"/>
      <c r="I45" s="249"/>
      <c r="J45" s="249"/>
      <c r="K45" s="249"/>
      <c r="L45" s="249"/>
      <c r="M45" s="249"/>
      <c r="N45" s="249"/>
      <c r="O45" s="249"/>
      <c r="P45" s="249"/>
      <c r="Q45" s="249"/>
      <c r="R45" s="249"/>
    </row>
    <row r="46" spans="2:78" ht="37.5">
      <c r="G46" s="258"/>
      <c r="H46" s="258"/>
      <c r="I46" s="258"/>
      <c r="J46" s="258"/>
      <c r="K46" s="258"/>
      <c r="L46" s="258"/>
      <c r="M46" s="258"/>
      <c r="N46" s="258"/>
      <c r="O46" s="258"/>
      <c r="P46" s="258"/>
      <c r="Q46" s="258"/>
      <c r="R46" s="258"/>
    </row>
  </sheetData>
  <mergeCells count="12">
    <mergeCell ref="BM34:BZ34"/>
    <mergeCell ref="A1:AA1"/>
    <mergeCell ref="A2:AA2"/>
    <mergeCell ref="A3:AA3"/>
    <mergeCell ref="C6:AA6"/>
    <mergeCell ref="V9:W9"/>
    <mergeCell ref="B33:AA33"/>
    <mergeCell ref="G8:K8"/>
    <mergeCell ref="Z7:AA7"/>
    <mergeCell ref="M8:AA8"/>
    <mergeCell ref="C31:AA31"/>
    <mergeCell ref="C32:AA32"/>
  </mergeCells>
  <printOptions horizontalCentered="1" verticalCentered="1"/>
  <pageMargins left="0.17" right="0.18" top="0.31496062992126" bottom="0" header="0.17" footer="0.24"/>
  <pageSetup paperSize="9" scale="47" orientation="landscape" r:id="rId1"/>
  <ignoredErrors>
    <ignoredError sqref="W18 W28" evalError="1"/>
  </ignoredError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68"/>
  <sheetViews>
    <sheetView rightToLeft="1" view="pageBreakPreview" topLeftCell="A28" zoomScale="40" zoomScaleNormal="100" zoomScaleSheetLayoutView="40" zoomScalePageLayoutView="52" workbookViewId="0">
      <selection activeCell="N23" sqref="N23:N28"/>
    </sheetView>
  </sheetViews>
  <sheetFormatPr defaultColWidth="1.375" defaultRowHeight="30.75" customHeight="1"/>
  <cols>
    <col min="1" max="1" width="7.625" style="2053" customWidth="1"/>
    <col min="2" max="2" width="19.25" style="476" customWidth="1"/>
    <col min="3" max="3" width="8.625" style="476" customWidth="1"/>
    <col min="4" max="4" width="21.75" style="476" customWidth="1"/>
    <col min="5" max="5" width="80" style="476" customWidth="1"/>
    <col min="6" max="6" width="21.625" style="476" customWidth="1"/>
    <col min="7" max="7" width="1.5" style="476" customWidth="1"/>
    <col min="8" max="8" width="27" style="476" bestFit="1" customWidth="1"/>
    <col min="9" max="9" width="2.375" style="476" customWidth="1"/>
    <col min="10" max="10" width="20" style="476" customWidth="1"/>
    <col min="11" max="11" width="0.875" style="476" customWidth="1"/>
    <col min="12" max="12" width="23.75" style="476" hidden="1" customWidth="1"/>
    <col min="13" max="13" width="5.125" style="476" customWidth="1"/>
    <col min="14" max="14" width="26.375" style="476" bestFit="1" customWidth="1"/>
    <col min="15" max="15" width="2.75" style="476" customWidth="1"/>
    <col min="16" max="16" width="26.375" style="476" bestFit="1" customWidth="1"/>
    <col min="17" max="17" width="3.375" style="476" customWidth="1"/>
    <col min="18" max="16384" width="1.375" style="476"/>
  </cols>
  <sheetData>
    <row r="1" spans="1:16" ht="69" customHeight="1">
      <c r="A1" s="3519" t="s">
        <v>612</v>
      </c>
      <c r="B1" s="3519"/>
      <c r="C1" s="3519"/>
      <c r="D1" s="3519"/>
      <c r="E1" s="3519"/>
      <c r="F1" s="3519"/>
      <c r="G1" s="3519"/>
      <c r="H1" s="3519"/>
      <c r="I1" s="3519"/>
      <c r="J1" s="3519"/>
      <c r="K1" s="3519"/>
      <c r="L1" s="3519"/>
      <c r="M1" s="3519"/>
      <c r="N1" s="3519"/>
      <c r="O1" s="3519"/>
      <c r="P1" s="3519"/>
    </row>
    <row r="2" spans="1:16" ht="69" customHeight="1">
      <c r="A2" s="3519" t="str">
        <f>مفروضات!A2</f>
        <v>يادداشت هاي توضيحي صورت هاي مالي</v>
      </c>
      <c r="B2" s="3519"/>
      <c r="C2" s="3519"/>
      <c r="D2" s="3519"/>
      <c r="E2" s="3519"/>
      <c r="F2" s="3519"/>
      <c r="G2" s="3519"/>
      <c r="H2" s="3519"/>
      <c r="I2" s="3519"/>
      <c r="J2" s="3519"/>
      <c r="K2" s="3519"/>
      <c r="L2" s="3519"/>
      <c r="M2" s="3519"/>
      <c r="N2" s="3519"/>
      <c r="O2" s="3519"/>
      <c r="P2" s="3519"/>
    </row>
    <row r="3" spans="1:16" ht="69" customHeight="1">
      <c r="A3" s="3519" t="str">
        <f>mafrozat!A3</f>
        <v xml:space="preserve"> سال مالي منتهي به 29 اسفند 1402</v>
      </c>
      <c r="B3" s="3519"/>
      <c r="C3" s="3519"/>
      <c r="D3" s="3519"/>
      <c r="E3" s="3519"/>
      <c r="F3" s="3519"/>
      <c r="G3" s="3519"/>
      <c r="H3" s="3519"/>
      <c r="I3" s="3519"/>
      <c r="J3" s="3519"/>
      <c r="K3" s="3519"/>
      <c r="L3" s="3519"/>
      <c r="M3" s="3519"/>
      <c r="N3" s="3519"/>
      <c r="O3" s="3519"/>
      <c r="P3" s="3519"/>
    </row>
    <row r="4" spans="1:16" ht="35.25" customHeight="1">
      <c r="A4" s="2566"/>
      <c r="B4" s="2566"/>
      <c r="C4" s="2566"/>
      <c r="D4" s="2566"/>
      <c r="E4" s="2566"/>
      <c r="F4" s="2566"/>
      <c r="G4" s="2566"/>
      <c r="H4" s="2566"/>
      <c r="I4" s="2566"/>
      <c r="J4" s="2566"/>
      <c r="K4" s="2682"/>
      <c r="L4" s="2682"/>
      <c r="M4" s="2566"/>
      <c r="N4" s="2566"/>
      <c r="O4" s="2566"/>
      <c r="P4" s="2566"/>
    </row>
    <row r="5" spans="1:16" ht="53.25" customHeight="1">
      <c r="B5" s="1613"/>
      <c r="C5" s="1613"/>
      <c r="D5" s="1613"/>
      <c r="E5" s="1613"/>
      <c r="F5" s="2107"/>
      <c r="G5" s="2107"/>
      <c r="H5" s="2107"/>
      <c r="I5" s="2107"/>
      <c r="J5" s="2107"/>
      <c r="K5" s="2107"/>
      <c r="L5" s="2107"/>
      <c r="M5" s="2107"/>
      <c r="N5" s="3524" t="s">
        <v>1879</v>
      </c>
      <c r="O5" s="3524"/>
      <c r="P5" s="3524"/>
    </row>
    <row r="6" spans="1:16" ht="51" customHeight="1">
      <c r="A6" s="2099"/>
      <c r="B6" s="1614" t="s">
        <v>2623</v>
      </c>
      <c r="C6" s="1615" t="s">
        <v>1656</v>
      </c>
      <c r="D6" s="1616"/>
      <c r="E6" s="1616"/>
      <c r="F6" s="3527">
        <v>1402</v>
      </c>
      <c r="G6" s="3527"/>
      <c r="H6" s="3527"/>
      <c r="I6" s="3527"/>
      <c r="J6" s="3527"/>
      <c r="K6" s="3527"/>
      <c r="L6" s="3527"/>
      <c r="M6" s="3527"/>
      <c r="N6" s="3527"/>
      <c r="O6" s="1616"/>
      <c r="P6" s="1960">
        <v>1401</v>
      </c>
    </row>
    <row r="7" spans="1:16" ht="18" hidden="1" customHeight="1">
      <c r="C7" s="1591"/>
      <c r="D7" s="1591"/>
      <c r="E7" s="1591"/>
      <c r="F7" s="1591"/>
      <c r="G7" s="1591"/>
      <c r="H7" s="1591"/>
      <c r="I7" s="1591"/>
      <c r="J7" s="1591"/>
      <c r="K7" s="1591"/>
      <c r="L7" s="1591"/>
      <c r="M7" s="1591"/>
      <c r="N7" s="1617"/>
      <c r="O7" s="1591"/>
      <c r="P7" s="1617"/>
    </row>
    <row r="8" spans="1:16" ht="114" customHeight="1">
      <c r="C8" s="1618" t="s">
        <v>1389</v>
      </c>
      <c r="D8" s="1591"/>
      <c r="E8" s="1591"/>
      <c r="F8" s="2567" t="s">
        <v>2187</v>
      </c>
      <c r="G8" s="2568"/>
      <c r="H8" s="2567" t="s">
        <v>2186</v>
      </c>
      <c r="I8" s="2568"/>
      <c r="J8" s="2567" t="s">
        <v>2185</v>
      </c>
      <c r="K8" s="2685"/>
      <c r="L8" s="2687" t="s">
        <v>2466</v>
      </c>
      <c r="M8" s="2568"/>
      <c r="N8" s="2569" t="s">
        <v>679</v>
      </c>
      <c r="O8" s="2570"/>
      <c r="P8" s="2569" t="s">
        <v>679</v>
      </c>
    </row>
    <row r="9" spans="1:16" ht="57.75" customHeight="1">
      <c r="C9" s="1590" t="s">
        <v>1671</v>
      </c>
      <c r="D9" s="1591"/>
      <c r="E9" s="1591"/>
      <c r="F9" s="1591"/>
      <c r="G9" s="1591"/>
      <c r="H9" s="1592">
        <v>4798180</v>
      </c>
      <c r="I9" s="1591"/>
      <c r="J9" s="1592">
        <v>0</v>
      </c>
      <c r="K9" s="1592"/>
      <c r="L9" s="1592"/>
      <c r="M9" s="1591"/>
      <c r="N9" s="1592">
        <f>'1402'!W446</f>
        <v>4798180</v>
      </c>
      <c r="O9" s="1593"/>
      <c r="P9" s="1592">
        <v>13749624</v>
      </c>
    </row>
    <row r="10" spans="1:16" ht="57.75" customHeight="1">
      <c r="C10" s="1590" t="s">
        <v>2099</v>
      </c>
      <c r="D10" s="1591"/>
      <c r="E10" s="1591"/>
      <c r="F10" s="2176" t="s">
        <v>2624</v>
      </c>
      <c r="G10" s="1591"/>
      <c r="H10" s="1592">
        <v>26168</v>
      </c>
      <c r="I10" s="1592"/>
      <c r="J10" s="1592">
        <v>161137</v>
      </c>
      <c r="K10" s="1592"/>
      <c r="L10" s="1592"/>
      <c r="M10" s="1591"/>
      <c r="N10" s="1592">
        <f>SUM(H10:J10)</f>
        <v>187305</v>
      </c>
      <c r="O10" s="1593"/>
      <c r="P10" s="1592">
        <v>187305</v>
      </c>
    </row>
    <row r="11" spans="1:16" ht="57.75" hidden="1" customHeight="1">
      <c r="C11" s="1590" t="s">
        <v>1956</v>
      </c>
      <c r="D11" s="1591"/>
      <c r="E11" s="1591"/>
      <c r="F11" s="2175"/>
      <c r="G11" s="1591"/>
      <c r="H11" s="1592"/>
      <c r="I11" s="1592"/>
      <c r="J11" s="1592"/>
      <c r="K11" s="1592"/>
      <c r="L11" s="1592"/>
      <c r="M11" s="1591"/>
      <c r="N11" s="1592"/>
      <c r="O11" s="1593"/>
      <c r="P11" s="1592"/>
    </row>
    <row r="12" spans="1:16" ht="57.75" customHeight="1">
      <c r="C12" s="1590" t="s">
        <v>2104</v>
      </c>
      <c r="D12" s="1591"/>
      <c r="E12" s="1591"/>
      <c r="F12" s="2176" t="s">
        <v>2624</v>
      </c>
      <c r="G12" s="1591"/>
      <c r="H12" s="1592">
        <v>2120</v>
      </c>
      <c r="I12" s="1592"/>
      <c r="J12" s="1592">
        <v>135225</v>
      </c>
      <c r="K12" s="1592"/>
      <c r="L12" s="1592"/>
      <c r="M12" s="1591"/>
      <c r="N12" s="1592">
        <f>SUM(H12:M12)</f>
        <v>137345</v>
      </c>
      <c r="O12" s="1593"/>
      <c r="P12" s="1592">
        <v>137345</v>
      </c>
    </row>
    <row r="13" spans="1:16" ht="57.75" customHeight="1">
      <c r="C13" s="1590" t="s">
        <v>2103</v>
      </c>
      <c r="D13" s="1591"/>
      <c r="E13" s="1591"/>
      <c r="F13" s="1591"/>
      <c r="G13" s="1591"/>
      <c r="H13" s="1592">
        <v>136360</v>
      </c>
      <c r="I13" s="1592"/>
      <c r="J13" s="1592">
        <v>0</v>
      </c>
      <c r="K13" s="1592"/>
      <c r="L13" s="1592"/>
      <c r="M13" s="1591"/>
      <c r="N13" s="1592">
        <f>SUM(H13:M13)</f>
        <v>136360</v>
      </c>
      <c r="O13" s="1593"/>
      <c r="P13" s="1592">
        <v>136360</v>
      </c>
    </row>
    <row r="14" spans="1:16" ht="57.75" customHeight="1">
      <c r="C14" s="1590" t="s">
        <v>2100</v>
      </c>
      <c r="D14" s="1591"/>
      <c r="E14" s="1591"/>
      <c r="F14" s="1591"/>
      <c r="G14" s="1591"/>
      <c r="H14" s="1592">
        <v>103098</v>
      </c>
      <c r="I14" s="1592"/>
      <c r="J14" s="1592">
        <v>0</v>
      </c>
      <c r="K14" s="1592"/>
      <c r="L14" s="1592"/>
      <c r="M14" s="1591"/>
      <c r="N14" s="1592">
        <f t="shared" ref="N14:N22" si="0">SUM(H14:M14)</f>
        <v>103098</v>
      </c>
      <c r="O14" s="1593"/>
      <c r="P14" s="1592">
        <v>77755</v>
      </c>
    </row>
    <row r="15" spans="1:16" ht="57.75" customHeight="1">
      <c r="C15" s="1590" t="s">
        <v>2741</v>
      </c>
      <c r="D15" s="1591"/>
      <c r="E15" s="1591"/>
      <c r="F15" s="1591"/>
      <c r="G15" s="1591"/>
      <c r="H15" s="1592">
        <v>100380</v>
      </c>
      <c r="I15" s="1592"/>
      <c r="J15" s="1592"/>
      <c r="K15" s="1592"/>
      <c r="L15" s="1592"/>
      <c r="M15" s="1591"/>
      <c r="N15" s="1592">
        <f t="shared" si="0"/>
        <v>100380</v>
      </c>
      <c r="O15" s="1593"/>
      <c r="P15" s="1592">
        <v>0</v>
      </c>
    </row>
    <row r="16" spans="1:16" ht="57.75" customHeight="1">
      <c r="C16" s="1590" t="s">
        <v>2101</v>
      </c>
      <c r="D16" s="1591"/>
      <c r="E16" s="1591"/>
      <c r="F16" s="1591"/>
      <c r="G16" s="1591"/>
      <c r="H16" s="1592">
        <v>81630</v>
      </c>
      <c r="I16" s="1592"/>
      <c r="J16" s="1592">
        <v>0</v>
      </c>
      <c r="K16" s="1592"/>
      <c r="L16" s="1592"/>
      <c r="M16" s="1591"/>
      <c r="N16" s="1592">
        <f t="shared" si="0"/>
        <v>81630</v>
      </c>
      <c r="O16" s="1593"/>
      <c r="P16" s="1592">
        <v>81630</v>
      </c>
    </row>
    <row r="17" spans="1:16" ht="57.75" customHeight="1">
      <c r="C17" s="1590" t="s">
        <v>2716</v>
      </c>
      <c r="D17" s="1591"/>
      <c r="E17" s="1591"/>
      <c r="F17" s="1591"/>
      <c r="G17" s="1591"/>
      <c r="H17" s="1592">
        <v>33732</v>
      </c>
      <c r="I17" s="1592"/>
      <c r="J17" s="1592"/>
      <c r="K17" s="1592"/>
      <c r="L17" s="1592"/>
      <c r="M17" s="1591"/>
      <c r="N17" s="1592">
        <f t="shared" si="0"/>
        <v>33732</v>
      </c>
      <c r="O17" s="1593"/>
      <c r="P17" s="1592">
        <v>0</v>
      </c>
    </row>
    <row r="18" spans="1:16" ht="57.75" customHeight="1">
      <c r="C18" s="1590" t="s">
        <v>2105</v>
      </c>
      <c r="D18" s="1591"/>
      <c r="E18" s="1591"/>
      <c r="F18" s="1591"/>
      <c r="G18" s="1591"/>
      <c r="H18" s="1592">
        <v>28604</v>
      </c>
      <c r="I18" s="1592"/>
      <c r="J18" s="1592">
        <v>0</v>
      </c>
      <c r="K18" s="1592"/>
      <c r="L18" s="1592"/>
      <c r="M18" s="1591"/>
      <c r="N18" s="1592">
        <f t="shared" si="0"/>
        <v>28604</v>
      </c>
      <c r="O18" s="1593"/>
      <c r="P18" s="1592">
        <v>50466</v>
      </c>
    </row>
    <row r="19" spans="1:16" ht="57.75" customHeight="1">
      <c r="C19" s="1590" t="s">
        <v>2102</v>
      </c>
      <c r="D19" s="1591"/>
      <c r="E19" s="1591"/>
      <c r="F19" s="1591"/>
      <c r="G19" s="1591"/>
      <c r="H19" s="1592">
        <v>26569</v>
      </c>
      <c r="I19" s="1592"/>
      <c r="J19" s="1592">
        <v>0</v>
      </c>
      <c r="K19" s="1592"/>
      <c r="L19" s="1592"/>
      <c r="M19" s="1591"/>
      <c r="N19" s="1592">
        <f t="shared" si="0"/>
        <v>26569</v>
      </c>
      <c r="O19" s="1593"/>
      <c r="P19" s="1592">
        <v>37517</v>
      </c>
    </row>
    <row r="20" spans="1:16" ht="57.75" customHeight="1">
      <c r="C20" s="1590" t="s">
        <v>2742</v>
      </c>
      <c r="D20" s="1591"/>
      <c r="E20" s="1591"/>
      <c r="F20" s="1591"/>
      <c r="G20" s="1591"/>
      <c r="H20" s="1592">
        <v>25936</v>
      </c>
      <c r="I20" s="1592"/>
      <c r="J20" s="1592"/>
      <c r="K20" s="1592"/>
      <c r="L20" s="1592"/>
      <c r="M20" s="1591"/>
      <c r="N20" s="1592">
        <f t="shared" si="0"/>
        <v>25936</v>
      </c>
      <c r="O20" s="1593"/>
      <c r="P20" s="1592"/>
    </row>
    <row r="21" spans="1:16" ht="57.75" customHeight="1">
      <c r="C21" s="1590" t="s">
        <v>2110</v>
      </c>
      <c r="D21" s="1591"/>
      <c r="E21" s="1591"/>
      <c r="F21" s="1591"/>
      <c r="G21" s="1591"/>
      <c r="H21" s="1592">
        <v>68585</v>
      </c>
      <c r="I21" s="1591"/>
      <c r="J21" s="1592">
        <v>0</v>
      </c>
      <c r="K21" s="1592"/>
      <c r="L21" s="1592"/>
      <c r="M21" s="1591"/>
      <c r="N21" s="1592">
        <f t="shared" si="0"/>
        <v>68585</v>
      </c>
      <c r="O21" s="1593"/>
      <c r="P21" s="1592">
        <v>394101</v>
      </c>
    </row>
    <row r="22" spans="1:16" ht="57.75" customHeight="1">
      <c r="A22" s="2100">
        <v>12</v>
      </c>
      <c r="C22" s="1590" t="s">
        <v>1775</v>
      </c>
      <c r="D22" s="1591"/>
      <c r="E22" s="1591"/>
      <c r="F22" s="2109"/>
      <c r="G22" s="1591"/>
      <c r="H22" s="1190">
        <v>64393</v>
      </c>
      <c r="I22" s="1591"/>
      <c r="J22" s="1190">
        <v>0</v>
      </c>
      <c r="K22" s="1592"/>
      <c r="L22" s="1190"/>
      <c r="M22" s="1591"/>
      <c r="N22" s="1592">
        <f t="shared" si="0"/>
        <v>64393</v>
      </c>
      <c r="O22" s="1593"/>
      <c r="P22" s="1592">
        <v>467895</v>
      </c>
    </row>
    <row r="23" spans="1:16" ht="39.75">
      <c r="A23" s="2053">
        <v>907</v>
      </c>
      <c r="C23" s="1595"/>
      <c r="D23" s="477"/>
      <c r="E23" s="1596"/>
      <c r="F23" s="1596"/>
      <c r="G23" s="1596"/>
      <c r="H23" s="1592">
        <f>+H22+H21+H19+H18+H16+H14+H13+H12+H10+H9+H15+H17+H20</f>
        <v>5495755</v>
      </c>
      <c r="I23" s="1596"/>
      <c r="J23" s="1592">
        <f>SUM(J9:J22)</f>
        <v>296362</v>
      </c>
      <c r="K23" s="1592"/>
      <c r="L23" s="1592">
        <f>SUM(L9:L22)</f>
        <v>0</v>
      </c>
      <c r="M23" s="1596"/>
      <c r="N23" s="1597">
        <f>SUM(N9:N22)</f>
        <v>5792117</v>
      </c>
      <c r="O23" s="1598"/>
      <c r="P23" s="1597">
        <f>SUM(P9:P22)</f>
        <v>15319998</v>
      </c>
    </row>
    <row r="24" spans="1:16" ht="39.75">
      <c r="N24" s="1619"/>
      <c r="O24" s="1592"/>
      <c r="P24" s="605"/>
    </row>
    <row r="25" spans="1:16" ht="47.25">
      <c r="C25" s="1618" t="s">
        <v>1485</v>
      </c>
      <c r="D25" s="1620"/>
      <c r="E25" s="1620"/>
      <c r="F25" s="2106"/>
      <c r="G25" s="2106"/>
      <c r="H25" s="2106"/>
      <c r="I25" s="2106"/>
      <c r="J25" s="2106"/>
      <c r="K25" s="2683"/>
      <c r="L25" s="2683"/>
      <c r="M25" s="2106"/>
      <c r="N25" s="1621"/>
      <c r="O25" s="1593"/>
      <c r="P25" s="1592"/>
    </row>
    <row r="26" spans="1:16" ht="63.75" customHeight="1">
      <c r="A26" s="2101" t="s">
        <v>2063</v>
      </c>
      <c r="C26" s="1622" t="s">
        <v>1672</v>
      </c>
      <c r="D26" s="1591"/>
      <c r="E26" s="1591"/>
      <c r="F26" s="1591"/>
      <c r="G26" s="1591"/>
      <c r="H26" s="1592">
        <v>575482</v>
      </c>
      <c r="I26" s="2571"/>
      <c r="J26" s="2571">
        <v>0</v>
      </c>
      <c r="K26" s="2571"/>
      <c r="L26" s="1592"/>
      <c r="M26" s="1591"/>
      <c r="N26" s="1592">
        <f>'1402'!W437</f>
        <v>575482</v>
      </c>
      <c r="O26" s="1593"/>
      <c r="P26" s="1592">
        <v>1682738</v>
      </c>
    </row>
    <row r="27" spans="1:16" ht="54" hidden="1" customHeight="1">
      <c r="C27" s="1622" t="s">
        <v>1957</v>
      </c>
      <c r="D27" s="1591"/>
      <c r="E27" s="1591"/>
      <c r="F27" s="2109"/>
      <c r="G27" s="2109"/>
      <c r="H27" s="2572">
        <v>0</v>
      </c>
      <c r="I27" s="2572"/>
      <c r="J27" s="2572">
        <v>0</v>
      </c>
      <c r="K27" s="2572"/>
      <c r="L27" s="2572"/>
      <c r="M27" s="1591"/>
      <c r="N27" s="2179">
        <v>0</v>
      </c>
      <c r="O27" s="1593"/>
      <c r="P27" s="1592">
        <v>0</v>
      </c>
    </row>
    <row r="28" spans="1:16" ht="39" customHeight="1">
      <c r="C28" s="1622" t="s">
        <v>1958</v>
      </c>
      <c r="D28" s="1591"/>
      <c r="E28" s="1591"/>
      <c r="F28" s="2572"/>
      <c r="G28" s="2109"/>
      <c r="H28" s="1190">
        <v>76409</v>
      </c>
      <c r="I28" s="2572"/>
      <c r="J28" s="2572">
        <v>0</v>
      </c>
      <c r="K28" s="2572"/>
      <c r="L28" s="2688"/>
      <c r="M28" s="1591"/>
      <c r="N28" s="1190">
        <f>H28</f>
        <v>76409</v>
      </c>
      <c r="O28" s="1593"/>
      <c r="P28" s="1190">
        <v>246550</v>
      </c>
    </row>
    <row r="29" spans="1:16" ht="39" customHeight="1">
      <c r="C29" s="1622"/>
      <c r="D29" s="1591"/>
      <c r="E29" s="1591"/>
      <c r="F29" s="2574"/>
      <c r="G29" s="2109"/>
      <c r="H29" s="1592">
        <f>SUM(H26:H28)</f>
        <v>651891</v>
      </c>
      <c r="I29" s="2109"/>
      <c r="J29" s="2573">
        <f>SUM(J26:J28)</f>
        <v>0</v>
      </c>
      <c r="K29" s="2686"/>
      <c r="L29" s="1592">
        <f>SUM(L26:L28)</f>
        <v>0</v>
      </c>
      <c r="M29" s="1591"/>
      <c r="N29" s="1592">
        <f>SUM(N26:N28)</f>
        <v>651891</v>
      </c>
      <c r="O29" s="1593"/>
      <c r="P29" s="1592">
        <f>SUM(P26:P28)</f>
        <v>1929288</v>
      </c>
    </row>
    <row r="30" spans="1:16" ht="48.75" customHeight="1" thickBot="1">
      <c r="C30" s="1595"/>
      <c r="D30" s="1594"/>
      <c r="E30" s="1594"/>
      <c r="F30" s="1594"/>
      <c r="G30" s="1594"/>
      <c r="H30" s="1623">
        <f>H29+H23</f>
        <v>6147646</v>
      </c>
      <c r="I30" s="1594"/>
      <c r="J30" s="1623">
        <f>+J23</f>
        <v>296362</v>
      </c>
      <c r="K30" s="1598"/>
      <c r="L30" s="1623">
        <f>L29+L23</f>
        <v>0</v>
      </c>
      <c r="M30" s="1594"/>
      <c r="N30" s="1623">
        <f>'15'!S24</f>
        <v>6444008</v>
      </c>
      <c r="O30" s="1598"/>
      <c r="P30" s="1623">
        <f>P29+P23</f>
        <v>17249286</v>
      </c>
    </row>
    <row r="31" spans="1:16" ht="48.75" customHeight="1" thickTop="1">
      <c r="C31" s="1595"/>
      <c r="D31" s="1594"/>
      <c r="E31" s="1594"/>
      <c r="F31" s="1594"/>
      <c r="G31" s="1594"/>
      <c r="H31" s="1598"/>
      <c r="I31" s="1594"/>
      <c r="J31" s="1598"/>
      <c r="K31" s="1598"/>
      <c r="L31" s="1598"/>
      <c r="M31" s="1594"/>
      <c r="N31" s="1598"/>
      <c r="O31" s="1598"/>
      <c r="P31" s="1598"/>
    </row>
    <row r="32" spans="1:16" ht="48.75" customHeight="1">
      <c r="B32" s="3272" t="s">
        <v>2744</v>
      </c>
      <c r="C32" s="1590" t="s">
        <v>2761</v>
      </c>
      <c r="D32" s="1590"/>
      <c r="E32" s="1591"/>
      <c r="F32" s="1590"/>
      <c r="G32" s="1591"/>
      <c r="H32" s="1590"/>
      <c r="I32" s="1591"/>
      <c r="J32" s="1590"/>
      <c r="K32" s="1590"/>
      <c r="L32" s="1590"/>
      <c r="M32" s="1594"/>
      <c r="N32" s="1598"/>
      <c r="O32" s="1598"/>
      <c r="P32" s="1598"/>
    </row>
    <row r="33" spans="1:20" s="670" customFormat="1" ht="47.25" customHeight="1">
      <c r="A33" s="2102"/>
      <c r="B33" s="2706" t="s">
        <v>1920</v>
      </c>
      <c r="C33" s="3528" t="s">
        <v>1644</v>
      </c>
      <c r="D33" s="3528"/>
      <c r="E33" s="3528"/>
      <c r="F33" s="3528"/>
      <c r="G33" s="3528"/>
      <c r="H33" s="3528"/>
      <c r="I33" s="3528"/>
      <c r="J33" s="3528"/>
      <c r="K33" s="3528"/>
      <c r="L33" s="3528"/>
      <c r="M33" s="3528"/>
      <c r="N33" s="3528"/>
      <c r="O33" s="3528"/>
      <c r="P33" s="3528"/>
    </row>
    <row r="34" spans="1:20" s="670" customFormat="1" ht="57" customHeight="1">
      <c r="A34" s="2102"/>
      <c r="B34" s="2707"/>
      <c r="C34" s="2708"/>
      <c r="D34" s="2699"/>
      <c r="E34" s="2699"/>
      <c r="F34" s="2699"/>
      <c r="G34" s="2699"/>
      <c r="H34" s="2699"/>
      <c r="I34" s="2699"/>
      <c r="J34" s="2699"/>
      <c r="K34" s="2699"/>
      <c r="L34" s="2699"/>
      <c r="M34" s="2699"/>
      <c r="N34" s="3525" t="s">
        <v>1879</v>
      </c>
      <c r="O34" s="3525"/>
      <c r="P34" s="3525"/>
    </row>
    <row r="35" spans="1:20" s="169" customFormat="1" ht="39.75">
      <c r="A35" s="562"/>
      <c r="B35" s="2709"/>
      <c r="C35" s="2709"/>
      <c r="D35" s="2709"/>
      <c r="E35" s="2709"/>
      <c r="F35" s="2709"/>
      <c r="G35" s="2709"/>
      <c r="H35" s="2709"/>
      <c r="I35" s="2709"/>
      <c r="J35" s="2709"/>
      <c r="K35" s="2709"/>
      <c r="L35" s="2709"/>
      <c r="M35" s="2709"/>
      <c r="N35" s="3526">
        <v>1402</v>
      </c>
      <c r="O35" s="3526"/>
      <c r="P35" s="3526"/>
    </row>
    <row r="36" spans="1:20" s="169" customFormat="1" ht="65.25" hidden="1" customHeight="1">
      <c r="A36" s="562"/>
      <c r="B36" s="2700"/>
      <c r="C36" s="2710" t="s">
        <v>1407</v>
      </c>
      <c r="D36" s="2710"/>
      <c r="E36" s="2710"/>
      <c r="F36" s="2710"/>
      <c r="G36" s="2710"/>
      <c r="H36" s="2710"/>
      <c r="I36" s="2710"/>
      <c r="J36" s="2710"/>
      <c r="K36" s="2710"/>
      <c r="L36" s="2710"/>
      <c r="M36" s="2710"/>
      <c r="N36" s="2700"/>
      <c r="O36" s="2701"/>
      <c r="P36" s="1592">
        <f>'15'!O21</f>
        <v>0</v>
      </c>
    </row>
    <row r="38" spans="1:20" s="169" customFormat="1" ht="48" customHeight="1">
      <c r="A38" s="562"/>
      <c r="B38" s="2700"/>
      <c r="C38" s="2710" t="s">
        <v>2512</v>
      </c>
      <c r="D38" s="2710"/>
      <c r="E38" s="2710"/>
      <c r="F38" s="2710"/>
      <c r="G38" s="2710"/>
      <c r="H38" s="2710"/>
      <c r="I38" s="2710"/>
      <c r="J38" s="2710"/>
      <c r="K38" s="2710"/>
      <c r="L38" s="2710"/>
      <c r="M38" s="2710"/>
      <c r="N38" s="2700"/>
      <c r="O38" s="2701"/>
      <c r="P38" s="1592">
        <f>'16'!N48</f>
        <v>-4369174</v>
      </c>
    </row>
    <row r="39" spans="1:20" s="169" customFormat="1" ht="39.75" hidden="1">
      <c r="A39" s="562"/>
      <c r="B39" s="2700"/>
      <c r="C39" s="2710" t="s">
        <v>1736</v>
      </c>
      <c r="D39" s="2710" t="s">
        <v>1390</v>
      </c>
      <c r="E39" s="2710"/>
      <c r="F39" s="2710"/>
      <c r="G39" s="2710"/>
      <c r="H39" s="2710"/>
      <c r="I39" s="2710"/>
      <c r="J39" s="2710"/>
      <c r="K39" s="2710"/>
      <c r="L39" s="2710"/>
      <c r="M39" s="2710"/>
      <c r="N39" s="2702"/>
      <c r="O39" s="2701"/>
      <c r="P39" s="2700"/>
      <c r="R39" s="562"/>
      <c r="S39" s="562"/>
      <c r="T39" s="562"/>
    </row>
    <row r="40" spans="1:20" s="169" customFormat="1" ht="39.75" hidden="1">
      <c r="A40" s="562"/>
      <c r="B40" s="2700"/>
      <c r="C40" s="2710" t="s">
        <v>2243</v>
      </c>
      <c r="D40" s="2710"/>
      <c r="E40" s="2710"/>
      <c r="F40" s="2710"/>
      <c r="G40" s="2710"/>
      <c r="H40" s="2710"/>
      <c r="I40" s="2710"/>
      <c r="J40" s="2710"/>
      <c r="K40" s="2710"/>
      <c r="L40" s="2710"/>
      <c r="M40" s="2710"/>
      <c r="N40" s="2702"/>
      <c r="O40" s="1592"/>
      <c r="P40" s="2702"/>
    </row>
    <row r="41" spans="1:20" s="169" customFormat="1" ht="65.25" hidden="1" customHeight="1">
      <c r="A41" s="562"/>
      <c r="B41" s="2700"/>
      <c r="C41" s="2710" t="s">
        <v>2615</v>
      </c>
      <c r="D41" s="2710"/>
      <c r="E41" s="2710"/>
      <c r="F41" s="2710"/>
      <c r="G41" s="2710"/>
      <c r="H41" s="2710"/>
      <c r="I41" s="2710"/>
      <c r="J41" s="2710"/>
      <c r="K41" s="2710"/>
      <c r="L41" s="2710"/>
      <c r="M41" s="2710"/>
      <c r="N41" s="2702">
        <v>0</v>
      </c>
      <c r="O41" s="2701"/>
      <c r="P41" s="1592"/>
    </row>
    <row r="42" spans="1:20" s="169" customFormat="1" ht="39.75">
      <c r="A42" s="562"/>
      <c r="B42" s="2700"/>
      <c r="C42" s="2710" t="s">
        <v>2510</v>
      </c>
      <c r="D42" s="2710"/>
      <c r="E42" s="2710"/>
      <c r="F42" s="2710"/>
      <c r="G42" s="2710"/>
      <c r="H42" s="2710"/>
      <c r="I42" s="2710"/>
      <c r="J42" s="2710"/>
      <c r="K42" s="2710"/>
      <c r="L42" s="2710"/>
      <c r="M42" s="2710"/>
      <c r="N42" s="2702">
        <v>-13749624</v>
      </c>
      <c r="O42" s="1592"/>
      <c r="P42" s="2702"/>
    </row>
    <row r="43" spans="1:20" s="169" customFormat="1" ht="39.75">
      <c r="A43" s="562"/>
      <c r="B43" s="2700"/>
      <c r="C43" s="2710" t="s">
        <v>2511</v>
      </c>
      <c r="D43" s="2710"/>
      <c r="E43" s="2710"/>
      <c r="F43" s="2710"/>
      <c r="G43" s="2710"/>
      <c r="H43" s="2710"/>
      <c r="I43" s="2710"/>
      <c r="J43" s="2710"/>
      <c r="K43" s="2710"/>
      <c r="L43" s="2710"/>
      <c r="M43" s="2710"/>
      <c r="N43" s="2702">
        <v>-1682738</v>
      </c>
      <c r="O43" s="1592"/>
      <c r="P43" s="2702"/>
    </row>
    <row r="44" spans="1:20" s="169" customFormat="1" ht="39.75" hidden="1">
      <c r="A44" s="562"/>
      <c r="B44" s="2700"/>
      <c r="C44" s="2710" t="s">
        <v>2406</v>
      </c>
      <c r="D44" s="2710"/>
      <c r="E44" s="2710"/>
      <c r="F44" s="2710"/>
      <c r="G44" s="2710"/>
      <c r="H44" s="2710"/>
      <c r="I44" s="2710"/>
      <c r="J44" s="2710"/>
      <c r="K44" s="2710"/>
      <c r="L44" s="2710"/>
      <c r="M44" s="2710"/>
      <c r="N44" s="2702"/>
      <c r="O44" s="1592"/>
      <c r="P44" s="2702"/>
    </row>
    <row r="45" spans="1:20" s="169" customFormat="1" ht="39.75" hidden="1">
      <c r="A45" s="562"/>
      <c r="B45" s="2700"/>
      <c r="C45" s="2710" t="s">
        <v>2407</v>
      </c>
      <c r="D45" s="2710"/>
      <c r="E45" s="2710"/>
      <c r="F45" s="2710"/>
      <c r="G45" s="2710"/>
      <c r="H45" s="2710"/>
      <c r="I45" s="2710"/>
      <c r="J45" s="2710"/>
      <c r="K45" s="2710"/>
      <c r="L45" s="2710"/>
      <c r="M45" s="2710"/>
      <c r="N45" s="2702"/>
      <c r="O45" s="1592"/>
      <c r="P45" s="2702"/>
    </row>
    <row r="46" spans="1:20" s="169" customFormat="1" ht="39.75">
      <c r="A46" s="562"/>
      <c r="B46" s="2700"/>
      <c r="C46" s="2710" t="s">
        <v>2406</v>
      </c>
      <c r="D46" s="2710"/>
      <c r="E46" s="2710"/>
      <c r="F46" s="2710"/>
      <c r="G46" s="2710"/>
      <c r="H46" s="2710"/>
      <c r="I46" s="2710"/>
      <c r="J46" s="2710"/>
      <c r="K46" s="2710"/>
      <c r="L46" s="2710"/>
      <c r="M46" s="2710"/>
      <c r="N46" s="2702">
        <v>-679834</v>
      </c>
      <c r="O46" s="1592"/>
      <c r="P46" s="2702"/>
    </row>
    <row r="47" spans="1:20" s="169" customFormat="1" ht="39.75">
      <c r="A47" s="562"/>
      <c r="B47" s="2700"/>
      <c r="C47" s="2710" t="s">
        <v>2407</v>
      </c>
      <c r="D47" s="2710"/>
      <c r="E47" s="2710"/>
      <c r="F47" s="2710"/>
      <c r="G47" s="2710"/>
      <c r="H47" s="2710"/>
      <c r="I47" s="2710"/>
      <c r="J47" s="2710"/>
      <c r="K47" s="2710"/>
      <c r="L47" s="2710"/>
      <c r="M47" s="2710"/>
      <c r="N47" s="2703">
        <f>-799201</f>
        <v>-799201</v>
      </c>
      <c r="O47" s="1592"/>
      <c r="P47" s="2702"/>
    </row>
    <row r="48" spans="1:20" s="169" customFormat="1" ht="39" customHeight="1">
      <c r="A48" s="562"/>
      <c r="B48" s="2700"/>
      <c r="C48" s="2710"/>
      <c r="D48" s="2710"/>
      <c r="E48" s="2710"/>
      <c r="F48" s="2710"/>
      <c r="G48" s="2710"/>
      <c r="H48" s="2710"/>
      <c r="I48" s="2710"/>
      <c r="J48" s="2710"/>
      <c r="K48" s="2710"/>
      <c r="L48" s="2710"/>
      <c r="M48" s="2710"/>
      <c r="N48" s="2702"/>
      <c r="O48" s="1592"/>
      <c r="P48" s="2702">
        <f>SUM(N40:N47)</f>
        <v>-16911397</v>
      </c>
    </row>
    <row r="49" spans="1:20" s="169" customFormat="1" ht="6.75" hidden="1" customHeight="1">
      <c r="A49" s="562"/>
      <c r="B49" s="2700"/>
      <c r="C49" s="2711"/>
      <c r="D49" s="2710" t="s">
        <v>1391</v>
      </c>
      <c r="E49" s="2700"/>
      <c r="F49" s="2700"/>
      <c r="G49" s="2700"/>
      <c r="H49" s="2700"/>
      <c r="I49" s="2700"/>
      <c r="J49" s="2700"/>
      <c r="K49" s="2700"/>
      <c r="L49" s="2700"/>
      <c r="M49" s="2700"/>
      <c r="N49" s="1592"/>
      <c r="O49" s="2700"/>
      <c r="P49" s="2704"/>
      <c r="R49" s="562"/>
      <c r="S49" s="562"/>
      <c r="T49" s="562"/>
    </row>
    <row r="50" spans="1:20" s="169" customFormat="1" ht="65.25" hidden="1" customHeight="1">
      <c r="A50" s="562"/>
      <c r="B50" s="2700"/>
      <c r="C50" s="2711"/>
      <c r="D50" s="2710" t="s">
        <v>1392</v>
      </c>
      <c r="E50" s="2700"/>
      <c r="F50" s="2700"/>
      <c r="G50" s="2700"/>
      <c r="H50" s="2700"/>
      <c r="I50" s="2700"/>
      <c r="J50" s="2700"/>
      <c r="K50" s="2700"/>
      <c r="L50" s="2700"/>
      <c r="M50" s="2700"/>
      <c r="N50" s="1592">
        <v>0</v>
      </c>
      <c r="O50" s="1592"/>
      <c r="P50" s="1592">
        <v>0</v>
      </c>
    </row>
    <row r="51" spans="1:20" s="169" customFormat="1" ht="9" hidden="1" customHeight="1">
      <c r="A51" s="562"/>
      <c r="B51" s="2700"/>
      <c r="C51" s="2711"/>
      <c r="D51" s="2710" t="s">
        <v>1651</v>
      </c>
      <c r="E51" s="2700"/>
      <c r="F51" s="2700"/>
      <c r="G51" s="2700"/>
      <c r="H51" s="2700"/>
      <c r="I51" s="2700"/>
      <c r="J51" s="2700"/>
      <c r="K51" s="2700"/>
      <c r="L51" s="2700"/>
      <c r="M51" s="2700"/>
      <c r="N51" s="1190">
        <f>-1364094+37942</f>
        <v>-1326152</v>
      </c>
      <c r="O51" s="1592"/>
      <c r="P51" s="1592">
        <v>-1326152</v>
      </c>
    </row>
    <row r="52" spans="1:20" s="169" customFormat="1" ht="30" hidden="1" customHeight="1">
      <c r="A52" s="562"/>
      <c r="B52" s="2700"/>
      <c r="C52" s="2700"/>
      <c r="D52" s="2710" t="s">
        <v>1392</v>
      </c>
      <c r="E52" s="2700"/>
      <c r="F52" s="2700"/>
      <c r="G52" s="2700"/>
      <c r="H52" s="2700"/>
      <c r="I52" s="2700"/>
      <c r="J52" s="2700"/>
      <c r="K52" s="2700"/>
      <c r="L52" s="2700"/>
      <c r="M52" s="2700"/>
      <c r="N52" s="2700"/>
      <c r="O52" s="2700"/>
      <c r="P52" s="1592"/>
    </row>
    <row r="53" spans="1:20" s="169" customFormat="1" ht="39.75">
      <c r="A53" s="562"/>
      <c r="B53" s="2700"/>
      <c r="C53" s="2710" t="s">
        <v>2614</v>
      </c>
      <c r="D53" s="2710"/>
      <c r="E53" s="2710"/>
      <c r="F53" s="2710"/>
      <c r="G53" s="2710"/>
      <c r="H53" s="2710"/>
      <c r="I53" s="2710"/>
      <c r="J53" s="2710"/>
      <c r="K53" s="2710"/>
      <c r="L53" s="2710"/>
      <c r="M53" s="2710"/>
      <c r="N53" s="1592">
        <f>-757495-450829+240000</f>
        <v>-968324</v>
      </c>
      <c r="O53" s="1592"/>
      <c r="P53" s="1190">
        <f>N53</f>
        <v>-968324</v>
      </c>
    </row>
    <row r="54" spans="1:20" ht="30.75" hidden="1" customHeight="1">
      <c r="B54" s="3521"/>
      <c r="C54" s="3521"/>
      <c r="D54" s="2709"/>
      <c r="E54" s="2709"/>
      <c r="F54" s="2709"/>
      <c r="G54" s="2709"/>
      <c r="H54" s="2709"/>
      <c r="I54" s="2709"/>
      <c r="J54" s="2709"/>
      <c r="K54" s="2709"/>
      <c r="L54" s="2709"/>
      <c r="M54" s="2709"/>
      <c r="N54" s="2700"/>
      <c r="O54" s="2701"/>
      <c r="P54" s="1592"/>
    </row>
    <row r="55" spans="1:20" ht="21" customHeight="1">
      <c r="B55" s="3521"/>
      <c r="C55" s="3521"/>
      <c r="D55" s="2709"/>
      <c r="E55" s="2709"/>
      <c r="F55" s="2709"/>
      <c r="G55" s="2709"/>
      <c r="H55" s="2709"/>
      <c r="I55" s="2709"/>
      <c r="J55" s="2709"/>
      <c r="K55" s="2709"/>
      <c r="L55" s="2709"/>
      <c r="M55" s="2709"/>
      <c r="N55" s="2700"/>
      <c r="O55" s="2701"/>
      <c r="P55" s="1592"/>
    </row>
    <row r="56" spans="1:20" ht="28.5" customHeight="1" thickBot="1">
      <c r="B56" s="2709"/>
      <c r="C56" s="2709"/>
      <c r="D56" s="2709"/>
      <c r="E56" s="2709"/>
      <c r="F56" s="2709"/>
      <c r="G56" s="2709"/>
      <c r="H56" s="2709"/>
      <c r="I56" s="2709"/>
      <c r="J56" s="2709"/>
      <c r="K56" s="2709"/>
      <c r="L56" s="2709"/>
      <c r="M56" s="2709"/>
      <c r="N56" s="2704"/>
      <c r="O56" s="2701"/>
      <c r="P56" s="2705">
        <f>P38+P36+P48+P53</f>
        <v>-22248895</v>
      </c>
    </row>
    <row r="57" spans="1:20" ht="18.75" customHeight="1" thickTop="1">
      <c r="B57" s="2709"/>
      <c r="C57" s="2709"/>
      <c r="D57" s="2709"/>
      <c r="E57" s="2709"/>
      <c r="F57" s="2709"/>
      <c r="G57" s="2709"/>
      <c r="H57" s="2709"/>
      <c r="I57" s="2709"/>
      <c r="J57" s="2709"/>
      <c r="K57" s="2709"/>
      <c r="L57" s="2709"/>
      <c r="M57" s="2709"/>
      <c r="N57" s="2704"/>
      <c r="O57" s="2701"/>
      <c r="P57" s="1592"/>
    </row>
    <row r="58" spans="1:20" ht="15" customHeight="1">
      <c r="B58" s="2709"/>
      <c r="C58" s="2709"/>
      <c r="D58" s="3523" t="s">
        <v>2509</v>
      </c>
      <c r="E58" s="3523"/>
      <c r="F58" s="3523"/>
      <c r="G58" s="3523"/>
      <c r="H58" s="3523"/>
      <c r="I58" s="3523"/>
      <c r="J58" s="3523"/>
      <c r="K58" s="3523"/>
      <c r="L58" s="3523"/>
      <c r="M58" s="3523"/>
      <c r="N58" s="3523"/>
      <c r="O58" s="3523"/>
      <c r="P58" s="3523"/>
    </row>
    <row r="59" spans="1:20" ht="51" customHeight="1">
      <c r="B59" s="2709"/>
      <c r="C59" s="2709"/>
      <c r="D59" s="3523"/>
      <c r="E59" s="3523"/>
      <c r="F59" s="3523"/>
      <c r="G59" s="3523"/>
      <c r="H59" s="3523"/>
      <c r="I59" s="3523"/>
      <c r="J59" s="3523"/>
      <c r="K59" s="3523"/>
      <c r="L59" s="3523"/>
      <c r="M59" s="3523"/>
      <c r="N59" s="3523"/>
      <c r="O59" s="3523"/>
      <c r="P59" s="3523"/>
    </row>
    <row r="60" spans="1:20" ht="37.5">
      <c r="A60" s="3522">
        <v>18</v>
      </c>
      <c r="B60" s="3522"/>
      <c r="C60" s="3522"/>
      <c r="D60" s="3522"/>
      <c r="E60" s="3522"/>
      <c r="F60" s="3522"/>
      <c r="G60" s="3522"/>
      <c r="H60" s="3522"/>
      <c r="I60" s="3522"/>
      <c r="J60" s="3522"/>
      <c r="K60" s="3522"/>
      <c r="L60" s="3522"/>
      <c r="M60" s="3522"/>
      <c r="N60" s="3522"/>
      <c r="O60" s="3522"/>
      <c r="P60" s="3522"/>
    </row>
    <row r="61" spans="1:20" ht="30.75" customHeight="1">
      <c r="B61" s="3520"/>
      <c r="C61" s="3520"/>
      <c r="D61" s="1588"/>
      <c r="E61" s="1588"/>
      <c r="F61" s="1588"/>
      <c r="G61" s="1588"/>
      <c r="H61" s="1588"/>
      <c r="I61" s="1588"/>
      <c r="J61" s="1588"/>
      <c r="K61" s="1588"/>
      <c r="L61" s="1588"/>
      <c r="M61" s="1588"/>
      <c r="N61" s="1588"/>
      <c r="O61" s="1588"/>
      <c r="P61" s="1589"/>
    </row>
    <row r="62" spans="1:20" ht="30.75" customHeight="1">
      <c r="P62" s="478"/>
    </row>
    <row r="63" spans="1:20" ht="30.75" customHeight="1">
      <c r="O63" s="478"/>
      <c r="P63" s="478"/>
    </row>
    <row r="64" spans="1:20" ht="30.75" customHeight="1">
      <c r="P64" s="480"/>
    </row>
    <row r="65" spans="16:16" ht="30.75" customHeight="1">
      <c r="P65" s="480"/>
    </row>
    <row r="66" spans="16:16" ht="30.75" customHeight="1">
      <c r="P66" s="480"/>
    </row>
    <row r="67" spans="16:16" ht="30.75" customHeight="1">
      <c r="P67" s="480"/>
    </row>
    <row r="68" spans="16:16" ht="30.75" customHeight="1">
      <c r="P68" s="480"/>
    </row>
  </sheetData>
  <mergeCells count="13">
    <mergeCell ref="A1:P1"/>
    <mergeCell ref="A2:P2"/>
    <mergeCell ref="A3:P3"/>
    <mergeCell ref="B61:C61"/>
    <mergeCell ref="B54:C54"/>
    <mergeCell ref="B55:C55"/>
    <mergeCell ref="A60:P60"/>
    <mergeCell ref="D58:P59"/>
    <mergeCell ref="N5:P5"/>
    <mergeCell ref="N34:P34"/>
    <mergeCell ref="N35:P35"/>
    <mergeCell ref="F6:N6"/>
    <mergeCell ref="C33:P33"/>
  </mergeCells>
  <printOptions horizontalCentered="1" verticalCentered="1"/>
  <pageMargins left="0.19685039370078741" right="0.23622047244094491" top="0.74803149606299213" bottom="0.15748031496062992" header="0.31496062992125984" footer="0.31496062992125984"/>
  <pageSetup paperSize="9" scale="31"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pageSetUpPr fitToPage="1"/>
  </sheetPr>
  <dimension ref="A1:S54"/>
  <sheetViews>
    <sheetView rightToLeft="1" view="pageBreakPreview" topLeftCell="A16" zoomScale="30" zoomScaleNormal="42" zoomScaleSheetLayoutView="30" workbookViewId="0">
      <selection activeCell="D23" sqref="D23"/>
    </sheetView>
  </sheetViews>
  <sheetFormatPr defaultColWidth="3.625" defaultRowHeight="30.75" customHeight="1"/>
  <cols>
    <col min="1" max="1" width="24.25" style="562" customWidth="1"/>
    <col min="2" max="2" width="23.375" style="820" customWidth="1"/>
    <col min="3" max="3" width="13.625" style="820" customWidth="1"/>
    <col min="4" max="4" width="101.125" style="250" customWidth="1"/>
    <col min="5" max="5" width="19.375" style="250" customWidth="1"/>
    <col min="6" max="6" width="6.875" style="250" customWidth="1"/>
    <col min="7" max="7" width="7.125" style="250" customWidth="1"/>
    <col min="8" max="8" width="37" style="250" customWidth="1"/>
    <col min="9" max="9" width="4.625" style="250" customWidth="1"/>
    <col min="10" max="10" width="43.375" style="250" customWidth="1"/>
    <col min="11" max="11" width="13.25" style="453" customWidth="1"/>
    <col min="12" max="12" width="35.75" style="250" customWidth="1"/>
    <col min="13" max="13" width="13.125" style="250" customWidth="1"/>
    <col min="14" max="14" width="34.5" style="250" customWidth="1"/>
    <col min="15" max="15" width="5.25" style="250" customWidth="1"/>
    <col min="16" max="16384" width="3.625" style="250"/>
  </cols>
  <sheetData>
    <row r="1" spans="1:18" s="476" customFormat="1" ht="84" customHeight="1">
      <c r="A1" s="3530" t="s">
        <v>612</v>
      </c>
      <c r="B1" s="3530"/>
      <c r="C1" s="3530"/>
      <c r="D1" s="3530"/>
      <c r="E1" s="3530"/>
      <c r="F1" s="3530"/>
      <c r="G1" s="3530"/>
      <c r="H1" s="3530"/>
      <c r="I1" s="3530"/>
      <c r="J1" s="3530"/>
      <c r="K1" s="3530"/>
      <c r="L1" s="3530"/>
      <c r="M1" s="3530"/>
      <c r="N1" s="3530"/>
      <c r="O1" s="3530"/>
    </row>
    <row r="2" spans="1:18" s="476" customFormat="1" ht="84" customHeight="1">
      <c r="A2" s="3530" t="str">
        <f>مفروضات!A2</f>
        <v>يادداشت هاي توضيحي صورت هاي مالي</v>
      </c>
      <c r="B2" s="3530"/>
      <c r="C2" s="3530"/>
      <c r="D2" s="3530"/>
      <c r="E2" s="3530"/>
      <c r="F2" s="3530"/>
      <c r="G2" s="3530"/>
      <c r="H2" s="3530"/>
      <c r="I2" s="3530"/>
      <c r="J2" s="3530"/>
      <c r="K2" s="3530"/>
      <c r="L2" s="3530"/>
      <c r="M2" s="3530"/>
      <c r="N2" s="3530"/>
      <c r="O2" s="3530"/>
    </row>
    <row r="3" spans="1:18" s="476" customFormat="1" ht="209.25" customHeight="1">
      <c r="A3" s="3530" t="str">
        <f>mafrozat!A3</f>
        <v xml:space="preserve"> سال مالي منتهي به 29 اسفند 1402</v>
      </c>
      <c r="B3" s="3530"/>
      <c r="C3" s="3530"/>
      <c r="D3" s="3530"/>
      <c r="E3" s="3530"/>
      <c r="F3" s="3530"/>
      <c r="G3" s="3530"/>
      <c r="H3" s="3530"/>
      <c r="I3" s="3530"/>
      <c r="J3" s="3530"/>
      <c r="K3" s="3530"/>
      <c r="L3" s="3530"/>
      <c r="M3" s="3530"/>
      <c r="N3" s="3530"/>
      <c r="O3" s="3530"/>
    </row>
    <row r="4" spans="1:18" ht="69" customHeight="1">
      <c r="B4" s="2167" t="s">
        <v>1640</v>
      </c>
      <c r="C4" s="1451" t="s">
        <v>1487</v>
      </c>
      <c r="D4" s="1452"/>
      <c r="E4" s="433"/>
      <c r="F4" s="433"/>
      <c r="G4" s="433"/>
      <c r="H4" s="433"/>
      <c r="I4" s="433"/>
      <c r="J4" s="433"/>
      <c r="K4" s="433"/>
      <c r="L4" s="433"/>
      <c r="M4" s="433"/>
      <c r="N4" s="433"/>
    </row>
    <row r="5" spans="1:18" ht="67.5" customHeight="1">
      <c r="C5" s="1599"/>
      <c r="E5" s="1600"/>
      <c r="F5" s="1600"/>
      <c r="G5" s="1600"/>
      <c r="H5" s="1600"/>
      <c r="I5" s="1600"/>
      <c r="J5" s="1600"/>
      <c r="K5" s="1600"/>
      <c r="L5" s="3532" t="s">
        <v>1676</v>
      </c>
      <c r="M5" s="3532"/>
      <c r="N5" s="3532"/>
      <c r="O5" s="451"/>
    </row>
    <row r="6" spans="1:18" ht="131.25" customHeight="1">
      <c r="C6" s="1599"/>
      <c r="D6" s="1602" t="s">
        <v>2363</v>
      </c>
      <c r="E6" s="1600"/>
      <c r="G6" s="1600"/>
      <c r="H6" s="1603" t="s">
        <v>1884</v>
      </c>
      <c r="I6" s="1600"/>
      <c r="J6" s="1603" t="s">
        <v>1885</v>
      </c>
      <c r="K6" s="1600"/>
      <c r="L6" s="932" t="s">
        <v>1886</v>
      </c>
      <c r="M6" s="1601"/>
      <c r="N6" s="932" t="s">
        <v>679</v>
      </c>
      <c r="O6" s="451"/>
    </row>
    <row r="7" spans="1:18" ht="96" customHeight="1">
      <c r="C7" s="1599"/>
      <c r="D7" s="1424" t="s">
        <v>2651</v>
      </c>
      <c r="E7" s="935"/>
      <c r="F7" s="935"/>
      <c r="G7" s="935"/>
      <c r="H7" s="1604">
        <v>80223</v>
      </c>
      <c r="I7" s="935"/>
      <c r="J7" s="443">
        <v>1737</v>
      </c>
      <c r="K7" s="443"/>
      <c r="L7" s="443">
        <v>1215</v>
      </c>
      <c r="M7" s="443"/>
      <c r="N7" s="443">
        <f>H7+J7+L7</f>
        <v>83175</v>
      </c>
      <c r="O7" s="935"/>
    </row>
    <row r="8" spans="1:18" ht="96" customHeight="1">
      <c r="A8" s="435">
        <v>7</v>
      </c>
      <c r="C8" s="1605"/>
      <c r="D8" s="1424" t="s">
        <v>1882</v>
      </c>
      <c r="E8" s="443"/>
      <c r="F8" s="443"/>
      <c r="G8" s="443"/>
      <c r="H8" s="443">
        <v>161</v>
      </c>
      <c r="I8" s="1606"/>
      <c r="J8" s="443">
        <v>0</v>
      </c>
      <c r="K8" s="443"/>
      <c r="L8" s="443">
        <v>0</v>
      </c>
      <c r="M8" s="935"/>
      <c r="N8" s="443">
        <f>H8+J8+L8</f>
        <v>161</v>
      </c>
      <c r="O8" s="443"/>
      <c r="P8" s="443"/>
      <c r="Q8" s="443"/>
      <c r="R8" s="443"/>
    </row>
    <row r="9" spans="1:18" ht="96" customHeight="1">
      <c r="A9" s="435"/>
      <c r="C9" s="1605"/>
      <c r="D9" s="1425" t="s">
        <v>1883</v>
      </c>
      <c r="E9" s="444"/>
      <c r="F9" s="444"/>
      <c r="G9" s="443"/>
      <c r="H9" s="443">
        <v>0</v>
      </c>
      <c r="I9" s="1606"/>
      <c r="J9" s="443">
        <v>0</v>
      </c>
      <c r="K9" s="443"/>
      <c r="L9" s="443">
        <v>-95</v>
      </c>
      <c r="M9" s="935"/>
      <c r="N9" s="443">
        <f>H9+J9+L9</f>
        <v>-95</v>
      </c>
      <c r="O9" s="444"/>
    </row>
    <row r="10" spans="1:18" ht="96" customHeight="1">
      <c r="A10" s="435"/>
      <c r="C10" s="1605"/>
      <c r="D10" s="1425" t="s">
        <v>2217</v>
      </c>
      <c r="E10" s="444"/>
      <c r="F10" s="444"/>
      <c r="G10" s="443"/>
      <c r="H10" s="1607">
        <f>H7+H8+H9</f>
        <v>80384</v>
      </c>
      <c r="I10" s="443"/>
      <c r="J10" s="1607">
        <f>J7+J8+J9</f>
        <v>1737</v>
      </c>
      <c r="K10" s="443"/>
      <c r="L10" s="1607">
        <f>L7+L8+L9</f>
        <v>1120</v>
      </c>
      <c r="M10" s="443"/>
      <c r="N10" s="1607">
        <f>N7+N8+N9</f>
        <v>83241</v>
      </c>
      <c r="O10" s="444"/>
    </row>
    <row r="11" spans="1:18" ht="96" customHeight="1">
      <c r="A11" s="562">
        <v>7</v>
      </c>
      <c r="C11" s="1599"/>
      <c r="D11" s="1424" t="s">
        <v>1882</v>
      </c>
      <c r="E11" s="443"/>
      <c r="F11" s="443"/>
      <c r="G11" s="443"/>
      <c r="H11" s="443">
        <v>1123</v>
      </c>
      <c r="I11" s="443"/>
      <c r="J11" s="443">
        <v>80</v>
      </c>
      <c r="K11" s="443"/>
      <c r="L11" s="443">
        <v>0</v>
      </c>
      <c r="M11" s="443"/>
      <c r="N11" s="443">
        <f>L11+J11+H11</f>
        <v>1203</v>
      </c>
      <c r="O11" s="837"/>
    </row>
    <row r="12" spans="1:18" ht="96" customHeight="1">
      <c r="C12" s="1599"/>
      <c r="D12" s="1424" t="s">
        <v>1883</v>
      </c>
      <c r="E12" s="443"/>
      <c r="F12" s="443"/>
      <c r="G12" s="443"/>
      <c r="H12" s="443">
        <v>-10</v>
      </c>
      <c r="I12" s="443"/>
      <c r="J12" s="443">
        <v>0</v>
      </c>
      <c r="K12" s="443"/>
      <c r="L12" s="443">
        <v>0</v>
      </c>
      <c r="M12" s="443"/>
      <c r="N12" s="443">
        <f>L12+J12+H12</f>
        <v>-10</v>
      </c>
      <c r="O12" s="837"/>
    </row>
    <row r="13" spans="1:18" ht="96" customHeight="1">
      <c r="A13" s="562">
        <v>7</v>
      </c>
      <c r="B13" s="820">
        <v>9</v>
      </c>
      <c r="C13" s="1317"/>
      <c r="D13" s="1425" t="s">
        <v>2661</v>
      </c>
      <c r="E13" s="443"/>
      <c r="F13" s="443"/>
      <c r="G13" s="443"/>
      <c r="H13" s="786">
        <f>H10+H11+H12</f>
        <v>81497</v>
      </c>
      <c r="I13" s="443"/>
      <c r="J13" s="786">
        <f>J10+J11+J12</f>
        <v>1817</v>
      </c>
      <c r="K13" s="443"/>
      <c r="L13" s="786">
        <f>L10+L11+L12</f>
        <v>1120</v>
      </c>
      <c r="M13" s="935"/>
      <c r="N13" s="786">
        <f>SUMIF('1402'!$C$4:$C$509,B13,'1402'!$W$4:$W$509)</f>
        <v>84434</v>
      </c>
      <c r="O13" s="837"/>
    </row>
    <row r="14" spans="1:18" ht="96" customHeight="1">
      <c r="C14" s="1317"/>
      <c r="D14" s="1424" t="s">
        <v>2662</v>
      </c>
      <c r="E14" s="443"/>
      <c r="F14" s="443"/>
      <c r="G14" s="443"/>
      <c r="H14" s="1607">
        <f>H13</f>
        <v>81497</v>
      </c>
      <c r="I14" s="443"/>
      <c r="J14" s="1607">
        <f>J13</f>
        <v>1817</v>
      </c>
      <c r="K14" s="443"/>
      <c r="L14" s="1607">
        <f>L13</f>
        <v>1120</v>
      </c>
      <c r="M14" s="935"/>
      <c r="N14" s="1607">
        <f>N13</f>
        <v>84434</v>
      </c>
      <c r="O14" s="837"/>
    </row>
    <row r="15" spans="1:18" ht="111" customHeight="1">
      <c r="C15" s="1317"/>
      <c r="D15" s="1424" t="s">
        <v>2218</v>
      </c>
      <c r="E15" s="443"/>
      <c r="F15" s="443"/>
      <c r="G15" s="443"/>
      <c r="H15" s="786">
        <f>H10</f>
        <v>80384</v>
      </c>
      <c r="I15" s="443"/>
      <c r="J15" s="786">
        <f>J10</f>
        <v>1737</v>
      </c>
      <c r="K15" s="443"/>
      <c r="L15" s="786">
        <f>L10</f>
        <v>1120</v>
      </c>
      <c r="M15" s="935"/>
      <c r="N15" s="786">
        <f>N10</f>
        <v>83241</v>
      </c>
      <c r="O15" s="837"/>
    </row>
    <row r="16" spans="1:18" ht="35.25" customHeight="1">
      <c r="C16" s="1317"/>
      <c r="D16" s="433"/>
      <c r="E16" s="443"/>
      <c r="F16" s="443"/>
      <c r="G16" s="443"/>
      <c r="H16" s="443"/>
      <c r="I16" s="443"/>
      <c r="J16" s="443"/>
      <c r="K16" s="443"/>
      <c r="L16" s="443"/>
      <c r="M16" s="935"/>
      <c r="N16" s="443"/>
      <c r="O16" s="837"/>
    </row>
    <row r="17" spans="1:19" ht="20.25" customHeight="1">
      <c r="C17" s="1317"/>
      <c r="D17" s="433"/>
      <c r="E17" s="443"/>
      <c r="F17" s="443"/>
      <c r="G17" s="443"/>
      <c r="H17" s="443"/>
      <c r="I17" s="443"/>
      <c r="J17" s="443"/>
      <c r="K17" s="443"/>
      <c r="L17" s="443"/>
      <c r="M17" s="935"/>
      <c r="N17" s="443"/>
      <c r="O17" s="837"/>
    </row>
    <row r="18" spans="1:19" ht="174" customHeight="1">
      <c r="A18" s="970" t="s">
        <v>2066</v>
      </c>
      <c r="C18" s="1317"/>
      <c r="D18" s="433"/>
      <c r="E18" s="443"/>
      <c r="F18" s="443"/>
      <c r="G18" s="443"/>
      <c r="H18" s="443"/>
      <c r="I18" s="443"/>
      <c r="J18" s="443"/>
      <c r="K18" s="443"/>
      <c r="L18" s="443"/>
      <c r="M18" s="935"/>
      <c r="N18" s="443"/>
      <c r="O18" s="837"/>
    </row>
    <row r="19" spans="1:19" s="1455" customFormat="1" ht="67.5" customHeight="1">
      <c r="A19" s="1786"/>
      <c r="B19" s="2168" t="s">
        <v>1393</v>
      </c>
      <c r="C19" s="1453" t="s">
        <v>2820</v>
      </c>
      <c r="D19" s="1453"/>
      <c r="E19" s="1453"/>
      <c r="F19" s="1453"/>
      <c r="G19" s="1453"/>
      <c r="H19" s="1453"/>
      <c r="I19" s="1453"/>
      <c r="J19" s="1453"/>
      <c r="K19" s="1454"/>
      <c r="L19" s="3531" t="s">
        <v>1879</v>
      </c>
      <c r="M19" s="3531"/>
      <c r="N19" s="3531"/>
      <c r="O19" s="1799"/>
      <c r="P19" s="1798"/>
      <c r="Q19" s="1800"/>
      <c r="R19" s="1800"/>
      <c r="S19" s="1800"/>
    </row>
    <row r="20" spans="1:19" ht="120" customHeight="1">
      <c r="A20" s="435"/>
      <c r="B20" s="1473"/>
      <c r="C20" s="1427"/>
      <c r="D20" s="1427"/>
      <c r="E20" s="436"/>
      <c r="F20" s="436"/>
      <c r="H20" s="932" t="s">
        <v>1274</v>
      </c>
      <c r="I20" s="439"/>
      <c r="J20" s="933" t="s">
        <v>1052</v>
      </c>
      <c r="K20" s="439"/>
      <c r="L20" s="933">
        <v>1402</v>
      </c>
      <c r="M20" s="934"/>
      <c r="N20" s="932">
        <v>1401</v>
      </c>
      <c r="O20" s="437"/>
      <c r="P20" s="434"/>
      <c r="Q20" s="438"/>
      <c r="R20" s="438"/>
      <c r="S20" s="438"/>
    </row>
    <row r="21" spans="1:19" ht="67.5" customHeight="1">
      <c r="A21" s="435"/>
      <c r="B21" s="1474"/>
      <c r="C21" s="1426"/>
      <c r="D21" s="1426"/>
      <c r="H21" s="439"/>
      <c r="I21" s="439"/>
      <c r="J21" s="439"/>
      <c r="K21" s="439"/>
      <c r="L21" s="440"/>
      <c r="M21" s="441"/>
      <c r="N21" s="440"/>
      <c r="Q21" s="438"/>
      <c r="R21" s="438"/>
      <c r="S21" s="438"/>
    </row>
    <row r="22" spans="1:19" ht="104.25" customHeight="1">
      <c r="A22" s="435"/>
      <c r="B22" s="1473"/>
      <c r="C22" s="1426"/>
      <c r="D22" s="1424" t="s">
        <v>2471</v>
      </c>
      <c r="E22" s="442"/>
      <c r="F22" s="442"/>
      <c r="H22" s="763">
        <v>100000</v>
      </c>
      <c r="I22" s="439"/>
      <c r="J22" s="763">
        <v>14</v>
      </c>
      <c r="K22" s="439"/>
      <c r="L22" s="837">
        <v>35</v>
      </c>
      <c r="M22" s="838"/>
      <c r="N22" s="837">
        <v>35</v>
      </c>
      <c r="Q22" s="438"/>
      <c r="R22" s="438"/>
      <c r="S22" s="438"/>
    </row>
    <row r="23" spans="1:19" ht="123.75" customHeight="1">
      <c r="A23" s="435"/>
      <c r="B23" s="1473"/>
      <c r="C23" s="1426"/>
      <c r="D23" s="1425" t="s">
        <v>1051</v>
      </c>
      <c r="E23" s="442"/>
      <c r="F23" s="442"/>
      <c r="H23" s="763">
        <v>26050</v>
      </c>
      <c r="I23" s="439"/>
      <c r="J23" s="764" t="s">
        <v>1459</v>
      </c>
      <c r="K23" s="439"/>
      <c r="L23" s="837">
        <v>11</v>
      </c>
      <c r="M23" s="838"/>
      <c r="N23" s="837">
        <v>11</v>
      </c>
      <c r="Q23" s="438"/>
      <c r="R23" s="438"/>
      <c r="S23" s="438"/>
    </row>
    <row r="24" spans="1:19" ht="99" customHeight="1">
      <c r="A24" s="435"/>
      <c r="B24" s="1473"/>
      <c r="C24" s="1426"/>
      <c r="D24" s="1425" t="s">
        <v>2293</v>
      </c>
      <c r="E24" s="442"/>
      <c r="F24" s="442"/>
      <c r="H24" s="763">
        <v>21516</v>
      </c>
      <c r="I24" s="439"/>
      <c r="J24" s="765" t="s">
        <v>2295</v>
      </c>
      <c r="K24" s="439"/>
      <c r="L24" s="837">
        <v>1</v>
      </c>
      <c r="M24" s="837"/>
      <c r="N24" s="837">
        <v>1</v>
      </c>
      <c r="Q24" s="438"/>
      <c r="R24" s="438"/>
      <c r="S24" s="438"/>
    </row>
    <row r="25" spans="1:19" ht="99" customHeight="1">
      <c r="A25" s="435"/>
      <c r="B25" s="1473"/>
      <c r="C25" s="1426"/>
      <c r="D25" s="1425" t="s">
        <v>2276</v>
      </c>
      <c r="E25" s="442"/>
      <c r="F25" s="442"/>
      <c r="H25" s="763">
        <v>1000</v>
      </c>
      <c r="I25" s="439"/>
      <c r="J25" s="765" t="s">
        <v>2294</v>
      </c>
      <c r="K25" s="439"/>
      <c r="L25" s="837">
        <v>1</v>
      </c>
      <c r="M25" s="837"/>
      <c r="N25" s="837">
        <v>1</v>
      </c>
      <c r="Q25" s="438"/>
      <c r="R25" s="438"/>
      <c r="S25" s="438"/>
    </row>
    <row r="26" spans="1:19" ht="74.25" customHeight="1">
      <c r="A26" s="1787">
        <v>8</v>
      </c>
      <c r="B26" s="1475">
        <v>10</v>
      </c>
      <c r="C26" s="447"/>
      <c r="D26" s="447"/>
      <c r="E26" s="446"/>
      <c r="F26" s="446"/>
      <c r="G26" s="446"/>
      <c r="H26" s="444"/>
      <c r="I26" s="447"/>
      <c r="J26" s="444"/>
      <c r="K26" s="439"/>
      <c r="L26" s="786">
        <f>SUMIF('1402'!$C$4:$C$507,B26,'1402'!$W$4:$W$507)</f>
        <v>48</v>
      </c>
      <c r="M26" s="444"/>
      <c r="N26" s="1013">
        <v>48</v>
      </c>
      <c r="Q26" s="438"/>
      <c r="R26" s="438"/>
      <c r="S26" s="438"/>
    </row>
    <row r="27" spans="1:19" ht="6.75" customHeight="1">
      <c r="A27" s="1787"/>
      <c r="C27" s="1318"/>
      <c r="D27" s="445"/>
      <c r="E27" s="446"/>
      <c r="F27" s="446"/>
      <c r="G27" s="446"/>
      <c r="H27" s="444"/>
      <c r="I27" s="447"/>
      <c r="J27" s="444"/>
      <c r="K27" s="439"/>
      <c r="L27" s="786"/>
      <c r="M27" s="444"/>
      <c r="N27" s="787"/>
      <c r="Q27" s="438"/>
      <c r="R27" s="438"/>
      <c r="S27" s="438"/>
    </row>
    <row r="28" spans="1:19" ht="168" customHeight="1">
      <c r="A28" s="1787"/>
      <c r="C28" s="1318"/>
      <c r="D28" s="445"/>
      <c r="E28" s="446"/>
      <c r="F28" s="446"/>
      <c r="G28" s="446"/>
      <c r="H28" s="444"/>
      <c r="I28" s="447"/>
      <c r="J28" s="444"/>
      <c r="K28" s="443"/>
      <c r="M28" s="444"/>
      <c r="N28" s="444"/>
      <c r="Q28" s="438"/>
      <c r="R28" s="438"/>
      <c r="S28" s="438"/>
    </row>
    <row r="29" spans="1:19" ht="67.5" customHeight="1">
      <c r="A29" s="1788">
        <v>42186</v>
      </c>
      <c r="C29" s="1319"/>
      <c r="D29" s="938" t="s">
        <v>2572</v>
      </c>
      <c r="E29" s="939"/>
      <c r="F29" s="939"/>
      <c r="G29" s="939"/>
      <c r="H29" s="939"/>
      <c r="I29" s="939"/>
      <c r="J29" s="939"/>
      <c r="K29" s="939"/>
      <c r="L29" s="939"/>
      <c r="M29" s="448"/>
      <c r="N29" s="448"/>
      <c r="O29" s="448"/>
      <c r="P29" s="448"/>
      <c r="Q29" s="438"/>
      <c r="R29" s="438"/>
      <c r="S29" s="438"/>
    </row>
    <row r="30" spans="1:19" ht="67.5" hidden="1" customHeight="1">
      <c r="A30" s="1788"/>
      <c r="C30" s="1320"/>
      <c r="D30" s="936"/>
      <c r="E30" s="950"/>
      <c r="F30" s="950"/>
      <c r="G30" s="448"/>
      <c r="H30" s="448"/>
      <c r="I30" s="448"/>
      <c r="J30" s="448"/>
      <c r="K30" s="448"/>
      <c r="L30" s="448"/>
      <c r="M30" s="448"/>
      <c r="N30" s="448"/>
      <c r="O30" s="448"/>
      <c r="P30" s="448"/>
      <c r="Q30" s="438"/>
      <c r="R30" s="438"/>
      <c r="S30" s="438"/>
    </row>
    <row r="31" spans="1:19" ht="105.75" customHeight="1">
      <c r="A31" s="1788"/>
      <c r="C31" s="1320"/>
      <c r="D31" s="936"/>
      <c r="E31" s="950"/>
      <c r="F31" s="950"/>
      <c r="G31" s="448"/>
      <c r="H31" s="448"/>
      <c r="I31" s="448"/>
      <c r="J31" s="448"/>
      <c r="K31" s="448"/>
      <c r="L31" s="448"/>
      <c r="M31" s="448"/>
      <c r="N31" s="448"/>
      <c r="O31" s="448"/>
      <c r="P31" s="448"/>
      <c r="Q31" s="438"/>
      <c r="R31" s="438"/>
      <c r="S31" s="438"/>
    </row>
    <row r="32" spans="1:19" ht="105.75" customHeight="1">
      <c r="A32" s="1788"/>
      <c r="C32" s="1320"/>
      <c r="D32" s="936"/>
      <c r="E32" s="448"/>
      <c r="F32" s="448"/>
      <c r="G32" s="448"/>
      <c r="H32" s="448"/>
      <c r="I32" s="448"/>
      <c r="J32" s="448"/>
      <c r="K32" s="448"/>
      <c r="L32" s="448"/>
      <c r="M32" s="448"/>
      <c r="N32" s="448"/>
      <c r="O32" s="448"/>
      <c r="P32" s="448"/>
      <c r="Q32" s="438"/>
      <c r="R32" s="438"/>
      <c r="S32" s="438"/>
    </row>
    <row r="33" spans="1:16" ht="105.75" customHeight="1">
      <c r="A33" s="3529"/>
      <c r="B33" s="3529"/>
      <c r="C33" s="3529"/>
      <c r="D33" s="449"/>
      <c r="J33" s="450"/>
      <c r="K33" s="450"/>
      <c r="L33" s="451"/>
      <c r="M33" s="451"/>
      <c r="N33" s="451"/>
      <c r="O33" s="451"/>
      <c r="P33" s="452"/>
    </row>
    <row r="34" spans="1:16" ht="145.5" customHeight="1"/>
    <row r="35" spans="1:16" ht="105.75" customHeight="1">
      <c r="K35" s="250"/>
      <c r="M35" s="454"/>
    </row>
    <row r="36" spans="1:16" ht="10.5" customHeight="1"/>
    <row r="37" spans="1:16" ht="78.75" customHeight="1">
      <c r="B37" s="1821"/>
      <c r="C37" s="1821"/>
      <c r="D37" s="1821"/>
      <c r="E37" s="1821"/>
      <c r="F37" s="1821"/>
      <c r="G37" s="1821"/>
      <c r="H37" s="1822">
        <v>19</v>
      </c>
      <c r="I37" s="1821"/>
      <c r="J37" s="1821"/>
      <c r="K37" s="1821"/>
      <c r="L37" s="1821"/>
      <c r="M37" s="1821"/>
      <c r="N37" s="1821"/>
      <c r="O37" s="1821"/>
    </row>
    <row r="54" spans="11:11" ht="30.75" customHeight="1">
      <c r="K54" s="453">
        <v>-7717613</v>
      </c>
    </row>
  </sheetData>
  <mergeCells count="6">
    <mergeCell ref="A33:C33"/>
    <mergeCell ref="A1:O1"/>
    <mergeCell ref="A2:O2"/>
    <mergeCell ref="A3:O3"/>
    <mergeCell ref="L19:N19"/>
    <mergeCell ref="L5:N5"/>
  </mergeCells>
  <printOptions horizontalCentered="1" verticalCentered="1"/>
  <pageMargins left="0.15748031496062992" right="0.15748031496062992" top="0.15748031496062992" bottom="0.19685039370078741" header="0.27" footer="0.23622047244094491"/>
  <pageSetup paperSize="9" scale="24" orientation="portrait" r:id="rId1"/>
  <ignoredErrors>
    <ignoredError sqref="N10" formula="1"/>
  </ignoredError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Y97"/>
  <sheetViews>
    <sheetView rightToLeft="1" view="pageBreakPreview" topLeftCell="A30" zoomScale="70" zoomScaleNormal="70" zoomScaleSheetLayoutView="70" zoomScalePageLayoutView="80" workbookViewId="0">
      <selection activeCell="J26" sqref="J26"/>
    </sheetView>
  </sheetViews>
  <sheetFormatPr defaultColWidth="1.375" defaultRowHeight="26.25"/>
  <cols>
    <col min="1" max="1" width="6.25" style="1661" customWidth="1"/>
    <col min="2" max="2" width="3.625" style="1216" customWidth="1"/>
    <col min="3" max="3" width="8" style="150" customWidth="1"/>
    <col min="4" max="4" width="29.75" style="150" customWidth="1"/>
    <col min="5" max="5" width="14.375" style="978" customWidth="1"/>
    <col min="6" max="6" width="4" style="978" customWidth="1"/>
    <col min="7" max="7" width="11.75" style="150" customWidth="1"/>
    <col min="8" max="8" width="13.125" style="2170" bestFit="1" customWidth="1"/>
    <col min="9" max="9" width="4.125" style="2170" customWidth="1"/>
    <col min="10" max="10" width="14.875" style="150" customWidth="1"/>
    <col min="11" max="11" width="4" style="150" customWidth="1"/>
    <col min="12" max="12" width="15.5" style="150" bestFit="1" customWidth="1"/>
    <col min="13" max="13" width="0.125" style="150" customWidth="1"/>
    <col min="14" max="14" width="8.75" style="150" bestFit="1" customWidth="1"/>
    <col min="15" max="31" width="6.625" style="150" customWidth="1"/>
    <col min="32" max="16384" width="1.375" style="150"/>
  </cols>
  <sheetData>
    <row r="1" spans="1:25" ht="30.75" customHeight="1">
      <c r="A1" s="3534" t="str">
        <f>مفروضات!A1</f>
        <v>شركت خطوط لوله و مخابرات نفت ايران (سهامي خاص)</v>
      </c>
      <c r="B1" s="3534"/>
      <c r="C1" s="3534"/>
      <c r="D1" s="3534"/>
      <c r="E1" s="3534"/>
      <c r="F1" s="3534"/>
      <c r="G1" s="3534"/>
      <c r="H1" s="3534"/>
      <c r="I1" s="3534"/>
      <c r="J1" s="3534"/>
      <c r="K1" s="3534"/>
      <c r="L1" s="3534"/>
      <c r="M1" s="3533"/>
      <c r="N1" s="3533"/>
      <c r="O1" s="349"/>
      <c r="P1" s="350"/>
      <c r="Q1" s="350"/>
      <c r="R1" s="350"/>
      <c r="S1" s="350"/>
      <c r="T1" s="350"/>
      <c r="U1" s="350"/>
      <c r="V1" s="350"/>
      <c r="W1" s="350"/>
      <c r="X1" s="350"/>
      <c r="Y1" s="350"/>
    </row>
    <row r="2" spans="1:25" s="1676" customFormat="1" ht="30.75" customHeight="1">
      <c r="A2" s="3534" t="str">
        <f>مفروضات!A2:C2</f>
        <v>يادداشت هاي توضيحي صورت هاي مالي</v>
      </c>
      <c r="B2" s="3534"/>
      <c r="C2" s="3534"/>
      <c r="D2" s="3534"/>
      <c r="E2" s="3534"/>
      <c r="F2" s="3534"/>
      <c r="G2" s="3534" t="s">
        <v>1961</v>
      </c>
      <c r="H2" s="3534"/>
      <c r="I2" s="3534"/>
      <c r="J2" s="3534"/>
      <c r="K2" s="3534"/>
      <c r="L2" s="3534"/>
      <c r="M2" s="3533"/>
      <c r="N2" s="3533"/>
      <c r="O2" s="349"/>
      <c r="P2" s="350"/>
      <c r="Q2" s="350"/>
      <c r="R2" s="350"/>
      <c r="S2" s="350"/>
      <c r="T2" s="350"/>
      <c r="U2" s="350"/>
      <c r="V2" s="350"/>
      <c r="W2" s="350"/>
      <c r="X2" s="350"/>
      <c r="Y2" s="350"/>
    </row>
    <row r="3" spans="1:25" ht="34.5" customHeight="1">
      <c r="A3" s="3534" t="str">
        <f>mafrozat!A3</f>
        <v xml:space="preserve"> سال مالي منتهي به 29 اسفند 1402</v>
      </c>
      <c r="B3" s="3534"/>
      <c r="C3" s="3534"/>
      <c r="D3" s="3534"/>
      <c r="E3" s="3534"/>
      <c r="F3" s="3534"/>
      <c r="G3" s="3534"/>
      <c r="H3" s="3534"/>
      <c r="I3" s="3534"/>
      <c r="J3" s="3534"/>
      <c r="K3" s="3534"/>
      <c r="L3" s="3534"/>
      <c r="M3" s="3533"/>
      <c r="N3" s="3533"/>
      <c r="O3" s="349"/>
      <c r="P3" s="350"/>
      <c r="Q3" s="350"/>
      <c r="R3" s="350"/>
      <c r="S3" s="350"/>
      <c r="T3" s="350"/>
      <c r="U3" s="350"/>
      <c r="V3" s="350"/>
      <c r="W3" s="350"/>
      <c r="X3" s="350"/>
      <c r="Y3" s="350"/>
    </row>
    <row r="4" spans="1:25" s="1372" customFormat="1" ht="21" customHeight="1">
      <c r="A4" s="2040"/>
      <c r="B4" s="1370"/>
      <c r="C4" s="1370"/>
      <c r="D4" s="1370"/>
      <c r="E4" s="1370"/>
      <c r="F4" s="1370"/>
      <c r="G4" s="1370"/>
      <c r="H4" s="1370"/>
      <c r="I4" s="1370"/>
      <c r="J4" s="1370"/>
      <c r="K4" s="1370"/>
      <c r="L4" s="1370"/>
      <c r="M4" s="1370"/>
      <c r="N4" s="1370"/>
      <c r="O4" s="349"/>
      <c r="P4" s="350"/>
      <c r="Q4" s="350"/>
      <c r="R4" s="350"/>
      <c r="S4" s="350"/>
      <c r="T4" s="350"/>
      <c r="U4" s="350"/>
      <c r="V4" s="350"/>
      <c r="W4" s="350"/>
      <c r="X4" s="350"/>
      <c r="Y4" s="350"/>
    </row>
    <row r="5" spans="1:25" ht="37.5" customHeight="1">
      <c r="A5" s="2988"/>
      <c r="B5" s="2712" t="s">
        <v>1855</v>
      </c>
      <c r="C5" s="2984" t="s">
        <v>2513</v>
      </c>
      <c r="D5" s="2989"/>
      <c r="E5" s="302"/>
      <c r="F5" s="284"/>
      <c r="G5" s="708"/>
      <c r="H5" s="708"/>
      <c r="I5" s="708"/>
      <c r="J5" s="3539"/>
      <c r="K5" s="3539"/>
      <c r="L5" s="3539"/>
      <c r="M5" s="351"/>
      <c r="N5" s="351"/>
      <c r="O5" s="364"/>
      <c r="P5" s="350"/>
      <c r="Q5" s="350"/>
      <c r="R5" s="350"/>
      <c r="S5" s="350"/>
      <c r="T5" s="350"/>
      <c r="U5" s="350"/>
      <c r="V5" s="350"/>
      <c r="W5" s="350"/>
      <c r="X5" s="350"/>
      <c r="Y5" s="350"/>
    </row>
    <row r="6" spans="1:25" s="2142" customFormat="1">
      <c r="A6" s="1661"/>
      <c r="B6" s="2184"/>
      <c r="C6" s="2185"/>
      <c r="D6" s="284"/>
      <c r="E6" s="284"/>
      <c r="F6" s="284"/>
      <c r="G6" s="708"/>
      <c r="H6" s="708"/>
      <c r="I6" s="708"/>
      <c r="J6" s="3539" t="s">
        <v>1879</v>
      </c>
      <c r="K6" s="3539"/>
      <c r="L6" s="3539"/>
      <c r="M6" s="351"/>
      <c r="N6" s="351"/>
      <c r="O6" s="364"/>
      <c r="P6" s="350"/>
      <c r="Q6" s="350"/>
      <c r="R6" s="350"/>
      <c r="S6" s="350"/>
      <c r="T6" s="350"/>
      <c r="U6" s="350"/>
      <c r="V6" s="350"/>
      <c r="W6" s="350"/>
      <c r="X6" s="350"/>
      <c r="Y6" s="350"/>
    </row>
    <row r="7" spans="1:25" s="1348" customFormat="1" ht="20.25" customHeight="1">
      <c r="A7" s="1661"/>
      <c r="B7" s="2184"/>
      <c r="C7" s="2185"/>
      <c r="D7" s="284"/>
      <c r="E7" s="284"/>
      <c r="F7" s="284"/>
      <c r="G7" s="708"/>
      <c r="H7" s="708"/>
      <c r="I7" s="708"/>
      <c r="J7" s="2144"/>
      <c r="K7" s="2144"/>
      <c r="L7" s="2144"/>
      <c r="M7" s="351"/>
      <c r="N7" s="351"/>
      <c r="O7" s="351"/>
      <c r="P7" s="350"/>
      <c r="Q7" s="350"/>
      <c r="R7" s="350"/>
      <c r="S7" s="350"/>
      <c r="T7" s="350"/>
      <c r="U7" s="350"/>
      <c r="V7" s="350"/>
      <c r="W7" s="350"/>
      <c r="X7" s="350"/>
      <c r="Y7" s="350"/>
    </row>
    <row r="8" spans="1:25">
      <c r="B8" s="2186"/>
      <c r="C8" s="2187" t="s">
        <v>1906</v>
      </c>
      <c r="D8" s="2188" t="s">
        <v>1387</v>
      </c>
      <c r="E8" s="2188"/>
      <c r="F8" s="2188"/>
      <c r="G8" s="2189"/>
      <c r="H8" s="2190" t="s">
        <v>2187</v>
      </c>
      <c r="I8" s="2189"/>
      <c r="J8" s="2191">
        <v>1402</v>
      </c>
      <c r="K8" s="2192"/>
      <c r="L8" s="2191">
        <v>1401</v>
      </c>
      <c r="M8" s="351"/>
      <c r="N8" s="351"/>
      <c r="O8" s="351"/>
      <c r="P8" s="350"/>
      <c r="Q8" s="350"/>
      <c r="R8" s="350"/>
      <c r="S8" s="350"/>
      <c r="T8" s="350"/>
      <c r="U8" s="350"/>
      <c r="V8" s="350"/>
      <c r="W8" s="350"/>
      <c r="X8" s="350"/>
      <c r="Y8" s="350"/>
    </row>
    <row r="9" spans="1:25" s="357" customFormat="1">
      <c r="A9" s="1661"/>
      <c r="B9" s="2193"/>
      <c r="C9" s="353"/>
      <c r="D9" s="363" t="s">
        <v>2385</v>
      </c>
      <c r="E9" s="363"/>
      <c r="F9" s="363"/>
      <c r="G9" s="351"/>
      <c r="H9" s="351"/>
      <c r="I9" s="351"/>
      <c r="J9" s="981"/>
      <c r="K9" s="982"/>
      <c r="L9" s="981"/>
      <c r="M9" s="353"/>
      <c r="N9" s="353"/>
      <c r="O9" s="355"/>
      <c r="P9" s="350"/>
      <c r="Q9" s="350"/>
      <c r="R9" s="350"/>
      <c r="S9" s="350"/>
      <c r="T9" s="350"/>
      <c r="U9" s="350"/>
      <c r="V9" s="350"/>
      <c r="W9" s="350"/>
      <c r="X9" s="350"/>
      <c r="Y9" s="350"/>
    </row>
    <row r="10" spans="1:25" s="357" customFormat="1">
      <c r="A10" s="1661"/>
      <c r="B10" s="2193"/>
      <c r="C10" s="353"/>
      <c r="D10" s="363" t="s">
        <v>2386</v>
      </c>
      <c r="E10" s="351"/>
      <c r="F10" s="351"/>
      <c r="G10" s="353"/>
      <c r="H10" s="353"/>
      <c r="I10" s="353"/>
      <c r="J10" s="2177"/>
      <c r="K10" s="2177"/>
      <c r="L10" s="2177"/>
      <c r="M10" s="353"/>
      <c r="N10" s="353"/>
      <c r="O10" s="355"/>
      <c r="P10" s="350"/>
      <c r="Q10" s="350"/>
      <c r="R10" s="350"/>
      <c r="S10" s="350"/>
      <c r="T10" s="350"/>
      <c r="U10" s="350"/>
      <c r="V10" s="350"/>
      <c r="W10" s="350"/>
      <c r="X10" s="350"/>
      <c r="Y10" s="350"/>
    </row>
    <row r="11" spans="1:25" s="2174" customFormat="1">
      <c r="A11" s="1661"/>
      <c r="B11" s="2186"/>
      <c r="C11" s="2194"/>
      <c r="D11" s="2195" t="s">
        <v>2387</v>
      </c>
      <c r="E11" s="2195"/>
      <c r="F11" s="2195"/>
      <c r="G11" s="2196"/>
      <c r="H11" s="2183" t="s">
        <v>2383</v>
      </c>
      <c r="I11" s="2196"/>
      <c r="J11" s="2227">
        <f>J36</f>
        <v>10596875</v>
      </c>
      <c r="K11" s="2197"/>
      <c r="L11" s="2227">
        <v>280607</v>
      </c>
      <c r="M11" s="353"/>
      <c r="N11" s="353"/>
      <c r="O11" s="353"/>
      <c r="P11" s="350"/>
      <c r="Q11" s="350"/>
      <c r="R11" s="350"/>
      <c r="S11" s="350"/>
      <c r="T11" s="350"/>
      <c r="U11" s="350"/>
      <c r="V11" s="350"/>
      <c r="W11" s="350"/>
      <c r="X11" s="350"/>
      <c r="Y11" s="350"/>
    </row>
    <row r="12" spans="1:25" s="3305" customFormat="1">
      <c r="A12" s="1661"/>
      <c r="B12" s="2186"/>
      <c r="C12" s="2194"/>
      <c r="D12" s="2195" t="s">
        <v>2781</v>
      </c>
      <c r="E12" s="2195"/>
      <c r="F12" s="2195"/>
      <c r="G12" s="2196"/>
      <c r="H12" s="2183" t="s">
        <v>2389</v>
      </c>
      <c r="I12" s="2196"/>
      <c r="J12" s="2227">
        <f>J48</f>
        <v>13284149</v>
      </c>
      <c r="K12" s="2197"/>
      <c r="L12" s="2227">
        <v>399986</v>
      </c>
      <c r="M12" s="353"/>
      <c r="N12" s="353"/>
      <c r="O12" s="353"/>
      <c r="P12" s="350"/>
      <c r="Q12" s="350"/>
      <c r="R12" s="350"/>
      <c r="S12" s="350"/>
      <c r="T12" s="350"/>
      <c r="U12" s="350"/>
      <c r="V12" s="350"/>
      <c r="W12" s="350"/>
      <c r="X12" s="350"/>
      <c r="Y12" s="350"/>
    </row>
    <row r="13" spans="1:25" s="357" customFormat="1">
      <c r="A13" s="2042"/>
      <c r="B13" s="1995"/>
      <c r="C13" s="2204"/>
      <c r="D13" s="2195"/>
      <c r="E13" s="2195"/>
      <c r="F13" s="2195"/>
      <c r="G13" s="2195"/>
      <c r="H13" s="2183"/>
      <c r="I13" s="353"/>
      <c r="J13" s="2206">
        <f>SUM(J11:J12)</f>
        <v>23881024</v>
      </c>
      <c r="K13" s="2225"/>
      <c r="L13" s="2206">
        <f>SUM(L11:L12)</f>
        <v>680593</v>
      </c>
      <c r="M13" s="353"/>
      <c r="N13" s="353"/>
      <c r="O13" s="355"/>
      <c r="P13" s="350"/>
      <c r="Q13" s="350"/>
      <c r="R13" s="350"/>
      <c r="S13" s="350"/>
      <c r="T13" s="350"/>
      <c r="U13" s="350"/>
      <c r="V13" s="350"/>
      <c r="W13" s="350"/>
      <c r="X13" s="350"/>
      <c r="Y13" s="350"/>
    </row>
    <row r="14" spans="1:25" s="357" customFormat="1">
      <c r="A14" s="2042"/>
      <c r="B14" s="1995"/>
      <c r="C14" s="2204"/>
      <c r="D14" s="2188" t="s">
        <v>2047</v>
      </c>
      <c r="E14" s="363"/>
      <c r="F14" s="363"/>
      <c r="G14" s="353"/>
      <c r="H14" s="353"/>
      <c r="I14" s="353"/>
      <c r="J14" s="2177"/>
      <c r="K14" s="2177"/>
      <c r="L14" s="2177"/>
      <c r="M14" s="353"/>
      <c r="N14" s="353"/>
      <c r="O14" s="355"/>
      <c r="P14" s="350"/>
      <c r="Q14" s="350"/>
      <c r="R14" s="350"/>
      <c r="S14" s="350"/>
      <c r="T14" s="350"/>
      <c r="U14" s="350"/>
      <c r="V14" s="350"/>
      <c r="W14" s="350"/>
      <c r="X14" s="350"/>
      <c r="Y14" s="350"/>
    </row>
    <row r="15" spans="1:25" s="357" customFormat="1">
      <c r="A15" s="2042"/>
      <c r="B15" s="1995"/>
      <c r="C15" s="2204"/>
      <c r="D15" s="2195" t="s">
        <v>2793</v>
      </c>
      <c r="E15" s="2195"/>
      <c r="F15" s="2195"/>
      <c r="G15" s="2195"/>
      <c r="H15" s="2183" t="s">
        <v>2390</v>
      </c>
      <c r="I15" s="353"/>
      <c r="J15" s="2199">
        <f>J61</f>
        <v>1499929</v>
      </c>
      <c r="K15" s="2177"/>
      <c r="L15" s="2199">
        <v>831153</v>
      </c>
      <c r="M15" s="353"/>
      <c r="N15" s="353"/>
      <c r="O15" s="355"/>
      <c r="P15" s="350"/>
      <c r="Q15" s="350"/>
      <c r="R15" s="350"/>
      <c r="S15" s="350"/>
      <c r="T15" s="350"/>
      <c r="U15" s="350"/>
      <c r="V15" s="350"/>
      <c r="W15" s="350"/>
      <c r="X15" s="350"/>
      <c r="Y15" s="350"/>
    </row>
    <row r="16" spans="1:25" s="357" customFormat="1">
      <c r="A16" s="2042">
        <v>1013</v>
      </c>
      <c r="B16" s="1995"/>
      <c r="C16" s="2204"/>
      <c r="D16" s="2205" t="s">
        <v>2782</v>
      </c>
      <c r="E16" s="2205"/>
      <c r="F16" s="2205"/>
      <c r="G16" s="353"/>
      <c r="H16" s="2183" t="s">
        <v>2441</v>
      </c>
      <c r="I16" s="353"/>
      <c r="J16" s="2200">
        <f>SUMIF('1402'!$B$6:$B$590,$A16,'1402'!$W$6:$W$590)</f>
        <v>6571955</v>
      </c>
      <c r="K16" s="2177"/>
      <c r="L16" s="2200">
        <v>5177903</v>
      </c>
      <c r="M16" s="353"/>
      <c r="N16" s="353"/>
      <c r="O16" s="355"/>
      <c r="P16" s="350"/>
      <c r="Q16" s="350"/>
      <c r="R16" s="350"/>
      <c r="S16" s="350"/>
      <c r="T16" s="350"/>
      <c r="U16" s="350"/>
      <c r="V16" s="350"/>
      <c r="W16" s="350"/>
      <c r="X16" s="350"/>
      <c r="Y16" s="350"/>
    </row>
    <row r="17" spans="1:25" s="357" customFormat="1">
      <c r="A17" s="2042">
        <v>412</v>
      </c>
      <c r="B17" s="1995"/>
      <c r="C17" s="2204"/>
      <c r="D17" s="2195" t="s">
        <v>2373</v>
      </c>
      <c r="E17" s="2195"/>
      <c r="F17" s="2195"/>
      <c r="G17" s="2195"/>
      <c r="H17" s="2183" t="s">
        <v>2788</v>
      </c>
      <c r="I17" s="353"/>
      <c r="J17" s="2199">
        <f>SUMIF('1402'!$B$6:$B$590,$A17,'1402'!$W$6:$W$590)</f>
        <v>1165668</v>
      </c>
      <c r="K17" s="2199"/>
      <c r="L17" s="2199">
        <v>923964</v>
      </c>
      <c r="M17" s="353"/>
      <c r="N17" s="353"/>
      <c r="O17" s="355"/>
      <c r="P17" s="350"/>
      <c r="Q17" s="350"/>
      <c r="R17" s="350"/>
      <c r="S17" s="350"/>
      <c r="T17" s="350"/>
      <c r="U17" s="350"/>
      <c r="V17" s="350"/>
      <c r="W17" s="350"/>
      <c r="X17" s="350"/>
      <c r="Y17" s="350"/>
    </row>
    <row r="18" spans="1:25" s="357" customFormat="1">
      <c r="A18" s="2042">
        <v>430</v>
      </c>
      <c r="B18" s="1995"/>
      <c r="C18" s="2204"/>
      <c r="D18" s="2195" t="s">
        <v>2672</v>
      </c>
      <c r="E18" s="2195"/>
      <c r="F18" s="2195"/>
      <c r="G18" s="2195"/>
      <c r="H18" s="2183"/>
      <c r="I18" s="353"/>
      <c r="J18" s="2199">
        <f>SUMIF('1402'!$B$6:$B$590,$A18,'1402'!$W$6:$W$590)</f>
        <v>344223</v>
      </c>
      <c r="K18" s="2199"/>
      <c r="L18" s="2199">
        <v>0</v>
      </c>
      <c r="M18" s="353"/>
      <c r="N18" s="353"/>
      <c r="O18" s="355"/>
      <c r="P18" s="350"/>
      <c r="Q18" s="350"/>
      <c r="R18" s="350"/>
      <c r="S18" s="350"/>
      <c r="T18" s="350"/>
      <c r="U18" s="350"/>
      <c r="V18" s="350"/>
      <c r="W18" s="350"/>
      <c r="X18" s="350"/>
      <c r="Y18" s="350"/>
    </row>
    <row r="19" spans="1:25" s="357" customFormat="1">
      <c r="A19" s="2042">
        <v>413</v>
      </c>
      <c r="B19" s="1995"/>
      <c r="C19" s="2204"/>
      <c r="D19" s="2195" t="s">
        <v>2312</v>
      </c>
      <c r="E19" s="2195"/>
      <c r="F19" s="2195"/>
      <c r="G19" s="2195"/>
      <c r="H19" s="353"/>
      <c r="I19" s="353"/>
      <c r="J19" s="2199">
        <f>SUMIF('1402'!$B$6:$B$590,$A19,'1402'!$W$6:$W$590)</f>
        <v>31984</v>
      </c>
      <c r="K19" s="2199"/>
      <c r="L19" s="2199">
        <v>228120</v>
      </c>
      <c r="M19" s="353"/>
      <c r="N19" s="353"/>
      <c r="O19" s="355"/>
      <c r="P19" s="350"/>
      <c r="Q19" s="350"/>
      <c r="R19" s="350"/>
      <c r="S19" s="350"/>
      <c r="T19" s="350"/>
      <c r="U19" s="350"/>
      <c r="V19" s="350"/>
      <c r="W19" s="350"/>
      <c r="X19" s="350"/>
      <c r="Y19" s="350"/>
    </row>
    <row r="20" spans="1:25">
      <c r="A20" s="2041">
        <v>401</v>
      </c>
      <c r="B20" s="1995"/>
      <c r="C20" s="2198"/>
      <c r="D20" s="2195" t="s">
        <v>2734</v>
      </c>
      <c r="E20" s="2195"/>
      <c r="F20" s="2195"/>
      <c r="G20" s="2195"/>
      <c r="H20" s="2196"/>
      <c r="I20" s="2196"/>
      <c r="J20" s="2199">
        <f>SUMIF('1402'!$B$6:$B$590,$A20,'1402'!$W$6:$W$590)</f>
        <v>222326</v>
      </c>
      <c r="K20" s="2199"/>
      <c r="L20" s="2199">
        <v>194101</v>
      </c>
      <c r="M20" s="353"/>
      <c r="N20" s="353"/>
      <c r="O20" s="353"/>
      <c r="P20" s="350"/>
      <c r="Q20" s="350"/>
      <c r="R20" s="350"/>
      <c r="S20" s="350"/>
      <c r="T20" s="350"/>
      <c r="U20" s="350"/>
      <c r="V20" s="350"/>
      <c r="W20" s="350"/>
      <c r="X20" s="350"/>
      <c r="Y20" s="350"/>
    </row>
    <row r="21" spans="1:25" s="2105" customFormat="1">
      <c r="A21" s="2041">
        <v>440</v>
      </c>
      <c r="B21" s="1995"/>
      <c r="C21" s="2198"/>
      <c r="D21" s="2195" t="s">
        <v>2311</v>
      </c>
      <c r="E21" s="2195"/>
      <c r="F21" s="2195"/>
      <c r="G21" s="2195"/>
      <c r="H21" s="2195"/>
      <c r="I21" s="2195"/>
      <c r="J21" s="2199">
        <f>SUMIF('1402'!$B$6:$B$590,$A21,'1402'!$W$6:$W$590)</f>
        <v>113139</v>
      </c>
      <c r="K21" s="2199"/>
      <c r="L21" s="2199">
        <v>76174</v>
      </c>
      <c r="M21" s="353"/>
      <c r="N21" s="353"/>
      <c r="O21" s="353"/>
      <c r="P21" s="350"/>
      <c r="Q21" s="350"/>
      <c r="R21" s="350"/>
      <c r="S21" s="350"/>
      <c r="T21" s="350"/>
      <c r="U21" s="350"/>
      <c r="V21" s="350"/>
      <c r="W21" s="350"/>
      <c r="X21" s="350"/>
      <c r="Y21" s="350"/>
    </row>
    <row r="22" spans="1:25" s="971" customFormat="1">
      <c r="A22" s="2043">
        <v>405</v>
      </c>
      <c r="B22" s="1995"/>
      <c r="C22" s="2198"/>
      <c r="D22" s="2195" t="s">
        <v>2515</v>
      </c>
      <c r="E22" s="2195"/>
      <c r="F22" s="2195"/>
      <c r="G22" s="2195"/>
      <c r="H22" s="2183" t="s">
        <v>2436</v>
      </c>
      <c r="I22" s="2201"/>
      <c r="J22" s="2199">
        <f>SUMIF('1402'!$B$6:$B$590,$A22,'1402'!$W$6:$W$590)</f>
        <v>153441</v>
      </c>
      <c r="K22" s="2199"/>
      <c r="L22" s="2199">
        <v>158124</v>
      </c>
      <c r="M22" s="353"/>
      <c r="N22" s="353"/>
      <c r="O22" s="353"/>
      <c r="P22" s="350"/>
      <c r="Q22" s="350"/>
      <c r="R22" s="350"/>
      <c r="S22" s="350"/>
      <c r="T22" s="350"/>
      <c r="U22" s="350"/>
      <c r="V22" s="350"/>
      <c r="W22" s="350"/>
      <c r="X22" s="350"/>
      <c r="Y22" s="350"/>
    </row>
    <row r="23" spans="1:25" s="2226" customFormat="1" ht="28.5">
      <c r="A23" s="2043">
        <v>422</v>
      </c>
      <c r="B23" s="1995"/>
      <c r="C23" s="2198"/>
      <c r="D23" s="1406" t="s">
        <v>2514</v>
      </c>
      <c r="E23" s="1406"/>
      <c r="F23" s="1406"/>
      <c r="G23" s="1406"/>
      <c r="H23" s="1406"/>
      <c r="I23" s="2201"/>
      <c r="J23" s="2199">
        <f>SUMIF('1402'!$B$6:$B$590,$A23,'1402'!$W$6:$W$590)</f>
        <v>41066</v>
      </c>
      <c r="K23" s="2199"/>
      <c r="L23" s="2199">
        <v>41066</v>
      </c>
      <c r="M23" s="353"/>
      <c r="N23" s="353"/>
      <c r="O23" s="353"/>
      <c r="P23" s="350"/>
      <c r="Q23" s="350"/>
      <c r="R23" s="350"/>
      <c r="S23" s="350"/>
      <c r="T23" s="350"/>
      <c r="U23" s="350"/>
      <c r="V23" s="350"/>
      <c r="W23" s="350"/>
      <c r="X23" s="350"/>
      <c r="Y23" s="350"/>
    </row>
    <row r="24" spans="1:25" s="2230" customFormat="1" ht="28.5">
      <c r="A24" s="2043">
        <v>400</v>
      </c>
      <c r="B24" s="1995"/>
      <c r="C24" s="2198"/>
      <c r="D24" s="1406" t="s">
        <v>2411</v>
      </c>
      <c r="E24" s="1406"/>
      <c r="F24" s="1406"/>
      <c r="G24" s="1406"/>
      <c r="H24" s="1406"/>
      <c r="I24" s="2201"/>
      <c r="J24" s="2199">
        <f>SUMIF('1402'!$B$6:$B$590,$A24,'1402'!$W$6:$W$590)</f>
        <v>1400011</v>
      </c>
      <c r="K24" s="2199"/>
      <c r="L24" s="2199">
        <v>1147100</v>
      </c>
      <c r="M24" s="353"/>
      <c r="N24" s="353"/>
      <c r="O24" s="353"/>
      <c r="P24" s="350"/>
      <c r="Q24" s="350"/>
      <c r="R24" s="350"/>
      <c r="S24" s="350"/>
      <c r="T24" s="350"/>
      <c r="U24" s="350"/>
      <c r="V24" s="350"/>
      <c r="W24" s="350"/>
      <c r="X24" s="350"/>
      <c r="Y24" s="350"/>
    </row>
    <row r="25" spans="1:25" s="2226" customFormat="1" ht="28.5">
      <c r="A25" s="2043">
        <v>429</v>
      </c>
      <c r="B25" s="1995"/>
      <c r="C25" s="2198"/>
      <c r="D25" s="1406" t="s">
        <v>2384</v>
      </c>
      <c r="E25" s="1406"/>
      <c r="F25" s="1406"/>
      <c r="G25" s="1406"/>
      <c r="H25" s="1406"/>
      <c r="I25" s="2201"/>
      <c r="J25" s="2199">
        <f>SUMIF('1402'!$B$6:$B$590,$A25,'1402'!$W$6:$W$590)</f>
        <v>58372</v>
      </c>
      <c r="K25" s="2199"/>
      <c r="L25" s="2199">
        <v>257729</v>
      </c>
      <c r="M25" s="353"/>
      <c r="N25" s="353"/>
      <c r="O25" s="353"/>
      <c r="P25" s="350"/>
      <c r="Q25" s="350"/>
      <c r="R25" s="350"/>
      <c r="S25" s="350"/>
      <c r="T25" s="350"/>
      <c r="U25" s="350"/>
      <c r="V25" s="350"/>
      <c r="W25" s="350"/>
      <c r="X25" s="350"/>
      <c r="Y25" s="350"/>
    </row>
    <row r="26" spans="1:25">
      <c r="A26" s="2041"/>
      <c r="B26" s="1995"/>
      <c r="C26" s="2198"/>
      <c r="D26" s="2195" t="s">
        <v>674</v>
      </c>
      <c r="E26" s="2195"/>
      <c r="F26" s="2195"/>
      <c r="G26" s="2195"/>
      <c r="H26" s="2183" t="s">
        <v>2435</v>
      </c>
      <c r="I26" s="2201"/>
      <c r="J26" s="2199">
        <f>'21'!Q20</f>
        <v>420916</v>
      </c>
      <c r="K26" s="2199"/>
      <c r="L26" s="2199">
        <v>413808</v>
      </c>
      <c r="M26" s="353"/>
      <c r="N26" s="353"/>
      <c r="O26" s="353"/>
      <c r="P26" s="350"/>
      <c r="Q26" s="350"/>
      <c r="R26" s="350"/>
      <c r="S26" s="350"/>
      <c r="T26" s="350"/>
      <c r="U26" s="350"/>
      <c r="V26" s="350"/>
      <c r="W26" s="350"/>
      <c r="X26" s="350"/>
      <c r="Y26" s="350"/>
    </row>
    <row r="27" spans="1:25">
      <c r="B27" s="1995"/>
      <c r="C27" s="1203"/>
      <c r="D27" s="351"/>
      <c r="E27" s="351"/>
      <c r="F27" s="351"/>
      <c r="G27" s="2202"/>
      <c r="H27" s="2202"/>
      <c r="I27" s="2202"/>
      <c r="J27" s="2206">
        <f>SUM(J15:J26)</f>
        <v>12023030</v>
      </c>
      <c r="K27" s="2202"/>
      <c r="L27" s="2206">
        <f>SUM(L15:L26)</f>
        <v>9449242</v>
      </c>
      <c r="M27" s="353"/>
      <c r="N27" s="353"/>
      <c r="O27" s="353"/>
      <c r="P27" s="350"/>
      <c r="Q27" s="350"/>
      <c r="R27" s="873"/>
      <c r="S27" s="873"/>
      <c r="T27" s="873"/>
      <c r="U27" s="350"/>
      <c r="V27" s="350"/>
      <c r="W27" s="350"/>
      <c r="X27" s="350"/>
      <c r="Y27" s="350"/>
    </row>
    <row r="28" spans="1:25" ht="27" thickBot="1">
      <c r="B28" s="1240"/>
      <c r="C28" s="2207"/>
      <c r="D28" s="1995"/>
      <c r="E28" s="1995"/>
      <c r="F28" s="1995"/>
      <c r="G28" s="2202"/>
      <c r="H28" s="2202"/>
      <c r="I28" s="2202"/>
      <c r="J28" s="2208">
        <f>J27+J13</f>
        <v>35904054</v>
      </c>
      <c r="K28" s="2199"/>
      <c r="L28" s="2208">
        <f>L27+L13</f>
        <v>10129835</v>
      </c>
      <c r="M28" s="351"/>
      <c r="N28" s="351"/>
      <c r="O28" s="364"/>
      <c r="P28" s="350"/>
      <c r="Q28" s="350"/>
      <c r="R28" s="873"/>
      <c r="S28" s="873"/>
      <c r="T28" s="873"/>
      <c r="U28" s="350"/>
      <c r="V28" s="350"/>
      <c r="W28" s="350"/>
      <c r="X28" s="350"/>
      <c r="Y28" s="350"/>
    </row>
    <row r="29" spans="1:25" s="2226" customFormat="1" ht="27" thickTop="1">
      <c r="A29" s="1661"/>
      <c r="B29" s="1240"/>
      <c r="C29" s="2185" t="s">
        <v>2388</v>
      </c>
      <c r="D29" s="1995"/>
      <c r="E29" s="1995"/>
      <c r="F29" s="1995"/>
      <c r="G29" s="2202"/>
      <c r="H29" s="2202"/>
      <c r="I29" s="2202"/>
      <c r="J29" s="2199"/>
      <c r="K29" s="2199"/>
      <c r="L29" s="2199"/>
      <c r="M29" s="351"/>
      <c r="N29" s="351"/>
      <c r="O29" s="364"/>
      <c r="P29" s="350"/>
      <c r="Q29" s="350"/>
      <c r="R29" s="873"/>
      <c r="S29" s="873"/>
      <c r="T29" s="873"/>
      <c r="U29" s="350"/>
      <c r="V29" s="350"/>
      <c r="W29" s="350"/>
      <c r="X29" s="350"/>
      <c r="Y29" s="350"/>
    </row>
    <row r="30" spans="1:25" s="2229" customFormat="1">
      <c r="A30" s="1661"/>
      <c r="B30" s="1240"/>
      <c r="C30" s="2185"/>
      <c r="D30" s="1995"/>
      <c r="E30" s="1995"/>
      <c r="F30" s="1995"/>
      <c r="G30" s="2202"/>
      <c r="H30" s="2202"/>
      <c r="I30" s="2202"/>
      <c r="J30" s="3539" t="s">
        <v>1879</v>
      </c>
      <c r="K30" s="3539"/>
      <c r="L30" s="3539"/>
      <c r="M30" s="351"/>
      <c r="N30" s="351"/>
      <c r="O30" s="364"/>
      <c r="P30" s="350"/>
      <c r="Q30" s="350"/>
      <c r="R30" s="873"/>
      <c r="S30" s="873"/>
      <c r="T30" s="873"/>
      <c r="U30" s="350"/>
      <c r="V30" s="350"/>
      <c r="W30" s="350"/>
      <c r="X30" s="350"/>
      <c r="Y30" s="350"/>
    </row>
    <row r="31" spans="1:25" s="2229" customFormat="1">
      <c r="A31" s="1661"/>
      <c r="B31" s="1240"/>
      <c r="C31" s="2185"/>
      <c r="D31" s="1995"/>
      <c r="E31" s="1995"/>
      <c r="F31" s="1995"/>
      <c r="G31" s="2202"/>
      <c r="H31" s="2202"/>
      <c r="I31" s="2202"/>
      <c r="J31" s="2191">
        <v>1402</v>
      </c>
      <c r="K31" s="2192"/>
      <c r="L31" s="2191">
        <v>1401</v>
      </c>
      <c r="M31" s="351"/>
      <c r="N31" s="351"/>
      <c r="O31" s="364"/>
      <c r="P31" s="350"/>
      <c r="Q31" s="350"/>
      <c r="R31" s="873"/>
      <c r="S31" s="873"/>
      <c r="T31" s="873"/>
      <c r="U31" s="350"/>
      <c r="V31" s="350"/>
      <c r="W31" s="350"/>
      <c r="X31" s="350"/>
      <c r="Y31" s="350"/>
    </row>
    <row r="32" spans="1:25" s="357" customFormat="1">
      <c r="A32" s="2042">
        <v>431</v>
      </c>
      <c r="B32" s="1995"/>
      <c r="C32" s="2204"/>
      <c r="D32" s="2195" t="s">
        <v>2675</v>
      </c>
      <c r="E32" s="2195"/>
      <c r="F32" s="2195"/>
      <c r="G32" s="2195"/>
      <c r="H32" s="353"/>
      <c r="I32" s="353"/>
      <c r="J32" s="2199">
        <f>SUMIF('1402'!$B$6:$B$590,$A32,'1402'!$W$6:$W$590)</f>
        <v>1968451</v>
      </c>
      <c r="K32" s="2199"/>
      <c r="L32" s="2199">
        <v>0</v>
      </c>
      <c r="M32" s="353"/>
      <c r="N32" s="353"/>
      <c r="O32" s="355"/>
      <c r="P32" s="350"/>
      <c r="Q32" s="350"/>
      <c r="R32" s="350"/>
      <c r="S32" s="350"/>
      <c r="T32" s="350"/>
      <c r="U32" s="350"/>
      <c r="V32" s="350"/>
      <c r="W32" s="350"/>
      <c r="X32" s="350"/>
      <c r="Y32" s="350"/>
    </row>
    <row r="33" spans="1:25">
      <c r="A33" s="2041">
        <v>1022</v>
      </c>
      <c r="B33" s="1995"/>
      <c r="C33" s="2198"/>
      <c r="D33" s="2196" t="s">
        <v>2275</v>
      </c>
      <c r="E33" s="2196"/>
      <c r="F33" s="2196"/>
      <c r="G33" s="2196"/>
      <c r="H33" s="2196"/>
      <c r="I33" s="2196"/>
      <c r="J33" s="2199">
        <f>SUMIF('1402'!$B$6:$B$590,$A33,'1402'!$W$6:$W$590)</f>
        <v>1268259</v>
      </c>
      <c r="K33" s="2200"/>
      <c r="L33" s="2200">
        <v>147110</v>
      </c>
      <c r="M33" s="353"/>
      <c r="N33" s="353"/>
      <c r="O33" s="353"/>
      <c r="P33" s="350"/>
      <c r="Q33" s="350"/>
      <c r="R33" s="350"/>
      <c r="S33" s="350"/>
      <c r="T33" s="350"/>
      <c r="U33" s="350"/>
      <c r="V33" s="350"/>
      <c r="W33" s="350"/>
      <c r="X33" s="350"/>
      <c r="Y33" s="350"/>
    </row>
    <row r="34" spans="1:25" s="1046" customFormat="1">
      <c r="A34" s="2041">
        <v>1023</v>
      </c>
      <c r="B34" s="1995"/>
      <c r="C34" s="2198"/>
      <c r="D34" s="2196" t="s">
        <v>2276</v>
      </c>
      <c r="E34" s="2196"/>
      <c r="F34" s="2196" t="s">
        <v>677</v>
      </c>
      <c r="G34" s="2196"/>
      <c r="H34" s="2196"/>
      <c r="I34" s="2196"/>
      <c r="J34" s="2199">
        <f>SUMIF('1402'!$B$6:$B$590,$A34,'1402'!$W$6:$W$590)</f>
        <v>7359853</v>
      </c>
      <c r="K34" s="2200"/>
      <c r="L34" s="2200">
        <v>133497</v>
      </c>
      <c r="M34" s="353"/>
      <c r="N34" s="353"/>
      <c r="O34" s="353"/>
      <c r="P34" s="350"/>
      <c r="Q34" s="350"/>
      <c r="R34" s="350"/>
      <c r="S34" s="350"/>
      <c r="T34" s="350"/>
      <c r="U34" s="350"/>
      <c r="V34" s="350"/>
      <c r="W34" s="350"/>
      <c r="X34" s="350"/>
      <c r="Y34" s="350"/>
    </row>
    <row r="35" spans="1:25" s="3317" customFormat="1">
      <c r="A35" s="2041">
        <v>425</v>
      </c>
      <c r="B35" s="1995"/>
      <c r="C35" s="2198"/>
      <c r="D35" s="2195" t="s">
        <v>2546</v>
      </c>
      <c r="E35" s="2195"/>
      <c r="F35" s="2195"/>
      <c r="G35" s="2201"/>
      <c r="H35" s="2201"/>
      <c r="I35" s="2201"/>
      <c r="J35" s="2199">
        <f>SUMIF('1402'!$B$6:$B$590,$A35,'1402'!$W$6:$W$590)</f>
        <v>312</v>
      </c>
      <c r="K35" s="2200"/>
      <c r="L35" s="2200">
        <v>2771</v>
      </c>
      <c r="M35" s="353"/>
      <c r="N35" s="353"/>
      <c r="O35" s="353"/>
      <c r="P35" s="350"/>
      <c r="Q35" s="350"/>
      <c r="R35" s="350"/>
      <c r="S35" s="350"/>
      <c r="T35" s="350"/>
      <c r="U35" s="350"/>
      <c r="V35" s="350"/>
      <c r="W35" s="350"/>
      <c r="X35" s="350"/>
      <c r="Y35" s="350"/>
    </row>
    <row r="36" spans="1:25" ht="27" thickBot="1">
      <c r="A36" s="2041"/>
      <c r="B36" s="1995"/>
      <c r="C36" s="363"/>
      <c r="D36" s="2195"/>
      <c r="E36" s="2195"/>
      <c r="F36" s="2195"/>
      <c r="G36" s="2202"/>
      <c r="H36" s="2202"/>
      <c r="I36" s="2202"/>
      <c r="J36" s="2432">
        <f>SUM(J32:J35)</f>
        <v>10596875</v>
      </c>
      <c r="K36" s="2203"/>
      <c r="L36" s="2432">
        <f>SUM(L32:L35)</f>
        <v>283378</v>
      </c>
      <c r="M36" s="353"/>
      <c r="N36" s="353"/>
      <c r="O36" s="353"/>
      <c r="P36" s="350"/>
      <c r="Q36" s="350"/>
      <c r="R36" s="350"/>
      <c r="S36" s="350"/>
      <c r="T36" s="350"/>
      <c r="U36" s="350"/>
      <c r="V36" s="350"/>
      <c r="W36" s="350"/>
      <c r="X36" s="350"/>
      <c r="Y36" s="350"/>
    </row>
    <row r="37" spans="1:25" s="3307" customFormat="1" ht="27" thickTop="1">
      <c r="A37" s="2041"/>
      <c r="B37" s="1995"/>
      <c r="C37" s="363"/>
      <c r="D37" s="2195"/>
      <c r="E37" s="2195"/>
      <c r="F37" s="2195"/>
      <c r="G37" s="2202"/>
      <c r="H37" s="2202"/>
      <c r="I37" s="2202"/>
      <c r="J37" s="2203"/>
      <c r="K37" s="2203"/>
      <c r="L37" s="2203"/>
      <c r="M37" s="353"/>
      <c r="N37" s="353"/>
      <c r="O37" s="353"/>
      <c r="P37" s="350"/>
      <c r="Q37" s="350"/>
      <c r="R37" s="350"/>
      <c r="S37" s="350"/>
      <c r="T37" s="350"/>
      <c r="U37" s="350"/>
      <c r="V37" s="350"/>
      <c r="W37" s="350"/>
      <c r="X37" s="350"/>
      <c r="Y37" s="350"/>
    </row>
    <row r="38" spans="1:25" s="3307" customFormat="1">
      <c r="A38" s="2041"/>
      <c r="B38" s="3543" t="s">
        <v>2787</v>
      </c>
      <c r="C38" s="3543"/>
      <c r="D38" s="3543"/>
      <c r="E38" s="3543"/>
      <c r="F38" s="2195"/>
      <c r="G38" s="2202"/>
      <c r="H38" s="2202"/>
      <c r="I38" s="2202"/>
      <c r="J38" s="2203"/>
      <c r="K38" s="2203"/>
      <c r="L38" s="2203"/>
      <c r="M38" s="353"/>
      <c r="N38" s="353"/>
      <c r="O38" s="353"/>
      <c r="P38" s="350"/>
      <c r="Q38" s="350"/>
      <c r="R38" s="350"/>
      <c r="S38" s="350"/>
      <c r="T38" s="350"/>
      <c r="U38" s="350"/>
      <c r="V38" s="350"/>
      <c r="W38" s="350"/>
      <c r="X38" s="350"/>
      <c r="Y38" s="350"/>
    </row>
    <row r="39" spans="1:25" s="3307" customFormat="1">
      <c r="A39" s="2041"/>
      <c r="B39" s="2185"/>
      <c r="C39" s="2185"/>
      <c r="D39" s="2185"/>
      <c r="E39" s="2185"/>
      <c r="F39" s="2195"/>
      <c r="G39" s="2202"/>
      <c r="H39" s="2202"/>
      <c r="I39" s="2202"/>
      <c r="J39" s="3539" t="s">
        <v>1879</v>
      </c>
      <c r="K39" s="3539"/>
      <c r="L39" s="3539"/>
      <c r="M39" s="353"/>
      <c r="N39" s="353"/>
      <c r="O39" s="353"/>
      <c r="P39" s="350"/>
      <c r="Q39" s="350"/>
      <c r="R39" s="350"/>
      <c r="S39" s="350"/>
      <c r="T39" s="350"/>
      <c r="U39" s="350"/>
      <c r="V39" s="350"/>
      <c r="W39" s="350"/>
      <c r="X39" s="350"/>
      <c r="Y39" s="350"/>
    </row>
    <row r="40" spans="1:25" s="3307" customFormat="1">
      <c r="A40" s="2041"/>
      <c r="B40" s="2185"/>
      <c r="C40" s="2185"/>
      <c r="D40" s="2185"/>
      <c r="E40" s="2185"/>
      <c r="F40" s="2195"/>
      <c r="G40" s="2202"/>
      <c r="H40" s="2202"/>
      <c r="I40" s="2202"/>
      <c r="J40" s="3308">
        <v>1402</v>
      </c>
      <c r="K40" s="2203"/>
      <c r="L40" s="3308">
        <v>1401</v>
      </c>
      <c r="M40" s="353"/>
      <c r="N40" s="353"/>
      <c r="O40" s="353"/>
      <c r="P40" s="350"/>
      <c r="Q40" s="350"/>
      <c r="R40" s="350"/>
      <c r="S40" s="350"/>
      <c r="T40" s="350"/>
      <c r="U40" s="350"/>
      <c r="V40" s="350"/>
      <c r="W40" s="350"/>
      <c r="X40" s="350"/>
      <c r="Y40" s="350"/>
    </row>
    <row r="41" spans="1:25" s="357" customFormat="1">
      <c r="A41" s="2042">
        <v>1006</v>
      </c>
      <c r="B41" s="1995"/>
      <c r="C41" s="2204"/>
      <c r="D41" s="2195" t="s">
        <v>2721</v>
      </c>
      <c r="E41" s="2195"/>
      <c r="F41" s="2195"/>
      <c r="G41" s="2195"/>
      <c r="H41" s="353"/>
      <c r="I41" s="353"/>
      <c r="J41" s="2199">
        <f>SUMIF('1402'!$B$6:$B$590,$A41,'1402'!$W$6:$W$590)</f>
        <v>5897682</v>
      </c>
      <c r="K41" s="2199"/>
      <c r="L41" s="2199">
        <v>0</v>
      </c>
      <c r="M41" s="353"/>
      <c r="N41" s="353"/>
      <c r="O41" s="355"/>
      <c r="P41" s="350"/>
      <c r="Q41" s="350"/>
      <c r="R41" s="350"/>
      <c r="S41" s="350"/>
      <c r="T41" s="350"/>
      <c r="U41" s="350"/>
      <c r="V41" s="350"/>
      <c r="W41" s="350"/>
      <c r="X41" s="350"/>
      <c r="Y41" s="350"/>
    </row>
    <row r="42" spans="1:25" s="357" customFormat="1">
      <c r="A42" s="2042">
        <v>414</v>
      </c>
      <c r="B42" s="1995"/>
      <c r="C42" s="2204"/>
      <c r="D42" s="2195" t="s">
        <v>1875</v>
      </c>
      <c r="E42" s="2195"/>
      <c r="F42" s="2195"/>
      <c r="G42" s="2195"/>
      <c r="H42" s="353"/>
      <c r="I42" s="353"/>
      <c r="J42" s="2199">
        <f>SUMIF('1402'!$B$6:$B$590,$A42,'1402'!$W$6:$W$590)</f>
        <v>4964941</v>
      </c>
      <c r="K42" s="2199"/>
      <c r="L42" s="2199">
        <v>0</v>
      </c>
      <c r="M42" s="353"/>
      <c r="N42" s="353"/>
      <c r="O42" s="355"/>
      <c r="P42" s="350"/>
      <c r="Q42" s="350"/>
      <c r="R42" s="350"/>
      <c r="S42" s="350"/>
      <c r="T42" s="350"/>
      <c r="U42" s="350"/>
      <c r="V42" s="350"/>
      <c r="W42" s="350"/>
      <c r="X42" s="350"/>
      <c r="Y42" s="350"/>
    </row>
    <row r="43" spans="1:25" s="357" customFormat="1">
      <c r="A43" s="2042">
        <v>415</v>
      </c>
      <c r="B43" s="1995"/>
      <c r="C43" s="2204"/>
      <c r="D43" s="2195" t="s">
        <v>1776</v>
      </c>
      <c r="E43" s="2195"/>
      <c r="F43" s="2195"/>
      <c r="G43" s="2195"/>
      <c r="H43" s="353"/>
      <c r="I43" s="353"/>
      <c r="J43" s="2199">
        <f>SUMIF('1402'!$B$6:$B$590,$A43,'1402'!$W$6:$W$590)</f>
        <v>1500013</v>
      </c>
      <c r="K43" s="2199"/>
      <c r="L43" s="2199">
        <v>0</v>
      </c>
      <c r="M43" s="353"/>
      <c r="N43" s="353"/>
      <c r="O43" s="355"/>
      <c r="P43" s="350"/>
      <c r="Q43" s="350"/>
      <c r="R43" s="350"/>
      <c r="S43" s="350"/>
      <c r="T43" s="350"/>
      <c r="U43" s="350"/>
      <c r="V43" s="350"/>
      <c r="W43" s="350"/>
      <c r="X43" s="350"/>
      <c r="Y43" s="350"/>
    </row>
    <row r="44" spans="1:25" s="357" customFormat="1">
      <c r="A44" s="2042">
        <v>1005</v>
      </c>
      <c r="B44" s="1995"/>
      <c r="C44" s="2204"/>
      <c r="D44" s="2195" t="s">
        <v>2588</v>
      </c>
      <c r="E44" s="2195"/>
      <c r="F44" s="2195"/>
      <c r="G44" s="2195"/>
      <c r="H44" s="353"/>
      <c r="I44" s="353"/>
      <c r="J44" s="2199">
        <f>SUMIF('1402'!$B$6:$B$590,$A44,'1402'!$W$6:$W$590)</f>
        <v>715950</v>
      </c>
      <c r="K44" s="2199"/>
      <c r="L44" s="2199">
        <v>0</v>
      </c>
      <c r="M44" s="353"/>
      <c r="N44" s="353"/>
      <c r="O44" s="355"/>
      <c r="P44" s="350"/>
      <c r="Q44" s="350"/>
      <c r="R44" s="350"/>
      <c r="S44" s="350"/>
      <c r="T44" s="350"/>
      <c r="U44" s="350"/>
      <c r="V44" s="350"/>
      <c r="W44" s="350"/>
      <c r="X44" s="350"/>
      <c r="Y44" s="350"/>
    </row>
    <row r="45" spans="1:25" s="357" customFormat="1">
      <c r="A45" s="2042">
        <v>416</v>
      </c>
      <c r="B45" s="1995"/>
      <c r="C45" s="2204"/>
      <c r="D45" s="2195" t="s">
        <v>2372</v>
      </c>
      <c r="E45" s="2195"/>
      <c r="F45" s="2195"/>
      <c r="G45" s="2195"/>
      <c r="H45" s="353"/>
      <c r="I45" s="353"/>
      <c r="J45" s="2199">
        <f>SUMIF('1402'!$B$6:$B$590,$A45,'1402'!$W$6:$W$590)</f>
        <v>142119</v>
      </c>
      <c r="K45" s="2199"/>
      <c r="L45" s="2199">
        <v>192686</v>
      </c>
      <c r="M45" s="353"/>
      <c r="N45" s="353"/>
      <c r="O45" s="355"/>
      <c r="P45" s="350"/>
      <c r="Q45" s="350"/>
      <c r="R45" s="350"/>
      <c r="S45" s="350"/>
      <c r="T45" s="350"/>
      <c r="U45" s="350"/>
      <c r="V45" s="350"/>
      <c r="W45" s="350"/>
      <c r="X45" s="350"/>
      <c r="Y45" s="350"/>
    </row>
    <row r="46" spans="1:25" s="357" customFormat="1">
      <c r="A46" s="2042">
        <v>426</v>
      </c>
      <c r="B46" s="1995"/>
      <c r="C46" s="2204"/>
      <c r="D46" s="2195" t="s">
        <v>2371</v>
      </c>
      <c r="E46" s="2195"/>
      <c r="F46" s="2195"/>
      <c r="G46" s="2195"/>
      <c r="H46" s="353"/>
      <c r="I46" s="353"/>
      <c r="J46" s="2199">
        <f>SUMIF('1402'!$B$6:$B$590,$A46,'1402'!$W$6:$W$590)</f>
        <v>26920</v>
      </c>
      <c r="K46" s="2199"/>
      <c r="L46" s="2199">
        <v>181691</v>
      </c>
      <c r="M46" s="353"/>
      <c r="N46" s="353"/>
      <c r="O46" s="355"/>
      <c r="P46" s="350"/>
      <c r="Q46" s="350"/>
      <c r="R46" s="350"/>
      <c r="S46" s="350"/>
      <c r="T46" s="350"/>
      <c r="U46" s="350"/>
      <c r="V46" s="350"/>
      <c r="W46" s="350"/>
      <c r="X46" s="350"/>
      <c r="Y46" s="350"/>
    </row>
    <row r="47" spans="1:25" s="3310" customFormat="1">
      <c r="A47" s="1661">
        <v>427</v>
      </c>
      <c r="B47" s="2186"/>
      <c r="C47" s="2194"/>
      <c r="D47" s="2195" t="s">
        <v>2579</v>
      </c>
      <c r="E47" s="2195"/>
      <c r="F47" s="2195"/>
      <c r="G47" s="2196"/>
      <c r="H47" s="2183"/>
      <c r="I47" s="2196"/>
      <c r="J47" s="2227">
        <f>SUMIF('1402'!$B$6:$B$590,$A47,'1402'!$W$6:$W$590)</f>
        <v>36524</v>
      </c>
      <c r="K47" s="2197"/>
      <c r="L47" s="2227">
        <v>25609</v>
      </c>
      <c r="M47" s="353"/>
      <c r="N47" s="353"/>
      <c r="O47" s="353"/>
      <c r="P47" s="350"/>
      <c r="Q47" s="350"/>
      <c r="R47" s="350"/>
      <c r="S47" s="350"/>
      <c r="T47" s="350"/>
      <c r="U47" s="350"/>
      <c r="V47" s="350"/>
      <c r="W47" s="350"/>
      <c r="X47" s="350"/>
      <c r="Y47" s="350"/>
    </row>
    <row r="48" spans="1:25" ht="23.25" customHeight="1" thickBot="1">
      <c r="B48" s="1240"/>
      <c r="C48" s="2207"/>
      <c r="D48" s="351"/>
      <c r="E48" s="351"/>
      <c r="F48" s="351"/>
      <c r="G48" s="2202"/>
      <c r="H48" s="2202"/>
      <c r="I48" s="2202"/>
      <c r="J48" s="2432">
        <f>SUM(J41:J47)</f>
        <v>13284149</v>
      </c>
      <c r="K48" s="2203"/>
      <c r="L48" s="3309">
        <f>SUM(L41:L47)</f>
        <v>399986</v>
      </c>
      <c r="M48" s="351"/>
      <c r="N48" s="351"/>
      <c r="O48" s="364"/>
      <c r="P48" s="350"/>
      <c r="Q48" s="350"/>
      <c r="R48" s="350"/>
      <c r="S48" s="350"/>
      <c r="T48" s="350"/>
      <c r="U48" s="350"/>
      <c r="V48" s="350"/>
      <c r="W48" s="350"/>
      <c r="X48" s="350"/>
      <c r="Y48" s="350"/>
    </row>
    <row r="49" spans="1:25" s="2178" customFormat="1" ht="37.5" customHeight="1" thickTop="1">
      <c r="A49" s="1661"/>
      <c r="B49" s="3542" t="s">
        <v>2783</v>
      </c>
      <c r="C49" s="3542"/>
      <c r="D49" s="3542"/>
      <c r="E49" s="3542"/>
      <c r="F49" s="284"/>
      <c r="G49" s="708"/>
      <c r="H49" s="708"/>
      <c r="I49" s="708"/>
      <c r="J49" s="1995"/>
      <c r="K49" s="1995"/>
      <c r="L49" s="1995"/>
      <c r="M49" s="351"/>
      <c r="N49" s="351"/>
      <c r="O49" s="364"/>
      <c r="P49" s="350"/>
      <c r="Q49" s="350"/>
      <c r="R49" s="350"/>
      <c r="S49" s="350"/>
      <c r="T49" s="350"/>
      <c r="U49" s="350"/>
      <c r="V49" s="350"/>
      <c r="W49" s="350"/>
      <c r="X49" s="350"/>
      <c r="Y49" s="350"/>
    </row>
    <row r="50" spans="1:25" s="2178" customFormat="1">
      <c r="A50" s="1661"/>
      <c r="B50" s="2184"/>
      <c r="C50" s="2185"/>
      <c r="D50" s="284"/>
      <c r="E50" s="284"/>
      <c r="F50" s="284"/>
      <c r="G50" s="708"/>
      <c r="H50" s="708"/>
      <c r="I50" s="708"/>
      <c r="J50" s="3539" t="s">
        <v>1879</v>
      </c>
      <c r="K50" s="3539"/>
      <c r="L50" s="3539"/>
      <c r="M50" s="351"/>
      <c r="N50" s="351"/>
      <c r="O50" s="364"/>
      <c r="P50" s="350"/>
      <c r="Q50" s="350"/>
      <c r="R50" s="350"/>
      <c r="S50" s="350"/>
      <c r="T50" s="350"/>
      <c r="U50" s="350"/>
      <c r="V50" s="350"/>
      <c r="W50" s="350"/>
      <c r="X50" s="350"/>
      <c r="Y50" s="350"/>
    </row>
    <row r="51" spans="1:25" s="2178" customFormat="1">
      <c r="A51" s="1661"/>
      <c r="B51" s="2186"/>
      <c r="C51" s="2187"/>
      <c r="D51" s="2188"/>
      <c r="E51" s="2188"/>
      <c r="F51" s="2188"/>
      <c r="G51" s="2189"/>
      <c r="H51" s="2224"/>
      <c r="I51" s="2189"/>
      <c r="J51" s="2191">
        <v>1402</v>
      </c>
      <c r="K51" s="2192"/>
      <c r="L51" s="2191">
        <v>1401</v>
      </c>
      <c r="M51" s="351"/>
      <c r="N51" s="351"/>
      <c r="O51" s="351"/>
      <c r="P51" s="350"/>
      <c r="Q51" s="350"/>
      <c r="R51" s="350"/>
      <c r="S51" s="350"/>
      <c r="T51" s="350"/>
      <c r="U51" s="350"/>
      <c r="V51" s="350"/>
      <c r="W51" s="350"/>
      <c r="X51" s="350"/>
      <c r="Y51" s="350"/>
    </row>
    <row r="52" spans="1:25" s="2178" customFormat="1" ht="9.75" customHeight="1">
      <c r="A52" s="1661"/>
      <c r="B52" s="1240"/>
      <c r="C52" s="2207"/>
      <c r="D52" s="351"/>
      <c r="E52" s="351"/>
      <c r="F52" s="351"/>
      <c r="G52" s="2202"/>
      <c r="H52" s="2202"/>
      <c r="I52" s="2202"/>
      <c r="J52" s="2203"/>
      <c r="K52" s="2203"/>
      <c r="L52" s="2202"/>
      <c r="M52" s="351"/>
      <c r="N52" s="351"/>
      <c r="O52" s="364"/>
      <c r="P52" s="350"/>
      <c r="Q52" s="350"/>
      <c r="R52" s="350"/>
      <c r="S52" s="350"/>
      <c r="T52" s="350"/>
      <c r="U52" s="350"/>
      <c r="V52" s="350"/>
      <c r="W52" s="350"/>
      <c r="X52" s="350"/>
      <c r="Y52" s="350"/>
    </row>
    <row r="53" spans="1:25" s="2164" customFormat="1">
      <c r="A53" s="1661">
        <v>409</v>
      </c>
      <c r="B53" s="2186"/>
      <c r="C53" s="2194"/>
      <c r="D53" s="2195" t="s">
        <v>2058</v>
      </c>
      <c r="E53" s="2195"/>
      <c r="F53" s="2195"/>
      <c r="G53" s="2196"/>
      <c r="H53" s="2196"/>
      <c r="I53" s="2196"/>
      <c r="J53" s="2199">
        <f>SUMIF('1402'!$B$6:$B$590,$A53,'1402'!$W$6:$W$590)</f>
        <v>326526</v>
      </c>
      <c r="K53" s="2197"/>
      <c r="L53" s="2199">
        <v>313603</v>
      </c>
      <c r="M53" s="353"/>
      <c r="N53" s="353"/>
      <c r="O53" s="353"/>
      <c r="P53" s="350"/>
      <c r="Q53" s="350"/>
      <c r="R53" s="350"/>
      <c r="S53" s="350"/>
      <c r="T53" s="350"/>
      <c r="U53" s="350"/>
      <c r="V53" s="350"/>
      <c r="W53" s="350"/>
      <c r="X53" s="350"/>
      <c r="Y53" s="350"/>
    </row>
    <row r="54" spans="1:25" s="357" customFormat="1">
      <c r="A54" s="2042">
        <v>404</v>
      </c>
      <c r="B54" s="1995"/>
      <c r="C54" s="2204"/>
      <c r="D54" s="2195" t="s">
        <v>155</v>
      </c>
      <c r="E54" s="2195"/>
      <c r="F54" s="2195"/>
      <c r="G54" s="2195"/>
      <c r="H54" s="353"/>
      <c r="I54" s="353"/>
      <c r="J54" s="2199">
        <f>SUMIF('1402'!$B$6:$B$590,$A54,'1402'!$W$6:$W$590)</f>
        <v>345032</v>
      </c>
      <c r="K54" s="2199"/>
      <c r="L54" s="2199">
        <v>205837</v>
      </c>
      <c r="M54" s="353"/>
      <c r="N54" s="353"/>
      <c r="O54" s="355"/>
      <c r="P54" s="350"/>
      <c r="Q54" s="350"/>
      <c r="R54" s="350"/>
      <c r="S54" s="350"/>
      <c r="T54" s="350"/>
      <c r="U54" s="350"/>
      <c r="V54" s="350"/>
      <c r="W54" s="350"/>
      <c r="X54" s="350"/>
      <c r="Y54" s="350"/>
    </row>
    <row r="55" spans="1:25" s="357" customFormat="1">
      <c r="A55" s="2042">
        <v>1030</v>
      </c>
      <c r="B55" s="1995"/>
      <c r="C55" s="2204"/>
      <c r="D55" s="2195" t="s">
        <v>2722</v>
      </c>
      <c r="E55" s="2195"/>
      <c r="F55" s="2195"/>
      <c r="G55" s="2195"/>
      <c r="H55" s="353"/>
      <c r="I55" s="353"/>
      <c r="J55" s="2199">
        <f>SUMIF('1402'!$B$6:$B$590,$A55,'1402'!$W$6:$W$590)</f>
        <v>6246</v>
      </c>
      <c r="K55" s="2199"/>
      <c r="L55" s="2199">
        <v>0</v>
      </c>
      <c r="M55" s="353"/>
      <c r="N55" s="353"/>
      <c r="O55" s="355"/>
      <c r="P55" s="350"/>
      <c r="Q55" s="350"/>
      <c r="R55" s="350"/>
      <c r="S55" s="350"/>
      <c r="T55" s="350"/>
      <c r="U55" s="350"/>
      <c r="V55" s="350"/>
      <c r="W55" s="350"/>
      <c r="X55" s="350"/>
      <c r="Y55" s="350"/>
    </row>
    <row r="56" spans="1:25" s="357" customFormat="1">
      <c r="A56" s="2042">
        <v>407</v>
      </c>
      <c r="B56" s="1995"/>
      <c r="C56" s="2204"/>
      <c r="D56" s="2195" t="s">
        <v>1930</v>
      </c>
      <c r="E56" s="2195"/>
      <c r="F56" s="2195"/>
      <c r="G56" s="2195"/>
      <c r="H56" s="353"/>
      <c r="I56" s="353"/>
      <c r="J56" s="2199">
        <f>SUMIF('1402'!$B$6:$B$590,$A56,'1402'!$W$6:$W$590)</f>
        <v>49842</v>
      </c>
      <c r="K56" s="2199"/>
      <c r="L56" s="2199">
        <v>96401</v>
      </c>
      <c r="M56" s="353"/>
      <c r="N56" s="353"/>
      <c r="O56" s="355"/>
      <c r="P56" s="350"/>
      <c r="Q56" s="350"/>
      <c r="R56" s="350"/>
      <c r="S56" s="350"/>
      <c r="T56" s="350"/>
      <c r="U56" s="350"/>
      <c r="V56" s="350"/>
      <c r="W56" s="350"/>
      <c r="X56" s="350"/>
      <c r="Y56" s="350"/>
    </row>
    <row r="57" spans="1:25" s="357" customFormat="1" ht="21" customHeight="1">
      <c r="A57" s="2042">
        <v>432</v>
      </c>
      <c r="B57" s="1995"/>
      <c r="C57" s="2204"/>
      <c r="D57" s="2195" t="s">
        <v>2705</v>
      </c>
      <c r="E57" s="2195"/>
      <c r="F57" s="2195"/>
      <c r="G57" s="2195"/>
      <c r="H57" s="353"/>
      <c r="I57" s="353"/>
      <c r="J57" s="2199">
        <f>SUMIF('1402'!$B$6:$B$590,$A57,'1402'!$W$6:$W$590)</f>
        <v>12285</v>
      </c>
      <c r="K57" s="2199"/>
      <c r="L57" s="2199">
        <v>0</v>
      </c>
      <c r="M57" s="353"/>
      <c r="N57" s="353"/>
      <c r="O57" s="355"/>
      <c r="P57" s="350"/>
      <c r="Q57" s="350"/>
      <c r="R57" s="350"/>
      <c r="S57" s="350"/>
      <c r="T57" s="350"/>
      <c r="U57" s="350"/>
      <c r="V57" s="350"/>
      <c r="W57" s="350"/>
      <c r="X57" s="350"/>
      <c r="Y57" s="350"/>
    </row>
    <row r="58" spans="1:25" s="357" customFormat="1">
      <c r="A58" s="2042">
        <v>418</v>
      </c>
      <c r="B58" s="1995"/>
      <c r="C58" s="2204"/>
      <c r="D58" s="2195" t="s">
        <v>661</v>
      </c>
      <c r="E58" s="2195"/>
      <c r="F58" s="2195"/>
      <c r="G58" s="2195"/>
      <c r="H58" s="353"/>
      <c r="I58" s="353"/>
      <c r="J58" s="2199">
        <f>SUMIF('1402'!$B$6:$B$590,$A58,'1402'!$W$6:$W$590)</f>
        <v>3135</v>
      </c>
      <c r="K58" s="2199"/>
      <c r="L58" s="2199">
        <v>78994</v>
      </c>
      <c r="M58" s="353"/>
      <c r="N58" s="353"/>
      <c r="O58" s="355"/>
      <c r="P58" s="350"/>
      <c r="Q58" s="350"/>
      <c r="R58" s="350"/>
      <c r="S58" s="350"/>
      <c r="T58" s="350"/>
      <c r="U58" s="350"/>
      <c r="V58" s="350"/>
      <c r="W58" s="350"/>
      <c r="X58" s="350"/>
      <c r="Y58" s="350"/>
    </row>
    <row r="59" spans="1:25" s="357" customFormat="1">
      <c r="A59" s="2042">
        <v>417</v>
      </c>
      <c r="B59" s="1995"/>
      <c r="C59" s="2204"/>
      <c r="D59" s="2195" t="s">
        <v>2516</v>
      </c>
      <c r="E59" s="2195"/>
      <c r="F59" s="2195"/>
      <c r="G59" s="2195"/>
      <c r="H59" s="353"/>
      <c r="I59" s="353"/>
      <c r="J59" s="2199">
        <f>SUMIF('1402'!$B$6:$B$590,$A59,'1402'!$W$6:$W$590)</f>
        <v>584480</v>
      </c>
      <c r="K59" s="2199"/>
      <c r="L59" s="2199">
        <v>1164</v>
      </c>
      <c r="M59" s="353"/>
      <c r="N59" s="353"/>
      <c r="O59" s="355"/>
      <c r="P59" s="350"/>
      <c r="Q59" s="350"/>
      <c r="R59" s="350"/>
      <c r="S59" s="350"/>
      <c r="T59" s="350"/>
      <c r="U59" s="350"/>
      <c r="V59" s="350"/>
      <c r="W59" s="350"/>
      <c r="X59" s="350"/>
      <c r="Y59" s="350"/>
    </row>
    <row r="60" spans="1:25" s="357" customFormat="1">
      <c r="A60" s="2042">
        <v>428</v>
      </c>
      <c r="B60" s="1995"/>
      <c r="C60" s="2204"/>
      <c r="D60" s="2195" t="s">
        <v>2723</v>
      </c>
      <c r="E60" s="2195"/>
      <c r="F60" s="2195"/>
      <c r="G60" s="2195"/>
      <c r="H60" s="353"/>
      <c r="I60" s="353"/>
      <c r="J60" s="2199">
        <f>SUMIF('1402'!$B$6:$B$590,$A60,'1402'!$W$6:$W$590)</f>
        <v>172383</v>
      </c>
      <c r="K60" s="2199"/>
      <c r="L60" s="2199">
        <v>132383</v>
      </c>
      <c r="M60" s="353"/>
      <c r="N60" s="353"/>
      <c r="O60" s="355"/>
      <c r="P60" s="350"/>
      <c r="Q60" s="350"/>
      <c r="R60" s="350"/>
      <c r="S60" s="350"/>
      <c r="T60" s="350"/>
      <c r="U60" s="350"/>
      <c r="V60" s="350"/>
      <c r="W60" s="350"/>
      <c r="X60" s="350"/>
      <c r="Y60" s="350"/>
    </row>
    <row r="61" spans="1:25" s="1355" customFormat="1" ht="27" thickBot="1">
      <c r="A61" s="1203"/>
      <c r="B61" s="2209"/>
      <c r="C61" s="2210"/>
      <c r="D61" s="3541"/>
      <c r="E61" s="3541"/>
      <c r="F61" s="3541"/>
      <c r="G61" s="3541"/>
      <c r="H61" s="2211"/>
      <c r="I61" s="2211"/>
      <c r="J61" s="2208">
        <f>SUM(J53:J60)</f>
        <v>1499929</v>
      </c>
      <c r="K61" s="2212"/>
      <c r="L61" s="2208">
        <f>SUM(L53:L60)</f>
        <v>828382</v>
      </c>
      <c r="M61" s="1365"/>
      <c r="N61" s="1365"/>
      <c r="O61" s="1365"/>
      <c r="P61" s="1365"/>
      <c r="Q61" s="1365"/>
      <c r="R61" s="1365"/>
      <c r="S61" s="396"/>
      <c r="T61" s="396"/>
      <c r="U61" s="396"/>
      <c r="V61" s="396"/>
      <c r="W61" s="396"/>
      <c r="X61" s="396"/>
      <c r="Y61" s="396"/>
    </row>
    <row r="62" spans="1:25" s="1364" customFormat="1" ht="10.5" hidden="1" customHeight="1">
      <c r="A62" s="1661"/>
      <c r="B62" s="1240"/>
      <c r="C62" s="2207"/>
      <c r="D62" s="351"/>
      <c r="E62" s="351"/>
      <c r="F62" s="351"/>
      <c r="G62" s="2202" t="s">
        <v>2060</v>
      </c>
      <c r="H62" s="2202"/>
      <c r="I62" s="2202"/>
      <c r="J62" s="2203"/>
      <c r="K62" s="2203"/>
      <c r="L62" s="2202"/>
      <c r="M62" s="351"/>
      <c r="N62" s="351"/>
      <c r="O62" s="364"/>
      <c r="P62" s="350"/>
      <c r="Q62" s="350"/>
      <c r="R62" s="350"/>
      <c r="S62" s="350"/>
      <c r="T62" s="350"/>
      <c r="U62" s="350"/>
      <c r="V62" s="350"/>
      <c r="W62" s="350"/>
      <c r="X62" s="350"/>
      <c r="Y62" s="350"/>
    </row>
    <row r="63" spans="1:25" s="2178" customFormat="1" ht="21" customHeight="1" thickTop="1">
      <c r="A63" s="1661"/>
      <c r="B63" s="1240"/>
      <c r="C63" s="2207"/>
      <c r="D63" s="351"/>
      <c r="E63" s="351"/>
      <c r="F63" s="351"/>
      <c r="G63" s="2202"/>
      <c r="H63" s="2202"/>
      <c r="I63" s="2202"/>
      <c r="J63" s="2203"/>
      <c r="K63" s="2203"/>
      <c r="L63" s="2202"/>
      <c r="M63" s="351"/>
      <c r="N63" s="351"/>
      <c r="O63" s="364"/>
      <c r="P63" s="350"/>
      <c r="Q63" s="350"/>
      <c r="R63" s="350"/>
      <c r="S63" s="350"/>
      <c r="T63" s="350"/>
      <c r="U63" s="350"/>
      <c r="V63" s="350"/>
      <c r="W63" s="350"/>
      <c r="X63" s="350"/>
      <c r="Y63" s="350"/>
    </row>
    <row r="64" spans="1:25" ht="59.25" customHeight="1">
      <c r="A64" s="1203"/>
      <c r="B64" s="1995"/>
      <c r="C64" s="2187" t="s">
        <v>2437</v>
      </c>
      <c r="D64" s="3538" t="s">
        <v>2517</v>
      </c>
      <c r="E64" s="3538"/>
      <c r="F64" s="3538"/>
      <c r="G64" s="3538"/>
      <c r="H64" s="3538"/>
      <c r="I64" s="3538"/>
      <c r="J64" s="3538"/>
      <c r="K64" s="3538"/>
      <c r="L64" s="3538"/>
      <c r="M64" s="263"/>
      <c r="N64" s="801"/>
      <c r="O64" s="1801"/>
      <c r="P64" s="396"/>
      <c r="Q64" s="396"/>
      <c r="R64" s="396"/>
      <c r="S64" s="396"/>
      <c r="T64" s="396"/>
      <c r="U64" s="396"/>
      <c r="V64" s="396"/>
      <c r="W64" s="396"/>
      <c r="X64" s="396"/>
      <c r="Y64" s="396"/>
    </row>
    <row r="65" spans="1:25" s="239" customFormat="1">
      <c r="A65" s="1356"/>
      <c r="B65" s="1396"/>
      <c r="C65" s="3537"/>
      <c r="D65" s="3537"/>
      <c r="E65" s="3537"/>
      <c r="F65" s="3537"/>
      <c r="G65" s="363"/>
      <c r="H65" s="363"/>
      <c r="I65" s="363"/>
      <c r="J65" s="3540" t="s">
        <v>1879</v>
      </c>
      <c r="K65" s="3540"/>
      <c r="L65" s="3540"/>
      <c r="M65" s="801"/>
      <c r="N65" s="2213"/>
      <c r="O65" s="1024"/>
      <c r="P65" s="1024"/>
      <c r="Q65" s="1024"/>
      <c r="S65" s="1024"/>
      <c r="T65" s="1024"/>
      <c r="U65" s="1024"/>
      <c r="V65" s="1024"/>
      <c r="W65" s="1024"/>
      <c r="X65" s="1024"/>
      <c r="Y65" s="1024"/>
    </row>
    <row r="66" spans="1:25">
      <c r="A66" s="1203"/>
      <c r="B66" s="1995"/>
      <c r="C66" s="2214"/>
      <c r="D66" s="2215"/>
      <c r="E66" s="2215"/>
      <c r="F66" s="2215"/>
      <c r="G66" s="3333"/>
      <c r="H66" s="2215"/>
      <c r="I66" s="2215"/>
      <c r="J66" s="2191">
        <v>1402</v>
      </c>
      <c r="K66" s="2192"/>
      <c r="L66" s="2191">
        <v>1401</v>
      </c>
      <c r="M66" s="801"/>
      <c r="N66" s="1801"/>
      <c r="O66" s="396"/>
      <c r="P66" s="396"/>
      <c r="Q66" s="396"/>
      <c r="R66" s="1364"/>
      <c r="S66" s="396"/>
      <c r="T66" s="396"/>
      <c r="U66" s="396"/>
      <c r="V66" s="396"/>
      <c r="W66" s="396"/>
      <c r="X66" s="396"/>
      <c r="Y66" s="396"/>
    </row>
    <row r="67" spans="1:25" ht="22.5" customHeight="1">
      <c r="A67" s="2044">
        <v>1003</v>
      </c>
      <c r="B67" s="2216"/>
      <c r="C67" s="2217"/>
      <c r="D67" s="1995"/>
      <c r="E67" s="1995"/>
      <c r="F67" s="1995"/>
      <c r="G67" s="1980"/>
      <c r="H67" s="1995"/>
      <c r="I67" s="1995"/>
      <c r="J67" s="981"/>
      <c r="K67" s="982"/>
      <c r="L67" s="981"/>
      <c r="M67" s="2218"/>
      <c r="N67" s="1801"/>
      <c r="O67" s="396"/>
      <c r="P67" s="396"/>
      <c r="Q67" s="396"/>
      <c r="R67" s="1364"/>
      <c r="S67" s="396"/>
      <c r="T67" s="396"/>
      <c r="U67" s="396"/>
      <c r="V67" s="396"/>
      <c r="W67" s="396"/>
      <c r="X67" s="396"/>
      <c r="Y67" s="396"/>
    </row>
    <row r="68" spans="1:25">
      <c r="A68" s="2044"/>
      <c r="B68" s="2216"/>
      <c r="C68" s="2217"/>
      <c r="D68" s="2195" t="s">
        <v>1207</v>
      </c>
      <c r="E68" s="2195"/>
      <c r="F68" s="2195"/>
      <c r="G68" s="2195"/>
      <c r="H68" s="2200"/>
      <c r="I68" s="2200"/>
      <c r="J68" s="2199">
        <f>L74</f>
        <v>158124</v>
      </c>
      <c r="K68" s="2199"/>
      <c r="L68" s="2199">
        <v>147791</v>
      </c>
      <c r="M68" s="2218"/>
      <c r="N68" s="1801"/>
      <c r="O68" s="396"/>
      <c r="P68" s="396"/>
      <c r="Q68" s="396"/>
      <c r="R68" s="1364"/>
      <c r="S68" s="396"/>
      <c r="T68" s="396"/>
      <c r="U68" s="396"/>
      <c r="V68" s="396"/>
      <c r="W68" s="396"/>
      <c r="X68" s="396"/>
      <c r="Y68" s="396"/>
    </row>
    <row r="69" spans="1:25" s="1626" customFormat="1" ht="39.75" hidden="1" customHeight="1">
      <c r="A69" s="2044"/>
      <c r="B69" s="2216"/>
      <c r="C69" s="2217"/>
      <c r="D69" s="2195" t="s">
        <v>1399</v>
      </c>
      <c r="E69" s="2195"/>
      <c r="F69" s="2195"/>
      <c r="G69" s="2195"/>
      <c r="H69" s="420"/>
      <c r="I69" s="420"/>
      <c r="J69" s="2199"/>
      <c r="K69" s="2199"/>
      <c r="L69" s="2199" t="s">
        <v>712</v>
      </c>
      <c r="M69" s="2218"/>
      <c r="N69" s="1801"/>
      <c r="O69" s="396"/>
      <c r="P69" s="396"/>
      <c r="Q69" s="396"/>
      <c r="S69" s="396"/>
      <c r="T69" s="396"/>
      <c r="U69" s="396"/>
      <c r="V69" s="396"/>
      <c r="W69" s="396"/>
      <c r="X69" s="396"/>
      <c r="Y69" s="396"/>
    </row>
    <row r="70" spans="1:25" s="1355" customFormat="1" hidden="1">
      <c r="A70" s="2044"/>
      <c r="B70" s="2216"/>
      <c r="C70" s="2217"/>
      <c r="D70" s="2195" t="s">
        <v>2518</v>
      </c>
      <c r="E70" s="2195"/>
      <c r="F70" s="2195"/>
      <c r="G70" s="2195"/>
      <c r="H70" s="420"/>
      <c r="I70" s="420"/>
      <c r="J70" s="2199"/>
      <c r="K70" s="2199"/>
      <c r="L70" s="2199">
        <v>0</v>
      </c>
      <c r="M70" s="2218"/>
      <c r="N70" s="1801"/>
      <c r="O70" s="396"/>
      <c r="P70" s="396"/>
      <c r="Q70" s="396"/>
      <c r="R70" s="1364"/>
      <c r="S70" s="396"/>
      <c r="T70" s="396"/>
      <c r="U70" s="396"/>
      <c r="V70" s="396"/>
      <c r="W70" s="396"/>
      <c r="X70" s="396"/>
      <c r="Y70" s="396"/>
    </row>
    <row r="71" spans="1:25" s="1828" customFormat="1" hidden="1">
      <c r="A71" s="2044"/>
      <c r="B71" s="2216"/>
      <c r="C71" s="2217"/>
      <c r="D71" s="2195" t="s">
        <v>2519</v>
      </c>
      <c r="E71" s="2195"/>
      <c r="F71" s="2195"/>
      <c r="G71" s="2195"/>
      <c r="H71" s="420"/>
      <c r="I71" s="420"/>
      <c r="J71" s="2199"/>
      <c r="K71" s="2199"/>
      <c r="L71" s="2199">
        <v>0</v>
      </c>
      <c r="M71" s="2218"/>
      <c r="N71" s="1801"/>
      <c r="O71" s="396"/>
      <c r="P71" s="396"/>
      <c r="Q71" s="396"/>
      <c r="S71" s="396"/>
      <c r="T71" s="396"/>
      <c r="U71" s="396"/>
      <c r="V71" s="396"/>
      <c r="W71" s="396"/>
      <c r="X71" s="396"/>
      <c r="Y71" s="396"/>
    </row>
    <row r="72" spans="1:25" s="3267" customFormat="1">
      <c r="A72" s="2044"/>
      <c r="B72" s="2216"/>
      <c r="C72" s="2217"/>
      <c r="D72" s="2195" t="s">
        <v>2726</v>
      </c>
      <c r="E72" s="2195"/>
      <c r="F72" s="2195"/>
      <c r="G72" s="2195"/>
      <c r="H72" s="420"/>
      <c r="I72" s="420"/>
      <c r="J72" s="2199">
        <v>-42312</v>
      </c>
      <c r="K72" s="2199"/>
      <c r="L72" s="2199">
        <v>0</v>
      </c>
      <c r="M72" s="2218"/>
      <c r="N72" s="1801"/>
      <c r="O72" s="396"/>
      <c r="P72" s="396"/>
      <c r="Q72" s="396"/>
      <c r="S72" s="396"/>
      <c r="T72" s="396"/>
      <c r="U72" s="396"/>
      <c r="V72" s="396"/>
      <c r="W72" s="396"/>
      <c r="X72" s="396"/>
      <c r="Y72" s="396"/>
    </row>
    <row r="73" spans="1:25" s="2012" customFormat="1">
      <c r="A73" s="2044"/>
      <c r="B73" s="2216"/>
      <c r="C73" s="2217"/>
      <c r="D73" s="2195" t="s">
        <v>2664</v>
      </c>
      <c r="E73" s="2195"/>
      <c r="F73" s="2195"/>
      <c r="G73" s="2195"/>
      <c r="H73" s="420"/>
      <c r="I73" s="420"/>
      <c r="J73" s="2228">
        <v>37629</v>
      </c>
      <c r="K73" s="2199"/>
      <c r="L73" s="2228">
        <v>10333</v>
      </c>
      <c r="M73" s="2218"/>
      <c r="N73" s="1801"/>
      <c r="O73" s="396"/>
      <c r="P73" s="396"/>
      <c r="Q73" s="396"/>
      <c r="S73" s="396"/>
      <c r="T73" s="396"/>
      <c r="U73" s="396"/>
      <c r="V73" s="396"/>
      <c r="W73" s="396"/>
      <c r="X73" s="396"/>
      <c r="Y73" s="396"/>
    </row>
    <row r="74" spans="1:25" ht="27" thickBot="1">
      <c r="A74" s="1203"/>
      <c r="B74" s="1995"/>
      <c r="C74" s="2218"/>
      <c r="D74" s="420"/>
      <c r="E74" s="1995"/>
      <c r="F74" s="421"/>
      <c r="G74" s="3292"/>
      <c r="H74" s="2219"/>
      <c r="I74" s="2219"/>
      <c r="J74" s="2208">
        <f>SUM(J68:J73)</f>
        <v>153441</v>
      </c>
      <c r="K74" s="2199"/>
      <c r="L74" s="2208">
        <f>SUM(L68:L73)</f>
        <v>158124</v>
      </c>
      <c r="M74" s="2218"/>
      <c r="N74" s="1801"/>
      <c r="O74" s="396"/>
      <c r="P74" s="396"/>
      <c r="Q74" s="396"/>
      <c r="R74" s="1364"/>
      <c r="S74" s="396"/>
      <c r="T74" s="396"/>
      <c r="U74" s="396"/>
      <c r="V74" s="396"/>
      <c r="W74" s="396"/>
      <c r="X74" s="396"/>
      <c r="Y74" s="396"/>
    </row>
    <row r="75" spans="1:25" ht="19.5" customHeight="1" thickTop="1">
      <c r="A75" s="1203"/>
      <c r="B75" s="1995"/>
      <c r="C75" s="2218"/>
      <c r="D75" s="363"/>
      <c r="E75" s="363"/>
      <c r="F75" s="363"/>
      <c r="G75" s="363"/>
      <c r="H75" s="363"/>
      <c r="I75" s="363"/>
      <c r="J75" s="2220"/>
      <c r="K75" s="2221"/>
      <c r="L75" s="2222"/>
      <c r="M75" s="2218"/>
      <c r="N75" s="1801"/>
      <c r="O75" s="396"/>
      <c r="P75" s="396"/>
      <c r="Q75" s="396"/>
      <c r="R75" s="1364"/>
      <c r="S75" s="396"/>
      <c r="T75" s="396"/>
      <c r="U75" s="396"/>
      <c r="V75" s="396"/>
      <c r="W75" s="396"/>
      <c r="X75" s="396"/>
      <c r="Y75" s="396"/>
    </row>
    <row r="76" spans="1:25" s="867" customFormat="1" ht="55.5" customHeight="1">
      <c r="A76" s="1203"/>
      <c r="B76" s="1995"/>
      <c r="C76" s="2187" t="s">
        <v>2784</v>
      </c>
      <c r="D76" s="3535" t="s">
        <v>2663</v>
      </c>
      <c r="E76" s="3535"/>
      <c r="F76" s="3535"/>
      <c r="G76" s="3535"/>
      <c r="H76" s="3535"/>
      <c r="I76" s="3535"/>
      <c r="J76" s="3535"/>
      <c r="K76" s="3535"/>
      <c r="L76" s="3535"/>
      <c r="M76" s="2223"/>
      <c r="N76" s="2223"/>
      <c r="O76" s="396"/>
      <c r="P76" s="396"/>
    </row>
    <row r="77" spans="1:25" ht="0.75" customHeight="1">
      <c r="A77" s="3536"/>
      <c r="B77" s="3536"/>
      <c r="C77" s="3536"/>
      <c r="D77" s="3536"/>
      <c r="E77" s="3536"/>
      <c r="F77" s="3536"/>
      <c r="G77" s="3536"/>
      <c r="H77" s="3536"/>
      <c r="I77" s="3536"/>
      <c r="J77" s="3536"/>
      <c r="K77" s="3536"/>
      <c r="L77" s="2173"/>
      <c r="M77" s="2174"/>
      <c r="N77" s="2174"/>
    </row>
    <row r="78" spans="1:25" ht="117" hidden="1" customHeight="1">
      <c r="B78" s="2174"/>
      <c r="C78" s="2174"/>
      <c r="D78" s="2174"/>
      <c r="E78" s="2174"/>
      <c r="F78" s="2174"/>
      <c r="G78" s="2174"/>
      <c r="H78" s="2174"/>
      <c r="I78" s="2174"/>
      <c r="J78" s="2174"/>
      <c r="K78" s="2174"/>
      <c r="L78" s="2174"/>
      <c r="M78" s="2174"/>
      <c r="N78" s="2174"/>
    </row>
    <row r="79" spans="1:25" ht="79.5" hidden="1" customHeight="1">
      <c r="B79" s="2174"/>
      <c r="C79" s="2174"/>
      <c r="D79" s="2174"/>
      <c r="E79" s="2174"/>
      <c r="F79" s="2174"/>
      <c r="G79" s="2174"/>
      <c r="H79" s="2174"/>
      <c r="I79" s="2174"/>
      <c r="J79" s="2174"/>
      <c r="K79" s="2174"/>
      <c r="L79" s="2174"/>
      <c r="M79" s="2174"/>
      <c r="N79" s="2174"/>
    </row>
    <row r="80" spans="1:25" ht="31.5" customHeight="1">
      <c r="A80" s="3536">
        <v>20</v>
      </c>
      <c r="B80" s="3536"/>
      <c r="C80" s="3536"/>
      <c r="D80" s="3536"/>
      <c r="E80" s="3536"/>
      <c r="F80" s="3536"/>
      <c r="G80" s="3536"/>
      <c r="H80" s="3536"/>
      <c r="I80" s="3536"/>
      <c r="J80" s="3536"/>
      <c r="K80" s="3536"/>
      <c r="L80" s="3536"/>
      <c r="M80" s="2174"/>
      <c r="N80" s="2174"/>
      <c r="O80" s="1790"/>
      <c r="P80" s="1790"/>
      <c r="Q80" s="1790"/>
      <c r="R80" s="1790"/>
      <c r="S80" s="1790"/>
      <c r="T80" s="1790"/>
      <c r="U80" s="1790"/>
      <c r="V80" s="1790"/>
      <c r="W80" s="1790"/>
      <c r="X80" s="1790"/>
      <c r="Y80" s="1790"/>
    </row>
    <row r="97" spans="1:14" ht="21">
      <c r="A97" s="369"/>
      <c r="B97" s="150"/>
      <c r="E97" s="150"/>
      <c r="F97" s="150"/>
      <c r="N97" s="150">
        <v>-7717613</v>
      </c>
    </row>
  </sheetData>
  <mergeCells count="20">
    <mergeCell ref="D76:L76"/>
    <mergeCell ref="A80:L80"/>
    <mergeCell ref="A77:K77"/>
    <mergeCell ref="C65:F65"/>
    <mergeCell ref="A1:L1"/>
    <mergeCell ref="D64:L64"/>
    <mergeCell ref="J6:L6"/>
    <mergeCell ref="J65:L65"/>
    <mergeCell ref="D61:G61"/>
    <mergeCell ref="J5:L5"/>
    <mergeCell ref="J50:L50"/>
    <mergeCell ref="J30:L30"/>
    <mergeCell ref="B49:E49"/>
    <mergeCell ref="B38:E38"/>
    <mergeCell ref="J39:L39"/>
    <mergeCell ref="M1:N1"/>
    <mergeCell ref="A2:L2"/>
    <mergeCell ref="M2:N2"/>
    <mergeCell ref="A3:L3"/>
    <mergeCell ref="M3:N3"/>
  </mergeCells>
  <printOptions horizontalCentered="1"/>
  <pageMargins left="0.17" right="0.17" top="0.26" bottom="0.24" header="0.17" footer="0.18"/>
  <pageSetup paperSize="9" scale="40" orientation="portrait" r:id="rId1"/>
  <colBreaks count="1" manualBreakCount="1">
    <brk id="12" max="49"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XEY60"/>
  <sheetViews>
    <sheetView rightToLeft="1" view="pageBreakPreview" topLeftCell="A24" zoomScale="50" zoomScaleNormal="70" zoomScaleSheetLayoutView="50" zoomScalePageLayoutView="10" workbookViewId="0">
      <selection activeCell="AD39" sqref="AD39"/>
    </sheetView>
  </sheetViews>
  <sheetFormatPr defaultColWidth="2.875" defaultRowHeight="33.75"/>
  <cols>
    <col min="1" max="1" width="9.5" style="369" customWidth="1"/>
    <col min="2" max="2" width="2.5" style="109" customWidth="1"/>
    <col min="3" max="3" width="16" style="367" bestFit="1" customWidth="1"/>
    <col min="4" max="4" width="1.25" style="367" customWidth="1"/>
    <col min="5" max="5" width="21.75" style="150" customWidth="1"/>
    <col min="6" max="6" width="2.875" style="2146" customWidth="1"/>
    <col min="7" max="7" width="15.5" style="2146" customWidth="1"/>
    <col min="8" max="8" width="1.75" style="2160" customWidth="1"/>
    <col min="9" max="9" width="18.375" style="2160" bestFit="1" customWidth="1"/>
    <col min="10" max="10" width="1.75" style="2146" customWidth="1"/>
    <col min="11" max="11" width="18.375" style="150" bestFit="1" customWidth="1"/>
    <col min="12" max="12" width="1.125" style="150" customWidth="1"/>
    <col min="13" max="13" width="18.375" style="2149" bestFit="1" customWidth="1"/>
    <col min="14" max="14" width="2.25" style="150" customWidth="1"/>
    <col min="15" max="15" width="17.5" style="150" customWidth="1"/>
    <col min="16" max="16" width="2.625" style="150" customWidth="1"/>
    <col min="17" max="17" width="19.375" style="150" customWidth="1"/>
    <col min="18" max="18" width="2.375" style="150" customWidth="1"/>
    <col min="19" max="19" width="27" style="150" bestFit="1" customWidth="1"/>
    <col min="20" max="20" width="1.625" style="2655" customWidth="1"/>
    <col min="21" max="21" width="20.875" style="2655" customWidth="1"/>
    <col min="22" max="16384" width="2.875" style="150"/>
  </cols>
  <sheetData>
    <row r="1" spans="1:21" ht="51" customHeight="1">
      <c r="A1" s="3544" t="str">
        <f>مفروضات!A1</f>
        <v>شركت خطوط لوله و مخابرات نفت ايران (سهامي خاص)</v>
      </c>
      <c r="B1" s="3544"/>
      <c r="C1" s="3544"/>
      <c r="D1" s="3544"/>
      <c r="E1" s="3544"/>
      <c r="F1" s="3544"/>
      <c r="G1" s="3544"/>
      <c r="H1" s="3544"/>
      <c r="I1" s="3544"/>
      <c r="J1" s="3544"/>
      <c r="K1" s="3544"/>
      <c r="L1" s="3544"/>
      <c r="M1" s="3544"/>
      <c r="N1" s="3544"/>
      <c r="O1" s="3544"/>
      <c r="P1" s="3544"/>
      <c r="Q1" s="3544"/>
      <c r="R1" s="3544"/>
      <c r="S1" s="3544"/>
      <c r="T1" s="3544"/>
      <c r="U1" s="3544"/>
    </row>
    <row r="2" spans="1:21" ht="51" customHeight="1">
      <c r="A2" s="3544" t="str">
        <f>مفروضات!A2</f>
        <v>يادداشت هاي توضيحي صورت هاي مالي</v>
      </c>
      <c r="B2" s="3544"/>
      <c r="C2" s="3544"/>
      <c r="D2" s="3544"/>
      <c r="E2" s="3544"/>
      <c r="F2" s="3544"/>
      <c r="G2" s="3544"/>
      <c r="H2" s="3544"/>
      <c r="I2" s="3544"/>
      <c r="J2" s="3544"/>
      <c r="K2" s="3544"/>
      <c r="L2" s="3544"/>
      <c r="M2" s="3544"/>
      <c r="N2" s="3544"/>
      <c r="O2" s="3544"/>
      <c r="P2" s="3544"/>
      <c r="Q2" s="3544"/>
      <c r="R2" s="3544"/>
      <c r="S2" s="3544"/>
      <c r="T2" s="3544"/>
      <c r="U2" s="3544"/>
    </row>
    <row r="3" spans="1:21" ht="51" customHeight="1">
      <c r="A3" s="3544" t="str">
        <f>mafrozat!A3</f>
        <v xml:space="preserve"> سال مالي منتهي به 29 اسفند 1402</v>
      </c>
      <c r="B3" s="3544"/>
      <c r="C3" s="3544"/>
      <c r="D3" s="3544"/>
      <c r="E3" s="3544"/>
      <c r="F3" s="3544"/>
      <c r="G3" s="3544"/>
      <c r="H3" s="3544"/>
      <c r="I3" s="3544"/>
      <c r="J3" s="3544"/>
      <c r="K3" s="3544"/>
      <c r="L3" s="3544"/>
      <c r="M3" s="3544"/>
      <c r="N3" s="3544"/>
      <c r="O3" s="3544"/>
      <c r="P3" s="3544"/>
      <c r="Q3" s="3544"/>
      <c r="R3" s="3544"/>
      <c r="S3" s="3544"/>
      <c r="T3" s="3544"/>
      <c r="U3" s="3544"/>
    </row>
    <row r="4" spans="1:21" s="1372" customFormat="1" ht="21.75" customHeight="1">
      <c r="A4" s="2045"/>
      <c r="B4" s="1371"/>
      <c r="C4" s="1371"/>
      <c r="D4" s="1371"/>
      <c r="E4" s="1371"/>
      <c r="F4" s="1371"/>
      <c r="G4" s="1371"/>
      <c r="H4" s="1371"/>
      <c r="I4" s="1371"/>
      <c r="J4" s="1371"/>
      <c r="K4" s="1371"/>
      <c r="L4" s="1371"/>
      <c r="M4" s="395"/>
      <c r="N4" s="1371"/>
      <c r="O4" s="1371"/>
      <c r="P4" s="363"/>
      <c r="Q4" s="395"/>
      <c r="R4" s="396"/>
      <c r="S4" s="396"/>
      <c r="T4" s="396"/>
      <c r="U4" s="396"/>
    </row>
    <row r="5" spans="1:21" s="845" customFormat="1" ht="55.5" hidden="1" customHeight="1">
      <c r="A5" s="2046"/>
      <c r="B5" s="844"/>
      <c r="C5" s="397"/>
      <c r="D5" s="397"/>
      <c r="E5" s="3550"/>
      <c r="F5" s="3550"/>
      <c r="G5" s="3550"/>
      <c r="H5" s="3550"/>
      <c r="I5" s="3550"/>
      <c r="J5" s="3550"/>
      <c r="K5" s="3550"/>
      <c r="L5" s="3550"/>
      <c r="M5" s="3550"/>
      <c r="N5" s="3550"/>
      <c r="O5" s="3550"/>
      <c r="P5" s="3550"/>
      <c r="T5" s="2655"/>
      <c r="U5" s="2655"/>
    </row>
    <row r="6" spans="1:21" s="893" customFormat="1" ht="51.75" hidden="1" customHeight="1">
      <c r="A6" s="2047"/>
      <c r="B6" s="891"/>
      <c r="C6" s="892"/>
      <c r="D6" s="892"/>
      <c r="E6" s="1079"/>
      <c r="F6" s="1079"/>
      <c r="G6" s="1079"/>
      <c r="H6" s="1079"/>
      <c r="I6" s="1079"/>
      <c r="J6" s="1079"/>
      <c r="K6" s="1079"/>
      <c r="L6" s="1079"/>
      <c r="N6" s="1815"/>
      <c r="O6" s="1815"/>
      <c r="P6" s="1816"/>
    </row>
    <row r="7" spans="1:21" s="893" customFormat="1" ht="35.25" hidden="1" customHeight="1">
      <c r="A7" s="2047"/>
      <c r="B7" s="891"/>
      <c r="C7" s="892"/>
      <c r="D7" s="892"/>
      <c r="N7" s="981"/>
      <c r="O7" s="982"/>
      <c r="P7" s="981"/>
    </row>
    <row r="8" spans="1:21" s="893" customFormat="1" ht="33" hidden="1" customHeight="1">
      <c r="A8" s="894"/>
      <c r="B8" s="895"/>
      <c r="C8" s="894"/>
      <c r="D8" s="894"/>
      <c r="E8" s="896"/>
      <c r="F8" s="2054"/>
      <c r="G8" s="2054"/>
      <c r="H8" s="2054"/>
      <c r="I8" s="2054"/>
      <c r="J8" s="2054"/>
      <c r="K8" s="896"/>
      <c r="L8" s="897"/>
      <c r="N8" s="975"/>
      <c r="O8" s="976"/>
      <c r="P8" s="1378"/>
    </row>
    <row r="9" spans="1:21" s="893" customFormat="1" ht="35.25" hidden="1" customHeight="1">
      <c r="A9" s="894"/>
      <c r="B9" s="895"/>
      <c r="C9" s="894"/>
      <c r="D9" s="894"/>
      <c r="E9" s="896"/>
      <c r="F9" s="2054"/>
      <c r="G9" s="2054"/>
      <c r="H9" s="2054"/>
      <c r="I9" s="2054"/>
      <c r="J9" s="2054"/>
      <c r="K9" s="896"/>
      <c r="L9" s="898"/>
      <c r="N9" s="1256"/>
      <c r="O9" s="1257"/>
      <c r="P9" s="1256"/>
    </row>
    <row r="10" spans="1:21" s="893" customFormat="1" ht="35.25" hidden="1" customHeight="1">
      <c r="A10" s="894"/>
      <c r="B10" s="895"/>
      <c r="C10" s="894"/>
      <c r="D10" s="894"/>
      <c r="E10" s="896"/>
      <c r="F10" s="2054"/>
      <c r="G10" s="2054"/>
      <c r="H10" s="2054"/>
      <c r="I10" s="2054"/>
      <c r="J10" s="2054"/>
      <c r="K10" s="896"/>
      <c r="L10" s="897"/>
      <c r="N10" s="974"/>
      <c r="O10" s="1817"/>
      <c r="P10" s="1818"/>
    </row>
    <row r="11" spans="1:21" s="893" customFormat="1" ht="35.25" customHeight="1">
      <c r="A11" s="899"/>
      <c r="B11" s="900"/>
      <c r="C11" s="899"/>
      <c r="D11" s="899"/>
      <c r="E11" s="897"/>
      <c r="F11" s="897"/>
      <c r="G11" s="897"/>
      <c r="H11" s="897"/>
      <c r="I11" s="897"/>
      <c r="J11" s="897"/>
      <c r="L11" s="898"/>
      <c r="N11" s="1819"/>
      <c r="O11" s="586"/>
      <c r="P11" s="1820"/>
    </row>
    <row r="12" spans="1:21" ht="31.5" customHeight="1">
      <c r="A12" s="2747"/>
      <c r="B12" s="2748"/>
      <c r="C12" s="2749" t="s">
        <v>2438</v>
      </c>
      <c r="D12" s="2749"/>
      <c r="E12" s="398" t="s">
        <v>1500</v>
      </c>
      <c r="F12" s="398"/>
      <c r="G12" s="398"/>
      <c r="H12" s="398"/>
      <c r="I12" s="398"/>
      <c r="J12" s="398"/>
      <c r="K12" s="398"/>
      <c r="L12" s="398"/>
      <c r="M12" s="2750"/>
      <c r="N12" s="401"/>
      <c r="O12" s="2751"/>
      <c r="P12" s="398"/>
      <c r="Q12" s="2750"/>
      <c r="R12" s="1953"/>
      <c r="S12" s="1953"/>
      <c r="T12" s="2741"/>
      <c r="U12" s="2741"/>
    </row>
    <row r="13" spans="1:21" s="239" customFormat="1" ht="28.5" customHeight="1">
      <c r="A13" s="2752"/>
      <c r="B13" s="2753"/>
      <c r="C13" s="2754"/>
      <c r="D13" s="2754"/>
      <c r="E13" s="398"/>
      <c r="F13" s="398"/>
      <c r="G13" s="398"/>
      <c r="H13" s="398"/>
      <c r="I13" s="398"/>
      <c r="J13" s="398"/>
      <c r="K13" s="398"/>
      <c r="L13" s="398"/>
      <c r="M13" s="2755"/>
      <c r="N13" s="3554"/>
      <c r="O13" s="3554"/>
      <c r="P13" s="3554"/>
      <c r="Q13" s="3554" t="s">
        <v>1879</v>
      </c>
      <c r="R13" s="3554"/>
      <c r="S13" s="3554"/>
      <c r="T13" s="2742"/>
      <c r="U13" s="2742"/>
    </row>
    <row r="14" spans="1:21" s="239" customFormat="1" ht="37.5">
      <c r="A14" s="2752"/>
      <c r="B14" s="2753"/>
      <c r="C14" s="2754"/>
      <c r="D14" s="2754"/>
      <c r="E14" s="398"/>
      <c r="F14" s="398"/>
      <c r="G14" s="398"/>
      <c r="H14" s="398"/>
      <c r="I14" s="398"/>
      <c r="J14" s="398"/>
      <c r="K14" s="398"/>
      <c r="L14" s="398"/>
      <c r="M14" s="2755"/>
      <c r="N14" s="2756"/>
      <c r="O14" s="2756"/>
      <c r="P14" s="2756"/>
      <c r="Q14" s="2756"/>
      <c r="R14" s="2756"/>
      <c r="S14" s="2756"/>
      <c r="T14" s="2742"/>
      <c r="U14" s="2742"/>
    </row>
    <row r="15" spans="1:21" ht="34.5" customHeight="1">
      <c r="A15" s="2747"/>
      <c r="B15" s="2757"/>
      <c r="C15" s="2749"/>
      <c r="D15" s="2749"/>
      <c r="E15" s="398"/>
      <c r="F15" s="398"/>
      <c r="G15" s="398"/>
      <c r="H15" s="398"/>
      <c r="I15" s="398"/>
      <c r="J15" s="398"/>
      <c r="K15" s="398"/>
      <c r="L15" s="398"/>
      <c r="M15" s="2750"/>
      <c r="N15" s="2758"/>
      <c r="O15" s="2759"/>
      <c r="P15" s="2758"/>
      <c r="Q15" s="2760">
        <v>1402</v>
      </c>
      <c r="R15" s="2759"/>
      <c r="S15" s="2760">
        <v>1401</v>
      </c>
      <c r="T15" s="2743"/>
      <c r="U15" s="2743"/>
    </row>
    <row r="16" spans="1:21" s="2164" customFormat="1" ht="27" customHeight="1">
      <c r="A16" s="2761">
        <v>411</v>
      </c>
      <c r="B16" s="2757"/>
      <c r="C16" s="2749"/>
      <c r="D16" s="2749"/>
      <c r="E16" s="2762" t="s">
        <v>2521</v>
      </c>
      <c r="F16" s="2762"/>
      <c r="G16" s="2762"/>
      <c r="H16" s="2762"/>
      <c r="I16" s="2762"/>
      <c r="J16" s="398"/>
      <c r="K16" s="398"/>
      <c r="L16" s="398"/>
      <c r="M16" s="2750"/>
      <c r="N16" s="2758"/>
      <c r="O16" s="2759"/>
      <c r="P16" s="2758"/>
      <c r="Q16" s="2763">
        <f>SUMIF('1402'!$B$6:$B$590,$A16,'1402'!$W$6:$W$590)</f>
        <v>47421</v>
      </c>
      <c r="R16" s="2759"/>
      <c r="S16" s="2763">
        <v>42134</v>
      </c>
      <c r="T16" s="779"/>
      <c r="U16" s="779"/>
    </row>
    <row r="17" spans="1:16379" s="239" customFormat="1" ht="33" hidden="1" customHeight="1">
      <c r="A17" s="2761">
        <v>402</v>
      </c>
      <c r="B17" s="1982"/>
      <c r="C17" s="2754"/>
      <c r="D17" s="2754"/>
      <c r="E17" s="2762"/>
      <c r="F17" s="2762"/>
      <c r="G17" s="2762"/>
      <c r="H17" s="2762"/>
      <c r="I17" s="2762"/>
      <c r="J17" s="2762"/>
      <c r="K17" s="2762"/>
      <c r="L17" s="398"/>
      <c r="M17" s="398"/>
      <c r="N17" s="2763"/>
      <c r="O17" s="2764"/>
      <c r="P17" s="2763"/>
      <c r="Q17" s="2763">
        <f>SUMIF('1402'!$B$6:$B$590,$A17,'1402'!$W$6:$W$590)</f>
        <v>0</v>
      </c>
      <c r="R17" s="2765"/>
      <c r="S17" s="2763">
        <v>0</v>
      </c>
      <c r="T17" s="779"/>
      <c r="U17" s="779"/>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400"/>
      <c r="AZ17" s="400"/>
      <c r="BA17" s="400"/>
      <c r="BB17" s="400"/>
      <c r="BC17" s="400"/>
      <c r="BD17" s="400"/>
      <c r="BE17" s="400"/>
      <c r="BF17" s="400"/>
      <c r="BG17" s="400"/>
      <c r="BH17" s="400"/>
      <c r="BI17" s="400"/>
      <c r="BJ17" s="400"/>
      <c r="BK17" s="400"/>
      <c r="BL17" s="400"/>
      <c r="BM17" s="400"/>
      <c r="BN17" s="400"/>
      <c r="BO17" s="400"/>
      <c r="BP17" s="400"/>
      <c r="BQ17" s="400"/>
      <c r="BR17" s="400"/>
      <c r="BS17" s="400"/>
      <c r="BT17" s="400"/>
      <c r="BU17" s="400"/>
      <c r="BV17" s="400"/>
      <c r="BW17" s="400"/>
      <c r="BX17" s="400"/>
      <c r="BY17" s="400"/>
      <c r="BZ17" s="400"/>
      <c r="CA17" s="400"/>
      <c r="CB17" s="400"/>
      <c r="CC17" s="400"/>
      <c r="CD17" s="400"/>
      <c r="CE17" s="400"/>
      <c r="CF17" s="400"/>
      <c r="CG17" s="400"/>
      <c r="CH17" s="400"/>
      <c r="CI17" s="400"/>
      <c r="CJ17" s="400"/>
      <c r="CK17" s="400"/>
      <c r="CL17" s="400"/>
      <c r="CM17" s="400"/>
      <c r="CN17" s="400"/>
      <c r="CO17" s="400"/>
      <c r="CP17" s="400"/>
      <c r="CQ17" s="400"/>
      <c r="CR17" s="400"/>
      <c r="CS17" s="400"/>
      <c r="CT17" s="400"/>
      <c r="CU17" s="400"/>
      <c r="CV17" s="400"/>
      <c r="CW17" s="400"/>
      <c r="CX17" s="400"/>
      <c r="CY17" s="400"/>
      <c r="CZ17" s="400"/>
      <c r="DA17" s="400"/>
      <c r="DB17" s="400"/>
      <c r="DC17" s="400"/>
      <c r="DD17" s="400"/>
      <c r="DE17" s="400"/>
      <c r="DF17" s="400"/>
      <c r="DG17" s="400"/>
      <c r="DH17" s="400"/>
      <c r="DI17" s="400"/>
      <c r="DJ17" s="400"/>
      <c r="DK17" s="400"/>
      <c r="DL17" s="400"/>
      <c r="DM17" s="400"/>
      <c r="DN17" s="400"/>
      <c r="DO17" s="400"/>
      <c r="DP17" s="400"/>
      <c r="DQ17" s="400"/>
      <c r="DR17" s="400"/>
      <c r="DS17" s="400"/>
      <c r="DT17" s="400"/>
      <c r="DU17" s="400"/>
      <c r="DV17" s="400"/>
      <c r="DW17" s="400"/>
      <c r="DX17" s="400"/>
      <c r="DY17" s="400"/>
      <c r="DZ17" s="400"/>
      <c r="EA17" s="400"/>
      <c r="EB17" s="400"/>
      <c r="EC17" s="400"/>
      <c r="ED17" s="400"/>
      <c r="EE17" s="400"/>
      <c r="EF17" s="400"/>
      <c r="EG17" s="400"/>
      <c r="EH17" s="400"/>
      <c r="EI17" s="400"/>
      <c r="EJ17" s="400"/>
      <c r="EK17" s="400"/>
      <c r="EL17" s="400"/>
      <c r="EM17" s="400"/>
      <c r="EN17" s="400"/>
      <c r="EO17" s="400"/>
      <c r="EP17" s="400"/>
      <c r="EQ17" s="400"/>
      <c r="ER17" s="400"/>
      <c r="ES17" s="400"/>
      <c r="ET17" s="400"/>
      <c r="EU17" s="400"/>
      <c r="EV17" s="400"/>
      <c r="EW17" s="400"/>
      <c r="EX17" s="400"/>
      <c r="EY17" s="400"/>
      <c r="EZ17" s="400"/>
      <c r="FA17" s="400"/>
      <c r="FB17" s="400"/>
      <c r="FC17" s="400"/>
      <c r="FD17" s="400"/>
      <c r="FE17" s="400"/>
      <c r="FF17" s="400"/>
      <c r="FG17" s="400"/>
      <c r="FH17" s="400"/>
      <c r="FI17" s="400"/>
      <c r="FJ17" s="400"/>
      <c r="FK17" s="400"/>
      <c r="FL17" s="400"/>
      <c r="FM17" s="400"/>
      <c r="FN17" s="400"/>
      <c r="FO17" s="400"/>
      <c r="FP17" s="400"/>
      <c r="FQ17" s="400"/>
      <c r="FR17" s="400"/>
      <c r="FS17" s="400"/>
      <c r="FT17" s="400"/>
      <c r="FU17" s="400"/>
      <c r="FV17" s="400"/>
      <c r="FW17" s="400"/>
      <c r="FX17" s="400"/>
      <c r="FY17" s="400"/>
      <c r="FZ17" s="400"/>
      <c r="GA17" s="400"/>
      <c r="GB17" s="400"/>
      <c r="GC17" s="400"/>
      <c r="GD17" s="400"/>
      <c r="GE17" s="400"/>
      <c r="GF17" s="400"/>
      <c r="GG17" s="400"/>
      <c r="GH17" s="400"/>
      <c r="GI17" s="400"/>
      <c r="GJ17" s="400"/>
      <c r="GK17" s="400"/>
      <c r="GL17" s="400"/>
      <c r="GM17" s="400"/>
      <c r="GN17" s="400"/>
      <c r="GO17" s="400"/>
      <c r="GP17" s="400"/>
      <c r="GQ17" s="400"/>
      <c r="GR17" s="400"/>
      <c r="GS17" s="400"/>
      <c r="GT17" s="400"/>
      <c r="GU17" s="400"/>
      <c r="GV17" s="400"/>
      <c r="GW17" s="400"/>
      <c r="GX17" s="400"/>
      <c r="GY17" s="400"/>
      <c r="GZ17" s="400"/>
      <c r="HA17" s="400"/>
      <c r="HB17" s="400"/>
      <c r="HC17" s="400"/>
      <c r="HD17" s="400"/>
      <c r="HE17" s="400"/>
      <c r="HF17" s="400"/>
      <c r="HG17" s="400"/>
      <c r="HH17" s="400"/>
      <c r="HI17" s="400"/>
      <c r="HJ17" s="400"/>
      <c r="HK17" s="400"/>
      <c r="HL17" s="400"/>
      <c r="HM17" s="400"/>
      <c r="HN17" s="400"/>
      <c r="HO17" s="400"/>
      <c r="HP17" s="400"/>
      <c r="HQ17" s="400"/>
      <c r="HR17" s="400"/>
      <c r="HS17" s="400"/>
      <c r="HT17" s="400"/>
      <c r="HU17" s="400"/>
      <c r="HV17" s="400"/>
      <c r="HW17" s="400"/>
      <c r="HX17" s="400"/>
      <c r="HY17" s="400"/>
      <c r="HZ17" s="400"/>
      <c r="IA17" s="400"/>
      <c r="IB17" s="400"/>
      <c r="IC17" s="400"/>
      <c r="ID17" s="400"/>
      <c r="IE17" s="400"/>
      <c r="IF17" s="400"/>
      <c r="IG17" s="400"/>
      <c r="IH17" s="400"/>
      <c r="II17" s="400"/>
      <c r="IJ17" s="400"/>
      <c r="IK17" s="400"/>
      <c r="IL17" s="400"/>
      <c r="IM17" s="400"/>
      <c r="IN17" s="400"/>
      <c r="IO17" s="400"/>
      <c r="IP17" s="400"/>
      <c r="IQ17" s="400"/>
      <c r="IR17" s="400"/>
      <c r="IS17" s="400"/>
      <c r="IT17" s="400"/>
      <c r="IU17" s="400"/>
      <c r="IV17" s="400"/>
      <c r="IW17" s="400"/>
      <c r="IX17" s="400"/>
      <c r="IY17" s="400"/>
      <c r="IZ17" s="400"/>
      <c r="JA17" s="400"/>
      <c r="JB17" s="400"/>
      <c r="JC17" s="400"/>
      <c r="JD17" s="400"/>
      <c r="JE17" s="400"/>
      <c r="JF17" s="400"/>
      <c r="JG17" s="400"/>
      <c r="JH17" s="400"/>
      <c r="JI17" s="400"/>
      <c r="JJ17" s="400"/>
      <c r="JK17" s="400"/>
      <c r="JL17" s="400"/>
      <c r="JM17" s="400"/>
      <c r="JN17" s="400"/>
      <c r="JO17" s="400"/>
      <c r="JP17" s="400"/>
      <c r="JQ17" s="400"/>
      <c r="JR17" s="400"/>
      <c r="JS17" s="400"/>
      <c r="JT17" s="400"/>
      <c r="JU17" s="400"/>
      <c r="JV17" s="400"/>
      <c r="JW17" s="400"/>
      <c r="JX17" s="400"/>
      <c r="JY17" s="400"/>
      <c r="JZ17" s="400"/>
      <c r="KA17" s="400"/>
      <c r="KB17" s="400"/>
      <c r="KC17" s="400"/>
      <c r="KD17" s="400"/>
      <c r="KE17" s="400"/>
      <c r="KF17" s="400"/>
      <c r="KG17" s="400"/>
      <c r="KH17" s="400"/>
      <c r="KI17" s="400"/>
      <c r="KJ17" s="400"/>
      <c r="KK17" s="400"/>
      <c r="KL17" s="400"/>
      <c r="KM17" s="400"/>
      <c r="KN17" s="400"/>
      <c r="KO17" s="400"/>
      <c r="KP17" s="400"/>
      <c r="KQ17" s="400"/>
      <c r="KR17" s="400"/>
      <c r="KS17" s="400"/>
      <c r="KT17" s="400"/>
      <c r="KU17" s="400"/>
      <c r="KV17" s="400"/>
      <c r="KW17" s="400"/>
      <c r="KX17" s="400"/>
      <c r="KY17" s="400"/>
      <c r="KZ17" s="400"/>
      <c r="LA17" s="400"/>
      <c r="LB17" s="400"/>
      <c r="LC17" s="400"/>
      <c r="LD17" s="400"/>
      <c r="LE17" s="400"/>
      <c r="LF17" s="400"/>
      <c r="LG17" s="400"/>
      <c r="LH17" s="400"/>
      <c r="LI17" s="400"/>
      <c r="LJ17" s="400"/>
      <c r="LK17" s="400"/>
      <c r="LL17" s="400"/>
      <c r="LM17" s="400"/>
      <c r="LN17" s="400"/>
      <c r="LO17" s="400"/>
      <c r="LP17" s="400"/>
      <c r="LQ17" s="400"/>
      <c r="LR17" s="400"/>
      <c r="LS17" s="400"/>
      <c r="LT17" s="400"/>
      <c r="LU17" s="400"/>
      <c r="LV17" s="400"/>
      <c r="LW17" s="400"/>
      <c r="LX17" s="400"/>
      <c r="LY17" s="400"/>
      <c r="LZ17" s="400"/>
      <c r="MA17" s="400"/>
      <c r="MB17" s="400"/>
      <c r="MC17" s="400"/>
      <c r="MD17" s="400"/>
      <c r="ME17" s="400"/>
      <c r="MF17" s="400"/>
      <c r="MG17" s="400"/>
      <c r="MH17" s="400"/>
      <c r="MI17" s="400"/>
      <c r="MJ17" s="400"/>
      <c r="MK17" s="400"/>
      <c r="ML17" s="400"/>
      <c r="MM17" s="400"/>
      <c r="MN17" s="400"/>
      <c r="MO17" s="400"/>
      <c r="MP17" s="400"/>
      <c r="MQ17" s="400"/>
      <c r="MR17" s="400"/>
      <c r="MS17" s="400"/>
      <c r="MT17" s="400"/>
      <c r="MU17" s="400"/>
      <c r="MV17" s="400"/>
      <c r="MW17" s="400"/>
      <c r="MX17" s="400"/>
      <c r="MY17" s="400"/>
      <c r="MZ17" s="400"/>
      <c r="NA17" s="400"/>
      <c r="NB17" s="400"/>
      <c r="NC17" s="400"/>
      <c r="ND17" s="400"/>
      <c r="NE17" s="400"/>
      <c r="NF17" s="400"/>
      <c r="NG17" s="400"/>
      <c r="NH17" s="400"/>
      <c r="NI17" s="400"/>
      <c r="NJ17" s="400"/>
      <c r="NK17" s="400"/>
      <c r="NL17" s="400"/>
      <c r="NM17" s="400"/>
      <c r="NN17" s="400"/>
      <c r="NO17" s="400"/>
      <c r="NP17" s="400"/>
      <c r="NQ17" s="400"/>
      <c r="NR17" s="400"/>
      <c r="NS17" s="400"/>
      <c r="NT17" s="400"/>
      <c r="NU17" s="400"/>
      <c r="NV17" s="400"/>
      <c r="NW17" s="400"/>
      <c r="NX17" s="400"/>
      <c r="NY17" s="400"/>
      <c r="NZ17" s="400"/>
      <c r="OA17" s="400"/>
      <c r="OB17" s="400"/>
      <c r="OC17" s="400"/>
      <c r="OD17" s="400"/>
      <c r="OE17" s="400"/>
      <c r="OF17" s="400"/>
      <c r="OG17" s="400"/>
      <c r="OH17" s="400"/>
      <c r="OI17" s="400"/>
      <c r="OJ17" s="400"/>
      <c r="OK17" s="400"/>
      <c r="OL17" s="400"/>
      <c r="OM17" s="400"/>
      <c r="ON17" s="400"/>
      <c r="OO17" s="400"/>
      <c r="OP17" s="400"/>
      <c r="OQ17" s="400"/>
      <c r="OR17" s="400"/>
      <c r="OS17" s="400"/>
      <c r="OT17" s="400"/>
      <c r="OU17" s="400"/>
      <c r="OV17" s="400"/>
      <c r="OW17" s="400"/>
      <c r="OX17" s="400"/>
      <c r="OY17" s="400"/>
      <c r="OZ17" s="400"/>
      <c r="PA17" s="400"/>
      <c r="PB17" s="400"/>
      <c r="PC17" s="400"/>
      <c r="PD17" s="400"/>
      <c r="PE17" s="400"/>
      <c r="PF17" s="400"/>
      <c r="PG17" s="400"/>
      <c r="PH17" s="400"/>
      <c r="PI17" s="400"/>
      <c r="PJ17" s="400"/>
      <c r="PK17" s="400"/>
      <c r="PL17" s="400"/>
      <c r="PM17" s="400"/>
      <c r="PN17" s="400"/>
      <c r="PO17" s="400"/>
      <c r="PP17" s="400"/>
      <c r="PQ17" s="400"/>
      <c r="PR17" s="400"/>
      <c r="PS17" s="400"/>
      <c r="PT17" s="400"/>
      <c r="PU17" s="400"/>
      <c r="PV17" s="400"/>
      <c r="PW17" s="400"/>
      <c r="PX17" s="400"/>
      <c r="PY17" s="400"/>
      <c r="PZ17" s="400"/>
      <c r="QA17" s="400"/>
      <c r="QB17" s="400"/>
      <c r="QC17" s="400"/>
      <c r="QD17" s="400"/>
      <c r="QE17" s="400"/>
      <c r="QF17" s="400"/>
      <c r="QG17" s="400"/>
      <c r="QH17" s="400"/>
      <c r="QI17" s="400"/>
      <c r="QJ17" s="400"/>
      <c r="QK17" s="400"/>
      <c r="QL17" s="400"/>
      <c r="QM17" s="400"/>
      <c r="QN17" s="400"/>
      <c r="QO17" s="400"/>
      <c r="QP17" s="400"/>
      <c r="QQ17" s="400"/>
      <c r="QR17" s="400"/>
      <c r="QS17" s="400"/>
      <c r="QT17" s="400"/>
      <c r="QU17" s="400"/>
      <c r="QV17" s="400"/>
      <c r="QW17" s="400"/>
      <c r="QX17" s="400"/>
      <c r="QY17" s="400"/>
      <c r="QZ17" s="400"/>
      <c r="RA17" s="400"/>
      <c r="RB17" s="400"/>
      <c r="RC17" s="400"/>
      <c r="RD17" s="400"/>
      <c r="RE17" s="400"/>
      <c r="RF17" s="400"/>
      <c r="RG17" s="400"/>
      <c r="RH17" s="400"/>
      <c r="RI17" s="400"/>
      <c r="RJ17" s="400"/>
      <c r="RK17" s="400"/>
      <c r="RL17" s="400"/>
      <c r="RM17" s="400"/>
      <c r="RN17" s="400"/>
      <c r="RO17" s="400"/>
      <c r="RP17" s="400"/>
      <c r="RQ17" s="400"/>
      <c r="RR17" s="400"/>
      <c r="RS17" s="400"/>
      <c r="RT17" s="400"/>
      <c r="RU17" s="400"/>
      <c r="RV17" s="400"/>
      <c r="RW17" s="400"/>
      <c r="RX17" s="400"/>
      <c r="RY17" s="400"/>
      <c r="RZ17" s="400"/>
      <c r="SA17" s="400"/>
      <c r="SB17" s="400"/>
      <c r="SC17" s="400"/>
      <c r="SD17" s="400"/>
      <c r="SE17" s="400"/>
      <c r="SF17" s="400"/>
      <c r="SG17" s="400"/>
      <c r="SH17" s="400"/>
      <c r="SI17" s="400"/>
      <c r="SJ17" s="400"/>
      <c r="SK17" s="400"/>
      <c r="SL17" s="400"/>
      <c r="SM17" s="400"/>
      <c r="SN17" s="400"/>
      <c r="SO17" s="400"/>
      <c r="SP17" s="400"/>
      <c r="SQ17" s="400"/>
      <c r="SR17" s="400"/>
      <c r="SS17" s="400"/>
      <c r="ST17" s="400"/>
      <c r="SU17" s="400"/>
      <c r="SV17" s="400"/>
      <c r="SW17" s="400"/>
      <c r="SX17" s="400"/>
      <c r="SY17" s="400"/>
      <c r="SZ17" s="400"/>
      <c r="TA17" s="400"/>
      <c r="TB17" s="400"/>
      <c r="TC17" s="400"/>
      <c r="TD17" s="400"/>
      <c r="TE17" s="400"/>
      <c r="TF17" s="400"/>
      <c r="TG17" s="400"/>
      <c r="TH17" s="400"/>
      <c r="TI17" s="400"/>
      <c r="TJ17" s="400"/>
      <c r="TK17" s="400"/>
      <c r="TL17" s="400"/>
      <c r="TM17" s="400"/>
      <c r="TN17" s="400"/>
      <c r="TO17" s="400"/>
      <c r="TP17" s="400"/>
      <c r="TQ17" s="400"/>
      <c r="TR17" s="400"/>
      <c r="TS17" s="400"/>
      <c r="TT17" s="400"/>
      <c r="TU17" s="400"/>
      <c r="TV17" s="400"/>
      <c r="TW17" s="400"/>
      <c r="TX17" s="400"/>
      <c r="TY17" s="400"/>
      <c r="TZ17" s="400"/>
      <c r="UA17" s="400"/>
      <c r="UB17" s="400"/>
      <c r="UC17" s="400"/>
      <c r="UD17" s="400"/>
      <c r="UE17" s="400"/>
      <c r="UF17" s="400"/>
      <c r="UG17" s="400"/>
      <c r="UH17" s="400"/>
      <c r="UI17" s="400"/>
      <c r="UJ17" s="400"/>
      <c r="UK17" s="400"/>
      <c r="UL17" s="400"/>
      <c r="UM17" s="400"/>
      <c r="UN17" s="400"/>
      <c r="UO17" s="400"/>
      <c r="UP17" s="400"/>
      <c r="UQ17" s="400"/>
      <c r="UR17" s="400"/>
      <c r="US17" s="400"/>
      <c r="UT17" s="400"/>
      <c r="UU17" s="400"/>
      <c r="UV17" s="400"/>
      <c r="UW17" s="400"/>
      <c r="UX17" s="400"/>
      <c r="UY17" s="400"/>
      <c r="UZ17" s="400"/>
      <c r="VA17" s="400"/>
      <c r="VB17" s="400"/>
      <c r="VC17" s="400"/>
      <c r="VD17" s="400"/>
      <c r="VE17" s="400"/>
      <c r="VF17" s="400"/>
      <c r="VG17" s="400"/>
      <c r="VH17" s="400"/>
      <c r="VI17" s="400"/>
      <c r="VJ17" s="400"/>
      <c r="VK17" s="400"/>
      <c r="VL17" s="400"/>
      <c r="VM17" s="400"/>
      <c r="VN17" s="400"/>
      <c r="VO17" s="400"/>
      <c r="VP17" s="400"/>
      <c r="VQ17" s="400"/>
      <c r="VR17" s="400"/>
      <c r="VS17" s="400"/>
      <c r="VT17" s="400"/>
      <c r="VU17" s="400"/>
      <c r="VV17" s="400"/>
      <c r="VW17" s="400"/>
      <c r="VX17" s="400"/>
      <c r="VY17" s="400"/>
      <c r="VZ17" s="400"/>
      <c r="WA17" s="400"/>
      <c r="WB17" s="400"/>
      <c r="WC17" s="400"/>
      <c r="WD17" s="400"/>
      <c r="WE17" s="400"/>
      <c r="WF17" s="400"/>
      <c r="WG17" s="400"/>
      <c r="WH17" s="400"/>
      <c r="WI17" s="400"/>
      <c r="WJ17" s="400"/>
      <c r="WK17" s="400"/>
      <c r="WL17" s="400"/>
      <c r="WM17" s="400"/>
      <c r="WN17" s="400"/>
      <c r="WO17" s="400"/>
      <c r="WP17" s="400"/>
      <c r="WQ17" s="400"/>
      <c r="WR17" s="400"/>
      <c r="WS17" s="400"/>
      <c r="WT17" s="400"/>
      <c r="WU17" s="400"/>
      <c r="WV17" s="400"/>
      <c r="WW17" s="400"/>
      <c r="WX17" s="400"/>
      <c r="WY17" s="400"/>
      <c r="WZ17" s="400"/>
      <c r="XA17" s="400"/>
      <c r="XB17" s="400"/>
      <c r="XC17" s="400"/>
      <c r="XD17" s="400"/>
      <c r="XE17" s="400"/>
      <c r="XF17" s="400"/>
      <c r="XG17" s="400"/>
      <c r="XH17" s="400"/>
      <c r="XI17" s="400"/>
      <c r="XJ17" s="400"/>
      <c r="XK17" s="400"/>
      <c r="XL17" s="400"/>
      <c r="XM17" s="400"/>
      <c r="XN17" s="400"/>
      <c r="XO17" s="400"/>
      <c r="XP17" s="400"/>
      <c r="XQ17" s="400"/>
      <c r="XR17" s="400"/>
      <c r="XS17" s="400"/>
      <c r="XT17" s="400"/>
      <c r="XU17" s="400"/>
      <c r="XV17" s="400"/>
      <c r="XW17" s="400"/>
      <c r="XX17" s="400"/>
      <c r="XY17" s="400"/>
      <c r="XZ17" s="400"/>
      <c r="YA17" s="400"/>
      <c r="YB17" s="400"/>
      <c r="YC17" s="400"/>
      <c r="YD17" s="400"/>
      <c r="YE17" s="400"/>
      <c r="YF17" s="400"/>
      <c r="YG17" s="400"/>
      <c r="YH17" s="400"/>
      <c r="YI17" s="400"/>
      <c r="YJ17" s="400"/>
      <c r="YK17" s="400"/>
      <c r="YL17" s="400"/>
      <c r="YM17" s="400"/>
      <c r="YN17" s="400"/>
      <c r="YO17" s="400"/>
      <c r="YP17" s="400"/>
      <c r="YQ17" s="400"/>
      <c r="YR17" s="400"/>
      <c r="YS17" s="400"/>
      <c r="YT17" s="400"/>
      <c r="YU17" s="400"/>
      <c r="YV17" s="400"/>
      <c r="YW17" s="400"/>
      <c r="YX17" s="400"/>
      <c r="YY17" s="400"/>
      <c r="YZ17" s="400"/>
      <c r="ZA17" s="400"/>
      <c r="ZB17" s="400"/>
      <c r="ZC17" s="400"/>
      <c r="ZD17" s="400"/>
      <c r="ZE17" s="400"/>
      <c r="ZF17" s="400"/>
      <c r="ZG17" s="400"/>
      <c r="ZH17" s="400"/>
      <c r="ZI17" s="400"/>
      <c r="ZJ17" s="400"/>
      <c r="ZK17" s="400"/>
      <c r="ZL17" s="400"/>
      <c r="ZM17" s="400"/>
      <c r="ZN17" s="400"/>
      <c r="ZO17" s="400"/>
      <c r="ZP17" s="400"/>
      <c r="ZQ17" s="400"/>
      <c r="ZR17" s="400"/>
      <c r="ZS17" s="400"/>
      <c r="ZT17" s="400"/>
      <c r="ZU17" s="400"/>
      <c r="ZV17" s="400"/>
      <c r="ZW17" s="400"/>
      <c r="ZX17" s="400"/>
      <c r="ZY17" s="400"/>
      <c r="ZZ17" s="400"/>
      <c r="AAA17" s="400"/>
      <c r="AAB17" s="400"/>
      <c r="AAC17" s="400"/>
      <c r="AAD17" s="400"/>
      <c r="AAE17" s="400"/>
      <c r="AAF17" s="400"/>
      <c r="AAG17" s="400"/>
      <c r="AAH17" s="400"/>
      <c r="AAI17" s="400"/>
      <c r="AAJ17" s="400"/>
      <c r="AAK17" s="400"/>
      <c r="AAL17" s="400"/>
      <c r="AAM17" s="400"/>
      <c r="AAN17" s="400"/>
      <c r="AAO17" s="400"/>
      <c r="AAP17" s="400"/>
      <c r="AAQ17" s="400"/>
      <c r="AAR17" s="400"/>
      <c r="AAS17" s="400"/>
      <c r="AAT17" s="400"/>
      <c r="AAU17" s="400"/>
      <c r="AAV17" s="400"/>
      <c r="AAW17" s="400"/>
      <c r="AAX17" s="400"/>
      <c r="AAY17" s="400"/>
      <c r="AAZ17" s="400"/>
      <c r="ABA17" s="400"/>
      <c r="ABB17" s="400"/>
      <c r="ABC17" s="400"/>
      <c r="ABD17" s="400"/>
      <c r="ABE17" s="400"/>
      <c r="ABF17" s="400"/>
      <c r="ABG17" s="400"/>
      <c r="ABH17" s="400"/>
      <c r="ABI17" s="400"/>
      <c r="ABJ17" s="400"/>
      <c r="ABK17" s="400"/>
      <c r="ABL17" s="400"/>
      <c r="ABM17" s="400"/>
      <c r="ABN17" s="400"/>
      <c r="ABO17" s="400"/>
      <c r="ABP17" s="400"/>
      <c r="ABQ17" s="400"/>
      <c r="ABR17" s="400"/>
      <c r="ABS17" s="400"/>
      <c r="ABT17" s="400"/>
      <c r="ABU17" s="400"/>
      <c r="ABV17" s="400"/>
      <c r="ABW17" s="400"/>
      <c r="ABX17" s="400"/>
      <c r="ABY17" s="400"/>
      <c r="ABZ17" s="400"/>
      <c r="ACA17" s="400"/>
      <c r="ACB17" s="400"/>
      <c r="ACC17" s="400"/>
      <c r="ACD17" s="400"/>
      <c r="ACE17" s="400"/>
      <c r="ACF17" s="400"/>
      <c r="ACG17" s="400"/>
      <c r="ACH17" s="400"/>
      <c r="ACI17" s="400"/>
      <c r="ACJ17" s="400"/>
      <c r="ACK17" s="400"/>
      <c r="ACL17" s="400"/>
      <c r="ACM17" s="400"/>
      <c r="ACN17" s="400"/>
      <c r="ACO17" s="400"/>
      <c r="ACP17" s="400"/>
      <c r="ACQ17" s="400"/>
      <c r="ACR17" s="400"/>
      <c r="ACS17" s="400"/>
      <c r="ACT17" s="400"/>
      <c r="ACU17" s="400"/>
      <c r="ACV17" s="400"/>
      <c r="ACW17" s="400"/>
      <c r="ACX17" s="400"/>
      <c r="ACY17" s="400"/>
      <c r="ACZ17" s="400"/>
      <c r="ADA17" s="400"/>
      <c r="ADB17" s="400"/>
      <c r="ADC17" s="400"/>
      <c r="ADD17" s="400"/>
      <c r="ADE17" s="400"/>
      <c r="ADF17" s="400"/>
      <c r="ADG17" s="400"/>
      <c r="ADH17" s="400"/>
      <c r="ADI17" s="400"/>
      <c r="ADJ17" s="400"/>
      <c r="ADK17" s="400"/>
      <c r="ADL17" s="400"/>
      <c r="ADM17" s="400"/>
      <c r="ADN17" s="400"/>
      <c r="ADO17" s="400"/>
      <c r="ADP17" s="400"/>
      <c r="ADQ17" s="400"/>
      <c r="ADR17" s="400"/>
      <c r="ADS17" s="400"/>
      <c r="ADT17" s="400"/>
      <c r="ADU17" s="400"/>
      <c r="ADV17" s="400"/>
      <c r="ADW17" s="400"/>
      <c r="ADX17" s="400"/>
      <c r="ADY17" s="400"/>
      <c r="ADZ17" s="400"/>
      <c r="AEA17" s="400"/>
      <c r="AEB17" s="400"/>
      <c r="AEC17" s="400"/>
      <c r="AED17" s="400"/>
      <c r="AEE17" s="400"/>
      <c r="AEF17" s="400"/>
      <c r="AEG17" s="400"/>
      <c r="AEH17" s="400"/>
      <c r="AEI17" s="400"/>
      <c r="AEJ17" s="400"/>
      <c r="AEK17" s="400"/>
      <c r="AEL17" s="400"/>
      <c r="AEM17" s="400"/>
      <c r="AEN17" s="400"/>
      <c r="AEO17" s="400"/>
      <c r="AEP17" s="400"/>
      <c r="AEQ17" s="400"/>
      <c r="AER17" s="400"/>
      <c r="AES17" s="400"/>
      <c r="AET17" s="400"/>
      <c r="AEU17" s="400"/>
      <c r="AEV17" s="400"/>
      <c r="AEW17" s="400"/>
      <c r="AEX17" s="400"/>
      <c r="AEY17" s="400"/>
      <c r="AEZ17" s="400"/>
      <c r="AFA17" s="400"/>
      <c r="AFB17" s="400"/>
      <c r="AFC17" s="400"/>
      <c r="AFD17" s="400"/>
      <c r="AFE17" s="400"/>
      <c r="AFF17" s="400"/>
      <c r="AFG17" s="400"/>
      <c r="AFH17" s="400"/>
      <c r="AFI17" s="400"/>
      <c r="AFJ17" s="400"/>
      <c r="AFK17" s="400"/>
      <c r="AFL17" s="400"/>
      <c r="AFM17" s="400"/>
      <c r="AFN17" s="400"/>
      <c r="AFO17" s="400"/>
      <c r="AFP17" s="400"/>
      <c r="AFQ17" s="400"/>
      <c r="AFR17" s="400"/>
      <c r="AFS17" s="400"/>
      <c r="AFT17" s="400"/>
      <c r="AFU17" s="400"/>
      <c r="AFV17" s="400"/>
      <c r="AFW17" s="400"/>
      <c r="AFX17" s="400"/>
      <c r="AFY17" s="400"/>
      <c r="AFZ17" s="400"/>
      <c r="AGA17" s="400"/>
      <c r="AGB17" s="400"/>
      <c r="AGC17" s="400"/>
      <c r="AGD17" s="400"/>
      <c r="AGE17" s="400"/>
      <c r="AGF17" s="400"/>
      <c r="AGG17" s="400"/>
      <c r="AGH17" s="400"/>
      <c r="AGI17" s="400"/>
      <c r="AGJ17" s="400"/>
      <c r="AGK17" s="400"/>
      <c r="AGL17" s="400"/>
      <c r="AGM17" s="400"/>
      <c r="AGN17" s="400"/>
      <c r="AGO17" s="400"/>
      <c r="AGP17" s="400"/>
      <c r="AGQ17" s="400"/>
      <c r="AGR17" s="400"/>
      <c r="AGS17" s="400"/>
      <c r="AGT17" s="400"/>
      <c r="AGU17" s="400"/>
      <c r="AGV17" s="400"/>
      <c r="AGW17" s="400"/>
      <c r="AGX17" s="400"/>
      <c r="AGY17" s="400"/>
      <c r="AGZ17" s="400"/>
      <c r="AHA17" s="400"/>
      <c r="AHB17" s="400"/>
      <c r="AHC17" s="400"/>
      <c r="AHD17" s="400"/>
      <c r="AHE17" s="400"/>
      <c r="AHF17" s="400"/>
      <c r="AHG17" s="400"/>
      <c r="AHH17" s="400"/>
      <c r="AHI17" s="400"/>
      <c r="AHJ17" s="400"/>
      <c r="AHK17" s="400"/>
      <c r="AHL17" s="400"/>
      <c r="AHM17" s="400"/>
      <c r="AHN17" s="400"/>
      <c r="AHO17" s="400"/>
      <c r="AHP17" s="400"/>
      <c r="AHQ17" s="400"/>
      <c r="AHR17" s="400"/>
      <c r="AHS17" s="400"/>
      <c r="AHT17" s="400"/>
      <c r="AHU17" s="400"/>
      <c r="AHV17" s="400"/>
      <c r="AHW17" s="400"/>
      <c r="AHX17" s="400"/>
      <c r="AHY17" s="400"/>
      <c r="AHZ17" s="400"/>
      <c r="AIA17" s="400"/>
      <c r="AIB17" s="400"/>
      <c r="AIC17" s="400"/>
      <c r="AID17" s="400"/>
      <c r="AIE17" s="400"/>
      <c r="AIF17" s="400"/>
      <c r="AIG17" s="400"/>
      <c r="AIH17" s="400"/>
      <c r="AII17" s="400"/>
      <c r="AIJ17" s="400"/>
      <c r="AIK17" s="400"/>
      <c r="AIL17" s="400"/>
      <c r="AIM17" s="400"/>
      <c r="AIN17" s="400"/>
      <c r="AIO17" s="400"/>
      <c r="AIP17" s="400"/>
      <c r="AIQ17" s="400"/>
      <c r="AIR17" s="400"/>
      <c r="AIS17" s="400"/>
      <c r="AIT17" s="400"/>
      <c r="AIU17" s="400"/>
      <c r="AIV17" s="400"/>
      <c r="AIW17" s="400"/>
      <c r="AIX17" s="400"/>
      <c r="AIY17" s="400"/>
      <c r="AIZ17" s="400"/>
      <c r="AJA17" s="400"/>
      <c r="AJB17" s="400"/>
      <c r="AJC17" s="400"/>
      <c r="AJD17" s="400"/>
      <c r="AJE17" s="400"/>
      <c r="AJF17" s="400"/>
      <c r="AJG17" s="400"/>
      <c r="AJH17" s="400"/>
      <c r="AJI17" s="400"/>
      <c r="AJJ17" s="400"/>
      <c r="AJK17" s="400"/>
      <c r="AJL17" s="400"/>
      <c r="AJM17" s="400"/>
      <c r="AJN17" s="400"/>
      <c r="AJO17" s="400"/>
      <c r="AJP17" s="400"/>
      <c r="AJQ17" s="400"/>
      <c r="AJR17" s="400"/>
      <c r="AJS17" s="400"/>
      <c r="AJT17" s="400"/>
      <c r="AJU17" s="400"/>
      <c r="AJV17" s="400"/>
      <c r="AJW17" s="400"/>
      <c r="AJX17" s="400"/>
      <c r="AJY17" s="400"/>
      <c r="AJZ17" s="400"/>
      <c r="AKA17" s="400"/>
      <c r="AKB17" s="400"/>
      <c r="AKC17" s="400"/>
      <c r="AKD17" s="400"/>
      <c r="AKE17" s="400"/>
      <c r="AKF17" s="400"/>
      <c r="AKG17" s="400"/>
      <c r="AKH17" s="400"/>
      <c r="AKI17" s="400"/>
      <c r="AKJ17" s="400"/>
      <c r="AKK17" s="400"/>
      <c r="AKL17" s="400"/>
      <c r="AKM17" s="400"/>
      <c r="AKN17" s="400"/>
      <c r="AKO17" s="400"/>
      <c r="AKP17" s="400"/>
      <c r="AKQ17" s="400"/>
      <c r="AKR17" s="400"/>
      <c r="AKS17" s="400"/>
      <c r="AKT17" s="400"/>
      <c r="AKU17" s="400"/>
      <c r="AKV17" s="400"/>
      <c r="AKW17" s="400"/>
      <c r="AKX17" s="400"/>
      <c r="AKY17" s="400"/>
      <c r="AKZ17" s="400"/>
      <c r="ALA17" s="400"/>
      <c r="ALB17" s="400"/>
      <c r="ALC17" s="400"/>
      <c r="ALD17" s="400"/>
      <c r="ALE17" s="400"/>
      <c r="ALF17" s="400"/>
      <c r="ALG17" s="400"/>
      <c r="ALH17" s="400"/>
      <c r="ALI17" s="400"/>
      <c r="ALJ17" s="400"/>
      <c r="ALK17" s="400"/>
      <c r="ALL17" s="400"/>
      <c r="ALM17" s="400"/>
      <c r="ALN17" s="400"/>
      <c r="ALO17" s="400"/>
      <c r="ALP17" s="400"/>
      <c r="ALQ17" s="400"/>
      <c r="ALR17" s="400"/>
      <c r="ALS17" s="400"/>
      <c r="ALT17" s="400"/>
      <c r="ALU17" s="400"/>
      <c r="ALV17" s="400"/>
      <c r="ALW17" s="400"/>
      <c r="ALX17" s="400"/>
      <c r="ALY17" s="400"/>
      <c r="ALZ17" s="400"/>
      <c r="AMA17" s="400"/>
      <c r="AMB17" s="400"/>
      <c r="AMC17" s="400"/>
      <c r="AMD17" s="400"/>
      <c r="AME17" s="400"/>
      <c r="AMF17" s="400"/>
      <c r="AMG17" s="400"/>
      <c r="AMH17" s="400"/>
      <c r="AMI17" s="400"/>
      <c r="AMJ17" s="400"/>
      <c r="AMK17" s="400"/>
      <c r="AML17" s="400"/>
      <c r="AMM17" s="400"/>
      <c r="AMN17" s="400"/>
      <c r="AMO17" s="400"/>
      <c r="AMP17" s="400"/>
      <c r="AMQ17" s="400"/>
      <c r="AMR17" s="400"/>
      <c r="AMS17" s="400"/>
      <c r="AMT17" s="400"/>
      <c r="AMU17" s="400"/>
      <c r="AMV17" s="400"/>
      <c r="AMW17" s="400"/>
      <c r="AMX17" s="400"/>
      <c r="AMY17" s="400"/>
      <c r="AMZ17" s="400"/>
      <c r="ANA17" s="400"/>
      <c r="ANB17" s="400"/>
      <c r="ANC17" s="400"/>
      <c r="AND17" s="400"/>
      <c r="ANE17" s="400"/>
      <c r="ANF17" s="400"/>
      <c r="ANG17" s="400"/>
      <c r="ANH17" s="400"/>
      <c r="ANI17" s="400"/>
      <c r="ANJ17" s="400"/>
      <c r="ANK17" s="400"/>
      <c r="ANL17" s="400"/>
      <c r="ANM17" s="400"/>
      <c r="ANN17" s="400"/>
      <c r="ANO17" s="400"/>
      <c r="ANP17" s="400"/>
      <c r="ANQ17" s="400"/>
      <c r="ANR17" s="400"/>
      <c r="ANS17" s="400"/>
      <c r="ANT17" s="400"/>
      <c r="ANU17" s="400"/>
      <c r="ANV17" s="400"/>
      <c r="ANW17" s="400"/>
      <c r="ANX17" s="400"/>
      <c r="ANY17" s="400"/>
      <c r="ANZ17" s="400"/>
      <c r="AOA17" s="400"/>
      <c r="AOB17" s="400"/>
      <c r="AOC17" s="400"/>
      <c r="AOD17" s="400"/>
      <c r="AOE17" s="400"/>
      <c r="AOF17" s="400"/>
      <c r="AOG17" s="400"/>
      <c r="AOH17" s="400"/>
      <c r="AOI17" s="400"/>
      <c r="AOJ17" s="400"/>
      <c r="AOK17" s="400"/>
      <c r="AOL17" s="400"/>
      <c r="AOM17" s="400"/>
      <c r="AON17" s="400"/>
      <c r="AOO17" s="400"/>
      <c r="AOP17" s="400"/>
      <c r="AOQ17" s="400"/>
      <c r="AOR17" s="400"/>
      <c r="AOS17" s="400"/>
      <c r="AOT17" s="400"/>
      <c r="AOU17" s="400"/>
      <c r="AOV17" s="400"/>
      <c r="AOW17" s="400"/>
      <c r="AOX17" s="400"/>
      <c r="AOY17" s="400"/>
      <c r="AOZ17" s="400"/>
      <c r="APA17" s="400"/>
      <c r="APB17" s="400"/>
      <c r="APC17" s="400"/>
      <c r="APD17" s="400"/>
      <c r="APE17" s="400"/>
      <c r="APF17" s="400"/>
      <c r="APG17" s="400"/>
      <c r="APH17" s="400"/>
      <c r="API17" s="400"/>
      <c r="APJ17" s="400"/>
      <c r="APK17" s="400"/>
      <c r="APL17" s="400"/>
      <c r="APM17" s="400"/>
      <c r="APN17" s="400"/>
      <c r="APO17" s="400"/>
      <c r="APP17" s="400"/>
      <c r="APQ17" s="400"/>
      <c r="APR17" s="400"/>
      <c r="APS17" s="400"/>
      <c r="APT17" s="400"/>
      <c r="APU17" s="400"/>
      <c r="APV17" s="400"/>
      <c r="APW17" s="400"/>
      <c r="APX17" s="400"/>
      <c r="APY17" s="400"/>
      <c r="APZ17" s="400"/>
      <c r="AQA17" s="400"/>
      <c r="AQB17" s="400"/>
      <c r="AQC17" s="400"/>
      <c r="AQD17" s="400"/>
      <c r="AQE17" s="400"/>
      <c r="AQF17" s="400"/>
      <c r="AQG17" s="400"/>
      <c r="AQH17" s="400"/>
      <c r="AQI17" s="400"/>
      <c r="AQJ17" s="400"/>
      <c r="AQK17" s="400"/>
      <c r="AQL17" s="400"/>
      <c r="AQM17" s="400"/>
      <c r="AQN17" s="400"/>
      <c r="AQO17" s="400"/>
      <c r="AQP17" s="400"/>
      <c r="AQQ17" s="400"/>
      <c r="AQR17" s="400"/>
      <c r="AQS17" s="400"/>
      <c r="AQT17" s="400"/>
      <c r="AQU17" s="400"/>
      <c r="AQV17" s="400"/>
      <c r="AQW17" s="400"/>
      <c r="AQX17" s="400"/>
      <c r="AQY17" s="400"/>
      <c r="AQZ17" s="400"/>
      <c r="ARA17" s="400"/>
      <c r="ARB17" s="400"/>
      <c r="ARC17" s="400"/>
      <c r="ARD17" s="400"/>
      <c r="ARE17" s="400"/>
      <c r="ARF17" s="400"/>
      <c r="ARG17" s="400"/>
      <c r="ARH17" s="400"/>
      <c r="ARI17" s="400"/>
      <c r="ARJ17" s="400"/>
      <c r="ARK17" s="400"/>
      <c r="ARL17" s="400"/>
      <c r="ARM17" s="400"/>
      <c r="ARN17" s="400"/>
      <c r="ARO17" s="400"/>
      <c r="ARP17" s="400"/>
      <c r="ARQ17" s="400"/>
      <c r="ARR17" s="400"/>
      <c r="ARS17" s="400"/>
      <c r="ART17" s="400"/>
      <c r="ARU17" s="400"/>
      <c r="ARV17" s="400"/>
      <c r="ARW17" s="400"/>
      <c r="ARX17" s="400"/>
      <c r="ARY17" s="400"/>
      <c r="ARZ17" s="400"/>
      <c r="ASA17" s="400"/>
      <c r="ASB17" s="400"/>
      <c r="ASC17" s="400"/>
      <c r="ASD17" s="400"/>
      <c r="ASE17" s="400"/>
      <c r="ASF17" s="400"/>
      <c r="ASG17" s="400"/>
      <c r="ASH17" s="400"/>
      <c r="ASI17" s="400"/>
      <c r="ASJ17" s="400"/>
      <c r="ASK17" s="400"/>
      <c r="ASL17" s="400"/>
      <c r="ASM17" s="400"/>
      <c r="ASN17" s="400"/>
      <c r="ASO17" s="400"/>
      <c r="ASP17" s="400"/>
      <c r="ASQ17" s="400"/>
      <c r="ASR17" s="400"/>
      <c r="ASS17" s="400"/>
      <c r="AST17" s="400"/>
      <c r="ASU17" s="400"/>
      <c r="ASV17" s="400"/>
      <c r="ASW17" s="400"/>
      <c r="ASX17" s="400"/>
      <c r="ASY17" s="400"/>
      <c r="ASZ17" s="400"/>
      <c r="ATA17" s="400"/>
      <c r="ATB17" s="400"/>
      <c r="ATC17" s="400"/>
      <c r="ATD17" s="400"/>
      <c r="ATE17" s="400"/>
      <c r="ATF17" s="400"/>
      <c r="ATG17" s="400"/>
      <c r="ATH17" s="400"/>
      <c r="ATI17" s="400"/>
      <c r="ATJ17" s="400"/>
      <c r="ATK17" s="400"/>
      <c r="ATL17" s="400"/>
      <c r="ATM17" s="400"/>
      <c r="ATN17" s="400"/>
      <c r="ATO17" s="400"/>
      <c r="ATP17" s="400"/>
      <c r="ATQ17" s="400"/>
      <c r="ATR17" s="400"/>
      <c r="ATS17" s="400"/>
      <c r="ATT17" s="400"/>
      <c r="ATU17" s="400"/>
      <c r="ATV17" s="400"/>
      <c r="ATW17" s="400"/>
      <c r="ATX17" s="400"/>
      <c r="ATY17" s="400"/>
      <c r="ATZ17" s="400"/>
      <c r="AUA17" s="400"/>
      <c r="AUB17" s="400"/>
      <c r="AUC17" s="400"/>
      <c r="AUD17" s="400"/>
      <c r="AUE17" s="400"/>
      <c r="AUF17" s="400"/>
      <c r="AUG17" s="400"/>
      <c r="AUH17" s="400"/>
      <c r="AUI17" s="400"/>
      <c r="AUJ17" s="400"/>
      <c r="AUK17" s="400"/>
      <c r="AUL17" s="400"/>
      <c r="AUM17" s="400"/>
      <c r="AUN17" s="400"/>
      <c r="AUO17" s="400"/>
      <c r="AUP17" s="400"/>
      <c r="AUQ17" s="400"/>
      <c r="AUR17" s="400"/>
      <c r="AUS17" s="400"/>
      <c r="AUT17" s="400"/>
      <c r="AUU17" s="400"/>
      <c r="AUV17" s="400"/>
      <c r="AUW17" s="400"/>
      <c r="AUX17" s="400"/>
      <c r="AUY17" s="400"/>
      <c r="AUZ17" s="400"/>
      <c r="AVA17" s="400"/>
      <c r="AVB17" s="400"/>
      <c r="AVC17" s="400"/>
      <c r="AVD17" s="400"/>
      <c r="AVE17" s="400"/>
      <c r="AVF17" s="400"/>
      <c r="AVG17" s="400"/>
      <c r="AVH17" s="400"/>
      <c r="AVI17" s="400"/>
      <c r="AVJ17" s="400"/>
      <c r="AVK17" s="400"/>
      <c r="AVL17" s="400"/>
      <c r="AVM17" s="400"/>
      <c r="AVN17" s="400"/>
      <c r="AVO17" s="400"/>
      <c r="AVP17" s="400"/>
      <c r="AVQ17" s="400"/>
      <c r="AVR17" s="400"/>
      <c r="AVS17" s="400"/>
      <c r="AVT17" s="400"/>
      <c r="AVU17" s="400"/>
      <c r="AVV17" s="400"/>
      <c r="AVW17" s="400"/>
      <c r="AVX17" s="400"/>
      <c r="AVY17" s="400"/>
      <c r="AVZ17" s="400"/>
      <c r="AWA17" s="400"/>
      <c r="AWB17" s="400"/>
      <c r="AWC17" s="400"/>
      <c r="AWD17" s="400"/>
      <c r="AWE17" s="400"/>
      <c r="AWF17" s="400"/>
      <c r="AWG17" s="400"/>
      <c r="AWH17" s="400"/>
      <c r="AWI17" s="400"/>
      <c r="AWJ17" s="400"/>
      <c r="AWK17" s="400"/>
      <c r="AWL17" s="400"/>
      <c r="AWM17" s="400"/>
      <c r="AWN17" s="400"/>
      <c r="AWO17" s="400"/>
      <c r="AWP17" s="400"/>
      <c r="AWQ17" s="400"/>
      <c r="AWR17" s="400"/>
      <c r="AWS17" s="400"/>
      <c r="AWT17" s="400"/>
      <c r="AWU17" s="400"/>
      <c r="AWV17" s="400"/>
      <c r="AWW17" s="400"/>
      <c r="AWX17" s="400"/>
      <c r="AWY17" s="400"/>
      <c r="AWZ17" s="400"/>
      <c r="AXA17" s="400"/>
      <c r="AXB17" s="400"/>
      <c r="AXC17" s="400"/>
      <c r="AXD17" s="400"/>
      <c r="AXE17" s="400"/>
      <c r="AXF17" s="400"/>
      <c r="AXG17" s="400"/>
      <c r="AXH17" s="400"/>
      <c r="AXI17" s="400"/>
      <c r="AXJ17" s="400"/>
      <c r="AXK17" s="400"/>
      <c r="AXL17" s="400"/>
      <c r="AXM17" s="400"/>
      <c r="AXN17" s="400"/>
      <c r="AXO17" s="400"/>
      <c r="AXP17" s="400"/>
      <c r="AXQ17" s="400"/>
      <c r="AXR17" s="400"/>
      <c r="AXS17" s="400"/>
      <c r="AXT17" s="400"/>
      <c r="AXU17" s="400"/>
      <c r="AXV17" s="400"/>
      <c r="AXW17" s="400"/>
      <c r="AXX17" s="400"/>
      <c r="AXY17" s="400"/>
      <c r="AXZ17" s="400"/>
      <c r="AYA17" s="400"/>
      <c r="AYB17" s="400"/>
      <c r="AYC17" s="400"/>
      <c r="AYD17" s="400"/>
      <c r="AYE17" s="400"/>
      <c r="AYF17" s="400"/>
      <c r="AYG17" s="400"/>
      <c r="AYH17" s="400"/>
      <c r="AYI17" s="400"/>
      <c r="AYJ17" s="400"/>
      <c r="AYK17" s="400"/>
      <c r="AYL17" s="400"/>
      <c r="AYM17" s="400"/>
      <c r="AYN17" s="400"/>
      <c r="AYO17" s="400"/>
      <c r="AYP17" s="400"/>
      <c r="AYQ17" s="400"/>
      <c r="AYR17" s="400"/>
      <c r="AYS17" s="400"/>
      <c r="AYT17" s="400"/>
      <c r="AYU17" s="400"/>
      <c r="AYV17" s="400"/>
      <c r="AYW17" s="400"/>
      <c r="AYX17" s="400"/>
      <c r="AYY17" s="400"/>
      <c r="AYZ17" s="400"/>
      <c r="AZA17" s="400"/>
      <c r="AZB17" s="400"/>
      <c r="AZC17" s="400"/>
      <c r="AZD17" s="400"/>
      <c r="AZE17" s="400"/>
      <c r="AZF17" s="400"/>
      <c r="AZG17" s="400"/>
      <c r="AZH17" s="400"/>
      <c r="AZI17" s="400"/>
      <c r="AZJ17" s="400"/>
      <c r="AZK17" s="400"/>
      <c r="AZL17" s="400"/>
      <c r="AZM17" s="400"/>
      <c r="AZN17" s="400"/>
      <c r="AZO17" s="400"/>
      <c r="AZP17" s="400"/>
      <c r="AZQ17" s="400"/>
      <c r="AZR17" s="400"/>
      <c r="AZS17" s="400"/>
      <c r="AZT17" s="400"/>
      <c r="AZU17" s="400"/>
      <c r="AZV17" s="400"/>
      <c r="AZW17" s="400"/>
      <c r="AZX17" s="400"/>
      <c r="AZY17" s="400"/>
      <c r="AZZ17" s="400"/>
      <c r="BAA17" s="400"/>
      <c r="BAB17" s="400"/>
      <c r="BAC17" s="400"/>
      <c r="BAD17" s="400"/>
      <c r="BAE17" s="400"/>
      <c r="BAF17" s="400"/>
      <c r="BAG17" s="400"/>
      <c r="BAH17" s="400"/>
      <c r="BAI17" s="400"/>
      <c r="BAJ17" s="400"/>
      <c r="BAK17" s="400"/>
      <c r="BAL17" s="400"/>
      <c r="BAM17" s="400"/>
      <c r="BAN17" s="400"/>
      <c r="BAO17" s="400"/>
      <c r="BAP17" s="400"/>
      <c r="BAQ17" s="400"/>
      <c r="BAR17" s="400"/>
      <c r="BAS17" s="400"/>
      <c r="BAT17" s="400"/>
      <c r="BAU17" s="400"/>
      <c r="BAV17" s="400"/>
      <c r="BAW17" s="400"/>
      <c r="BAX17" s="400"/>
      <c r="BAY17" s="400"/>
      <c r="BAZ17" s="400"/>
      <c r="BBA17" s="400"/>
      <c r="BBB17" s="400"/>
      <c r="BBC17" s="400"/>
      <c r="BBD17" s="400"/>
      <c r="BBE17" s="400"/>
      <c r="BBF17" s="400"/>
      <c r="BBG17" s="400"/>
      <c r="BBH17" s="400"/>
      <c r="BBI17" s="400"/>
      <c r="BBJ17" s="400"/>
      <c r="BBK17" s="400"/>
      <c r="BBL17" s="400"/>
      <c r="BBM17" s="400"/>
      <c r="BBN17" s="400"/>
      <c r="BBO17" s="400"/>
      <c r="BBP17" s="400"/>
      <c r="BBQ17" s="400"/>
      <c r="BBR17" s="400"/>
      <c r="BBS17" s="400"/>
      <c r="BBT17" s="400"/>
      <c r="BBU17" s="400"/>
      <c r="BBV17" s="400"/>
      <c r="BBW17" s="400"/>
      <c r="BBX17" s="400"/>
      <c r="BBY17" s="400"/>
      <c r="BBZ17" s="400"/>
      <c r="BCA17" s="400"/>
      <c r="BCB17" s="400"/>
      <c r="BCC17" s="400"/>
      <c r="BCD17" s="400"/>
      <c r="BCE17" s="400"/>
      <c r="BCF17" s="400"/>
      <c r="BCG17" s="400"/>
      <c r="BCH17" s="400"/>
      <c r="BCI17" s="400"/>
      <c r="BCJ17" s="400"/>
      <c r="BCK17" s="400"/>
      <c r="BCL17" s="400"/>
      <c r="BCM17" s="400"/>
      <c r="BCN17" s="400"/>
      <c r="BCO17" s="400"/>
      <c r="BCP17" s="400"/>
      <c r="BCQ17" s="400"/>
      <c r="BCR17" s="400"/>
      <c r="BCS17" s="400"/>
      <c r="BCT17" s="400"/>
      <c r="BCU17" s="400"/>
      <c r="BCV17" s="400"/>
      <c r="BCW17" s="400"/>
      <c r="BCX17" s="400"/>
      <c r="BCY17" s="400"/>
      <c r="BCZ17" s="400"/>
      <c r="BDA17" s="400"/>
      <c r="BDB17" s="400"/>
      <c r="BDC17" s="400"/>
      <c r="BDD17" s="400"/>
      <c r="BDE17" s="400"/>
      <c r="BDF17" s="400"/>
      <c r="BDG17" s="400"/>
      <c r="BDH17" s="400"/>
      <c r="BDI17" s="400"/>
      <c r="BDJ17" s="400"/>
      <c r="BDK17" s="400"/>
      <c r="BDL17" s="400"/>
      <c r="BDM17" s="400"/>
      <c r="BDN17" s="400"/>
      <c r="BDO17" s="400"/>
      <c r="BDP17" s="400"/>
      <c r="BDQ17" s="400"/>
      <c r="BDR17" s="400"/>
      <c r="BDS17" s="400"/>
      <c r="BDT17" s="400"/>
      <c r="BDU17" s="400"/>
      <c r="BDV17" s="400"/>
      <c r="BDW17" s="400"/>
      <c r="BDX17" s="400"/>
      <c r="BDY17" s="400"/>
      <c r="BDZ17" s="400"/>
      <c r="BEA17" s="400"/>
      <c r="BEB17" s="400"/>
      <c r="BEC17" s="400"/>
      <c r="BED17" s="400"/>
      <c r="BEE17" s="400"/>
      <c r="BEF17" s="400"/>
      <c r="BEG17" s="400"/>
      <c r="BEH17" s="400"/>
      <c r="BEI17" s="400"/>
      <c r="BEJ17" s="400"/>
      <c r="BEK17" s="400"/>
      <c r="BEL17" s="400"/>
      <c r="BEM17" s="400"/>
      <c r="BEN17" s="400"/>
      <c r="BEO17" s="400"/>
      <c r="BEP17" s="400"/>
      <c r="BEQ17" s="400"/>
      <c r="BER17" s="400"/>
      <c r="BES17" s="400"/>
      <c r="BET17" s="400"/>
      <c r="BEU17" s="400"/>
      <c r="BEV17" s="400"/>
      <c r="BEW17" s="400"/>
      <c r="BEX17" s="400"/>
      <c r="BEY17" s="400"/>
      <c r="BEZ17" s="400"/>
      <c r="BFA17" s="400"/>
      <c r="BFB17" s="400"/>
      <c r="BFC17" s="400"/>
      <c r="BFD17" s="400"/>
      <c r="BFE17" s="400"/>
      <c r="BFF17" s="400"/>
      <c r="BFG17" s="400"/>
      <c r="BFH17" s="400"/>
      <c r="BFI17" s="400"/>
      <c r="BFJ17" s="400"/>
      <c r="BFK17" s="400"/>
      <c r="BFL17" s="400"/>
      <c r="BFM17" s="400"/>
      <c r="BFN17" s="400"/>
      <c r="BFO17" s="400"/>
      <c r="BFP17" s="400"/>
      <c r="BFQ17" s="400"/>
      <c r="BFR17" s="400"/>
      <c r="BFS17" s="400"/>
      <c r="BFT17" s="400"/>
      <c r="BFU17" s="400"/>
      <c r="BFV17" s="400"/>
      <c r="BFW17" s="400"/>
      <c r="BFX17" s="400"/>
      <c r="BFY17" s="400"/>
      <c r="BFZ17" s="400"/>
      <c r="BGA17" s="400"/>
      <c r="BGB17" s="400"/>
      <c r="BGC17" s="400"/>
      <c r="BGD17" s="400"/>
      <c r="BGE17" s="400"/>
      <c r="BGF17" s="400"/>
      <c r="BGG17" s="400"/>
      <c r="BGH17" s="400"/>
      <c r="BGI17" s="400"/>
      <c r="BGJ17" s="400"/>
      <c r="BGK17" s="400"/>
      <c r="BGL17" s="400"/>
      <c r="BGM17" s="400"/>
      <c r="BGN17" s="400"/>
      <c r="BGO17" s="400"/>
      <c r="BGP17" s="400"/>
      <c r="BGQ17" s="400"/>
      <c r="BGR17" s="400"/>
      <c r="BGS17" s="400"/>
      <c r="BGT17" s="400"/>
      <c r="BGU17" s="400"/>
      <c r="BGV17" s="400"/>
      <c r="BGW17" s="400"/>
      <c r="BGX17" s="400"/>
      <c r="BGY17" s="400"/>
      <c r="BGZ17" s="400"/>
      <c r="BHA17" s="400"/>
      <c r="BHB17" s="400"/>
      <c r="BHC17" s="400"/>
      <c r="BHD17" s="400"/>
      <c r="BHE17" s="400"/>
      <c r="BHF17" s="400"/>
      <c r="BHG17" s="400"/>
      <c r="BHH17" s="400"/>
      <c r="BHI17" s="400"/>
      <c r="BHJ17" s="400"/>
      <c r="BHK17" s="400"/>
      <c r="BHL17" s="400"/>
      <c r="BHM17" s="400"/>
      <c r="BHN17" s="400"/>
      <c r="BHO17" s="400"/>
      <c r="BHP17" s="400"/>
      <c r="BHQ17" s="400"/>
      <c r="BHR17" s="400"/>
      <c r="BHS17" s="400"/>
      <c r="BHT17" s="400"/>
      <c r="BHU17" s="400"/>
      <c r="BHV17" s="400"/>
      <c r="BHW17" s="400"/>
      <c r="BHX17" s="400"/>
      <c r="BHY17" s="400"/>
      <c r="BHZ17" s="400"/>
      <c r="BIA17" s="400"/>
      <c r="BIB17" s="400"/>
      <c r="BIC17" s="400"/>
      <c r="BID17" s="400"/>
      <c r="BIE17" s="400"/>
      <c r="BIF17" s="400"/>
      <c r="BIG17" s="400"/>
      <c r="BIH17" s="400"/>
      <c r="BII17" s="400"/>
      <c r="BIJ17" s="400"/>
      <c r="BIK17" s="400"/>
      <c r="BIL17" s="400"/>
      <c r="BIM17" s="400"/>
      <c r="BIN17" s="400"/>
      <c r="BIO17" s="400"/>
      <c r="BIP17" s="400"/>
      <c r="BIQ17" s="400"/>
      <c r="BIR17" s="400"/>
      <c r="BIS17" s="400"/>
      <c r="BIT17" s="400"/>
      <c r="BIU17" s="400"/>
      <c r="BIV17" s="400"/>
      <c r="BIW17" s="400"/>
      <c r="BIX17" s="400"/>
      <c r="BIY17" s="400"/>
      <c r="BIZ17" s="400"/>
      <c r="BJA17" s="400"/>
      <c r="BJB17" s="400"/>
      <c r="BJC17" s="400"/>
      <c r="BJD17" s="400"/>
      <c r="BJE17" s="400"/>
      <c r="BJF17" s="400"/>
      <c r="BJG17" s="400"/>
      <c r="BJH17" s="400"/>
      <c r="BJI17" s="400"/>
      <c r="BJJ17" s="400"/>
      <c r="BJK17" s="400"/>
      <c r="BJL17" s="400"/>
      <c r="BJM17" s="400"/>
      <c r="BJN17" s="400"/>
      <c r="BJO17" s="400"/>
      <c r="BJP17" s="400"/>
      <c r="BJQ17" s="400"/>
      <c r="BJR17" s="400"/>
      <c r="BJS17" s="400"/>
      <c r="BJT17" s="400"/>
      <c r="BJU17" s="400"/>
      <c r="BJV17" s="400"/>
      <c r="BJW17" s="400"/>
      <c r="BJX17" s="400"/>
      <c r="BJY17" s="400"/>
      <c r="BJZ17" s="400"/>
      <c r="BKA17" s="400"/>
      <c r="BKB17" s="400"/>
      <c r="BKC17" s="400"/>
      <c r="BKD17" s="400"/>
      <c r="BKE17" s="400"/>
      <c r="BKF17" s="400"/>
      <c r="BKG17" s="400"/>
      <c r="BKH17" s="400"/>
      <c r="BKI17" s="400"/>
      <c r="BKJ17" s="400"/>
      <c r="BKK17" s="400"/>
      <c r="BKL17" s="400"/>
      <c r="BKM17" s="400"/>
      <c r="BKN17" s="400"/>
      <c r="BKO17" s="400"/>
      <c r="BKP17" s="400"/>
      <c r="BKQ17" s="400"/>
      <c r="BKR17" s="400"/>
      <c r="BKS17" s="400"/>
      <c r="BKT17" s="400"/>
      <c r="BKU17" s="400"/>
      <c r="BKV17" s="400"/>
      <c r="BKW17" s="400"/>
      <c r="BKX17" s="400"/>
      <c r="BKY17" s="400"/>
      <c r="BKZ17" s="400"/>
      <c r="BLA17" s="400"/>
      <c r="BLB17" s="400"/>
      <c r="BLC17" s="400"/>
      <c r="BLD17" s="400"/>
      <c r="BLE17" s="400"/>
      <c r="BLF17" s="400"/>
      <c r="BLG17" s="400"/>
      <c r="BLH17" s="400"/>
      <c r="BLI17" s="400"/>
      <c r="BLJ17" s="400"/>
      <c r="BLK17" s="400"/>
      <c r="BLL17" s="400"/>
      <c r="BLM17" s="400"/>
      <c r="BLN17" s="400"/>
      <c r="BLO17" s="400"/>
      <c r="BLP17" s="400"/>
      <c r="BLQ17" s="400"/>
      <c r="BLR17" s="400"/>
      <c r="BLS17" s="400"/>
      <c r="BLT17" s="400"/>
      <c r="BLU17" s="400"/>
      <c r="BLV17" s="400"/>
      <c r="BLW17" s="400"/>
      <c r="BLX17" s="400"/>
      <c r="BLY17" s="400"/>
      <c r="BLZ17" s="400"/>
      <c r="BMA17" s="400"/>
      <c r="BMB17" s="400"/>
      <c r="BMC17" s="400"/>
      <c r="BMD17" s="400"/>
      <c r="BME17" s="400"/>
      <c r="BMF17" s="400"/>
      <c r="BMG17" s="400"/>
      <c r="BMH17" s="400"/>
      <c r="BMI17" s="400"/>
      <c r="BMJ17" s="400"/>
      <c r="BMK17" s="400"/>
      <c r="BML17" s="400"/>
      <c r="BMM17" s="400"/>
      <c r="BMN17" s="400"/>
      <c r="BMO17" s="400"/>
      <c r="BMP17" s="400"/>
      <c r="BMQ17" s="400"/>
      <c r="BMR17" s="400"/>
      <c r="BMS17" s="400"/>
      <c r="BMT17" s="400"/>
      <c r="BMU17" s="400"/>
      <c r="BMV17" s="400"/>
      <c r="BMW17" s="400"/>
      <c r="BMX17" s="400"/>
      <c r="BMY17" s="400"/>
      <c r="BMZ17" s="400"/>
      <c r="BNA17" s="400"/>
      <c r="BNB17" s="400"/>
      <c r="BNC17" s="400"/>
      <c r="BND17" s="400"/>
      <c r="BNE17" s="400"/>
      <c r="BNF17" s="400"/>
      <c r="BNG17" s="400"/>
      <c r="BNH17" s="400"/>
      <c r="BNI17" s="400"/>
      <c r="BNJ17" s="400"/>
      <c r="BNK17" s="400"/>
      <c r="BNL17" s="400"/>
      <c r="BNM17" s="400"/>
      <c r="BNN17" s="400"/>
      <c r="BNO17" s="400"/>
      <c r="BNP17" s="400"/>
      <c r="BNQ17" s="400"/>
      <c r="BNR17" s="400"/>
      <c r="BNS17" s="400"/>
      <c r="BNT17" s="400"/>
      <c r="BNU17" s="400"/>
      <c r="BNV17" s="400"/>
      <c r="BNW17" s="400"/>
      <c r="BNX17" s="400"/>
      <c r="BNY17" s="400"/>
      <c r="BNZ17" s="400"/>
      <c r="BOA17" s="400"/>
      <c r="BOB17" s="400"/>
      <c r="BOC17" s="400"/>
      <c r="BOD17" s="400"/>
      <c r="BOE17" s="400"/>
      <c r="BOF17" s="400"/>
      <c r="BOG17" s="400"/>
      <c r="BOH17" s="400"/>
      <c r="BOI17" s="400"/>
      <c r="BOJ17" s="400"/>
      <c r="BOK17" s="400"/>
      <c r="BOL17" s="400"/>
      <c r="BOM17" s="400"/>
      <c r="BON17" s="400"/>
      <c r="BOO17" s="400"/>
      <c r="BOP17" s="400"/>
      <c r="BOQ17" s="400"/>
      <c r="BOR17" s="400"/>
      <c r="BOS17" s="400"/>
      <c r="BOT17" s="400"/>
      <c r="BOU17" s="400"/>
      <c r="BOV17" s="400"/>
      <c r="BOW17" s="400"/>
      <c r="BOX17" s="400"/>
      <c r="BOY17" s="400"/>
      <c r="BOZ17" s="400"/>
      <c r="BPA17" s="400"/>
      <c r="BPB17" s="400"/>
      <c r="BPC17" s="400"/>
      <c r="BPD17" s="400"/>
      <c r="BPE17" s="400"/>
      <c r="BPF17" s="400"/>
      <c r="BPG17" s="400"/>
      <c r="BPH17" s="400"/>
      <c r="BPI17" s="400"/>
      <c r="BPJ17" s="400"/>
      <c r="BPK17" s="400"/>
      <c r="BPL17" s="400"/>
      <c r="BPM17" s="400"/>
      <c r="BPN17" s="400"/>
      <c r="BPO17" s="400"/>
      <c r="BPP17" s="400"/>
      <c r="BPQ17" s="400"/>
      <c r="BPR17" s="400"/>
      <c r="BPS17" s="400"/>
      <c r="BPT17" s="400"/>
      <c r="BPU17" s="400"/>
      <c r="BPV17" s="400"/>
      <c r="BPW17" s="400"/>
      <c r="BPX17" s="400"/>
      <c r="BPY17" s="400"/>
      <c r="BPZ17" s="400"/>
      <c r="BQA17" s="400"/>
      <c r="BQB17" s="400"/>
      <c r="BQC17" s="400"/>
      <c r="BQD17" s="400"/>
      <c r="BQE17" s="400"/>
      <c r="BQF17" s="400"/>
      <c r="BQG17" s="400"/>
      <c r="BQH17" s="400"/>
      <c r="BQI17" s="400"/>
      <c r="BQJ17" s="400"/>
      <c r="BQK17" s="400"/>
      <c r="BQL17" s="400"/>
      <c r="BQM17" s="400"/>
      <c r="BQN17" s="400"/>
      <c r="BQO17" s="400"/>
      <c r="BQP17" s="400"/>
      <c r="BQQ17" s="400"/>
      <c r="BQR17" s="400"/>
      <c r="BQS17" s="400"/>
      <c r="BQT17" s="400"/>
      <c r="BQU17" s="400"/>
      <c r="BQV17" s="400"/>
      <c r="BQW17" s="400"/>
      <c r="BQX17" s="400"/>
      <c r="BQY17" s="400"/>
      <c r="BQZ17" s="400"/>
      <c r="BRA17" s="400"/>
      <c r="BRB17" s="400"/>
      <c r="BRC17" s="400"/>
      <c r="BRD17" s="400"/>
      <c r="BRE17" s="400"/>
      <c r="BRF17" s="400"/>
      <c r="BRG17" s="400"/>
      <c r="BRH17" s="400"/>
      <c r="BRI17" s="400"/>
      <c r="BRJ17" s="400"/>
      <c r="BRK17" s="400"/>
      <c r="BRL17" s="400"/>
      <c r="BRM17" s="400"/>
      <c r="BRN17" s="400"/>
      <c r="BRO17" s="400"/>
      <c r="BRP17" s="400"/>
      <c r="BRQ17" s="400"/>
      <c r="BRR17" s="400"/>
      <c r="BRS17" s="400"/>
      <c r="BRT17" s="400"/>
      <c r="BRU17" s="400"/>
      <c r="BRV17" s="400"/>
      <c r="BRW17" s="400"/>
      <c r="BRX17" s="400"/>
      <c r="BRY17" s="400"/>
      <c r="BRZ17" s="400"/>
      <c r="BSA17" s="400"/>
      <c r="BSB17" s="400"/>
      <c r="BSC17" s="400"/>
      <c r="BSD17" s="400"/>
      <c r="BSE17" s="400"/>
      <c r="BSF17" s="400"/>
      <c r="BSG17" s="400"/>
      <c r="BSH17" s="400"/>
      <c r="BSI17" s="400"/>
      <c r="BSJ17" s="400"/>
      <c r="BSK17" s="400"/>
      <c r="BSL17" s="400"/>
      <c r="BSM17" s="400"/>
      <c r="BSN17" s="400"/>
      <c r="BSO17" s="400"/>
      <c r="BSP17" s="400"/>
      <c r="BSQ17" s="400"/>
      <c r="BSR17" s="400"/>
      <c r="BSS17" s="400"/>
      <c r="BST17" s="400"/>
      <c r="BSU17" s="400"/>
      <c r="BSV17" s="400"/>
      <c r="BSW17" s="400"/>
      <c r="BSX17" s="400"/>
      <c r="BSY17" s="400"/>
      <c r="BSZ17" s="400"/>
      <c r="BTA17" s="400"/>
      <c r="BTB17" s="400"/>
      <c r="BTC17" s="400"/>
      <c r="BTD17" s="400"/>
      <c r="BTE17" s="400"/>
      <c r="BTF17" s="400"/>
      <c r="BTG17" s="400"/>
      <c r="BTH17" s="400"/>
      <c r="BTI17" s="400"/>
      <c r="BTJ17" s="400"/>
      <c r="BTK17" s="400"/>
      <c r="BTL17" s="400"/>
      <c r="BTM17" s="400"/>
      <c r="BTN17" s="400"/>
      <c r="BTO17" s="400"/>
      <c r="BTP17" s="400"/>
      <c r="BTQ17" s="400"/>
      <c r="BTR17" s="400"/>
      <c r="BTS17" s="400"/>
      <c r="BTT17" s="400"/>
      <c r="BTU17" s="400"/>
      <c r="BTV17" s="400"/>
      <c r="BTW17" s="400"/>
      <c r="BTX17" s="400"/>
      <c r="BTY17" s="400"/>
      <c r="BTZ17" s="400"/>
      <c r="BUA17" s="400"/>
      <c r="BUB17" s="400"/>
      <c r="BUC17" s="400"/>
      <c r="BUD17" s="400"/>
      <c r="BUE17" s="400"/>
      <c r="BUF17" s="400"/>
      <c r="BUG17" s="400"/>
      <c r="BUH17" s="400"/>
      <c r="BUI17" s="400"/>
      <c r="BUJ17" s="400"/>
      <c r="BUK17" s="400"/>
      <c r="BUL17" s="400"/>
      <c r="BUM17" s="400"/>
      <c r="BUN17" s="400"/>
      <c r="BUO17" s="400"/>
      <c r="BUP17" s="400"/>
      <c r="BUQ17" s="400"/>
      <c r="BUR17" s="400"/>
      <c r="BUS17" s="400"/>
      <c r="BUT17" s="400"/>
      <c r="BUU17" s="400"/>
      <c r="BUV17" s="400"/>
      <c r="BUW17" s="400"/>
      <c r="BUX17" s="400"/>
      <c r="BUY17" s="400"/>
      <c r="BUZ17" s="400"/>
      <c r="BVA17" s="400"/>
      <c r="BVB17" s="400"/>
      <c r="BVC17" s="400"/>
      <c r="BVD17" s="400"/>
      <c r="BVE17" s="400"/>
      <c r="BVF17" s="400"/>
      <c r="BVG17" s="400"/>
      <c r="BVH17" s="400"/>
      <c r="BVI17" s="400"/>
      <c r="BVJ17" s="400"/>
      <c r="BVK17" s="400"/>
      <c r="BVL17" s="400"/>
      <c r="BVM17" s="400"/>
      <c r="BVN17" s="400"/>
      <c r="BVO17" s="400"/>
      <c r="BVP17" s="400"/>
      <c r="BVQ17" s="400"/>
      <c r="BVR17" s="400"/>
      <c r="BVS17" s="400"/>
      <c r="BVT17" s="400"/>
      <c r="BVU17" s="400"/>
      <c r="BVV17" s="400"/>
      <c r="BVW17" s="400"/>
      <c r="BVX17" s="400"/>
      <c r="BVY17" s="400"/>
      <c r="BVZ17" s="400"/>
      <c r="BWA17" s="400"/>
      <c r="BWB17" s="400"/>
      <c r="BWC17" s="400"/>
      <c r="BWD17" s="400"/>
      <c r="BWE17" s="400"/>
      <c r="BWF17" s="400"/>
      <c r="BWG17" s="400"/>
      <c r="BWH17" s="400"/>
      <c r="BWI17" s="400"/>
      <c r="BWJ17" s="400"/>
      <c r="BWK17" s="400"/>
      <c r="BWL17" s="400"/>
      <c r="BWM17" s="400"/>
      <c r="BWN17" s="400"/>
      <c r="BWO17" s="400"/>
      <c r="BWP17" s="400"/>
      <c r="BWQ17" s="400"/>
      <c r="BWR17" s="400"/>
      <c r="BWS17" s="400"/>
      <c r="BWT17" s="400"/>
      <c r="BWU17" s="400"/>
      <c r="BWV17" s="400"/>
      <c r="BWW17" s="400"/>
      <c r="BWX17" s="400"/>
      <c r="BWY17" s="400"/>
      <c r="BWZ17" s="400"/>
      <c r="BXA17" s="400"/>
      <c r="BXB17" s="400"/>
      <c r="BXC17" s="400"/>
      <c r="BXD17" s="400"/>
      <c r="BXE17" s="400"/>
      <c r="BXF17" s="400"/>
      <c r="BXG17" s="400"/>
      <c r="BXH17" s="400"/>
      <c r="BXI17" s="400"/>
      <c r="BXJ17" s="400"/>
      <c r="BXK17" s="400"/>
      <c r="BXL17" s="400"/>
      <c r="BXM17" s="400"/>
      <c r="BXN17" s="400"/>
      <c r="BXO17" s="400"/>
      <c r="BXP17" s="400"/>
      <c r="BXQ17" s="400"/>
      <c r="BXR17" s="400"/>
      <c r="BXS17" s="400"/>
      <c r="BXT17" s="400"/>
      <c r="BXU17" s="400"/>
      <c r="BXV17" s="400"/>
      <c r="BXW17" s="400"/>
      <c r="BXX17" s="400"/>
      <c r="BXY17" s="400"/>
      <c r="BXZ17" s="400"/>
      <c r="BYA17" s="400"/>
      <c r="BYB17" s="400"/>
      <c r="BYC17" s="400"/>
      <c r="BYD17" s="400"/>
      <c r="BYE17" s="400"/>
      <c r="BYF17" s="400"/>
      <c r="BYG17" s="400"/>
      <c r="BYH17" s="400"/>
      <c r="BYI17" s="400"/>
      <c r="BYJ17" s="400"/>
      <c r="BYK17" s="400"/>
      <c r="BYL17" s="400"/>
      <c r="BYM17" s="400"/>
      <c r="BYN17" s="400"/>
      <c r="BYO17" s="400"/>
      <c r="BYP17" s="400"/>
      <c r="BYQ17" s="400"/>
      <c r="BYR17" s="400"/>
      <c r="BYS17" s="400"/>
      <c r="BYT17" s="400"/>
      <c r="BYU17" s="400"/>
      <c r="BYV17" s="400"/>
      <c r="BYW17" s="400"/>
      <c r="BYX17" s="400"/>
      <c r="BYY17" s="400"/>
      <c r="BYZ17" s="400"/>
      <c r="BZA17" s="400"/>
      <c r="BZB17" s="400"/>
      <c r="BZC17" s="400"/>
      <c r="BZD17" s="400"/>
      <c r="BZE17" s="400"/>
      <c r="BZF17" s="400"/>
      <c r="BZG17" s="400"/>
      <c r="BZH17" s="400"/>
      <c r="BZI17" s="400"/>
      <c r="BZJ17" s="400"/>
      <c r="BZK17" s="400"/>
      <c r="BZL17" s="400"/>
      <c r="BZM17" s="400"/>
      <c r="BZN17" s="400"/>
      <c r="BZO17" s="400"/>
      <c r="BZP17" s="400"/>
      <c r="BZQ17" s="400"/>
      <c r="BZR17" s="400"/>
      <c r="BZS17" s="400"/>
      <c r="BZT17" s="400"/>
      <c r="BZU17" s="400"/>
      <c r="BZV17" s="400"/>
      <c r="BZW17" s="400"/>
      <c r="BZX17" s="400"/>
      <c r="BZY17" s="400"/>
      <c r="BZZ17" s="400"/>
      <c r="CAA17" s="400"/>
      <c r="CAB17" s="400"/>
      <c r="CAC17" s="400"/>
      <c r="CAD17" s="400"/>
      <c r="CAE17" s="400"/>
      <c r="CAF17" s="400"/>
      <c r="CAG17" s="400"/>
      <c r="CAH17" s="400"/>
      <c r="CAI17" s="400"/>
      <c r="CAJ17" s="400"/>
      <c r="CAK17" s="400"/>
      <c r="CAL17" s="400"/>
      <c r="CAM17" s="400"/>
      <c r="CAN17" s="400"/>
      <c r="CAO17" s="400"/>
      <c r="CAP17" s="400"/>
      <c r="CAQ17" s="400"/>
      <c r="CAR17" s="400"/>
      <c r="CAS17" s="400"/>
      <c r="CAT17" s="400"/>
      <c r="CAU17" s="400"/>
      <c r="CAV17" s="400"/>
      <c r="CAW17" s="400"/>
      <c r="CAX17" s="400"/>
      <c r="CAY17" s="400"/>
      <c r="CAZ17" s="400"/>
      <c r="CBA17" s="400"/>
      <c r="CBB17" s="400"/>
      <c r="CBC17" s="400"/>
      <c r="CBD17" s="400"/>
      <c r="CBE17" s="400"/>
      <c r="CBF17" s="400"/>
      <c r="CBG17" s="400"/>
      <c r="CBH17" s="400"/>
      <c r="CBI17" s="400"/>
      <c r="CBJ17" s="400"/>
      <c r="CBK17" s="400"/>
      <c r="CBL17" s="400"/>
      <c r="CBM17" s="400"/>
      <c r="CBN17" s="400"/>
      <c r="CBO17" s="400"/>
      <c r="CBP17" s="400"/>
      <c r="CBQ17" s="400"/>
      <c r="CBR17" s="400"/>
      <c r="CBS17" s="400"/>
      <c r="CBT17" s="400"/>
      <c r="CBU17" s="400"/>
      <c r="CBV17" s="400"/>
      <c r="CBW17" s="400"/>
      <c r="CBX17" s="400"/>
      <c r="CBY17" s="400"/>
      <c r="CBZ17" s="400"/>
      <c r="CCA17" s="400"/>
      <c r="CCB17" s="400"/>
      <c r="CCC17" s="400"/>
      <c r="CCD17" s="400"/>
      <c r="CCE17" s="400"/>
      <c r="CCF17" s="400"/>
      <c r="CCG17" s="400"/>
      <c r="CCH17" s="400"/>
      <c r="CCI17" s="400"/>
      <c r="CCJ17" s="400"/>
      <c r="CCK17" s="400"/>
      <c r="CCL17" s="400"/>
      <c r="CCM17" s="400"/>
      <c r="CCN17" s="400"/>
      <c r="CCO17" s="400"/>
      <c r="CCP17" s="400"/>
      <c r="CCQ17" s="400"/>
      <c r="CCR17" s="400"/>
      <c r="CCS17" s="400"/>
      <c r="CCT17" s="400"/>
      <c r="CCU17" s="400"/>
      <c r="CCV17" s="400"/>
      <c r="CCW17" s="400"/>
      <c r="CCX17" s="400"/>
      <c r="CCY17" s="400"/>
      <c r="CCZ17" s="400"/>
      <c r="CDA17" s="400"/>
      <c r="CDB17" s="400"/>
      <c r="CDC17" s="400"/>
      <c r="CDD17" s="400"/>
      <c r="CDE17" s="400"/>
      <c r="CDF17" s="400"/>
      <c r="CDG17" s="400"/>
      <c r="CDH17" s="400"/>
      <c r="CDI17" s="400"/>
      <c r="CDJ17" s="400"/>
      <c r="CDK17" s="400"/>
      <c r="CDL17" s="400"/>
      <c r="CDM17" s="400"/>
      <c r="CDN17" s="400"/>
      <c r="CDO17" s="400"/>
      <c r="CDP17" s="400"/>
      <c r="CDQ17" s="400"/>
      <c r="CDR17" s="400"/>
      <c r="CDS17" s="400"/>
      <c r="CDT17" s="400"/>
      <c r="CDU17" s="400"/>
      <c r="CDV17" s="400"/>
      <c r="CDW17" s="400"/>
      <c r="CDX17" s="400"/>
      <c r="CDY17" s="400"/>
      <c r="CDZ17" s="400"/>
      <c r="CEA17" s="400"/>
      <c r="CEB17" s="400"/>
      <c r="CEC17" s="400"/>
      <c r="CED17" s="400"/>
      <c r="CEE17" s="400"/>
      <c r="CEF17" s="400"/>
      <c r="CEG17" s="400"/>
      <c r="CEH17" s="400"/>
      <c r="CEI17" s="400"/>
      <c r="CEJ17" s="400"/>
      <c r="CEK17" s="400"/>
      <c r="CEL17" s="400"/>
      <c r="CEM17" s="400"/>
      <c r="CEN17" s="400"/>
      <c r="CEO17" s="400"/>
      <c r="CEP17" s="400"/>
      <c r="CEQ17" s="400"/>
      <c r="CER17" s="400"/>
      <c r="CES17" s="400"/>
      <c r="CET17" s="400"/>
      <c r="CEU17" s="400"/>
      <c r="CEV17" s="400"/>
      <c r="CEW17" s="400"/>
      <c r="CEX17" s="400"/>
      <c r="CEY17" s="400"/>
      <c r="CEZ17" s="400"/>
      <c r="CFA17" s="400"/>
      <c r="CFB17" s="400"/>
      <c r="CFC17" s="400"/>
      <c r="CFD17" s="400"/>
      <c r="CFE17" s="400"/>
      <c r="CFF17" s="400"/>
      <c r="CFG17" s="400"/>
      <c r="CFH17" s="400"/>
      <c r="CFI17" s="400"/>
      <c r="CFJ17" s="400"/>
      <c r="CFK17" s="400"/>
      <c r="CFL17" s="400"/>
      <c r="CFM17" s="400"/>
      <c r="CFN17" s="400"/>
      <c r="CFO17" s="400"/>
      <c r="CFP17" s="400"/>
      <c r="CFQ17" s="400"/>
      <c r="CFR17" s="400"/>
      <c r="CFS17" s="400"/>
      <c r="CFT17" s="400"/>
      <c r="CFU17" s="400"/>
      <c r="CFV17" s="400"/>
      <c r="CFW17" s="400"/>
      <c r="CFX17" s="400"/>
      <c r="CFY17" s="400"/>
      <c r="CFZ17" s="400"/>
      <c r="CGA17" s="400"/>
      <c r="CGB17" s="400"/>
      <c r="CGC17" s="400"/>
      <c r="CGD17" s="400"/>
      <c r="CGE17" s="400"/>
      <c r="CGF17" s="400"/>
      <c r="CGG17" s="400"/>
      <c r="CGH17" s="400"/>
      <c r="CGI17" s="400"/>
      <c r="CGJ17" s="400"/>
      <c r="CGK17" s="400"/>
      <c r="CGL17" s="400"/>
      <c r="CGM17" s="400"/>
      <c r="CGN17" s="400"/>
      <c r="CGO17" s="400"/>
      <c r="CGP17" s="400"/>
      <c r="CGQ17" s="400"/>
      <c r="CGR17" s="400"/>
      <c r="CGS17" s="400"/>
      <c r="CGT17" s="400"/>
      <c r="CGU17" s="400"/>
      <c r="CGV17" s="400"/>
      <c r="CGW17" s="400"/>
      <c r="CGX17" s="400"/>
      <c r="CGY17" s="400"/>
      <c r="CGZ17" s="400"/>
      <c r="CHA17" s="400"/>
      <c r="CHB17" s="400"/>
      <c r="CHC17" s="400"/>
      <c r="CHD17" s="400"/>
      <c r="CHE17" s="400"/>
      <c r="CHF17" s="400"/>
      <c r="CHG17" s="400"/>
      <c r="CHH17" s="400"/>
      <c r="CHI17" s="400"/>
      <c r="CHJ17" s="400"/>
      <c r="CHK17" s="400"/>
      <c r="CHL17" s="400"/>
      <c r="CHM17" s="400"/>
      <c r="CHN17" s="400"/>
      <c r="CHO17" s="400"/>
      <c r="CHP17" s="400"/>
      <c r="CHQ17" s="400"/>
      <c r="CHR17" s="400"/>
      <c r="CHS17" s="400"/>
      <c r="CHT17" s="400"/>
      <c r="CHU17" s="400"/>
      <c r="CHV17" s="400"/>
      <c r="CHW17" s="400"/>
      <c r="CHX17" s="400"/>
      <c r="CHY17" s="400"/>
      <c r="CHZ17" s="400"/>
      <c r="CIA17" s="400"/>
      <c r="CIB17" s="400"/>
      <c r="CIC17" s="400"/>
      <c r="CID17" s="400"/>
      <c r="CIE17" s="400"/>
      <c r="CIF17" s="400"/>
      <c r="CIG17" s="400"/>
      <c r="CIH17" s="400"/>
      <c r="CII17" s="400"/>
      <c r="CIJ17" s="400"/>
      <c r="CIK17" s="400"/>
      <c r="CIL17" s="400"/>
      <c r="CIM17" s="400"/>
      <c r="CIN17" s="400"/>
      <c r="CIO17" s="400"/>
      <c r="CIP17" s="400"/>
      <c r="CIQ17" s="400"/>
      <c r="CIR17" s="400"/>
      <c r="CIS17" s="400"/>
      <c r="CIT17" s="400"/>
      <c r="CIU17" s="400"/>
      <c r="CIV17" s="400"/>
      <c r="CIW17" s="400"/>
      <c r="CIX17" s="400"/>
      <c r="CIY17" s="400"/>
      <c r="CIZ17" s="400"/>
      <c r="CJA17" s="400"/>
      <c r="CJB17" s="400"/>
      <c r="CJC17" s="400"/>
      <c r="CJD17" s="400"/>
      <c r="CJE17" s="400"/>
      <c r="CJF17" s="400"/>
      <c r="CJG17" s="400"/>
      <c r="CJH17" s="400"/>
      <c r="CJI17" s="400"/>
      <c r="CJJ17" s="400"/>
      <c r="CJK17" s="400"/>
      <c r="CJL17" s="400"/>
      <c r="CJM17" s="400"/>
      <c r="CJN17" s="400"/>
      <c r="CJO17" s="400"/>
      <c r="CJP17" s="400"/>
      <c r="CJQ17" s="400"/>
      <c r="CJR17" s="400"/>
      <c r="CJS17" s="400"/>
      <c r="CJT17" s="400"/>
      <c r="CJU17" s="400"/>
      <c r="CJV17" s="400"/>
      <c r="CJW17" s="400"/>
      <c r="CJX17" s="400"/>
      <c r="CJY17" s="400"/>
      <c r="CJZ17" s="400"/>
      <c r="CKA17" s="400"/>
      <c r="CKB17" s="400"/>
      <c r="CKC17" s="400"/>
      <c r="CKD17" s="400"/>
      <c r="CKE17" s="400"/>
      <c r="CKF17" s="400"/>
      <c r="CKG17" s="400"/>
      <c r="CKH17" s="400"/>
      <c r="CKI17" s="400"/>
      <c r="CKJ17" s="400"/>
      <c r="CKK17" s="400"/>
      <c r="CKL17" s="400"/>
      <c r="CKM17" s="400"/>
      <c r="CKN17" s="400"/>
      <c r="CKO17" s="400"/>
      <c r="CKP17" s="400"/>
      <c r="CKQ17" s="400"/>
      <c r="CKR17" s="400"/>
      <c r="CKS17" s="400"/>
      <c r="CKT17" s="400"/>
      <c r="CKU17" s="400"/>
      <c r="CKV17" s="400"/>
      <c r="CKW17" s="400"/>
      <c r="CKX17" s="400"/>
      <c r="CKY17" s="400"/>
      <c r="CKZ17" s="400"/>
      <c r="CLA17" s="400"/>
      <c r="CLB17" s="400"/>
      <c r="CLC17" s="400"/>
      <c r="CLD17" s="400"/>
      <c r="CLE17" s="400"/>
      <c r="CLF17" s="400"/>
      <c r="CLG17" s="400"/>
      <c r="CLH17" s="400"/>
      <c r="CLI17" s="400"/>
      <c r="CLJ17" s="400"/>
      <c r="CLK17" s="400"/>
      <c r="CLL17" s="400"/>
      <c r="CLM17" s="400"/>
      <c r="CLN17" s="400"/>
      <c r="CLO17" s="400"/>
      <c r="CLP17" s="400"/>
      <c r="CLQ17" s="400"/>
      <c r="CLR17" s="400"/>
      <c r="CLS17" s="400"/>
      <c r="CLT17" s="400"/>
      <c r="CLU17" s="400"/>
      <c r="CLV17" s="400"/>
      <c r="CLW17" s="400"/>
      <c r="CLX17" s="400"/>
      <c r="CLY17" s="400"/>
      <c r="CLZ17" s="400"/>
      <c r="CMA17" s="400"/>
      <c r="CMB17" s="400"/>
      <c r="CMC17" s="400"/>
      <c r="CMD17" s="400"/>
      <c r="CME17" s="400"/>
      <c r="CMF17" s="400"/>
      <c r="CMG17" s="400"/>
      <c r="CMH17" s="400"/>
      <c r="CMI17" s="400"/>
      <c r="CMJ17" s="400"/>
      <c r="CMK17" s="400"/>
      <c r="CML17" s="400"/>
      <c r="CMM17" s="400"/>
      <c r="CMN17" s="400"/>
      <c r="CMO17" s="400"/>
      <c r="CMP17" s="400"/>
      <c r="CMQ17" s="400"/>
      <c r="CMR17" s="400"/>
      <c r="CMS17" s="400"/>
      <c r="CMT17" s="400"/>
      <c r="CMU17" s="400"/>
      <c r="CMV17" s="400"/>
      <c r="CMW17" s="400"/>
      <c r="CMX17" s="400"/>
      <c r="CMY17" s="400"/>
      <c r="CMZ17" s="400"/>
      <c r="CNA17" s="400"/>
      <c r="CNB17" s="400"/>
      <c r="CNC17" s="400"/>
      <c r="CND17" s="400"/>
      <c r="CNE17" s="400"/>
      <c r="CNF17" s="400"/>
      <c r="CNG17" s="400"/>
      <c r="CNH17" s="400"/>
      <c r="CNI17" s="400"/>
      <c r="CNJ17" s="400"/>
      <c r="CNK17" s="400"/>
      <c r="CNL17" s="400"/>
      <c r="CNM17" s="400"/>
      <c r="CNN17" s="400"/>
      <c r="CNO17" s="400"/>
      <c r="CNP17" s="400"/>
      <c r="CNQ17" s="400"/>
      <c r="CNR17" s="400"/>
      <c r="CNS17" s="400"/>
      <c r="CNT17" s="400"/>
      <c r="CNU17" s="400"/>
      <c r="CNV17" s="400"/>
      <c r="CNW17" s="400"/>
      <c r="CNX17" s="400"/>
      <c r="CNY17" s="400"/>
      <c r="CNZ17" s="400"/>
      <c r="COA17" s="400"/>
      <c r="COB17" s="400"/>
      <c r="COC17" s="400"/>
      <c r="COD17" s="400"/>
      <c r="COE17" s="400"/>
      <c r="COF17" s="400"/>
      <c r="COG17" s="400"/>
      <c r="COH17" s="400"/>
      <c r="COI17" s="400"/>
      <c r="COJ17" s="400"/>
      <c r="COK17" s="400"/>
      <c r="COL17" s="400"/>
      <c r="COM17" s="400"/>
      <c r="CON17" s="400"/>
      <c r="COO17" s="400"/>
      <c r="COP17" s="400"/>
      <c r="COQ17" s="400"/>
      <c r="COR17" s="400"/>
      <c r="COS17" s="400"/>
      <c r="COT17" s="400"/>
      <c r="COU17" s="400"/>
      <c r="COV17" s="400"/>
      <c r="COW17" s="400"/>
      <c r="COX17" s="400"/>
      <c r="COY17" s="400"/>
      <c r="COZ17" s="400"/>
      <c r="CPA17" s="400"/>
      <c r="CPB17" s="400"/>
      <c r="CPC17" s="400"/>
      <c r="CPD17" s="400"/>
      <c r="CPE17" s="400"/>
      <c r="CPF17" s="400"/>
      <c r="CPG17" s="400"/>
      <c r="CPH17" s="400"/>
      <c r="CPI17" s="400"/>
      <c r="CPJ17" s="400"/>
      <c r="CPK17" s="400"/>
      <c r="CPL17" s="400"/>
      <c r="CPM17" s="400"/>
      <c r="CPN17" s="400"/>
      <c r="CPO17" s="400"/>
      <c r="CPP17" s="400"/>
      <c r="CPQ17" s="400"/>
      <c r="CPR17" s="400"/>
      <c r="CPS17" s="400"/>
      <c r="CPT17" s="400"/>
      <c r="CPU17" s="400"/>
      <c r="CPV17" s="400"/>
      <c r="CPW17" s="400"/>
      <c r="CPX17" s="400"/>
      <c r="CPY17" s="400"/>
      <c r="CPZ17" s="400"/>
      <c r="CQA17" s="400"/>
      <c r="CQB17" s="400"/>
      <c r="CQC17" s="400"/>
      <c r="CQD17" s="400"/>
      <c r="CQE17" s="400"/>
      <c r="CQF17" s="400"/>
      <c r="CQG17" s="400"/>
      <c r="CQH17" s="400"/>
      <c r="CQI17" s="400"/>
      <c r="CQJ17" s="400"/>
      <c r="CQK17" s="400"/>
      <c r="CQL17" s="400"/>
      <c r="CQM17" s="400"/>
      <c r="CQN17" s="400"/>
      <c r="CQO17" s="400"/>
      <c r="CQP17" s="400"/>
      <c r="CQQ17" s="400"/>
      <c r="CQR17" s="400"/>
      <c r="CQS17" s="400"/>
      <c r="CQT17" s="400"/>
      <c r="CQU17" s="400"/>
      <c r="CQV17" s="400"/>
      <c r="CQW17" s="400"/>
      <c r="CQX17" s="400"/>
      <c r="CQY17" s="400"/>
      <c r="CQZ17" s="400"/>
      <c r="CRA17" s="400"/>
      <c r="CRB17" s="400"/>
      <c r="CRC17" s="400"/>
      <c r="CRD17" s="400"/>
      <c r="CRE17" s="400"/>
      <c r="CRF17" s="400"/>
      <c r="CRG17" s="400"/>
      <c r="CRH17" s="400"/>
      <c r="CRI17" s="400"/>
      <c r="CRJ17" s="400"/>
      <c r="CRK17" s="400"/>
      <c r="CRL17" s="400"/>
      <c r="CRM17" s="400"/>
      <c r="CRN17" s="400"/>
      <c r="CRO17" s="400"/>
      <c r="CRP17" s="400"/>
      <c r="CRQ17" s="400"/>
      <c r="CRR17" s="400"/>
      <c r="CRS17" s="400"/>
      <c r="CRT17" s="400"/>
      <c r="CRU17" s="400"/>
      <c r="CRV17" s="400"/>
      <c r="CRW17" s="400"/>
      <c r="CRX17" s="400"/>
      <c r="CRY17" s="400"/>
      <c r="CRZ17" s="400"/>
      <c r="CSA17" s="400"/>
      <c r="CSB17" s="400"/>
      <c r="CSC17" s="400"/>
      <c r="CSD17" s="400"/>
      <c r="CSE17" s="400"/>
      <c r="CSF17" s="400"/>
      <c r="CSG17" s="400"/>
      <c r="CSH17" s="400"/>
      <c r="CSI17" s="400"/>
      <c r="CSJ17" s="400"/>
      <c r="CSK17" s="400"/>
      <c r="CSL17" s="400"/>
      <c r="CSM17" s="400"/>
      <c r="CSN17" s="400"/>
      <c r="CSO17" s="400"/>
      <c r="CSP17" s="400"/>
      <c r="CSQ17" s="400"/>
      <c r="CSR17" s="400"/>
      <c r="CSS17" s="400"/>
      <c r="CST17" s="400"/>
      <c r="CSU17" s="400"/>
      <c r="CSV17" s="400"/>
      <c r="CSW17" s="400"/>
      <c r="CSX17" s="400"/>
      <c r="CSY17" s="400"/>
      <c r="CSZ17" s="400"/>
      <c r="CTA17" s="400"/>
      <c r="CTB17" s="400"/>
      <c r="CTC17" s="400"/>
      <c r="CTD17" s="400"/>
      <c r="CTE17" s="400"/>
      <c r="CTF17" s="400"/>
      <c r="CTG17" s="400"/>
      <c r="CTH17" s="400"/>
      <c r="CTI17" s="400"/>
      <c r="CTJ17" s="400"/>
      <c r="CTK17" s="400"/>
      <c r="CTL17" s="400"/>
      <c r="CTM17" s="400"/>
      <c r="CTN17" s="400"/>
      <c r="CTO17" s="400"/>
      <c r="CTP17" s="400"/>
      <c r="CTQ17" s="400"/>
      <c r="CTR17" s="400"/>
      <c r="CTS17" s="400"/>
      <c r="CTT17" s="400"/>
      <c r="CTU17" s="400"/>
      <c r="CTV17" s="400"/>
      <c r="CTW17" s="400"/>
      <c r="CTX17" s="400"/>
      <c r="CTY17" s="400"/>
      <c r="CTZ17" s="400"/>
      <c r="CUA17" s="400"/>
      <c r="CUB17" s="400"/>
      <c r="CUC17" s="400"/>
      <c r="CUD17" s="400"/>
      <c r="CUE17" s="400"/>
      <c r="CUF17" s="400"/>
      <c r="CUG17" s="400"/>
      <c r="CUH17" s="400"/>
      <c r="CUI17" s="400"/>
      <c r="CUJ17" s="400"/>
      <c r="CUK17" s="400"/>
      <c r="CUL17" s="400"/>
      <c r="CUM17" s="400"/>
      <c r="CUN17" s="400"/>
      <c r="CUO17" s="400"/>
      <c r="CUP17" s="400"/>
      <c r="CUQ17" s="400"/>
      <c r="CUR17" s="400"/>
      <c r="CUS17" s="400"/>
      <c r="CUT17" s="400"/>
      <c r="CUU17" s="400"/>
      <c r="CUV17" s="400"/>
      <c r="CUW17" s="400"/>
      <c r="CUX17" s="400"/>
      <c r="CUY17" s="400"/>
      <c r="CUZ17" s="400"/>
      <c r="CVA17" s="400"/>
      <c r="CVB17" s="400"/>
      <c r="CVC17" s="400"/>
      <c r="CVD17" s="400"/>
      <c r="CVE17" s="400"/>
      <c r="CVF17" s="400"/>
      <c r="CVG17" s="400"/>
      <c r="CVH17" s="400"/>
      <c r="CVI17" s="400"/>
      <c r="CVJ17" s="400"/>
      <c r="CVK17" s="400"/>
      <c r="CVL17" s="400"/>
      <c r="CVM17" s="400"/>
      <c r="CVN17" s="400"/>
      <c r="CVO17" s="400"/>
      <c r="CVP17" s="400"/>
      <c r="CVQ17" s="400"/>
      <c r="CVR17" s="400"/>
      <c r="CVS17" s="400"/>
      <c r="CVT17" s="400"/>
      <c r="CVU17" s="400"/>
      <c r="CVV17" s="400"/>
      <c r="CVW17" s="400"/>
      <c r="CVX17" s="400"/>
      <c r="CVY17" s="400"/>
      <c r="CVZ17" s="400"/>
      <c r="CWA17" s="400"/>
      <c r="CWB17" s="400"/>
      <c r="CWC17" s="400"/>
      <c r="CWD17" s="400"/>
      <c r="CWE17" s="400"/>
      <c r="CWF17" s="400"/>
      <c r="CWG17" s="400"/>
      <c r="CWH17" s="400"/>
      <c r="CWI17" s="400"/>
      <c r="CWJ17" s="400"/>
      <c r="CWK17" s="400"/>
      <c r="CWL17" s="400"/>
      <c r="CWM17" s="400"/>
      <c r="CWN17" s="400"/>
      <c r="CWO17" s="400"/>
      <c r="CWP17" s="400"/>
      <c r="CWQ17" s="400"/>
      <c r="CWR17" s="400"/>
      <c r="CWS17" s="400"/>
      <c r="CWT17" s="400"/>
      <c r="CWU17" s="400"/>
      <c r="CWV17" s="400"/>
      <c r="CWW17" s="400"/>
      <c r="CWX17" s="400"/>
      <c r="CWY17" s="400"/>
      <c r="CWZ17" s="400"/>
      <c r="CXA17" s="400"/>
      <c r="CXB17" s="400"/>
      <c r="CXC17" s="400"/>
      <c r="CXD17" s="400"/>
      <c r="CXE17" s="400"/>
      <c r="CXF17" s="400"/>
      <c r="CXG17" s="400"/>
      <c r="CXH17" s="400"/>
      <c r="CXI17" s="400"/>
      <c r="CXJ17" s="400"/>
      <c r="CXK17" s="400"/>
      <c r="CXL17" s="400"/>
      <c r="CXM17" s="400"/>
      <c r="CXN17" s="400"/>
      <c r="CXO17" s="400"/>
      <c r="CXP17" s="400"/>
      <c r="CXQ17" s="400"/>
      <c r="CXR17" s="400"/>
      <c r="CXS17" s="400"/>
      <c r="CXT17" s="400"/>
      <c r="CXU17" s="400"/>
      <c r="CXV17" s="400"/>
      <c r="CXW17" s="400"/>
      <c r="CXX17" s="400"/>
      <c r="CXY17" s="400"/>
      <c r="CXZ17" s="400"/>
      <c r="CYA17" s="400"/>
      <c r="CYB17" s="400"/>
      <c r="CYC17" s="400"/>
      <c r="CYD17" s="400"/>
      <c r="CYE17" s="400"/>
      <c r="CYF17" s="400"/>
      <c r="CYG17" s="400"/>
      <c r="CYH17" s="400"/>
      <c r="CYI17" s="400"/>
      <c r="CYJ17" s="400"/>
      <c r="CYK17" s="400"/>
      <c r="CYL17" s="400"/>
      <c r="CYM17" s="400"/>
      <c r="CYN17" s="400"/>
      <c r="CYO17" s="400"/>
      <c r="CYP17" s="400"/>
      <c r="CYQ17" s="400"/>
      <c r="CYR17" s="400"/>
      <c r="CYS17" s="400"/>
      <c r="CYT17" s="400"/>
      <c r="CYU17" s="400"/>
      <c r="CYV17" s="400"/>
      <c r="CYW17" s="400"/>
      <c r="CYX17" s="400"/>
      <c r="CYY17" s="400"/>
      <c r="CYZ17" s="400"/>
      <c r="CZA17" s="400"/>
      <c r="CZB17" s="400"/>
      <c r="CZC17" s="400"/>
      <c r="CZD17" s="400"/>
      <c r="CZE17" s="400"/>
      <c r="CZF17" s="400"/>
      <c r="CZG17" s="400"/>
      <c r="CZH17" s="400"/>
      <c r="CZI17" s="400"/>
      <c r="CZJ17" s="400"/>
      <c r="CZK17" s="400"/>
      <c r="CZL17" s="400"/>
      <c r="CZM17" s="400"/>
      <c r="CZN17" s="400"/>
      <c r="CZO17" s="400"/>
      <c r="CZP17" s="400"/>
      <c r="CZQ17" s="400"/>
      <c r="CZR17" s="400"/>
      <c r="CZS17" s="400"/>
      <c r="CZT17" s="400"/>
      <c r="CZU17" s="400"/>
      <c r="CZV17" s="400"/>
      <c r="CZW17" s="400"/>
      <c r="CZX17" s="400"/>
      <c r="CZY17" s="400"/>
      <c r="CZZ17" s="400"/>
      <c r="DAA17" s="400"/>
      <c r="DAB17" s="400"/>
      <c r="DAC17" s="400"/>
      <c r="DAD17" s="400"/>
      <c r="DAE17" s="400"/>
      <c r="DAF17" s="400"/>
      <c r="DAG17" s="400"/>
      <c r="DAH17" s="400"/>
      <c r="DAI17" s="400"/>
      <c r="DAJ17" s="400"/>
      <c r="DAK17" s="400"/>
      <c r="DAL17" s="400"/>
      <c r="DAM17" s="400"/>
      <c r="DAN17" s="400"/>
      <c r="DAO17" s="400"/>
      <c r="DAP17" s="400"/>
      <c r="DAQ17" s="400"/>
      <c r="DAR17" s="400"/>
      <c r="DAS17" s="400"/>
      <c r="DAT17" s="400"/>
      <c r="DAU17" s="400"/>
      <c r="DAV17" s="400"/>
      <c r="DAW17" s="400"/>
      <c r="DAX17" s="400"/>
      <c r="DAY17" s="400"/>
      <c r="DAZ17" s="400"/>
      <c r="DBA17" s="400"/>
      <c r="DBB17" s="400"/>
      <c r="DBC17" s="400"/>
      <c r="DBD17" s="400"/>
      <c r="DBE17" s="400"/>
      <c r="DBF17" s="400"/>
      <c r="DBG17" s="400"/>
      <c r="DBH17" s="400"/>
      <c r="DBI17" s="400"/>
      <c r="DBJ17" s="400"/>
      <c r="DBK17" s="400"/>
      <c r="DBL17" s="400"/>
      <c r="DBM17" s="400"/>
      <c r="DBN17" s="400"/>
      <c r="DBO17" s="400"/>
      <c r="DBP17" s="400"/>
      <c r="DBQ17" s="400"/>
      <c r="DBR17" s="400"/>
      <c r="DBS17" s="400"/>
      <c r="DBT17" s="400"/>
      <c r="DBU17" s="400"/>
      <c r="DBV17" s="400"/>
      <c r="DBW17" s="400"/>
      <c r="DBX17" s="400"/>
      <c r="DBY17" s="400"/>
      <c r="DBZ17" s="400"/>
      <c r="DCA17" s="400"/>
      <c r="DCB17" s="400"/>
      <c r="DCC17" s="400"/>
      <c r="DCD17" s="400"/>
      <c r="DCE17" s="400"/>
      <c r="DCF17" s="400"/>
      <c r="DCG17" s="400"/>
      <c r="DCH17" s="400"/>
      <c r="DCI17" s="400"/>
      <c r="DCJ17" s="400"/>
      <c r="DCK17" s="400"/>
      <c r="DCL17" s="400"/>
      <c r="DCM17" s="400"/>
      <c r="DCN17" s="400"/>
      <c r="DCO17" s="400"/>
      <c r="DCP17" s="400"/>
      <c r="DCQ17" s="400"/>
      <c r="DCR17" s="400"/>
      <c r="DCS17" s="400"/>
      <c r="DCT17" s="400"/>
      <c r="DCU17" s="400"/>
      <c r="DCV17" s="400"/>
      <c r="DCW17" s="400"/>
      <c r="DCX17" s="400"/>
      <c r="DCY17" s="400"/>
      <c r="DCZ17" s="400"/>
      <c r="DDA17" s="400"/>
      <c r="DDB17" s="400"/>
      <c r="DDC17" s="400"/>
      <c r="DDD17" s="400"/>
      <c r="DDE17" s="400"/>
      <c r="DDF17" s="400"/>
      <c r="DDG17" s="400"/>
      <c r="DDH17" s="400"/>
      <c r="DDI17" s="400"/>
      <c r="DDJ17" s="400"/>
      <c r="DDK17" s="400"/>
      <c r="DDL17" s="400"/>
      <c r="DDM17" s="400"/>
      <c r="DDN17" s="400"/>
      <c r="DDO17" s="400"/>
      <c r="DDP17" s="400"/>
      <c r="DDQ17" s="400"/>
      <c r="DDR17" s="400"/>
      <c r="DDS17" s="400"/>
      <c r="DDT17" s="400"/>
      <c r="DDU17" s="400"/>
      <c r="DDV17" s="400"/>
      <c r="DDW17" s="400"/>
      <c r="DDX17" s="400"/>
      <c r="DDY17" s="400"/>
      <c r="DDZ17" s="400"/>
      <c r="DEA17" s="400"/>
      <c r="DEB17" s="400"/>
      <c r="DEC17" s="400"/>
      <c r="DED17" s="400"/>
      <c r="DEE17" s="400"/>
      <c r="DEF17" s="400"/>
      <c r="DEG17" s="400"/>
      <c r="DEH17" s="400"/>
      <c r="DEI17" s="400"/>
      <c r="DEJ17" s="400"/>
      <c r="DEK17" s="400"/>
      <c r="DEL17" s="400"/>
      <c r="DEM17" s="400"/>
      <c r="DEN17" s="400"/>
      <c r="DEO17" s="400"/>
      <c r="DEP17" s="400"/>
      <c r="DEQ17" s="400"/>
      <c r="DER17" s="400"/>
      <c r="DES17" s="400"/>
      <c r="DET17" s="400"/>
      <c r="DEU17" s="400"/>
      <c r="DEV17" s="400"/>
      <c r="DEW17" s="400"/>
      <c r="DEX17" s="400"/>
      <c r="DEY17" s="400"/>
      <c r="DEZ17" s="400"/>
      <c r="DFA17" s="400"/>
      <c r="DFB17" s="400"/>
      <c r="DFC17" s="400"/>
      <c r="DFD17" s="400"/>
      <c r="DFE17" s="400"/>
      <c r="DFF17" s="400"/>
      <c r="DFG17" s="400"/>
      <c r="DFH17" s="400"/>
      <c r="DFI17" s="400"/>
      <c r="DFJ17" s="400"/>
      <c r="DFK17" s="400"/>
      <c r="DFL17" s="400"/>
      <c r="DFM17" s="400"/>
      <c r="DFN17" s="400"/>
      <c r="DFO17" s="400"/>
      <c r="DFP17" s="400"/>
      <c r="DFQ17" s="400"/>
      <c r="DFR17" s="400"/>
      <c r="DFS17" s="400"/>
      <c r="DFT17" s="400"/>
      <c r="DFU17" s="400"/>
      <c r="DFV17" s="400"/>
      <c r="DFW17" s="400"/>
      <c r="DFX17" s="400"/>
      <c r="DFY17" s="400"/>
      <c r="DFZ17" s="400"/>
      <c r="DGA17" s="400"/>
      <c r="DGB17" s="400"/>
      <c r="DGC17" s="400"/>
      <c r="DGD17" s="400"/>
      <c r="DGE17" s="400"/>
      <c r="DGF17" s="400"/>
      <c r="DGG17" s="400"/>
      <c r="DGH17" s="400"/>
      <c r="DGI17" s="400"/>
      <c r="DGJ17" s="400"/>
      <c r="DGK17" s="400"/>
      <c r="DGL17" s="400"/>
      <c r="DGM17" s="400"/>
      <c r="DGN17" s="400"/>
      <c r="DGO17" s="400"/>
      <c r="DGP17" s="400"/>
      <c r="DGQ17" s="400"/>
      <c r="DGR17" s="400"/>
      <c r="DGS17" s="400"/>
      <c r="DGT17" s="400"/>
      <c r="DGU17" s="400"/>
      <c r="DGV17" s="400"/>
      <c r="DGW17" s="400"/>
      <c r="DGX17" s="400"/>
      <c r="DGY17" s="400"/>
      <c r="DGZ17" s="400"/>
      <c r="DHA17" s="400"/>
      <c r="DHB17" s="400"/>
      <c r="DHC17" s="400"/>
      <c r="DHD17" s="400"/>
      <c r="DHE17" s="400"/>
      <c r="DHF17" s="400"/>
      <c r="DHG17" s="400"/>
      <c r="DHH17" s="400"/>
      <c r="DHI17" s="400"/>
      <c r="DHJ17" s="400"/>
      <c r="DHK17" s="400"/>
      <c r="DHL17" s="400"/>
      <c r="DHM17" s="400"/>
      <c r="DHN17" s="400"/>
      <c r="DHO17" s="400"/>
      <c r="DHP17" s="400"/>
      <c r="DHQ17" s="400"/>
      <c r="DHR17" s="400"/>
      <c r="DHS17" s="400"/>
      <c r="DHT17" s="400"/>
      <c r="DHU17" s="400"/>
      <c r="DHV17" s="400"/>
      <c r="DHW17" s="400"/>
      <c r="DHX17" s="400"/>
      <c r="DHY17" s="400"/>
      <c r="DHZ17" s="400"/>
      <c r="DIA17" s="400"/>
      <c r="DIB17" s="400"/>
      <c r="DIC17" s="400"/>
      <c r="DID17" s="400"/>
      <c r="DIE17" s="400"/>
      <c r="DIF17" s="400"/>
      <c r="DIG17" s="400"/>
      <c r="DIH17" s="400"/>
      <c r="DII17" s="400"/>
      <c r="DIJ17" s="400"/>
      <c r="DIK17" s="400"/>
      <c r="DIL17" s="400"/>
      <c r="DIM17" s="400"/>
      <c r="DIN17" s="400"/>
      <c r="DIO17" s="400"/>
      <c r="DIP17" s="400"/>
      <c r="DIQ17" s="400"/>
      <c r="DIR17" s="400"/>
      <c r="DIS17" s="400"/>
      <c r="DIT17" s="400"/>
      <c r="DIU17" s="400"/>
      <c r="DIV17" s="400"/>
      <c r="DIW17" s="400"/>
      <c r="DIX17" s="400"/>
      <c r="DIY17" s="400"/>
      <c r="DIZ17" s="400"/>
      <c r="DJA17" s="400"/>
      <c r="DJB17" s="400"/>
      <c r="DJC17" s="400"/>
      <c r="DJD17" s="400"/>
      <c r="DJE17" s="400"/>
      <c r="DJF17" s="400"/>
      <c r="DJG17" s="400"/>
      <c r="DJH17" s="400"/>
      <c r="DJI17" s="400"/>
      <c r="DJJ17" s="400"/>
      <c r="DJK17" s="400"/>
      <c r="DJL17" s="400"/>
      <c r="DJM17" s="400"/>
      <c r="DJN17" s="400"/>
      <c r="DJO17" s="400"/>
      <c r="DJP17" s="400"/>
      <c r="DJQ17" s="400"/>
      <c r="DJR17" s="400"/>
      <c r="DJS17" s="400"/>
      <c r="DJT17" s="400"/>
      <c r="DJU17" s="400"/>
      <c r="DJV17" s="400"/>
      <c r="DJW17" s="400"/>
      <c r="DJX17" s="400"/>
      <c r="DJY17" s="400"/>
      <c r="DJZ17" s="400"/>
      <c r="DKA17" s="400"/>
      <c r="DKB17" s="400"/>
      <c r="DKC17" s="400"/>
      <c r="DKD17" s="400"/>
      <c r="DKE17" s="400"/>
      <c r="DKF17" s="400"/>
      <c r="DKG17" s="400"/>
      <c r="DKH17" s="400"/>
      <c r="DKI17" s="400"/>
      <c r="DKJ17" s="400"/>
      <c r="DKK17" s="400"/>
      <c r="DKL17" s="400"/>
      <c r="DKM17" s="400"/>
      <c r="DKN17" s="400"/>
      <c r="DKO17" s="400"/>
      <c r="DKP17" s="400"/>
      <c r="DKQ17" s="400"/>
      <c r="DKR17" s="400"/>
      <c r="DKS17" s="400"/>
      <c r="DKT17" s="400"/>
      <c r="DKU17" s="400"/>
      <c r="DKV17" s="400"/>
      <c r="DKW17" s="400"/>
      <c r="DKX17" s="400"/>
      <c r="DKY17" s="400"/>
      <c r="DKZ17" s="400"/>
      <c r="DLA17" s="400"/>
      <c r="DLB17" s="400"/>
      <c r="DLC17" s="400"/>
      <c r="DLD17" s="400"/>
      <c r="DLE17" s="400"/>
      <c r="DLF17" s="400"/>
      <c r="DLG17" s="400"/>
      <c r="DLH17" s="400"/>
      <c r="DLI17" s="400"/>
      <c r="DLJ17" s="400"/>
      <c r="DLK17" s="400"/>
      <c r="DLL17" s="400"/>
      <c r="DLM17" s="400"/>
      <c r="DLN17" s="400"/>
      <c r="DLO17" s="400"/>
      <c r="DLP17" s="400"/>
      <c r="DLQ17" s="400"/>
      <c r="DLR17" s="400"/>
      <c r="DLS17" s="400"/>
      <c r="DLT17" s="400"/>
      <c r="DLU17" s="400"/>
      <c r="DLV17" s="400"/>
      <c r="DLW17" s="400"/>
      <c r="DLX17" s="400"/>
      <c r="DLY17" s="400"/>
      <c r="DLZ17" s="400"/>
      <c r="DMA17" s="400"/>
      <c r="DMB17" s="400"/>
      <c r="DMC17" s="400"/>
      <c r="DMD17" s="400"/>
      <c r="DME17" s="400"/>
      <c r="DMF17" s="400"/>
      <c r="DMG17" s="400"/>
      <c r="DMH17" s="400"/>
      <c r="DMI17" s="400"/>
      <c r="DMJ17" s="400"/>
      <c r="DMK17" s="400"/>
      <c r="DML17" s="400"/>
      <c r="DMM17" s="400"/>
      <c r="DMN17" s="400"/>
      <c r="DMO17" s="400"/>
      <c r="DMP17" s="400"/>
      <c r="DMQ17" s="400"/>
      <c r="DMR17" s="400"/>
      <c r="DMS17" s="400"/>
      <c r="DMT17" s="400"/>
      <c r="DMU17" s="400"/>
      <c r="DMV17" s="400"/>
      <c r="DMW17" s="400"/>
      <c r="DMX17" s="400"/>
      <c r="DMY17" s="400"/>
      <c r="DMZ17" s="400"/>
      <c r="DNA17" s="400"/>
      <c r="DNB17" s="400"/>
      <c r="DNC17" s="400"/>
      <c r="DND17" s="400"/>
      <c r="DNE17" s="400"/>
      <c r="DNF17" s="400"/>
      <c r="DNG17" s="400"/>
      <c r="DNH17" s="400"/>
      <c r="DNI17" s="400"/>
      <c r="DNJ17" s="400"/>
      <c r="DNK17" s="400"/>
      <c r="DNL17" s="400"/>
      <c r="DNM17" s="400"/>
      <c r="DNN17" s="400"/>
      <c r="DNO17" s="400"/>
      <c r="DNP17" s="400"/>
      <c r="DNQ17" s="400"/>
      <c r="DNR17" s="400"/>
      <c r="DNS17" s="400"/>
      <c r="DNT17" s="400"/>
      <c r="DNU17" s="400"/>
      <c r="DNV17" s="400"/>
      <c r="DNW17" s="400"/>
      <c r="DNX17" s="400"/>
      <c r="DNY17" s="400"/>
      <c r="DNZ17" s="400"/>
      <c r="DOA17" s="400"/>
      <c r="DOB17" s="400"/>
      <c r="DOC17" s="400"/>
      <c r="DOD17" s="400"/>
      <c r="DOE17" s="400"/>
      <c r="DOF17" s="400"/>
      <c r="DOG17" s="400"/>
      <c r="DOH17" s="400"/>
      <c r="DOI17" s="400"/>
      <c r="DOJ17" s="400"/>
      <c r="DOK17" s="400"/>
      <c r="DOL17" s="400"/>
      <c r="DOM17" s="400"/>
      <c r="DON17" s="400"/>
      <c r="DOO17" s="400"/>
      <c r="DOP17" s="400"/>
      <c r="DOQ17" s="400"/>
      <c r="DOR17" s="400"/>
      <c r="DOS17" s="400"/>
      <c r="DOT17" s="400"/>
      <c r="DOU17" s="400"/>
      <c r="DOV17" s="400"/>
      <c r="DOW17" s="400"/>
      <c r="DOX17" s="400"/>
      <c r="DOY17" s="400"/>
      <c r="DOZ17" s="400"/>
      <c r="DPA17" s="400"/>
      <c r="DPB17" s="400"/>
      <c r="DPC17" s="400"/>
      <c r="DPD17" s="400"/>
      <c r="DPE17" s="400"/>
      <c r="DPF17" s="400"/>
      <c r="DPG17" s="400"/>
      <c r="DPH17" s="400"/>
      <c r="DPI17" s="400"/>
      <c r="DPJ17" s="400"/>
      <c r="DPK17" s="400"/>
      <c r="DPL17" s="400"/>
      <c r="DPM17" s="400"/>
      <c r="DPN17" s="400"/>
      <c r="DPO17" s="400"/>
      <c r="DPP17" s="400"/>
      <c r="DPQ17" s="400"/>
      <c r="DPR17" s="400"/>
      <c r="DPS17" s="400"/>
      <c r="DPT17" s="400"/>
      <c r="DPU17" s="400"/>
      <c r="DPV17" s="400"/>
      <c r="DPW17" s="400"/>
      <c r="DPX17" s="400"/>
      <c r="DPY17" s="400"/>
      <c r="DPZ17" s="400"/>
      <c r="DQA17" s="400"/>
      <c r="DQB17" s="400"/>
      <c r="DQC17" s="400"/>
      <c r="DQD17" s="400"/>
      <c r="DQE17" s="400"/>
      <c r="DQF17" s="400"/>
      <c r="DQG17" s="400"/>
      <c r="DQH17" s="400"/>
      <c r="DQI17" s="400"/>
      <c r="DQJ17" s="400"/>
      <c r="DQK17" s="400"/>
      <c r="DQL17" s="400"/>
      <c r="DQM17" s="400"/>
      <c r="DQN17" s="400"/>
      <c r="DQO17" s="400"/>
      <c r="DQP17" s="400"/>
      <c r="DQQ17" s="400"/>
      <c r="DQR17" s="400"/>
      <c r="DQS17" s="400"/>
      <c r="DQT17" s="400"/>
      <c r="DQU17" s="400"/>
      <c r="DQV17" s="400"/>
      <c r="DQW17" s="400"/>
      <c r="DQX17" s="400"/>
      <c r="DQY17" s="400"/>
      <c r="DQZ17" s="400"/>
      <c r="DRA17" s="400"/>
      <c r="DRB17" s="400"/>
      <c r="DRC17" s="400"/>
      <c r="DRD17" s="400"/>
      <c r="DRE17" s="400"/>
      <c r="DRF17" s="400"/>
      <c r="DRG17" s="400"/>
      <c r="DRH17" s="400"/>
      <c r="DRI17" s="400"/>
      <c r="DRJ17" s="400"/>
      <c r="DRK17" s="400"/>
      <c r="DRL17" s="400"/>
      <c r="DRM17" s="400"/>
      <c r="DRN17" s="400"/>
      <c r="DRO17" s="400"/>
      <c r="DRP17" s="400"/>
      <c r="DRQ17" s="400"/>
      <c r="DRR17" s="400"/>
      <c r="DRS17" s="400"/>
      <c r="DRT17" s="400"/>
      <c r="DRU17" s="400"/>
      <c r="DRV17" s="400"/>
      <c r="DRW17" s="400"/>
      <c r="DRX17" s="400"/>
      <c r="DRY17" s="400"/>
      <c r="DRZ17" s="400"/>
      <c r="DSA17" s="400"/>
      <c r="DSB17" s="400"/>
      <c r="DSC17" s="400"/>
      <c r="DSD17" s="400"/>
      <c r="DSE17" s="400"/>
      <c r="DSF17" s="400"/>
      <c r="DSG17" s="400"/>
      <c r="DSH17" s="400"/>
      <c r="DSI17" s="400"/>
      <c r="DSJ17" s="400"/>
      <c r="DSK17" s="400"/>
      <c r="DSL17" s="400"/>
      <c r="DSM17" s="400"/>
      <c r="DSN17" s="400"/>
      <c r="DSO17" s="400"/>
      <c r="DSP17" s="400"/>
      <c r="DSQ17" s="400"/>
      <c r="DSR17" s="400"/>
      <c r="DSS17" s="400"/>
      <c r="DST17" s="400"/>
      <c r="DSU17" s="400"/>
      <c r="DSV17" s="400"/>
      <c r="DSW17" s="400"/>
      <c r="DSX17" s="400"/>
      <c r="DSY17" s="400"/>
      <c r="DSZ17" s="400"/>
      <c r="DTA17" s="400"/>
      <c r="DTB17" s="400"/>
      <c r="DTC17" s="400"/>
      <c r="DTD17" s="400"/>
      <c r="DTE17" s="400"/>
      <c r="DTF17" s="400"/>
      <c r="DTG17" s="400"/>
      <c r="DTH17" s="400"/>
      <c r="DTI17" s="400"/>
      <c r="DTJ17" s="400"/>
      <c r="DTK17" s="400"/>
      <c r="DTL17" s="400"/>
      <c r="DTM17" s="400"/>
      <c r="DTN17" s="400"/>
      <c r="DTO17" s="400"/>
      <c r="DTP17" s="400"/>
      <c r="DTQ17" s="400"/>
      <c r="DTR17" s="400"/>
      <c r="DTS17" s="400"/>
      <c r="DTT17" s="400"/>
      <c r="DTU17" s="400"/>
      <c r="DTV17" s="400"/>
      <c r="DTW17" s="400"/>
      <c r="DTX17" s="400"/>
      <c r="DTY17" s="400"/>
      <c r="DTZ17" s="400"/>
      <c r="DUA17" s="400"/>
      <c r="DUB17" s="400"/>
      <c r="DUC17" s="400"/>
      <c r="DUD17" s="400"/>
      <c r="DUE17" s="400"/>
      <c r="DUF17" s="400"/>
      <c r="DUG17" s="400"/>
      <c r="DUH17" s="400"/>
      <c r="DUI17" s="400"/>
      <c r="DUJ17" s="400"/>
      <c r="DUK17" s="400"/>
      <c r="DUL17" s="400"/>
      <c r="DUM17" s="400"/>
      <c r="DUN17" s="400"/>
      <c r="DUO17" s="400"/>
      <c r="DUP17" s="400"/>
      <c r="DUQ17" s="400"/>
      <c r="DUR17" s="400"/>
      <c r="DUS17" s="400"/>
      <c r="DUT17" s="400"/>
      <c r="DUU17" s="400"/>
      <c r="DUV17" s="400"/>
      <c r="DUW17" s="400"/>
      <c r="DUX17" s="400"/>
      <c r="DUY17" s="400"/>
      <c r="DUZ17" s="400"/>
      <c r="DVA17" s="400"/>
      <c r="DVB17" s="400"/>
      <c r="DVC17" s="400"/>
      <c r="DVD17" s="400"/>
      <c r="DVE17" s="400"/>
      <c r="DVF17" s="400"/>
      <c r="DVG17" s="400"/>
      <c r="DVH17" s="400"/>
      <c r="DVI17" s="400"/>
      <c r="DVJ17" s="400"/>
      <c r="DVK17" s="400"/>
      <c r="DVL17" s="400"/>
      <c r="DVM17" s="400"/>
      <c r="DVN17" s="400"/>
      <c r="DVO17" s="400"/>
      <c r="DVP17" s="400"/>
      <c r="DVQ17" s="400"/>
      <c r="DVR17" s="400"/>
      <c r="DVS17" s="400"/>
      <c r="DVT17" s="400"/>
      <c r="DVU17" s="400"/>
      <c r="DVV17" s="400"/>
      <c r="DVW17" s="400"/>
      <c r="DVX17" s="400"/>
      <c r="DVY17" s="400"/>
      <c r="DVZ17" s="400"/>
      <c r="DWA17" s="400"/>
      <c r="DWB17" s="400"/>
      <c r="DWC17" s="400"/>
      <c r="DWD17" s="400"/>
      <c r="DWE17" s="400"/>
      <c r="DWF17" s="400"/>
      <c r="DWG17" s="400"/>
      <c r="DWH17" s="400"/>
      <c r="DWI17" s="400"/>
      <c r="DWJ17" s="400"/>
      <c r="DWK17" s="400"/>
      <c r="DWL17" s="400"/>
      <c r="DWM17" s="400"/>
      <c r="DWN17" s="400"/>
      <c r="DWO17" s="400"/>
      <c r="DWP17" s="400"/>
      <c r="DWQ17" s="400"/>
      <c r="DWR17" s="400"/>
      <c r="DWS17" s="400"/>
      <c r="DWT17" s="400"/>
      <c r="DWU17" s="400"/>
      <c r="DWV17" s="400"/>
      <c r="DWW17" s="400"/>
      <c r="DWX17" s="400"/>
      <c r="DWY17" s="400"/>
      <c r="DWZ17" s="400"/>
      <c r="DXA17" s="400"/>
      <c r="DXB17" s="400"/>
      <c r="DXC17" s="400"/>
      <c r="DXD17" s="400"/>
      <c r="DXE17" s="400"/>
      <c r="DXF17" s="400"/>
      <c r="DXG17" s="400"/>
      <c r="DXH17" s="400"/>
      <c r="DXI17" s="400"/>
      <c r="DXJ17" s="400"/>
      <c r="DXK17" s="400"/>
      <c r="DXL17" s="400"/>
      <c r="DXM17" s="400"/>
      <c r="DXN17" s="400"/>
      <c r="DXO17" s="400"/>
      <c r="DXP17" s="400"/>
      <c r="DXQ17" s="400"/>
      <c r="DXR17" s="400"/>
      <c r="DXS17" s="400"/>
      <c r="DXT17" s="400"/>
      <c r="DXU17" s="400"/>
      <c r="DXV17" s="400"/>
      <c r="DXW17" s="400"/>
      <c r="DXX17" s="400"/>
      <c r="DXY17" s="400"/>
      <c r="DXZ17" s="400"/>
      <c r="DYA17" s="400"/>
      <c r="DYB17" s="400"/>
      <c r="DYC17" s="400"/>
      <c r="DYD17" s="400"/>
      <c r="DYE17" s="400"/>
      <c r="DYF17" s="400"/>
      <c r="DYG17" s="400"/>
      <c r="DYH17" s="400"/>
      <c r="DYI17" s="400"/>
      <c r="DYJ17" s="400"/>
      <c r="DYK17" s="400"/>
      <c r="DYL17" s="400"/>
      <c r="DYM17" s="400"/>
      <c r="DYN17" s="400"/>
      <c r="DYO17" s="400"/>
      <c r="DYP17" s="400"/>
      <c r="DYQ17" s="400"/>
      <c r="DYR17" s="400"/>
      <c r="DYS17" s="400"/>
      <c r="DYT17" s="400"/>
      <c r="DYU17" s="400"/>
      <c r="DYV17" s="400"/>
      <c r="DYW17" s="400"/>
      <c r="DYX17" s="400"/>
      <c r="DYY17" s="400"/>
      <c r="DYZ17" s="400"/>
      <c r="DZA17" s="400"/>
      <c r="DZB17" s="400"/>
      <c r="DZC17" s="400"/>
      <c r="DZD17" s="400"/>
      <c r="DZE17" s="400"/>
      <c r="DZF17" s="400"/>
      <c r="DZG17" s="400"/>
      <c r="DZH17" s="400"/>
      <c r="DZI17" s="400"/>
      <c r="DZJ17" s="400"/>
      <c r="DZK17" s="400"/>
      <c r="DZL17" s="400"/>
      <c r="DZM17" s="400"/>
      <c r="DZN17" s="400"/>
      <c r="DZO17" s="400"/>
      <c r="DZP17" s="400"/>
      <c r="DZQ17" s="400"/>
      <c r="DZR17" s="400"/>
      <c r="DZS17" s="400"/>
      <c r="DZT17" s="400"/>
      <c r="DZU17" s="400"/>
      <c r="DZV17" s="400"/>
      <c r="DZW17" s="400"/>
      <c r="DZX17" s="400"/>
      <c r="DZY17" s="400"/>
      <c r="DZZ17" s="400"/>
      <c r="EAA17" s="400"/>
      <c r="EAB17" s="400"/>
      <c r="EAC17" s="400"/>
      <c r="EAD17" s="400"/>
      <c r="EAE17" s="400"/>
      <c r="EAF17" s="400"/>
      <c r="EAG17" s="400"/>
      <c r="EAH17" s="400"/>
      <c r="EAI17" s="400"/>
      <c r="EAJ17" s="400"/>
      <c r="EAK17" s="400"/>
      <c r="EAL17" s="400"/>
      <c r="EAM17" s="400"/>
      <c r="EAN17" s="400"/>
      <c r="EAO17" s="400"/>
      <c r="EAP17" s="400"/>
      <c r="EAQ17" s="400"/>
      <c r="EAR17" s="400"/>
      <c r="EAS17" s="400"/>
      <c r="EAT17" s="400"/>
      <c r="EAU17" s="400"/>
      <c r="EAV17" s="400"/>
      <c r="EAW17" s="400"/>
      <c r="EAX17" s="400"/>
      <c r="EAY17" s="400"/>
      <c r="EAZ17" s="400"/>
      <c r="EBA17" s="400"/>
      <c r="EBB17" s="400"/>
      <c r="EBC17" s="400"/>
      <c r="EBD17" s="400"/>
      <c r="EBE17" s="400"/>
      <c r="EBF17" s="400"/>
      <c r="EBG17" s="400"/>
      <c r="EBH17" s="400"/>
      <c r="EBI17" s="400"/>
      <c r="EBJ17" s="400"/>
      <c r="EBK17" s="400"/>
      <c r="EBL17" s="400"/>
      <c r="EBM17" s="400"/>
      <c r="EBN17" s="400"/>
      <c r="EBO17" s="400"/>
      <c r="EBP17" s="400"/>
      <c r="EBQ17" s="400"/>
      <c r="EBR17" s="400"/>
      <c r="EBS17" s="400"/>
      <c r="EBT17" s="400"/>
      <c r="EBU17" s="400"/>
      <c r="EBV17" s="400"/>
      <c r="EBW17" s="400"/>
      <c r="EBX17" s="400"/>
      <c r="EBY17" s="400"/>
      <c r="EBZ17" s="400"/>
      <c r="ECA17" s="400"/>
      <c r="ECB17" s="400"/>
      <c r="ECC17" s="400"/>
      <c r="ECD17" s="400"/>
      <c r="ECE17" s="400"/>
      <c r="ECF17" s="400"/>
      <c r="ECG17" s="400"/>
      <c r="ECH17" s="400"/>
      <c r="ECI17" s="400"/>
      <c r="ECJ17" s="400"/>
      <c r="ECK17" s="400"/>
      <c r="ECL17" s="400"/>
      <c r="ECM17" s="400"/>
      <c r="ECN17" s="400"/>
      <c r="ECO17" s="400"/>
      <c r="ECP17" s="400"/>
      <c r="ECQ17" s="400"/>
      <c r="ECR17" s="400"/>
      <c r="ECS17" s="400"/>
      <c r="ECT17" s="400"/>
      <c r="ECU17" s="400"/>
      <c r="ECV17" s="400"/>
      <c r="ECW17" s="400"/>
      <c r="ECX17" s="400"/>
      <c r="ECY17" s="400"/>
      <c r="ECZ17" s="400"/>
      <c r="EDA17" s="400"/>
      <c r="EDB17" s="400"/>
      <c r="EDC17" s="400"/>
      <c r="EDD17" s="400"/>
      <c r="EDE17" s="400"/>
      <c r="EDF17" s="400"/>
      <c r="EDG17" s="400"/>
      <c r="EDH17" s="400"/>
      <c r="EDI17" s="400"/>
      <c r="EDJ17" s="400"/>
      <c r="EDK17" s="400"/>
      <c r="EDL17" s="400"/>
      <c r="EDM17" s="400"/>
      <c r="EDN17" s="400"/>
      <c r="EDO17" s="400"/>
      <c r="EDP17" s="400"/>
      <c r="EDQ17" s="400"/>
      <c r="EDR17" s="400"/>
      <c r="EDS17" s="400"/>
      <c r="EDT17" s="400"/>
      <c r="EDU17" s="400"/>
      <c r="EDV17" s="400"/>
      <c r="EDW17" s="400"/>
      <c r="EDX17" s="400"/>
      <c r="EDY17" s="400"/>
      <c r="EDZ17" s="400"/>
      <c r="EEA17" s="400"/>
      <c r="EEB17" s="400"/>
      <c r="EEC17" s="400"/>
      <c r="EED17" s="400"/>
      <c r="EEE17" s="400"/>
      <c r="EEF17" s="400"/>
      <c r="EEG17" s="400"/>
      <c r="EEH17" s="400"/>
      <c r="EEI17" s="400"/>
      <c r="EEJ17" s="400"/>
      <c r="EEK17" s="400"/>
      <c r="EEL17" s="400"/>
      <c r="EEM17" s="400"/>
      <c r="EEN17" s="400"/>
      <c r="EEO17" s="400"/>
      <c r="EEP17" s="400"/>
      <c r="EEQ17" s="400"/>
      <c r="EER17" s="400"/>
      <c r="EES17" s="400"/>
      <c r="EET17" s="400"/>
      <c r="EEU17" s="400"/>
      <c r="EEV17" s="400"/>
      <c r="EEW17" s="400"/>
      <c r="EEX17" s="400"/>
      <c r="EEY17" s="400"/>
      <c r="EEZ17" s="400"/>
      <c r="EFA17" s="400"/>
      <c r="EFB17" s="400"/>
      <c r="EFC17" s="400"/>
      <c r="EFD17" s="400"/>
      <c r="EFE17" s="400"/>
      <c r="EFF17" s="400"/>
      <c r="EFG17" s="400"/>
      <c r="EFH17" s="400"/>
      <c r="EFI17" s="400"/>
      <c r="EFJ17" s="400"/>
      <c r="EFK17" s="400"/>
      <c r="EFL17" s="400"/>
      <c r="EFM17" s="400"/>
      <c r="EFN17" s="400"/>
      <c r="EFO17" s="400"/>
      <c r="EFP17" s="400"/>
      <c r="EFQ17" s="400"/>
      <c r="EFR17" s="400"/>
      <c r="EFS17" s="400"/>
      <c r="EFT17" s="400"/>
      <c r="EFU17" s="400"/>
      <c r="EFV17" s="400"/>
      <c r="EFW17" s="400"/>
      <c r="EFX17" s="400"/>
      <c r="EFY17" s="400"/>
      <c r="EFZ17" s="400"/>
      <c r="EGA17" s="400"/>
      <c r="EGB17" s="400"/>
      <c r="EGC17" s="400"/>
      <c r="EGD17" s="400"/>
      <c r="EGE17" s="400"/>
      <c r="EGF17" s="400"/>
      <c r="EGG17" s="400"/>
      <c r="EGH17" s="400"/>
      <c r="EGI17" s="400"/>
      <c r="EGJ17" s="400"/>
      <c r="EGK17" s="400"/>
      <c r="EGL17" s="400"/>
      <c r="EGM17" s="400"/>
      <c r="EGN17" s="400"/>
      <c r="EGO17" s="400"/>
      <c r="EGP17" s="400"/>
      <c r="EGQ17" s="400"/>
      <c r="EGR17" s="400"/>
      <c r="EGS17" s="400"/>
      <c r="EGT17" s="400"/>
      <c r="EGU17" s="400"/>
      <c r="EGV17" s="400"/>
      <c r="EGW17" s="400"/>
      <c r="EGX17" s="400"/>
      <c r="EGY17" s="400"/>
      <c r="EGZ17" s="400"/>
      <c r="EHA17" s="400"/>
      <c r="EHB17" s="400"/>
      <c r="EHC17" s="400"/>
      <c r="EHD17" s="400"/>
      <c r="EHE17" s="400"/>
      <c r="EHF17" s="400"/>
      <c r="EHG17" s="400"/>
      <c r="EHH17" s="400"/>
      <c r="EHI17" s="400"/>
      <c r="EHJ17" s="400"/>
      <c r="EHK17" s="400"/>
      <c r="EHL17" s="400"/>
      <c r="EHM17" s="400"/>
      <c r="EHN17" s="400"/>
      <c r="EHO17" s="400"/>
      <c r="EHP17" s="400"/>
      <c r="EHQ17" s="400"/>
      <c r="EHR17" s="400"/>
      <c r="EHS17" s="400"/>
      <c r="EHT17" s="400"/>
      <c r="EHU17" s="400"/>
      <c r="EHV17" s="400"/>
      <c r="EHW17" s="400"/>
      <c r="EHX17" s="400"/>
      <c r="EHY17" s="400"/>
      <c r="EHZ17" s="400"/>
      <c r="EIA17" s="400"/>
      <c r="EIB17" s="400"/>
      <c r="EIC17" s="400"/>
      <c r="EID17" s="400"/>
      <c r="EIE17" s="400"/>
      <c r="EIF17" s="400"/>
      <c r="EIG17" s="400"/>
      <c r="EIH17" s="400"/>
      <c r="EII17" s="400"/>
      <c r="EIJ17" s="400"/>
      <c r="EIK17" s="400"/>
      <c r="EIL17" s="400"/>
      <c r="EIM17" s="400"/>
      <c r="EIN17" s="400"/>
      <c r="EIO17" s="400"/>
      <c r="EIP17" s="400"/>
      <c r="EIQ17" s="400"/>
      <c r="EIR17" s="400"/>
      <c r="EIS17" s="400"/>
      <c r="EIT17" s="400"/>
      <c r="EIU17" s="400"/>
      <c r="EIV17" s="400"/>
      <c r="EIW17" s="400"/>
      <c r="EIX17" s="400"/>
      <c r="EIY17" s="400"/>
      <c r="EIZ17" s="400"/>
      <c r="EJA17" s="400"/>
      <c r="EJB17" s="400"/>
      <c r="EJC17" s="400"/>
      <c r="EJD17" s="400"/>
      <c r="EJE17" s="400"/>
      <c r="EJF17" s="400"/>
      <c r="EJG17" s="400"/>
      <c r="EJH17" s="400"/>
      <c r="EJI17" s="400"/>
      <c r="EJJ17" s="400"/>
      <c r="EJK17" s="400"/>
      <c r="EJL17" s="400"/>
      <c r="EJM17" s="400"/>
      <c r="EJN17" s="400"/>
      <c r="EJO17" s="400"/>
      <c r="EJP17" s="400"/>
      <c r="EJQ17" s="400"/>
      <c r="EJR17" s="400"/>
      <c r="EJS17" s="400"/>
      <c r="EJT17" s="400"/>
      <c r="EJU17" s="400"/>
      <c r="EJV17" s="400"/>
      <c r="EJW17" s="400"/>
      <c r="EJX17" s="400"/>
      <c r="EJY17" s="400"/>
      <c r="EJZ17" s="400"/>
      <c r="EKA17" s="400"/>
      <c r="EKB17" s="400"/>
      <c r="EKC17" s="400"/>
      <c r="EKD17" s="400"/>
      <c r="EKE17" s="400"/>
      <c r="EKF17" s="400"/>
      <c r="EKG17" s="400"/>
      <c r="EKH17" s="400"/>
      <c r="EKI17" s="400"/>
      <c r="EKJ17" s="400"/>
      <c r="EKK17" s="400"/>
      <c r="EKL17" s="400"/>
      <c r="EKM17" s="400"/>
      <c r="EKN17" s="400"/>
      <c r="EKO17" s="400"/>
      <c r="EKP17" s="400"/>
      <c r="EKQ17" s="400"/>
      <c r="EKR17" s="400"/>
      <c r="EKS17" s="400"/>
      <c r="EKT17" s="400"/>
      <c r="EKU17" s="400"/>
      <c r="EKV17" s="400"/>
      <c r="EKW17" s="400"/>
      <c r="EKX17" s="400"/>
      <c r="EKY17" s="400"/>
      <c r="EKZ17" s="400"/>
      <c r="ELA17" s="400"/>
      <c r="ELB17" s="400"/>
      <c r="ELC17" s="400"/>
      <c r="ELD17" s="400"/>
      <c r="ELE17" s="400"/>
      <c r="ELF17" s="400"/>
      <c r="ELG17" s="400"/>
      <c r="ELH17" s="400"/>
      <c r="ELI17" s="400"/>
      <c r="ELJ17" s="400"/>
      <c r="ELK17" s="400"/>
      <c r="ELL17" s="400"/>
      <c r="ELM17" s="400"/>
      <c r="ELN17" s="400"/>
      <c r="ELO17" s="400"/>
      <c r="ELP17" s="400"/>
      <c r="ELQ17" s="400"/>
      <c r="ELR17" s="400"/>
      <c r="ELS17" s="400"/>
      <c r="ELT17" s="400"/>
      <c r="ELU17" s="400"/>
      <c r="ELV17" s="400"/>
      <c r="ELW17" s="400"/>
      <c r="ELX17" s="400"/>
      <c r="ELY17" s="400"/>
      <c r="ELZ17" s="400"/>
      <c r="EMA17" s="400"/>
      <c r="EMB17" s="400"/>
      <c r="EMC17" s="400"/>
      <c r="EMD17" s="400"/>
      <c r="EME17" s="400"/>
      <c r="EMF17" s="400"/>
      <c r="EMG17" s="400"/>
      <c r="EMH17" s="400"/>
      <c r="EMI17" s="400"/>
      <c r="EMJ17" s="400"/>
      <c r="EMK17" s="400"/>
      <c r="EML17" s="400"/>
      <c r="EMM17" s="400"/>
      <c r="EMN17" s="400"/>
      <c r="EMO17" s="400"/>
      <c r="EMP17" s="400"/>
      <c r="EMQ17" s="400"/>
      <c r="EMR17" s="400"/>
      <c r="EMS17" s="400"/>
      <c r="EMT17" s="400"/>
      <c r="EMU17" s="400"/>
      <c r="EMV17" s="400"/>
      <c r="EMW17" s="400"/>
      <c r="EMX17" s="400"/>
      <c r="EMY17" s="400"/>
      <c r="EMZ17" s="400"/>
      <c r="ENA17" s="400"/>
      <c r="ENB17" s="400"/>
      <c r="ENC17" s="400"/>
      <c r="END17" s="400"/>
      <c r="ENE17" s="400"/>
      <c r="ENF17" s="400"/>
      <c r="ENG17" s="400"/>
      <c r="ENH17" s="400"/>
      <c r="ENI17" s="400"/>
      <c r="ENJ17" s="400"/>
      <c r="ENK17" s="400"/>
      <c r="ENL17" s="400"/>
      <c r="ENM17" s="400"/>
      <c r="ENN17" s="400"/>
      <c r="ENO17" s="400"/>
      <c r="ENP17" s="400"/>
      <c r="ENQ17" s="400"/>
      <c r="ENR17" s="400"/>
      <c r="ENS17" s="400"/>
      <c r="ENT17" s="400"/>
      <c r="ENU17" s="400"/>
      <c r="ENV17" s="400"/>
      <c r="ENW17" s="400"/>
      <c r="ENX17" s="400"/>
      <c r="ENY17" s="400"/>
      <c r="ENZ17" s="400"/>
      <c r="EOA17" s="400"/>
      <c r="EOB17" s="400"/>
      <c r="EOC17" s="400"/>
      <c r="EOD17" s="400"/>
      <c r="EOE17" s="400"/>
      <c r="EOF17" s="400"/>
      <c r="EOG17" s="400"/>
      <c r="EOH17" s="400"/>
      <c r="EOI17" s="400"/>
      <c r="EOJ17" s="400"/>
      <c r="EOK17" s="400"/>
      <c r="EOL17" s="400"/>
      <c r="EOM17" s="400"/>
      <c r="EON17" s="400"/>
      <c r="EOO17" s="400"/>
      <c r="EOP17" s="400"/>
      <c r="EOQ17" s="400"/>
      <c r="EOR17" s="400"/>
      <c r="EOS17" s="400"/>
      <c r="EOT17" s="400"/>
      <c r="EOU17" s="400"/>
      <c r="EOV17" s="400"/>
      <c r="EOW17" s="400"/>
      <c r="EOX17" s="400"/>
      <c r="EOY17" s="400"/>
      <c r="EOZ17" s="400"/>
      <c r="EPA17" s="400"/>
      <c r="EPB17" s="400"/>
      <c r="EPC17" s="400"/>
      <c r="EPD17" s="400"/>
      <c r="EPE17" s="400"/>
      <c r="EPF17" s="400"/>
      <c r="EPG17" s="400"/>
      <c r="EPH17" s="400"/>
      <c r="EPI17" s="400"/>
      <c r="EPJ17" s="400"/>
      <c r="EPK17" s="400"/>
      <c r="EPL17" s="400"/>
      <c r="EPM17" s="400"/>
      <c r="EPN17" s="400"/>
      <c r="EPO17" s="400"/>
      <c r="EPP17" s="400"/>
      <c r="EPQ17" s="400"/>
      <c r="EPR17" s="400"/>
      <c r="EPS17" s="400"/>
      <c r="EPT17" s="400"/>
      <c r="EPU17" s="400"/>
      <c r="EPV17" s="400"/>
      <c r="EPW17" s="400"/>
      <c r="EPX17" s="400"/>
      <c r="EPY17" s="400"/>
      <c r="EPZ17" s="400"/>
      <c r="EQA17" s="400"/>
      <c r="EQB17" s="400"/>
      <c r="EQC17" s="400"/>
      <c r="EQD17" s="400"/>
      <c r="EQE17" s="400"/>
      <c r="EQF17" s="400"/>
      <c r="EQG17" s="400"/>
      <c r="EQH17" s="400"/>
      <c r="EQI17" s="400"/>
      <c r="EQJ17" s="400"/>
      <c r="EQK17" s="400"/>
      <c r="EQL17" s="400"/>
      <c r="EQM17" s="400"/>
      <c r="EQN17" s="400"/>
      <c r="EQO17" s="400"/>
      <c r="EQP17" s="400"/>
      <c r="EQQ17" s="400"/>
      <c r="EQR17" s="400"/>
      <c r="EQS17" s="400"/>
      <c r="EQT17" s="400"/>
      <c r="EQU17" s="400"/>
      <c r="EQV17" s="400"/>
      <c r="EQW17" s="400"/>
      <c r="EQX17" s="400"/>
      <c r="EQY17" s="400"/>
      <c r="EQZ17" s="400"/>
      <c r="ERA17" s="400"/>
      <c r="ERB17" s="400"/>
      <c r="ERC17" s="400"/>
      <c r="ERD17" s="400"/>
      <c r="ERE17" s="400"/>
      <c r="ERF17" s="400"/>
      <c r="ERG17" s="400"/>
      <c r="ERH17" s="400"/>
      <c r="ERI17" s="400"/>
      <c r="ERJ17" s="400"/>
      <c r="ERK17" s="400"/>
      <c r="ERL17" s="400"/>
      <c r="ERM17" s="400"/>
      <c r="ERN17" s="400"/>
      <c r="ERO17" s="400"/>
      <c r="ERP17" s="400"/>
      <c r="ERQ17" s="400"/>
      <c r="ERR17" s="400"/>
      <c r="ERS17" s="400"/>
      <c r="ERT17" s="400"/>
      <c r="ERU17" s="400"/>
      <c r="ERV17" s="400"/>
      <c r="ERW17" s="400"/>
      <c r="ERX17" s="400"/>
      <c r="ERY17" s="400"/>
      <c r="ERZ17" s="400"/>
      <c r="ESA17" s="400"/>
      <c r="ESB17" s="400"/>
      <c r="ESC17" s="400"/>
      <c r="ESD17" s="400"/>
      <c r="ESE17" s="400"/>
      <c r="ESF17" s="400"/>
      <c r="ESG17" s="400"/>
      <c r="ESH17" s="400"/>
      <c r="ESI17" s="400"/>
      <c r="ESJ17" s="400"/>
      <c r="ESK17" s="400"/>
      <c r="ESL17" s="400"/>
      <c r="ESM17" s="400"/>
      <c r="ESN17" s="400"/>
      <c r="ESO17" s="400"/>
      <c r="ESP17" s="400"/>
      <c r="ESQ17" s="400"/>
      <c r="ESR17" s="400"/>
      <c r="ESS17" s="400"/>
      <c r="EST17" s="400"/>
      <c r="ESU17" s="400"/>
      <c r="ESV17" s="400"/>
      <c r="ESW17" s="400"/>
      <c r="ESX17" s="400"/>
      <c r="ESY17" s="400"/>
      <c r="ESZ17" s="400"/>
      <c r="ETA17" s="400"/>
      <c r="ETB17" s="400"/>
      <c r="ETC17" s="400"/>
      <c r="ETD17" s="400"/>
      <c r="ETE17" s="400"/>
      <c r="ETF17" s="400"/>
      <c r="ETG17" s="400"/>
      <c r="ETH17" s="400"/>
      <c r="ETI17" s="400"/>
      <c r="ETJ17" s="400"/>
      <c r="ETK17" s="400"/>
      <c r="ETL17" s="400"/>
      <c r="ETM17" s="400"/>
      <c r="ETN17" s="400"/>
      <c r="ETO17" s="400"/>
      <c r="ETP17" s="400"/>
      <c r="ETQ17" s="400"/>
      <c r="ETR17" s="400"/>
      <c r="ETS17" s="400"/>
      <c r="ETT17" s="400"/>
      <c r="ETU17" s="400"/>
      <c r="ETV17" s="400"/>
      <c r="ETW17" s="400"/>
      <c r="ETX17" s="400"/>
      <c r="ETY17" s="400"/>
      <c r="ETZ17" s="400"/>
      <c r="EUA17" s="400"/>
      <c r="EUB17" s="400"/>
      <c r="EUC17" s="400"/>
      <c r="EUD17" s="400"/>
      <c r="EUE17" s="400"/>
      <c r="EUF17" s="400"/>
      <c r="EUG17" s="400"/>
      <c r="EUH17" s="400"/>
      <c r="EUI17" s="400"/>
      <c r="EUJ17" s="400"/>
      <c r="EUK17" s="400"/>
      <c r="EUL17" s="400"/>
      <c r="EUM17" s="400"/>
      <c r="EUN17" s="400"/>
      <c r="EUO17" s="400"/>
      <c r="EUP17" s="400"/>
      <c r="EUQ17" s="400"/>
      <c r="EUR17" s="400"/>
      <c r="EUS17" s="400"/>
      <c r="EUT17" s="400"/>
      <c r="EUU17" s="400"/>
      <c r="EUV17" s="400"/>
      <c r="EUW17" s="400"/>
      <c r="EUX17" s="400"/>
      <c r="EUY17" s="400"/>
      <c r="EUZ17" s="400"/>
      <c r="EVA17" s="400"/>
      <c r="EVB17" s="400"/>
      <c r="EVC17" s="400"/>
      <c r="EVD17" s="400"/>
      <c r="EVE17" s="400"/>
      <c r="EVF17" s="400"/>
      <c r="EVG17" s="400"/>
      <c r="EVH17" s="400"/>
      <c r="EVI17" s="400"/>
      <c r="EVJ17" s="400"/>
      <c r="EVK17" s="400"/>
      <c r="EVL17" s="400"/>
      <c r="EVM17" s="400"/>
      <c r="EVN17" s="400"/>
      <c r="EVO17" s="400"/>
      <c r="EVP17" s="400"/>
      <c r="EVQ17" s="400"/>
      <c r="EVR17" s="400"/>
      <c r="EVS17" s="400"/>
      <c r="EVT17" s="400"/>
      <c r="EVU17" s="400"/>
      <c r="EVV17" s="400"/>
      <c r="EVW17" s="400"/>
      <c r="EVX17" s="400"/>
      <c r="EVY17" s="400"/>
      <c r="EVZ17" s="400"/>
      <c r="EWA17" s="400"/>
      <c r="EWB17" s="400"/>
      <c r="EWC17" s="400"/>
      <c r="EWD17" s="400"/>
      <c r="EWE17" s="400"/>
      <c r="EWF17" s="400"/>
      <c r="EWG17" s="400"/>
      <c r="EWH17" s="400"/>
      <c r="EWI17" s="400"/>
      <c r="EWJ17" s="400"/>
      <c r="EWK17" s="400"/>
      <c r="EWL17" s="400"/>
      <c r="EWM17" s="400"/>
      <c r="EWN17" s="400"/>
      <c r="EWO17" s="400"/>
      <c r="EWP17" s="400"/>
      <c r="EWQ17" s="400"/>
      <c r="EWR17" s="400"/>
      <c r="EWS17" s="400"/>
      <c r="EWT17" s="400"/>
      <c r="EWU17" s="400"/>
      <c r="EWV17" s="400"/>
      <c r="EWW17" s="400"/>
      <c r="EWX17" s="400"/>
      <c r="EWY17" s="400"/>
      <c r="EWZ17" s="400"/>
      <c r="EXA17" s="400"/>
      <c r="EXB17" s="400"/>
      <c r="EXC17" s="400"/>
      <c r="EXD17" s="400"/>
      <c r="EXE17" s="400"/>
      <c r="EXF17" s="400"/>
      <c r="EXG17" s="400"/>
      <c r="EXH17" s="400"/>
      <c r="EXI17" s="400"/>
      <c r="EXJ17" s="400"/>
      <c r="EXK17" s="400"/>
      <c r="EXL17" s="400"/>
      <c r="EXM17" s="400"/>
      <c r="EXN17" s="400"/>
      <c r="EXO17" s="400"/>
      <c r="EXP17" s="400"/>
      <c r="EXQ17" s="400"/>
      <c r="EXR17" s="400"/>
      <c r="EXS17" s="400"/>
      <c r="EXT17" s="400"/>
      <c r="EXU17" s="400"/>
      <c r="EXV17" s="400"/>
      <c r="EXW17" s="400"/>
      <c r="EXX17" s="400"/>
      <c r="EXY17" s="400"/>
      <c r="EXZ17" s="400"/>
      <c r="EYA17" s="400"/>
      <c r="EYB17" s="400"/>
      <c r="EYC17" s="400"/>
      <c r="EYD17" s="400"/>
      <c r="EYE17" s="400"/>
      <c r="EYF17" s="400"/>
      <c r="EYG17" s="400"/>
      <c r="EYH17" s="400"/>
      <c r="EYI17" s="400"/>
      <c r="EYJ17" s="400"/>
      <c r="EYK17" s="400"/>
      <c r="EYL17" s="400"/>
      <c r="EYM17" s="400"/>
      <c r="EYN17" s="400"/>
      <c r="EYO17" s="400"/>
      <c r="EYP17" s="400"/>
      <c r="EYQ17" s="400"/>
      <c r="EYR17" s="400"/>
      <c r="EYS17" s="400"/>
      <c r="EYT17" s="400"/>
      <c r="EYU17" s="400"/>
      <c r="EYV17" s="400"/>
      <c r="EYW17" s="400"/>
      <c r="EYX17" s="400"/>
      <c r="EYY17" s="400"/>
      <c r="EYZ17" s="400"/>
      <c r="EZA17" s="400"/>
      <c r="EZB17" s="400"/>
      <c r="EZC17" s="400"/>
      <c r="EZD17" s="400"/>
      <c r="EZE17" s="400"/>
      <c r="EZF17" s="400"/>
      <c r="EZG17" s="400"/>
      <c r="EZH17" s="400"/>
      <c r="EZI17" s="400"/>
      <c r="EZJ17" s="400"/>
      <c r="EZK17" s="400"/>
      <c r="EZL17" s="400"/>
      <c r="EZM17" s="400"/>
      <c r="EZN17" s="400"/>
      <c r="EZO17" s="400"/>
      <c r="EZP17" s="400"/>
      <c r="EZQ17" s="400"/>
      <c r="EZR17" s="400"/>
      <c r="EZS17" s="400"/>
      <c r="EZT17" s="400"/>
      <c r="EZU17" s="400"/>
      <c r="EZV17" s="400"/>
      <c r="EZW17" s="400"/>
      <c r="EZX17" s="400"/>
      <c r="EZY17" s="400"/>
      <c r="EZZ17" s="400"/>
      <c r="FAA17" s="400"/>
      <c r="FAB17" s="400"/>
      <c r="FAC17" s="400"/>
      <c r="FAD17" s="400"/>
      <c r="FAE17" s="400"/>
      <c r="FAF17" s="400"/>
      <c r="FAG17" s="400"/>
      <c r="FAH17" s="400"/>
      <c r="FAI17" s="400"/>
      <c r="FAJ17" s="400"/>
      <c r="FAK17" s="400"/>
      <c r="FAL17" s="400"/>
      <c r="FAM17" s="400"/>
      <c r="FAN17" s="400"/>
      <c r="FAO17" s="400"/>
      <c r="FAP17" s="400"/>
      <c r="FAQ17" s="400"/>
      <c r="FAR17" s="400"/>
      <c r="FAS17" s="400"/>
      <c r="FAT17" s="400"/>
      <c r="FAU17" s="400"/>
      <c r="FAV17" s="400"/>
      <c r="FAW17" s="400"/>
      <c r="FAX17" s="400"/>
      <c r="FAY17" s="400"/>
      <c r="FAZ17" s="400"/>
      <c r="FBA17" s="400"/>
      <c r="FBB17" s="400"/>
      <c r="FBC17" s="400"/>
      <c r="FBD17" s="400"/>
      <c r="FBE17" s="400"/>
      <c r="FBF17" s="400"/>
      <c r="FBG17" s="400"/>
      <c r="FBH17" s="400"/>
      <c r="FBI17" s="400"/>
      <c r="FBJ17" s="400"/>
      <c r="FBK17" s="400"/>
      <c r="FBL17" s="400"/>
      <c r="FBM17" s="400"/>
      <c r="FBN17" s="400"/>
      <c r="FBO17" s="400"/>
      <c r="FBP17" s="400"/>
      <c r="FBQ17" s="400"/>
      <c r="FBR17" s="400"/>
      <c r="FBS17" s="400"/>
      <c r="FBT17" s="400"/>
      <c r="FBU17" s="400"/>
      <c r="FBV17" s="400"/>
      <c r="FBW17" s="400"/>
      <c r="FBX17" s="400"/>
      <c r="FBY17" s="400"/>
      <c r="FBZ17" s="400"/>
      <c r="FCA17" s="400"/>
      <c r="FCB17" s="400"/>
      <c r="FCC17" s="400"/>
      <c r="FCD17" s="400"/>
      <c r="FCE17" s="400"/>
      <c r="FCF17" s="400"/>
      <c r="FCG17" s="400"/>
      <c r="FCH17" s="400"/>
      <c r="FCI17" s="400"/>
      <c r="FCJ17" s="400"/>
      <c r="FCK17" s="400"/>
      <c r="FCL17" s="400"/>
      <c r="FCM17" s="400"/>
      <c r="FCN17" s="400"/>
      <c r="FCO17" s="400"/>
      <c r="FCP17" s="400"/>
      <c r="FCQ17" s="400"/>
      <c r="FCR17" s="400"/>
      <c r="FCS17" s="400"/>
      <c r="FCT17" s="400"/>
      <c r="FCU17" s="400"/>
      <c r="FCV17" s="400"/>
      <c r="FCW17" s="400"/>
      <c r="FCX17" s="400"/>
      <c r="FCY17" s="400"/>
      <c r="FCZ17" s="400"/>
      <c r="FDA17" s="400"/>
      <c r="FDB17" s="400"/>
      <c r="FDC17" s="400"/>
      <c r="FDD17" s="400"/>
      <c r="FDE17" s="400"/>
      <c r="FDF17" s="400"/>
      <c r="FDG17" s="400"/>
      <c r="FDH17" s="400"/>
      <c r="FDI17" s="400"/>
      <c r="FDJ17" s="400"/>
      <c r="FDK17" s="400"/>
      <c r="FDL17" s="400"/>
      <c r="FDM17" s="400"/>
      <c r="FDN17" s="400"/>
      <c r="FDO17" s="400"/>
      <c r="FDP17" s="400"/>
      <c r="FDQ17" s="400"/>
      <c r="FDR17" s="400"/>
      <c r="FDS17" s="400"/>
      <c r="FDT17" s="400"/>
      <c r="FDU17" s="400"/>
      <c r="FDV17" s="400"/>
      <c r="FDW17" s="400"/>
      <c r="FDX17" s="400"/>
      <c r="FDY17" s="400"/>
      <c r="FDZ17" s="400"/>
      <c r="FEA17" s="400"/>
      <c r="FEB17" s="400"/>
      <c r="FEC17" s="400"/>
      <c r="FED17" s="400"/>
      <c r="FEE17" s="400"/>
      <c r="FEF17" s="400"/>
      <c r="FEG17" s="400"/>
      <c r="FEH17" s="400"/>
      <c r="FEI17" s="400"/>
      <c r="FEJ17" s="400"/>
      <c r="FEK17" s="400"/>
      <c r="FEL17" s="400"/>
      <c r="FEM17" s="400"/>
      <c r="FEN17" s="400"/>
      <c r="FEO17" s="400"/>
      <c r="FEP17" s="400"/>
      <c r="FEQ17" s="400"/>
      <c r="FER17" s="400"/>
      <c r="FES17" s="400"/>
      <c r="FET17" s="400"/>
      <c r="FEU17" s="400"/>
      <c r="FEV17" s="400"/>
      <c r="FEW17" s="400"/>
      <c r="FEX17" s="400"/>
      <c r="FEY17" s="400"/>
      <c r="FEZ17" s="400"/>
      <c r="FFA17" s="400"/>
      <c r="FFB17" s="400"/>
      <c r="FFC17" s="400"/>
      <c r="FFD17" s="400"/>
      <c r="FFE17" s="400"/>
      <c r="FFF17" s="400"/>
      <c r="FFG17" s="400"/>
      <c r="FFH17" s="400"/>
      <c r="FFI17" s="400"/>
      <c r="FFJ17" s="400"/>
      <c r="FFK17" s="400"/>
      <c r="FFL17" s="400"/>
      <c r="FFM17" s="400"/>
      <c r="FFN17" s="400"/>
      <c r="FFO17" s="400"/>
      <c r="FFP17" s="400"/>
      <c r="FFQ17" s="400"/>
      <c r="FFR17" s="400"/>
      <c r="FFS17" s="400"/>
      <c r="FFT17" s="400"/>
      <c r="FFU17" s="400"/>
      <c r="FFV17" s="400"/>
      <c r="FFW17" s="400"/>
      <c r="FFX17" s="400"/>
      <c r="FFY17" s="400"/>
      <c r="FFZ17" s="400"/>
      <c r="FGA17" s="400"/>
      <c r="FGB17" s="400"/>
      <c r="FGC17" s="400"/>
      <c r="FGD17" s="400"/>
      <c r="FGE17" s="400"/>
      <c r="FGF17" s="400"/>
      <c r="FGG17" s="400"/>
      <c r="FGH17" s="400"/>
      <c r="FGI17" s="400"/>
      <c r="FGJ17" s="400"/>
      <c r="FGK17" s="400"/>
      <c r="FGL17" s="400"/>
      <c r="FGM17" s="400"/>
      <c r="FGN17" s="400"/>
      <c r="FGO17" s="400"/>
      <c r="FGP17" s="400"/>
      <c r="FGQ17" s="400"/>
      <c r="FGR17" s="400"/>
      <c r="FGS17" s="400"/>
      <c r="FGT17" s="400"/>
      <c r="FGU17" s="400"/>
      <c r="FGV17" s="400"/>
      <c r="FGW17" s="400"/>
      <c r="FGX17" s="400"/>
      <c r="FGY17" s="400"/>
      <c r="FGZ17" s="400"/>
      <c r="FHA17" s="400"/>
      <c r="FHB17" s="400"/>
      <c r="FHC17" s="400"/>
      <c r="FHD17" s="400"/>
      <c r="FHE17" s="400"/>
      <c r="FHF17" s="400"/>
      <c r="FHG17" s="400"/>
      <c r="FHH17" s="400"/>
      <c r="FHI17" s="400"/>
      <c r="FHJ17" s="400"/>
      <c r="FHK17" s="400"/>
      <c r="FHL17" s="400"/>
      <c r="FHM17" s="400"/>
      <c r="FHN17" s="400"/>
      <c r="FHO17" s="400"/>
      <c r="FHP17" s="400"/>
      <c r="FHQ17" s="400"/>
      <c r="FHR17" s="400"/>
      <c r="FHS17" s="400"/>
      <c r="FHT17" s="400"/>
      <c r="FHU17" s="400"/>
      <c r="FHV17" s="400"/>
      <c r="FHW17" s="400"/>
      <c r="FHX17" s="400"/>
      <c r="FHY17" s="400"/>
      <c r="FHZ17" s="400"/>
      <c r="FIA17" s="400"/>
      <c r="FIB17" s="400"/>
      <c r="FIC17" s="400"/>
      <c r="FID17" s="400"/>
      <c r="FIE17" s="400"/>
      <c r="FIF17" s="400"/>
      <c r="FIG17" s="400"/>
      <c r="FIH17" s="400"/>
      <c r="FII17" s="400"/>
      <c r="FIJ17" s="400"/>
      <c r="FIK17" s="400"/>
      <c r="FIL17" s="400"/>
      <c r="FIM17" s="400"/>
      <c r="FIN17" s="400"/>
      <c r="FIO17" s="400"/>
      <c r="FIP17" s="400"/>
      <c r="FIQ17" s="400"/>
      <c r="FIR17" s="400"/>
      <c r="FIS17" s="400"/>
      <c r="FIT17" s="400"/>
      <c r="FIU17" s="400"/>
      <c r="FIV17" s="400"/>
      <c r="FIW17" s="400"/>
      <c r="FIX17" s="400"/>
      <c r="FIY17" s="400"/>
      <c r="FIZ17" s="400"/>
      <c r="FJA17" s="400"/>
      <c r="FJB17" s="400"/>
      <c r="FJC17" s="400"/>
      <c r="FJD17" s="400"/>
      <c r="FJE17" s="400"/>
      <c r="FJF17" s="400"/>
      <c r="FJG17" s="400"/>
      <c r="FJH17" s="400"/>
      <c r="FJI17" s="400"/>
      <c r="FJJ17" s="400"/>
      <c r="FJK17" s="400"/>
      <c r="FJL17" s="400"/>
      <c r="FJM17" s="400"/>
      <c r="FJN17" s="400"/>
      <c r="FJO17" s="400"/>
      <c r="FJP17" s="400"/>
      <c r="FJQ17" s="400"/>
      <c r="FJR17" s="400"/>
      <c r="FJS17" s="400"/>
      <c r="FJT17" s="400"/>
      <c r="FJU17" s="400"/>
      <c r="FJV17" s="400"/>
      <c r="FJW17" s="400"/>
      <c r="FJX17" s="400"/>
      <c r="FJY17" s="400"/>
      <c r="FJZ17" s="400"/>
      <c r="FKA17" s="400"/>
      <c r="FKB17" s="400"/>
      <c r="FKC17" s="400"/>
      <c r="FKD17" s="400"/>
      <c r="FKE17" s="400"/>
      <c r="FKF17" s="400"/>
      <c r="FKG17" s="400"/>
      <c r="FKH17" s="400"/>
      <c r="FKI17" s="400"/>
      <c r="FKJ17" s="400"/>
      <c r="FKK17" s="400"/>
      <c r="FKL17" s="400"/>
      <c r="FKM17" s="400"/>
      <c r="FKN17" s="400"/>
      <c r="FKO17" s="400"/>
      <c r="FKP17" s="400"/>
      <c r="FKQ17" s="400"/>
      <c r="FKR17" s="400"/>
      <c r="FKS17" s="400"/>
      <c r="FKT17" s="400"/>
      <c r="FKU17" s="400"/>
      <c r="FKV17" s="400"/>
      <c r="FKW17" s="400"/>
      <c r="FKX17" s="400"/>
      <c r="FKY17" s="400"/>
      <c r="FKZ17" s="400"/>
      <c r="FLA17" s="400"/>
      <c r="FLB17" s="400"/>
      <c r="FLC17" s="400"/>
      <c r="FLD17" s="400"/>
      <c r="FLE17" s="400"/>
      <c r="FLF17" s="400"/>
      <c r="FLG17" s="400"/>
      <c r="FLH17" s="400"/>
      <c r="FLI17" s="400"/>
      <c r="FLJ17" s="400"/>
      <c r="FLK17" s="400"/>
      <c r="FLL17" s="400"/>
      <c r="FLM17" s="400"/>
      <c r="FLN17" s="400"/>
      <c r="FLO17" s="400"/>
      <c r="FLP17" s="400"/>
      <c r="FLQ17" s="400"/>
      <c r="FLR17" s="400"/>
      <c r="FLS17" s="400"/>
      <c r="FLT17" s="400"/>
      <c r="FLU17" s="400"/>
      <c r="FLV17" s="400"/>
      <c r="FLW17" s="400"/>
      <c r="FLX17" s="400"/>
      <c r="FLY17" s="400"/>
      <c r="FLZ17" s="400"/>
      <c r="FMA17" s="400"/>
      <c r="FMB17" s="400"/>
      <c r="FMC17" s="400"/>
      <c r="FMD17" s="400"/>
      <c r="FME17" s="400"/>
      <c r="FMF17" s="400"/>
      <c r="FMG17" s="400"/>
      <c r="FMH17" s="400"/>
      <c r="FMI17" s="400"/>
      <c r="FMJ17" s="400"/>
      <c r="FMK17" s="400"/>
      <c r="FML17" s="400"/>
      <c r="FMM17" s="400"/>
      <c r="FMN17" s="400"/>
      <c r="FMO17" s="400"/>
      <c r="FMP17" s="400"/>
      <c r="FMQ17" s="400"/>
      <c r="FMR17" s="400"/>
      <c r="FMS17" s="400"/>
      <c r="FMT17" s="400"/>
      <c r="FMU17" s="400"/>
      <c r="FMV17" s="400"/>
      <c r="FMW17" s="400"/>
      <c r="FMX17" s="400"/>
      <c r="FMY17" s="400"/>
      <c r="FMZ17" s="400"/>
      <c r="FNA17" s="400"/>
      <c r="FNB17" s="400"/>
      <c r="FNC17" s="400"/>
      <c r="FND17" s="400"/>
      <c r="FNE17" s="400"/>
      <c r="FNF17" s="400"/>
      <c r="FNG17" s="400"/>
      <c r="FNH17" s="400"/>
      <c r="FNI17" s="400"/>
      <c r="FNJ17" s="400"/>
      <c r="FNK17" s="400"/>
      <c r="FNL17" s="400"/>
      <c r="FNM17" s="400"/>
      <c r="FNN17" s="400"/>
      <c r="FNO17" s="400"/>
      <c r="FNP17" s="400"/>
      <c r="FNQ17" s="400"/>
      <c r="FNR17" s="400"/>
      <c r="FNS17" s="400"/>
      <c r="FNT17" s="400"/>
      <c r="FNU17" s="400"/>
      <c r="FNV17" s="400"/>
      <c r="FNW17" s="400"/>
      <c r="FNX17" s="400"/>
      <c r="FNY17" s="400"/>
      <c r="FNZ17" s="400"/>
      <c r="FOA17" s="400"/>
      <c r="FOB17" s="400"/>
      <c r="FOC17" s="400"/>
      <c r="FOD17" s="400"/>
      <c r="FOE17" s="400"/>
      <c r="FOF17" s="400"/>
      <c r="FOG17" s="400"/>
      <c r="FOH17" s="400"/>
      <c r="FOI17" s="400"/>
      <c r="FOJ17" s="400"/>
      <c r="FOK17" s="400"/>
      <c r="FOL17" s="400"/>
      <c r="FOM17" s="400"/>
      <c r="FON17" s="400"/>
      <c r="FOO17" s="400"/>
      <c r="FOP17" s="400"/>
      <c r="FOQ17" s="400"/>
      <c r="FOR17" s="400"/>
      <c r="FOS17" s="400"/>
      <c r="FOT17" s="400"/>
      <c r="FOU17" s="400"/>
      <c r="FOV17" s="400"/>
      <c r="FOW17" s="400"/>
      <c r="FOX17" s="400"/>
      <c r="FOY17" s="400"/>
      <c r="FOZ17" s="400"/>
      <c r="FPA17" s="400"/>
      <c r="FPB17" s="400"/>
      <c r="FPC17" s="400"/>
      <c r="FPD17" s="400"/>
      <c r="FPE17" s="400"/>
      <c r="FPF17" s="400"/>
      <c r="FPG17" s="400"/>
      <c r="FPH17" s="400"/>
      <c r="FPI17" s="400"/>
      <c r="FPJ17" s="400"/>
      <c r="FPK17" s="400"/>
      <c r="FPL17" s="400"/>
      <c r="FPM17" s="400"/>
      <c r="FPN17" s="400"/>
      <c r="FPO17" s="400"/>
      <c r="FPP17" s="400"/>
      <c r="FPQ17" s="400"/>
      <c r="FPR17" s="400"/>
      <c r="FPS17" s="400"/>
      <c r="FPT17" s="400"/>
      <c r="FPU17" s="400"/>
      <c r="FPV17" s="400"/>
      <c r="FPW17" s="400"/>
      <c r="FPX17" s="400"/>
      <c r="FPY17" s="400"/>
      <c r="FPZ17" s="400"/>
      <c r="FQA17" s="400"/>
      <c r="FQB17" s="400"/>
      <c r="FQC17" s="400"/>
      <c r="FQD17" s="400"/>
      <c r="FQE17" s="400"/>
      <c r="FQF17" s="400"/>
      <c r="FQG17" s="400"/>
      <c r="FQH17" s="400"/>
      <c r="FQI17" s="400"/>
      <c r="FQJ17" s="400"/>
      <c r="FQK17" s="400"/>
      <c r="FQL17" s="400"/>
      <c r="FQM17" s="400"/>
      <c r="FQN17" s="400"/>
      <c r="FQO17" s="400"/>
      <c r="FQP17" s="400"/>
      <c r="FQQ17" s="400"/>
      <c r="FQR17" s="400"/>
      <c r="FQS17" s="400"/>
      <c r="FQT17" s="400"/>
      <c r="FQU17" s="400"/>
      <c r="FQV17" s="400"/>
      <c r="FQW17" s="400"/>
      <c r="FQX17" s="400"/>
      <c r="FQY17" s="400"/>
      <c r="FQZ17" s="400"/>
      <c r="FRA17" s="400"/>
      <c r="FRB17" s="400"/>
      <c r="FRC17" s="400"/>
      <c r="FRD17" s="400"/>
      <c r="FRE17" s="400"/>
      <c r="FRF17" s="400"/>
      <c r="FRG17" s="400"/>
      <c r="FRH17" s="400"/>
      <c r="FRI17" s="400"/>
      <c r="FRJ17" s="400"/>
      <c r="FRK17" s="400"/>
      <c r="FRL17" s="400"/>
      <c r="FRM17" s="400"/>
      <c r="FRN17" s="400"/>
      <c r="FRO17" s="400"/>
      <c r="FRP17" s="400"/>
      <c r="FRQ17" s="400"/>
      <c r="FRR17" s="400"/>
      <c r="FRS17" s="400"/>
      <c r="FRT17" s="400"/>
      <c r="FRU17" s="400"/>
      <c r="FRV17" s="400"/>
      <c r="FRW17" s="400"/>
      <c r="FRX17" s="400"/>
      <c r="FRY17" s="400"/>
      <c r="FRZ17" s="400"/>
      <c r="FSA17" s="400"/>
      <c r="FSB17" s="400"/>
      <c r="FSC17" s="400"/>
      <c r="FSD17" s="400"/>
      <c r="FSE17" s="400"/>
      <c r="FSF17" s="400"/>
      <c r="FSG17" s="400"/>
      <c r="FSH17" s="400"/>
      <c r="FSI17" s="400"/>
      <c r="FSJ17" s="400"/>
      <c r="FSK17" s="400"/>
      <c r="FSL17" s="400"/>
      <c r="FSM17" s="400"/>
      <c r="FSN17" s="400"/>
      <c r="FSO17" s="400"/>
      <c r="FSP17" s="400"/>
      <c r="FSQ17" s="400"/>
      <c r="FSR17" s="400"/>
      <c r="FSS17" s="400"/>
      <c r="FST17" s="400"/>
      <c r="FSU17" s="400"/>
      <c r="FSV17" s="400"/>
      <c r="FSW17" s="400"/>
      <c r="FSX17" s="400"/>
      <c r="FSY17" s="400"/>
      <c r="FSZ17" s="400"/>
      <c r="FTA17" s="400"/>
      <c r="FTB17" s="400"/>
      <c r="FTC17" s="400"/>
      <c r="FTD17" s="400"/>
      <c r="FTE17" s="400"/>
      <c r="FTF17" s="400"/>
      <c r="FTG17" s="400"/>
      <c r="FTH17" s="400"/>
      <c r="FTI17" s="400"/>
      <c r="FTJ17" s="400"/>
      <c r="FTK17" s="400"/>
      <c r="FTL17" s="400"/>
      <c r="FTM17" s="400"/>
      <c r="FTN17" s="400"/>
      <c r="FTO17" s="400"/>
      <c r="FTP17" s="400"/>
      <c r="FTQ17" s="400"/>
      <c r="FTR17" s="400"/>
      <c r="FTS17" s="400"/>
      <c r="FTT17" s="400"/>
      <c r="FTU17" s="400"/>
      <c r="FTV17" s="400"/>
      <c r="FTW17" s="400"/>
      <c r="FTX17" s="400"/>
      <c r="FTY17" s="400"/>
      <c r="FTZ17" s="400"/>
      <c r="FUA17" s="400"/>
      <c r="FUB17" s="400"/>
      <c r="FUC17" s="400"/>
      <c r="FUD17" s="400"/>
      <c r="FUE17" s="400"/>
      <c r="FUF17" s="400"/>
      <c r="FUG17" s="400"/>
      <c r="FUH17" s="400"/>
      <c r="FUI17" s="400"/>
      <c r="FUJ17" s="400"/>
      <c r="FUK17" s="400"/>
      <c r="FUL17" s="400"/>
      <c r="FUM17" s="400"/>
      <c r="FUN17" s="400"/>
      <c r="FUO17" s="400"/>
      <c r="FUP17" s="400"/>
      <c r="FUQ17" s="400"/>
      <c r="FUR17" s="400"/>
      <c r="FUS17" s="400"/>
      <c r="FUT17" s="400"/>
      <c r="FUU17" s="400"/>
      <c r="FUV17" s="400"/>
      <c r="FUW17" s="400"/>
      <c r="FUX17" s="400"/>
      <c r="FUY17" s="400"/>
      <c r="FUZ17" s="400"/>
      <c r="FVA17" s="400"/>
      <c r="FVB17" s="400"/>
      <c r="FVC17" s="400"/>
      <c r="FVD17" s="400"/>
      <c r="FVE17" s="400"/>
      <c r="FVF17" s="400"/>
      <c r="FVG17" s="400"/>
      <c r="FVH17" s="400"/>
      <c r="FVI17" s="400"/>
      <c r="FVJ17" s="400"/>
      <c r="FVK17" s="400"/>
      <c r="FVL17" s="400"/>
      <c r="FVM17" s="400"/>
      <c r="FVN17" s="400"/>
      <c r="FVO17" s="400"/>
      <c r="FVP17" s="400"/>
      <c r="FVQ17" s="400"/>
      <c r="FVR17" s="400"/>
      <c r="FVS17" s="400"/>
      <c r="FVT17" s="400"/>
      <c r="FVU17" s="400"/>
      <c r="FVV17" s="400"/>
      <c r="FVW17" s="400"/>
      <c r="FVX17" s="400"/>
      <c r="FVY17" s="400"/>
      <c r="FVZ17" s="400"/>
      <c r="FWA17" s="400"/>
      <c r="FWB17" s="400"/>
      <c r="FWC17" s="400"/>
      <c r="FWD17" s="400"/>
      <c r="FWE17" s="400"/>
      <c r="FWF17" s="400"/>
      <c r="FWG17" s="400"/>
      <c r="FWH17" s="400"/>
      <c r="FWI17" s="400"/>
      <c r="FWJ17" s="400"/>
      <c r="FWK17" s="400"/>
      <c r="FWL17" s="400"/>
      <c r="FWM17" s="400"/>
      <c r="FWN17" s="400"/>
      <c r="FWO17" s="400"/>
      <c r="FWP17" s="400"/>
      <c r="FWQ17" s="400"/>
      <c r="FWR17" s="400"/>
      <c r="FWS17" s="400"/>
      <c r="FWT17" s="400"/>
      <c r="FWU17" s="400"/>
      <c r="FWV17" s="400"/>
      <c r="FWW17" s="400"/>
      <c r="FWX17" s="400"/>
      <c r="FWY17" s="400"/>
      <c r="FWZ17" s="400"/>
      <c r="FXA17" s="400"/>
      <c r="FXB17" s="400"/>
      <c r="FXC17" s="400"/>
      <c r="FXD17" s="400"/>
      <c r="FXE17" s="400"/>
      <c r="FXF17" s="400"/>
      <c r="FXG17" s="400"/>
      <c r="FXH17" s="400"/>
      <c r="FXI17" s="400"/>
      <c r="FXJ17" s="400"/>
      <c r="FXK17" s="400"/>
      <c r="FXL17" s="400"/>
      <c r="FXM17" s="400"/>
      <c r="FXN17" s="400"/>
      <c r="FXO17" s="400"/>
      <c r="FXP17" s="400"/>
      <c r="FXQ17" s="400"/>
      <c r="FXR17" s="400"/>
      <c r="FXS17" s="400"/>
      <c r="FXT17" s="400"/>
      <c r="FXU17" s="400"/>
      <c r="FXV17" s="400"/>
      <c r="FXW17" s="400"/>
      <c r="FXX17" s="400"/>
      <c r="FXY17" s="400"/>
      <c r="FXZ17" s="400"/>
      <c r="FYA17" s="400"/>
      <c r="FYB17" s="400"/>
      <c r="FYC17" s="400"/>
      <c r="FYD17" s="400"/>
      <c r="FYE17" s="400"/>
      <c r="FYF17" s="400"/>
      <c r="FYG17" s="400"/>
      <c r="FYH17" s="400"/>
      <c r="FYI17" s="400"/>
      <c r="FYJ17" s="400"/>
      <c r="FYK17" s="400"/>
      <c r="FYL17" s="400"/>
      <c r="FYM17" s="400"/>
      <c r="FYN17" s="400"/>
      <c r="FYO17" s="400"/>
      <c r="FYP17" s="400"/>
      <c r="FYQ17" s="400"/>
      <c r="FYR17" s="400"/>
      <c r="FYS17" s="400"/>
      <c r="FYT17" s="400"/>
      <c r="FYU17" s="400"/>
      <c r="FYV17" s="400"/>
      <c r="FYW17" s="400"/>
      <c r="FYX17" s="400"/>
      <c r="FYY17" s="400"/>
      <c r="FYZ17" s="400"/>
      <c r="FZA17" s="400"/>
      <c r="FZB17" s="400"/>
      <c r="FZC17" s="400"/>
      <c r="FZD17" s="400"/>
      <c r="FZE17" s="400"/>
      <c r="FZF17" s="400"/>
      <c r="FZG17" s="400"/>
      <c r="FZH17" s="400"/>
      <c r="FZI17" s="400"/>
      <c r="FZJ17" s="400"/>
      <c r="FZK17" s="400"/>
      <c r="FZL17" s="400"/>
      <c r="FZM17" s="400"/>
      <c r="FZN17" s="400"/>
      <c r="FZO17" s="400"/>
      <c r="FZP17" s="400"/>
      <c r="FZQ17" s="400"/>
      <c r="FZR17" s="400"/>
      <c r="FZS17" s="400"/>
      <c r="FZT17" s="400"/>
      <c r="FZU17" s="400"/>
      <c r="FZV17" s="400"/>
      <c r="FZW17" s="400"/>
      <c r="FZX17" s="400"/>
      <c r="FZY17" s="400"/>
      <c r="FZZ17" s="400"/>
      <c r="GAA17" s="400"/>
      <c r="GAB17" s="400"/>
      <c r="GAC17" s="400"/>
      <c r="GAD17" s="400"/>
      <c r="GAE17" s="400"/>
      <c r="GAF17" s="400"/>
      <c r="GAG17" s="400"/>
      <c r="GAH17" s="400"/>
      <c r="GAI17" s="400"/>
      <c r="GAJ17" s="400"/>
      <c r="GAK17" s="400"/>
      <c r="GAL17" s="400"/>
      <c r="GAM17" s="400"/>
      <c r="GAN17" s="400"/>
      <c r="GAO17" s="400"/>
      <c r="GAP17" s="400"/>
      <c r="GAQ17" s="400"/>
      <c r="GAR17" s="400"/>
      <c r="GAS17" s="400"/>
      <c r="GAT17" s="400"/>
      <c r="GAU17" s="400"/>
      <c r="GAV17" s="400"/>
      <c r="GAW17" s="400"/>
      <c r="GAX17" s="400"/>
      <c r="GAY17" s="400"/>
      <c r="GAZ17" s="400"/>
      <c r="GBA17" s="400"/>
      <c r="GBB17" s="400"/>
      <c r="GBC17" s="400"/>
      <c r="GBD17" s="400"/>
      <c r="GBE17" s="400"/>
      <c r="GBF17" s="400"/>
      <c r="GBG17" s="400"/>
      <c r="GBH17" s="400"/>
      <c r="GBI17" s="400"/>
      <c r="GBJ17" s="400"/>
      <c r="GBK17" s="400"/>
      <c r="GBL17" s="400"/>
      <c r="GBM17" s="400"/>
      <c r="GBN17" s="400"/>
      <c r="GBO17" s="400"/>
      <c r="GBP17" s="400"/>
      <c r="GBQ17" s="400"/>
      <c r="GBR17" s="400"/>
      <c r="GBS17" s="400"/>
      <c r="GBT17" s="400"/>
      <c r="GBU17" s="400"/>
      <c r="GBV17" s="400"/>
      <c r="GBW17" s="400"/>
      <c r="GBX17" s="400"/>
      <c r="GBY17" s="400"/>
      <c r="GBZ17" s="400"/>
      <c r="GCA17" s="400"/>
      <c r="GCB17" s="400"/>
      <c r="GCC17" s="400"/>
      <c r="GCD17" s="400"/>
      <c r="GCE17" s="400"/>
      <c r="GCF17" s="400"/>
      <c r="GCG17" s="400"/>
      <c r="GCH17" s="400"/>
      <c r="GCI17" s="400"/>
      <c r="GCJ17" s="400"/>
      <c r="GCK17" s="400"/>
      <c r="GCL17" s="400"/>
      <c r="GCM17" s="400"/>
      <c r="GCN17" s="400"/>
      <c r="GCO17" s="400"/>
      <c r="GCP17" s="400"/>
      <c r="GCQ17" s="400"/>
      <c r="GCR17" s="400"/>
      <c r="GCS17" s="400"/>
      <c r="GCT17" s="400"/>
      <c r="GCU17" s="400"/>
      <c r="GCV17" s="400"/>
      <c r="GCW17" s="400"/>
      <c r="GCX17" s="400"/>
      <c r="GCY17" s="400"/>
      <c r="GCZ17" s="400"/>
      <c r="GDA17" s="400"/>
      <c r="GDB17" s="400"/>
      <c r="GDC17" s="400"/>
      <c r="GDD17" s="400"/>
      <c r="GDE17" s="400"/>
      <c r="GDF17" s="400"/>
      <c r="GDG17" s="400"/>
      <c r="GDH17" s="400"/>
      <c r="GDI17" s="400"/>
      <c r="GDJ17" s="400"/>
      <c r="GDK17" s="400"/>
      <c r="GDL17" s="400"/>
      <c r="GDM17" s="400"/>
      <c r="GDN17" s="400"/>
      <c r="GDO17" s="400"/>
      <c r="GDP17" s="400"/>
      <c r="GDQ17" s="400"/>
      <c r="GDR17" s="400"/>
      <c r="GDS17" s="400"/>
      <c r="GDT17" s="400"/>
      <c r="GDU17" s="400"/>
      <c r="GDV17" s="400"/>
      <c r="GDW17" s="400"/>
      <c r="GDX17" s="400"/>
      <c r="GDY17" s="400"/>
      <c r="GDZ17" s="400"/>
      <c r="GEA17" s="400"/>
      <c r="GEB17" s="400"/>
      <c r="GEC17" s="400"/>
      <c r="GED17" s="400"/>
      <c r="GEE17" s="400"/>
      <c r="GEF17" s="400"/>
      <c r="GEG17" s="400"/>
      <c r="GEH17" s="400"/>
      <c r="GEI17" s="400"/>
      <c r="GEJ17" s="400"/>
      <c r="GEK17" s="400"/>
      <c r="GEL17" s="400"/>
      <c r="GEM17" s="400"/>
      <c r="GEN17" s="400"/>
      <c r="GEO17" s="400"/>
      <c r="GEP17" s="400"/>
      <c r="GEQ17" s="400"/>
      <c r="GER17" s="400"/>
      <c r="GES17" s="400"/>
      <c r="GET17" s="400"/>
      <c r="GEU17" s="400"/>
      <c r="GEV17" s="400"/>
      <c r="GEW17" s="400"/>
      <c r="GEX17" s="400"/>
      <c r="GEY17" s="400"/>
      <c r="GEZ17" s="400"/>
      <c r="GFA17" s="400"/>
      <c r="GFB17" s="400"/>
      <c r="GFC17" s="400"/>
      <c r="GFD17" s="400"/>
      <c r="GFE17" s="400"/>
      <c r="GFF17" s="400"/>
      <c r="GFG17" s="400"/>
      <c r="GFH17" s="400"/>
      <c r="GFI17" s="400"/>
      <c r="GFJ17" s="400"/>
      <c r="GFK17" s="400"/>
      <c r="GFL17" s="400"/>
      <c r="GFM17" s="400"/>
      <c r="GFN17" s="400"/>
      <c r="GFO17" s="400"/>
      <c r="GFP17" s="400"/>
      <c r="GFQ17" s="400"/>
      <c r="GFR17" s="400"/>
      <c r="GFS17" s="400"/>
      <c r="GFT17" s="400"/>
      <c r="GFU17" s="400"/>
      <c r="GFV17" s="400"/>
      <c r="GFW17" s="400"/>
      <c r="GFX17" s="400"/>
      <c r="GFY17" s="400"/>
      <c r="GFZ17" s="400"/>
      <c r="GGA17" s="400"/>
      <c r="GGB17" s="400"/>
      <c r="GGC17" s="400"/>
      <c r="GGD17" s="400"/>
      <c r="GGE17" s="400"/>
      <c r="GGF17" s="400"/>
      <c r="GGG17" s="400"/>
      <c r="GGH17" s="400"/>
      <c r="GGI17" s="400"/>
      <c r="GGJ17" s="400"/>
      <c r="GGK17" s="400"/>
      <c r="GGL17" s="400"/>
      <c r="GGM17" s="400"/>
      <c r="GGN17" s="400"/>
      <c r="GGO17" s="400"/>
      <c r="GGP17" s="400"/>
      <c r="GGQ17" s="400"/>
      <c r="GGR17" s="400"/>
      <c r="GGS17" s="400"/>
      <c r="GGT17" s="400"/>
      <c r="GGU17" s="400"/>
      <c r="GGV17" s="400"/>
      <c r="GGW17" s="400"/>
      <c r="GGX17" s="400"/>
      <c r="GGY17" s="400"/>
      <c r="GGZ17" s="400"/>
      <c r="GHA17" s="400"/>
      <c r="GHB17" s="400"/>
      <c r="GHC17" s="400"/>
      <c r="GHD17" s="400"/>
      <c r="GHE17" s="400"/>
      <c r="GHF17" s="400"/>
      <c r="GHG17" s="400"/>
      <c r="GHH17" s="400"/>
      <c r="GHI17" s="400"/>
      <c r="GHJ17" s="400"/>
      <c r="GHK17" s="400"/>
      <c r="GHL17" s="400"/>
      <c r="GHM17" s="400"/>
      <c r="GHN17" s="400"/>
      <c r="GHO17" s="400"/>
      <c r="GHP17" s="400"/>
      <c r="GHQ17" s="400"/>
      <c r="GHR17" s="400"/>
      <c r="GHS17" s="400"/>
      <c r="GHT17" s="400"/>
      <c r="GHU17" s="400"/>
      <c r="GHV17" s="400"/>
      <c r="GHW17" s="400"/>
      <c r="GHX17" s="400"/>
      <c r="GHY17" s="400"/>
      <c r="GHZ17" s="400"/>
      <c r="GIA17" s="400"/>
      <c r="GIB17" s="400"/>
      <c r="GIC17" s="400"/>
      <c r="GID17" s="400"/>
      <c r="GIE17" s="400"/>
      <c r="GIF17" s="400"/>
      <c r="GIG17" s="400"/>
      <c r="GIH17" s="400"/>
      <c r="GII17" s="400"/>
      <c r="GIJ17" s="400"/>
      <c r="GIK17" s="400"/>
      <c r="GIL17" s="400"/>
      <c r="GIM17" s="400"/>
      <c r="GIN17" s="400"/>
      <c r="GIO17" s="400"/>
      <c r="GIP17" s="400"/>
      <c r="GIQ17" s="400"/>
      <c r="GIR17" s="400"/>
      <c r="GIS17" s="400"/>
      <c r="GIT17" s="400"/>
      <c r="GIU17" s="400"/>
      <c r="GIV17" s="400"/>
      <c r="GIW17" s="400"/>
      <c r="GIX17" s="400"/>
      <c r="GIY17" s="400"/>
      <c r="GIZ17" s="400"/>
      <c r="GJA17" s="400"/>
      <c r="GJB17" s="400"/>
      <c r="GJC17" s="400"/>
      <c r="GJD17" s="400"/>
      <c r="GJE17" s="400"/>
      <c r="GJF17" s="400"/>
      <c r="GJG17" s="400"/>
      <c r="GJH17" s="400"/>
      <c r="GJI17" s="400"/>
      <c r="GJJ17" s="400"/>
      <c r="GJK17" s="400"/>
      <c r="GJL17" s="400"/>
      <c r="GJM17" s="400"/>
      <c r="GJN17" s="400"/>
      <c r="GJO17" s="400"/>
      <c r="GJP17" s="400"/>
      <c r="GJQ17" s="400"/>
      <c r="GJR17" s="400"/>
      <c r="GJS17" s="400"/>
      <c r="GJT17" s="400"/>
      <c r="GJU17" s="400"/>
      <c r="GJV17" s="400"/>
      <c r="GJW17" s="400"/>
      <c r="GJX17" s="400"/>
      <c r="GJY17" s="400"/>
      <c r="GJZ17" s="400"/>
      <c r="GKA17" s="400"/>
      <c r="GKB17" s="400"/>
      <c r="GKC17" s="400"/>
      <c r="GKD17" s="400"/>
      <c r="GKE17" s="400"/>
      <c r="GKF17" s="400"/>
      <c r="GKG17" s="400"/>
      <c r="GKH17" s="400"/>
      <c r="GKI17" s="400"/>
      <c r="GKJ17" s="400"/>
      <c r="GKK17" s="400"/>
      <c r="GKL17" s="400"/>
      <c r="GKM17" s="400"/>
      <c r="GKN17" s="400"/>
      <c r="GKO17" s="400"/>
      <c r="GKP17" s="400"/>
      <c r="GKQ17" s="400"/>
      <c r="GKR17" s="400"/>
      <c r="GKS17" s="400"/>
      <c r="GKT17" s="400"/>
      <c r="GKU17" s="400"/>
      <c r="GKV17" s="400"/>
      <c r="GKW17" s="400"/>
      <c r="GKX17" s="400"/>
      <c r="GKY17" s="400"/>
      <c r="GKZ17" s="400"/>
      <c r="GLA17" s="400"/>
      <c r="GLB17" s="400"/>
      <c r="GLC17" s="400"/>
      <c r="GLD17" s="400"/>
      <c r="GLE17" s="400"/>
      <c r="GLF17" s="400"/>
      <c r="GLG17" s="400"/>
      <c r="GLH17" s="400"/>
      <c r="GLI17" s="400"/>
      <c r="GLJ17" s="400"/>
      <c r="GLK17" s="400"/>
      <c r="GLL17" s="400"/>
      <c r="GLM17" s="400"/>
      <c r="GLN17" s="400"/>
      <c r="GLO17" s="400"/>
      <c r="GLP17" s="400"/>
      <c r="GLQ17" s="400"/>
      <c r="GLR17" s="400"/>
      <c r="GLS17" s="400"/>
      <c r="GLT17" s="400"/>
      <c r="GLU17" s="400"/>
      <c r="GLV17" s="400"/>
      <c r="GLW17" s="400"/>
      <c r="GLX17" s="400"/>
      <c r="GLY17" s="400"/>
      <c r="GLZ17" s="400"/>
      <c r="GMA17" s="400"/>
      <c r="GMB17" s="400"/>
      <c r="GMC17" s="400"/>
      <c r="GMD17" s="400"/>
      <c r="GME17" s="400"/>
      <c r="GMF17" s="400"/>
      <c r="GMG17" s="400"/>
      <c r="GMH17" s="400"/>
      <c r="GMI17" s="400"/>
      <c r="GMJ17" s="400"/>
      <c r="GMK17" s="400"/>
      <c r="GML17" s="400"/>
      <c r="GMM17" s="400"/>
      <c r="GMN17" s="400"/>
      <c r="GMO17" s="400"/>
      <c r="GMP17" s="400"/>
      <c r="GMQ17" s="400"/>
      <c r="GMR17" s="400"/>
      <c r="GMS17" s="400"/>
      <c r="GMT17" s="400"/>
      <c r="GMU17" s="400"/>
      <c r="GMV17" s="400"/>
      <c r="GMW17" s="400"/>
      <c r="GMX17" s="400"/>
      <c r="GMY17" s="400"/>
      <c r="GMZ17" s="400"/>
      <c r="GNA17" s="400"/>
      <c r="GNB17" s="400"/>
      <c r="GNC17" s="400"/>
      <c r="GND17" s="400"/>
      <c r="GNE17" s="400"/>
      <c r="GNF17" s="400"/>
      <c r="GNG17" s="400"/>
      <c r="GNH17" s="400"/>
      <c r="GNI17" s="400"/>
      <c r="GNJ17" s="400"/>
      <c r="GNK17" s="400"/>
      <c r="GNL17" s="400"/>
      <c r="GNM17" s="400"/>
      <c r="GNN17" s="400"/>
      <c r="GNO17" s="400"/>
      <c r="GNP17" s="400"/>
      <c r="GNQ17" s="400"/>
      <c r="GNR17" s="400"/>
      <c r="GNS17" s="400"/>
      <c r="GNT17" s="400"/>
      <c r="GNU17" s="400"/>
      <c r="GNV17" s="400"/>
      <c r="GNW17" s="400"/>
      <c r="GNX17" s="400"/>
      <c r="GNY17" s="400"/>
      <c r="GNZ17" s="400"/>
      <c r="GOA17" s="400"/>
      <c r="GOB17" s="400"/>
      <c r="GOC17" s="400"/>
      <c r="GOD17" s="400"/>
      <c r="GOE17" s="400"/>
      <c r="GOF17" s="400"/>
      <c r="GOG17" s="400"/>
      <c r="GOH17" s="400"/>
      <c r="GOI17" s="400"/>
      <c r="GOJ17" s="400"/>
      <c r="GOK17" s="400"/>
      <c r="GOL17" s="400"/>
      <c r="GOM17" s="400"/>
      <c r="GON17" s="400"/>
      <c r="GOO17" s="400"/>
      <c r="GOP17" s="400"/>
      <c r="GOQ17" s="400"/>
      <c r="GOR17" s="400"/>
      <c r="GOS17" s="400"/>
      <c r="GOT17" s="400"/>
      <c r="GOU17" s="400"/>
      <c r="GOV17" s="400"/>
      <c r="GOW17" s="400"/>
      <c r="GOX17" s="400"/>
      <c r="GOY17" s="400"/>
      <c r="GOZ17" s="400"/>
      <c r="GPA17" s="400"/>
      <c r="GPB17" s="400"/>
      <c r="GPC17" s="400"/>
      <c r="GPD17" s="400"/>
      <c r="GPE17" s="400"/>
      <c r="GPF17" s="400"/>
      <c r="GPG17" s="400"/>
      <c r="GPH17" s="400"/>
      <c r="GPI17" s="400"/>
      <c r="GPJ17" s="400"/>
      <c r="GPK17" s="400"/>
      <c r="GPL17" s="400"/>
      <c r="GPM17" s="400"/>
      <c r="GPN17" s="400"/>
      <c r="GPO17" s="400"/>
      <c r="GPP17" s="400"/>
      <c r="GPQ17" s="400"/>
      <c r="GPR17" s="400"/>
      <c r="GPS17" s="400"/>
      <c r="GPT17" s="400"/>
      <c r="GPU17" s="400"/>
      <c r="GPV17" s="400"/>
      <c r="GPW17" s="400"/>
      <c r="GPX17" s="400"/>
      <c r="GPY17" s="400"/>
      <c r="GPZ17" s="400"/>
      <c r="GQA17" s="400"/>
      <c r="GQB17" s="400"/>
      <c r="GQC17" s="400"/>
      <c r="GQD17" s="400"/>
      <c r="GQE17" s="400"/>
      <c r="GQF17" s="400"/>
      <c r="GQG17" s="400"/>
      <c r="GQH17" s="400"/>
      <c r="GQI17" s="400"/>
      <c r="GQJ17" s="400"/>
      <c r="GQK17" s="400"/>
      <c r="GQL17" s="400"/>
      <c r="GQM17" s="400"/>
      <c r="GQN17" s="400"/>
      <c r="GQO17" s="400"/>
      <c r="GQP17" s="400"/>
      <c r="GQQ17" s="400"/>
      <c r="GQR17" s="400"/>
      <c r="GQS17" s="400"/>
      <c r="GQT17" s="400"/>
      <c r="GQU17" s="400"/>
      <c r="GQV17" s="400"/>
      <c r="GQW17" s="400"/>
      <c r="GQX17" s="400"/>
      <c r="GQY17" s="400"/>
      <c r="GQZ17" s="400"/>
      <c r="GRA17" s="400"/>
      <c r="GRB17" s="400"/>
      <c r="GRC17" s="400"/>
      <c r="GRD17" s="400"/>
      <c r="GRE17" s="400"/>
      <c r="GRF17" s="400"/>
      <c r="GRG17" s="400"/>
      <c r="GRH17" s="400"/>
      <c r="GRI17" s="400"/>
      <c r="GRJ17" s="400"/>
      <c r="GRK17" s="400"/>
      <c r="GRL17" s="400"/>
      <c r="GRM17" s="400"/>
      <c r="GRN17" s="400"/>
      <c r="GRO17" s="400"/>
      <c r="GRP17" s="400"/>
      <c r="GRQ17" s="400"/>
      <c r="GRR17" s="400"/>
      <c r="GRS17" s="400"/>
      <c r="GRT17" s="400"/>
      <c r="GRU17" s="400"/>
      <c r="GRV17" s="400"/>
      <c r="GRW17" s="400"/>
      <c r="GRX17" s="400"/>
      <c r="GRY17" s="400"/>
      <c r="GRZ17" s="400"/>
      <c r="GSA17" s="400"/>
      <c r="GSB17" s="400"/>
      <c r="GSC17" s="400"/>
      <c r="GSD17" s="400"/>
      <c r="GSE17" s="400"/>
      <c r="GSF17" s="400"/>
      <c r="GSG17" s="400"/>
      <c r="GSH17" s="400"/>
      <c r="GSI17" s="400"/>
      <c r="GSJ17" s="400"/>
      <c r="GSK17" s="400"/>
      <c r="GSL17" s="400"/>
      <c r="GSM17" s="400"/>
      <c r="GSN17" s="400"/>
      <c r="GSO17" s="400"/>
      <c r="GSP17" s="400"/>
      <c r="GSQ17" s="400"/>
      <c r="GSR17" s="400"/>
      <c r="GSS17" s="400"/>
      <c r="GST17" s="400"/>
      <c r="GSU17" s="400"/>
      <c r="GSV17" s="400"/>
      <c r="GSW17" s="400"/>
      <c r="GSX17" s="400"/>
      <c r="GSY17" s="400"/>
      <c r="GSZ17" s="400"/>
      <c r="GTA17" s="400"/>
      <c r="GTB17" s="400"/>
      <c r="GTC17" s="400"/>
      <c r="GTD17" s="400"/>
      <c r="GTE17" s="400"/>
      <c r="GTF17" s="400"/>
      <c r="GTG17" s="400"/>
      <c r="GTH17" s="400"/>
      <c r="GTI17" s="400"/>
      <c r="GTJ17" s="400"/>
      <c r="GTK17" s="400"/>
      <c r="GTL17" s="400"/>
      <c r="GTM17" s="400"/>
      <c r="GTN17" s="400"/>
      <c r="GTO17" s="400"/>
      <c r="GTP17" s="400"/>
      <c r="GTQ17" s="400"/>
      <c r="GTR17" s="400"/>
      <c r="GTS17" s="400"/>
      <c r="GTT17" s="400"/>
      <c r="GTU17" s="400"/>
      <c r="GTV17" s="400"/>
      <c r="GTW17" s="400"/>
      <c r="GTX17" s="400"/>
      <c r="GTY17" s="400"/>
      <c r="GTZ17" s="400"/>
      <c r="GUA17" s="400"/>
      <c r="GUB17" s="400"/>
      <c r="GUC17" s="400"/>
      <c r="GUD17" s="400"/>
      <c r="GUE17" s="400"/>
      <c r="GUF17" s="400"/>
      <c r="GUG17" s="400"/>
      <c r="GUH17" s="400"/>
      <c r="GUI17" s="400"/>
      <c r="GUJ17" s="400"/>
      <c r="GUK17" s="400"/>
      <c r="GUL17" s="400"/>
      <c r="GUM17" s="400"/>
      <c r="GUN17" s="400"/>
      <c r="GUO17" s="400"/>
      <c r="GUP17" s="400"/>
      <c r="GUQ17" s="400"/>
      <c r="GUR17" s="400"/>
      <c r="GUS17" s="400"/>
      <c r="GUT17" s="400"/>
      <c r="GUU17" s="400"/>
      <c r="GUV17" s="400"/>
      <c r="GUW17" s="400"/>
      <c r="GUX17" s="400"/>
      <c r="GUY17" s="400"/>
      <c r="GUZ17" s="400"/>
      <c r="GVA17" s="400"/>
      <c r="GVB17" s="400"/>
      <c r="GVC17" s="400"/>
      <c r="GVD17" s="400"/>
      <c r="GVE17" s="400"/>
      <c r="GVF17" s="400"/>
      <c r="GVG17" s="400"/>
      <c r="GVH17" s="400"/>
      <c r="GVI17" s="400"/>
      <c r="GVJ17" s="400"/>
      <c r="GVK17" s="400"/>
      <c r="GVL17" s="400"/>
      <c r="GVM17" s="400"/>
      <c r="GVN17" s="400"/>
      <c r="GVO17" s="400"/>
      <c r="GVP17" s="400"/>
      <c r="GVQ17" s="400"/>
      <c r="GVR17" s="400"/>
      <c r="GVS17" s="400"/>
      <c r="GVT17" s="400"/>
      <c r="GVU17" s="400"/>
      <c r="GVV17" s="400"/>
      <c r="GVW17" s="400"/>
      <c r="GVX17" s="400"/>
      <c r="GVY17" s="400"/>
      <c r="GVZ17" s="400"/>
      <c r="GWA17" s="400"/>
      <c r="GWB17" s="400"/>
      <c r="GWC17" s="400"/>
      <c r="GWD17" s="400"/>
      <c r="GWE17" s="400"/>
      <c r="GWF17" s="400"/>
      <c r="GWG17" s="400"/>
      <c r="GWH17" s="400"/>
      <c r="GWI17" s="400"/>
      <c r="GWJ17" s="400"/>
      <c r="GWK17" s="400"/>
      <c r="GWL17" s="400"/>
      <c r="GWM17" s="400"/>
      <c r="GWN17" s="400"/>
      <c r="GWO17" s="400"/>
      <c r="GWP17" s="400"/>
      <c r="GWQ17" s="400"/>
      <c r="GWR17" s="400"/>
      <c r="GWS17" s="400"/>
      <c r="GWT17" s="400"/>
      <c r="GWU17" s="400"/>
      <c r="GWV17" s="400"/>
      <c r="GWW17" s="400"/>
      <c r="GWX17" s="400"/>
      <c r="GWY17" s="400"/>
      <c r="GWZ17" s="400"/>
      <c r="GXA17" s="400"/>
      <c r="GXB17" s="400"/>
      <c r="GXC17" s="400"/>
      <c r="GXD17" s="400"/>
      <c r="GXE17" s="400"/>
      <c r="GXF17" s="400"/>
      <c r="GXG17" s="400"/>
      <c r="GXH17" s="400"/>
      <c r="GXI17" s="400"/>
      <c r="GXJ17" s="400"/>
      <c r="GXK17" s="400"/>
      <c r="GXL17" s="400"/>
      <c r="GXM17" s="400"/>
      <c r="GXN17" s="400"/>
      <c r="GXO17" s="400"/>
      <c r="GXP17" s="400"/>
      <c r="GXQ17" s="400"/>
      <c r="GXR17" s="400"/>
      <c r="GXS17" s="400"/>
      <c r="GXT17" s="400"/>
      <c r="GXU17" s="400"/>
      <c r="GXV17" s="400"/>
      <c r="GXW17" s="400"/>
      <c r="GXX17" s="400"/>
      <c r="GXY17" s="400"/>
      <c r="GXZ17" s="400"/>
      <c r="GYA17" s="400"/>
      <c r="GYB17" s="400"/>
      <c r="GYC17" s="400"/>
      <c r="GYD17" s="400"/>
      <c r="GYE17" s="400"/>
      <c r="GYF17" s="400"/>
      <c r="GYG17" s="400"/>
      <c r="GYH17" s="400"/>
      <c r="GYI17" s="400"/>
      <c r="GYJ17" s="400"/>
      <c r="GYK17" s="400"/>
      <c r="GYL17" s="400"/>
      <c r="GYM17" s="400"/>
      <c r="GYN17" s="400"/>
      <c r="GYO17" s="400"/>
      <c r="GYP17" s="400"/>
      <c r="GYQ17" s="400"/>
      <c r="GYR17" s="400"/>
      <c r="GYS17" s="400"/>
      <c r="GYT17" s="400"/>
      <c r="GYU17" s="400"/>
      <c r="GYV17" s="400"/>
      <c r="GYW17" s="400"/>
      <c r="GYX17" s="400"/>
      <c r="GYY17" s="400"/>
      <c r="GYZ17" s="400"/>
      <c r="GZA17" s="400"/>
      <c r="GZB17" s="400"/>
      <c r="GZC17" s="400"/>
      <c r="GZD17" s="400"/>
      <c r="GZE17" s="400"/>
      <c r="GZF17" s="400"/>
      <c r="GZG17" s="400"/>
      <c r="GZH17" s="400"/>
      <c r="GZI17" s="400"/>
      <c r="GZJ17" s="400"/>
      <c r="GZK17" s="400"/>
      <c r="GZL17" s="400"/>
      <c r="GZM17" s="400"/>
      <c r="GZN17" s="400"/>
      <c r="GZO17" s="400"/>
      <c r="GZP17" s="400"/>
      <c r="GZQ17" s="400"/>
      <c r="GZR17" s="400"/>
      <c r="GZS17" s="400"/>
      <c r="GZT17" s="400"/>
      <c r="GZU17" s="400"/>
      <c r="GZV17" s="400"/>
      <c r="GZW17" s="400"/>
      <c r="GZX17" s="400"/>
      <c r="GZY17" s="400"/>
      <c r="GZZ17" s="400"/>
      <c r="HAA17" s="400"/>
      <c r="HAB17" s="400"/>
      <c r="HAC17" s="400"/>
      <c r="HAD17" s="400"/>
      <c r="HAE17" s="400"/>
      <c r="HAF17" s="400"/>
      <c r="HAG17" s="400"/>
      <c r="HAH17" s="400"/>
      <c r="HAI17" s="400"/>
      <c r="HAJ17" s="400"/>
      <c r="HAK17" s="400"/>
      <c r="HAL17" s="400"/>
      <c r="HAM17" s="400"/>
      <c r="HAN17" s="400"/>
      <c r="HAO17" s="400"/>
      <c r="HAP17" s="400"/>
      <c r="HAQ17" s="400"/>
      <c r="HAR17" s="400"/>
      <c r="HAS17" s="400"/>
      <c r="HAT17" s="400"/>
      <c r="HAU17" s="400"/>
      <c r="HAV17" s="400"/>
      <c r="HAW17" s="400"/>
      <c r="HAX17" s="400"/>
      <c r="HAY17" s="400"/>
      <c r="HAZ17" s="400"/>
      <c r="HBA17" s="400"/>
      <c r="HBB17" s="400"/>
      <c r="HBC17" s="400"/>
      <c r="HBD17" s="400"/>
      <c r="HBE17" s="400"/>
      <c r="HBF17" s="400"/>
      <c r="HBG17" s="400"/>
      <c r="HBH17" s="400"/>
      <c r="HBI17" s="400"/>
      <c r="HBJ17" s="400"/>
      <c r="HBK17" s="400"/>
      <c r="HBL17" s="400"/>
      <c r="HBM17" s="400"/>
      <c r="HBN17" s="400"/>
      <c r="HBO17" s="400"/>
      <c r="HBP17" s="400"/>
      <c r="HBQ17" s="400"/>
      <c r="HBR17" s="400"/>
      <c r="HBS17" s="400"/>
      <c r="HBT17" s="400"/>
      <c r="HBU17" s="400"/>
      <c r="HBV17" s="400"/>
      <c r="HBW17" s="400"/>
      <c r="HBX17" s="400"/>
      <c r="HBY17" s="400"/>
      <c r="HBZ17" s="400"/>
      <c r="HCA17" s="400"/>
      <c r="HCB17" s="400"/>
      <c r="HCC17" s="400"/>
      <c r="HCD17" s="400"/>
      <c r="HCE17" s="400"/>
      <c r="HCF17" s="400"/>
      <c r="HCG17" s="400"/>
      <c r="HCH17" s="400"/>
      <c r="HCI17" s="400"/>
      <c r="HCJ17" s="400"/>
      <c r="HCK17" s="400"/>
      <c r="HCL17" s="400"/>
      <c r="HCM17" s="400"/>
      <c r="HCN17" s="400"/>
      <c r="HCO17" s="400"/>
      <c r="HCP17" s="400"/>
      <c r="HCQ17" s="400"/>
      <c r="HCR17" s="400"/>
      <c r="HCS17" s="400"/>
      <c r="HCT17" s="400"/>
      <c r="HCU17" s="400"/>
      <c r="HCV17" s="400"/>
      <c r="HCW17" s="400"/>
      <c r="HCX17" s="400"/>
      <c r="HCY17" s="400"/>
      <c r="HCZ17" s="400"/>
      <c r="HDA17" s="400"/>
      <c r="HDB17" s="400"/>
      <c r="HDC17" s="400"/>
      <c r="HDD17" s="400"/>
      <c r="HDE17" s="400"/>
      <c r="HDF17" s="400"/>
      <c r="HDG17" s="400"/>
      <c r="HDH17" s="400"/>
      <c r="HDI17" s="400"/>
      <c r="HDJ17" s="400"/>
      <c r="HDK17" s="400"/>
      <c r="HDL17" s="400"/>
      <c r="HDM17" s="400"/>
      <c r="HDN17" s="400"/>
      <c r="HDO17" s="400"/>
      <c r="HDP17" s="400"/>
      <c r="HDQ17" s="400"/>
      <c r="HDR17" s="400"/>
      <c r="HDS17" s="400"/>
      <c r="HDT17" s="400"/>
      <c r="HDU17" s="400"/>
      <c r="HDV17" s="400"/>
      <c r="HDW17" s="400"/>
      <c r="HDX17" s="400"/>
      <c r="HDY17" s="400"/>
      <c r="HDZ17" s="400"/>
      <c r="HEA17" s="400"/>
      <c r="HEB17" s="400"/>
      <c r="HEC17" s="400"/>
      <c r="HED17" s="400"/>
      <c r="HEE17" s="400"/>
      <c r="HEF17" s="400"/>
      <c r="HEG17" s="400"/>
      <c r="HEH17" s="400"/>
      <c r="HEI17" s="400"/>
      <c r="HEJ17" s="400"/>
      <c r="HEK17" s="400"/>
      <c r="HEL17" s="400"/>
      <c r="HEM17" s="400"/>
      <c r="HEN17" s="400"/>
      <c r="HEO17" s="400"/>
      <c r="HEP17" s="400"/>
      <c r="HEQ17" s="400"/>
      <c r="HER17" s="400"/>
      <c r="HES17" s="400"/>
      <c r="HET17" s="400"/>
      <c r="HEU17" s="400"/>
      <c r="HEV17" s="400"/>
      <c r="HEW17" s="400"/>
      <c r="HEX17" s="400"/>
      <c r="HEY17" s="400"/>
      <c r="HEZ17" s="400"/>
      <c r="HFA17" s="400"/>
      <c r="HFB17" s="400"/>
      <c r="HFC17" s="400"/>
      <c r="HFD17" s="400"/>
      <c r="HFE17" s="400"/>
      <c r="HFF17" s="400"/>
      <c r="HFG17" s="400"/>
      <c r="HFH17" s="400"/>
      <c r="HFI17" s="400"/>
      <c r="HFJ17" s="400"/>
      <c r="HFK17" s="400"/>
      <c r="HFL17" s="400"/>
      <c r="HFM17" s="400"/>
      <c r="HFN17" s="400"/>
      <c r="HFO17" s="400"/>
      <c r="HFP17" s="400"/>
      <c r="HFQ17" s="400"/>
      <c r="HFR17" s="400"/>
      <c r="HFS17" s="400"/>
      <c r="HFT17" s="400"/>
      <c r="HFU17" s="400"/>
      <c r="HFV17" s="400"/>
      <c r="HFW17" s="400"/>
      <c r="HFX17" s="400"/>
      <c r="HFY17" s="400"/>
      <c r="HFZ17" s="400"/>
      <c r="HGA17" s="400"/>
      <c r="HGB17" s="400"/>
      <c r="HGC17" s="400"/>
      <c r="HGD17" s="400"/>
      <c r="HGE17" s="400"/>
      <c r="HGF17" s="400"/>
      <c r="HGG17" s="400"/>
      <c r="HGH17" s="400"/>
      <c r="HGI17" s="400"/>
      <c r="HGJ17" s="400"/>
      <c r="HGK17" s="400"/>
      <c r="HGL17" s="400"/>
      <c r="HGM17" s="400"/>
      <c r="HGN17" s="400"/>
      <c r="HGO17" s="400"/>
      <c r="HGP17" s="400"/>
      <c r="HGQ17" s="400"/>
      <c r="HGR17" s="400"/>
      <c r="HGS17" s="400"/>
      <c r="HGT17" s="400"/>
      <c r="HGU17" s="400"/>
      <c r="HGV17" s="400"/>
      <c r="HGW17" s="400"/>
      <c r="HGX17" s="400"/>
      <c r="HGY17" s="400"/>
      <c r="HGZ17" s="400"/>
      <c r="HHA17" s="400"/>
      <c r="HHB17" s="400"/>
      <c r="HHC17" s="400"/>
      <c r="HHD17" s="400"/>
      <c r="HHE17" s="400"/>
      <c r="HHF17" s="400"/>
      <c r="HHG17" s="400"/>
      <c r="HHH17" s="400"/>
      <c r="HHI17" s="400"/>
      <c r="HHJ17" s="400"/>
      <c r="HHK17" s="400"/>
      <c r="HHL17" s="400"/>
      <c r="HHM17" s="400"/>
      <c r="HHN17" s="400"/>
      <c r="HHO17" s="400"/>
      <c r="HHP17" s="400"/>
      <c r="HHQ17" s="400"/>
      <c r="HHR17" s="400"/>
      <c r="HHS17" s="400"/>
      <c r="HHT17" s="400"/>
      <c r="HHU17" s="400"/>
      <c r="HHV17" s="400"/>
      <c r="HHW17" s="400"/>
      <c r="HHX17" s="400"/>
      <c r="HHY17" s="400"/>
      <c r="HHZ17" s="400"/>
      <c r="HIA17" s="400"/>
      <c r="HIB17" s="400"/>
      <c r="HIC17" s="400"/>
      <c r="HID17" s="400"/>
      <c r="HIE17" s="400"/>
      <c r="HIF17" s="400"/>
      <c r="HIG17" s="400"/>
      <c r="HIH17" s="400"/>
      <c r="HII17" s="400"/>
      <c r="HIJ17" s="400"/>
      <c r="HIK17" s="400"/>
      <c r="HIL17" s="400"/>
      <c r="HIM17" s="400"/>
      <c r="HIN17" s="400"/>
      <c r="HIO17" s="400"/>
      <c r="HIP17" s="400"/>
      <c r="HIQ17" s="400"/>
      <c r="HIR17" s="400"/>
      <c r="HIS17" s="400"/>
      <c r="HIT17" s="400"/>
      <c r="HIU17" s="400"/>
      <c r="HIV17" s="400"/>
      <c r="HIW17" s="400"/>
      <c r="HIX17" s="400"/>
      <c r="HIY17" s="400"/>
      <c r="HIZ17" s="400"/>
      <c r="HJA17" s="400"/>
      <c r="HJB17" s="400"/>
      <c r="HJC17" s="400"/>
      <c r="HJD17" s="400"/>
      <c r="HJE17" s="400"/>
      <c r="HJF17" s="400"/>
      <c r="HJG17" s="400"/>
      <c r="HJH17" s="400"/>
      <c r="HJI17" s="400"/>
      <c r="HJJ17" s="400"/>
      <c r="HJK17" s="400"/>
      <c r="HJL17" s="400"/>
      <c r="HJM17" s="400"/>
      <c r="HJN17" s="400"/>
      <c r="HJO17" s="400"/>
      <c r="HJP17" s="400"/>
      <c r="HJQ17" s="400"/>
      <c r="HJR17" s="400"/>
      <c r="HJS17" s="400"/>
      <c r="HJT17" s="400"/>
      <c r="HJU17" s="400"/>
      <c r="HJV17" s="400"/>
      <c r="HJW17" s="400"/>
      <c r="HJX17" s="400"/>
      <c r="HJY17" s="400"/>
      <c r="HJZ17" s="400"/>
      <c r="HKA17" s="400"/>
      <c r="HKB17" s="400"/>
      <c r="HKC17" s="400"/>
      <c r="HKD17" s="400"/>
      <c r="HKE17" s="400"/>
      <c r="HKF17" s="400"/>
      <c r="HKG17" s="400"/>
      <c r="HKH17" s="400"/>
      <c r="HKI17" s="400"/>
      <c r="HKJ17" s="400"/>
      <c r="HKK17" s="400"/>
      <c r="HKL17" s="400"/>
      <c r="HKM17" s="400"/>
      <c r="HKN17" s="400"/>
      <c r="HKO17" s="400"/>
      <c r="HKP17" s="400"/>
      <c r="HKQ17" s="400"/>
      <c r="HKR17" s="400"/>
      <c r="HKS17" s="400"/>
      <c r="HKT17" s="400"/>
      <c r="HKU17" s="400"/>
      <c r="HKV17" s="400"/>
      <c r="HKW17" s="400"/>
      <c r="HKX17" s="400"/>
      <c r="HKY17" s="400"/>
      <c r="HKZ17" s="400"/>
      <c r="HLA17" s="400"/>
      <c r="HLB17" s="400"/>
      <c r="HLC17" s="400"/>
      <c r="HLD17" s="400"/>
      <c r="HLE17" s="400"/>
      <c r="HLF17" s="400"/>
      <c r="HLG17" s="400"/>
      <c r="HLH17" s="400"/>
      <c r="HLI17" s="400"/>
      <c r="HLJ17" s="400"/>
      <c r="HLK17" s="400"/>
      <c r="HLL17" s="400"/>
      <c r="HLM17" s="400"/>
      <c r="HLN17" s="400"/>
      <c r="HLO17" s="400"/>
      <c r="HLP17" s="400"/>
      <c r="HLQ17" s="400"/>
      <c r="HLR17" s="400"/>
      <c r="HLS17" s="400"/>
      <c r="HLT17" s="400"/>
      <c r="HLU17" s="400"/>
      <c r="HLV17" s="400"/>
      <c r="HLW17" s="400"/>
      <c r="HLX17" s="400"/>
      <c r="HLY17" s="400"/>
      <c r="HLZ17" s="400"/>
      <c r="HMA17" s="400"/>
      <c r="HMB17" s="400"/>
      <c r="HMC17" s="400"/>
      <c r="HMD17" s="400"/>
      <c r="HME17" s="400"/>
      <c r="HMF17" s="400"/>
      <c r="HMG17" s="400"/>
      <c r="HMH17" s="400"/>
      <c r="HMI17" s="400"/>
      <c r="HMJ17" s="400"/>
      <c r="HMK17" s="400"/>
      <c r="HML17" s="400"/>
      <c r="HMM17" s="400"/>
      <c r="HMN17" s="400"/>
      <c r="HMO17" s="400"/>
      <c r="HMP17" s="400"/>
      <c r="HMQ17" s="400"/>
      <c r="HMR17" s="400"/>
      <c r="HMS17" s="400"/>
      <c r="HMT17" s="400"/>
      <c r="HMU17" s="400"/>
      <c r="HMV17" s="400"/>
      <c r="HMW17" s="400"/>
      <c r="HMX17" s="400"/>
      <c r="HMY17" s="400"/>
      <c r="HMZ17" s="400"/>
      <c r="HNA17" s="400"/>
      <c r="HNB17" s="400"/>
      <c r="HNC17" s="400"/>
      <c r="HND17" s="400"/>
      <c r="HNE17" s="400"/>
      <c r="HNF17" s="400"/>
      <c r="HNG17" s="400"/>
      <c r="HNH17" s="400"/>
      <c r="HNI17" s="400"/>
      <c r="HNJ17" s="400"/>
      <c r="HNK17" s="400"/>
      <c r="HNL17" s="400"/>
      <c r="HNM17" s="400"/>
      <c r="HNN17" s="400"/>
      <c r="HNO17" s="400"/>
      <c r="HNP17" s="400"/>
      <c r="HNQ17" s="400"/>
      <c r="HNR17" s="400"/>
      <c r="HNS17" s="400"/>
      <c r="HNT17" s="400"/>
      <c r="HNU17" s="400"/>
      <c r="HNV17" s="400"/>
      <c r="HNW17" s="400"/>
      <c r="HNX17" s="400"/>
      <c r="HNY17" s="400"/>
      <c r="HNZ17" s="400"/>
      <c r="HOA17" s="400"/>
      <c r="HOB17" s="400"/>
      <c r="HOC17" s="400"/>
      <c r="HOD17" s="400"/>
      <c r="HOE17" s="400"/>
      <c r="HOF17" s="400"/>
      <c r="HOG17" s="400"/>
      <c r="HOH17" s="400"/>
      <c r="HOI17" s="400"/>
      <c r="HOJ17" s="400"/>
      <c r="HOK17" s="400"/>
      <c r="HOL17" s="400"/>
      <c r="HOM17" s="400"/>
      <c r="HON17" s="400"/>
      <c r="HOO17" s="400"/>
      <c r="HOP17" s="400"/>
      <c r="HOQ17" s="400"/>
      <c r="HOR17" s="400"/>
      <c r="HOS17" s="400"/>
      <c r="HOT17" s="400"/>
      <c r="HOU17" s="400"/>
      <c r="HOV17" s="400"/>
      <c r="HOW17" s="400"/>
      <c r="HOX17" s="400"/>
      <c r="HOY17" s="400"/>
      <c r="HOZ17" s="400"/>
      <c r="HPA17" s="400"/>
      <c r="HPB17" s="400"/>
      <c r="HPC17" s="400"/>
      <c r="HPD17" s="400"/>
      <c r="HPE17" s="400"/>
      <c r="HPF17" s="400"/>
      <c r="HPG17" s="400"/>
      <c r="HPH17" s="400"/>
      <c r="HPI17" s="400"/>
      <c r="HPJ17" s="400"/>
      <c r="HPK17" s="400"/>
      <c r="HPL17" s="400"/>
      <c r="HPM17" s="400"/>
      <c r="HPN17" s="400"/>
      <c r="HPO17" s="400"/>
      <c r="HPP17" s="400"/>
      <c r="HPQ17" s="400"/>
      <c r="HPR17" s="400"/>
      <c r="HPS17" s="400"/>
      <c r="HPT17" s="400"/>
      <c r="HPU17" s="400"/>
      <c r="HPV17" s="400"/>
      <c r="HPW17" s="400"/>
      <c r="HPX17" s="400"/>
      <c r="HPY17" s="400"/>
      <c r="HPZ17" s="400"/>
      <c r="HQA17" s="400"/>
      <c r="HQB17" s="400"/>
      <c r="HQC17" s="400"/>
      <c r="HQD17" s="400"/>
      <c r="HQE17" s="400"/>
      <c r="HQF17" s="400"/>
      <c r="HQG17" s="400"/>
      <c r="HQH17" s="400"/>
      <c r="HQI17" s="400"/>
      <c r="HQJ17" s="400"/>
      <c r="HQK17" s="400"/>
      <c r="HQL17" s="400"/>
      <c r="HQM17" s="400"/>
      <c r="HQN17" s="400"/>
      <c r="HQO17" s="400"/>
      <c r="HQP17" s="400"/>
      <c r="HQQ17" s="400"/>
      <c r="HQR17" s="400"/>
      <c r="HQS17" s="400"/>
      <c r="HQT17" s="400"/>
      <c r="HQU17" s="400"/>
      <c r="HQV17" s="400"/>
      <c r="HQW17" s="400"/>
      <c r="HQX17" s="400"/>
      <c r="HQY17" s="400"/>
      <c r="HQZ17" s="400"/>
      <c r="HRA17" s="400"/>
      <c r="HRB17" s="400"/>
      <c r="HRC17" s="400"/>
      <c r="HRD17" s="400"/>
      <c r="HRE17" s="400"/>
      <c r="HRF17" s="400"/>
      <c r="HRG17" s="400"/>
      <c r="HRH17" s="400"/>
      <c r="HRI17" s="400"/>
      <c r="HRJ17" s="400"/>
      <c r="HRK17" s="400"/>
      <c r="HRL17" s="400"/>
      <c r="HRM17" s="400"/>
      <c r="HRN17" s="400"/>
      <c r="HRO17" s="400"/>
      <c r="HRP17" s="400"/>
      <c r="HRQ17" s="400"/>
      <c r="HRR17" s="400"/>
      <c r="HRS17" s="400"/>
      <c r="HRT17" s="400"/>
      <c r="HRU17" s="400"/>
      <c r="HRV17" s="400"/>
      <c r="HRW17" s="400"/>
      <c r="HRX17" s="400"/>
      <c r="HRY17" s="400"/>
      <c r="HRZ17" s="400"/>
      <c r="HSA17" s="400"/>
      <c r="HSB17" s="400"/>
      <c r="HSC17" s="400"/>
      <c r="HSD17" s="400"/>
      <c r="HSE17" s="400"/>
      <c r="HSF17" s="400"/>
      <c r="HSG17" s="400"/>
      <c r="HSH17" s="400"/>
      <c r="HSI17" s="400"/>
      <c r="HSJ17" s="400"/>
      <c r="HSK17" s="400"/>
      <c r="HSL17" s="400"/>
      <c r="HSM17" s="400"/>
      <c r="HSN17" s="400"/>
      <c r="HSO17" s="400"/>
      <c r="HSP17" s="400"/>
      <c r="HSQ17" s="400"/>
      <c r="HSR17" s="400"/>
      <c r="HSS17" s="400"/>
      <c r="HST17" s="400"/>
      <c r="HSU17" s="400"/>
      <c r="HSV17" s="400"/>
      <c r="HSW17" s="400"/>
      <c r="HSX17" s="400"/>
      <c r="HSY17" s="400"/>
      <c r="HSZ17" s="400"/>
      <c r="HTA17" s="400"/>
      <c r="HTB17" s="400"/>
      <c r="HTC17" s="400"/>
      <c r="HTD17" s="400"/>
      <c r="HTE17" s="400"/>
      <c r="HTF17" s="400"/>
      <c r="HTG17" s="400"/>
      <c r="HTH17" s="400"/>
      <c r="HTI17" s="400"/>
      <c r="HTJ17" s="400"/>
      <c r="HTK17" s="400"/>
      <c r="HTL17" s="400"/>
      <c r="HTM17" s="400"/>
      <c r="HTN17" s="400"/>
      <c r="HTO17" s="400"/>
      <c r="HTP17" s="400"/>
      <c r="HTQ17" s="400"/>
      <c r="HTR17" s="400"/>
      <c r="HTS17" s="400"/>
      <c r="HTT17" s="400"/>
      <c r="HTU17" s="400"/>
      <c r="HTV17" s="400"/>
      <c r="HTW17" s="400"/>
      <c r="HTX17" s="400"/>
      <c r="HTY17" s="400"/>
      <c r="HTZ17" s="400"/>
      <c r="HUA17" s="400"/>
      <c r="HUB17" s="400"/>
      <c r="HUC17" s="400"/>
      <c r="HUD17" s="400"/>
      <c r="HUE17" s="400"/>
      <c r="HUF17" s="400"/>
      <c r="HUG17" s="400"/>
      <c r="HUH17" s="400"/>
      <c r="HUI17" s="400"/>
      <c r="HUJ17" s="400"/>
      <c r="HUK17" s="400"/>
      <c r="HUL17" s="400"/>
      <c r="HUM17" s="400"/>
      <c r="HUN17" s="400"/>
      <c r="HUO17" s="400"/>
      <c r="HUP17" s="400"/>
      <c r="HUQ17" s="400"/>
      <c r="HUR17" s="400"/>
      <c r="HUS17" s="400"/>
      <c r="HUT17" s="400"/>
      <c r="HUU17" s="400"/>
      <c r="HUV17" s="400"/>
      <c r="HUW17" s="400"/>
      <c r="HUX17" s="400"/>
      <c r="HUY17" s="400"/>
      <c r="HUZ17" s="400"/>
      <c r="HVA17" s="400"/>
      <c r="HVB17" s="400"/>
      <c r="HVC17" s="400"/>
      <c r="HVD17" s="400"/>
      <c r="HVE17" s="400"/>
      <c r="HVF17" s="400"/>
      <c r="HVG17" s="400"/>
      <c r="HVH17" s="400"/>
      <c r="HVI17" s="400"/>
      <c r="HVJ17" s="400"/>
      <c r="HVK17" s="400"/>
      <c r="HVL17" s="400"/>
      <c r="HVM17" s="400"/>
      <c r="HVN17" s="400"/>
      <c r="HVO17" s="400"/>
      <c r="HVP17" s="400"/>
      <c r="HVQ17" s="400"/>
      <c r="HVR17" s="400"/>
      <c r="HVS17" s="400"/>
      <c r="HVT17" s="400"/>
      <c r="HVU17" s="400"/>
      <c r="HVV17" s="400"/>
      <c r="HVW17" s="400"/>
      <c r="HVX17" s="400"/>
      <c r="HVY17" s="400"/>
      <c r="HVZ17" s="400"/>
      <c r="HWA17" s="400"/>
      <c r="HWB17" s="400"/>
      <c r="HWC17" s="400"/>
      <c r="HWD17" s="400"/>
      <c r="HWE17" s="400"/>
      <c r="HWF17" s="400"/>
      <c r="HWG17" s="400"/>
      <c r="HWH17" s="400"/>
      <c r="HWI17" s="400"/>
      <c r="HWJ17" s="400"/>
      <c r="HWK17" s="400"/>
      <c r="HWL17" s="400"/>
      <c r="HWM17" s="400"/>
      <c r="HWN17" s="400"/>
      <c r="HWO17" s="400"/>
      <c r="HWP17" s="400"/>
      <c r="HWQ17" s="400"/>
      <c r="HWR17" s="400"/>
      <c r="HWS17" s="400"/>
      <c r="HWT17" s="400"/>
      <c r="HWU17" s="400"/>
      <c r="HWV17" s="400"/>
      <c r="HWW17" s="400"/>
      <c r="HWX17" s="400"/>
      <c r="HWY17" s="400"/>
      <c r="HWZ17" s="400"/>
      <c r="HXA17" s="400"/>
      <c r="HXB17" s="400"/>
      <c r="HXC17" s="400"/>
      <c r="HXD17" s="400"/>
      <c r="HXE17" s="400"/>
      <c r="HXF17" s="400"/>
      <c r="HXG17" s="400"/>
      <c r="HXH17" s="400"/>
      <c r="HXI17" s="400"/>
      <c r="HXJ17" s="400"/>
      <c r="HXK17" s="400"/>
      <c r="HXL17" s="400"/>
      <c r="HXM17" s="400"/>
      <c r="HXN17" s="400"/>
      <c r="HXO17" s="400"/>
      <c r="HXP17" s="400"/>
      <c r="HXQ17" s="400"/>
      <c r="HXR17" s="400"/>
      <c r="HXS17" s="400"/>
      <c r="HXT17" s="400"/>
      <c r="HXU17" s="400"/>
      <c r="HXV17" s="400"/>
      <c r="HXW17" s="400"/>
      <c r="HXX17" s="400"/>
      <c r="HXY17" s="400"/>
      <c r="HXZ17" s="400"/>
      <c r="HYA17" s="400"/>
      <c r="HYB17" s="400"/>
      <c r="HYC17" s="400"/>
      <c r="HYD17" s="400"/>
      <c r="HYE17" s="400"/>
      <c r="HYF17" s="400"/>
      <c r="HYG17" s="400"/>
      <c r="HYH17" s="400"/>
      <c r="HYI17" s="400"/>
      <c r="HYJ17" s="400"/>
      <c r="HYK17" s="400"/>
      <c r="HYL17" s="400"/>
      <c r="HYM17" s="400"/>
      <c r="HYN17" s="400"/>
      <c r="HYO17" s="400"/>
      <c r="HYP17" s="400"/>
      <c r="HYQ17" s="400"/>
      <c r="HYR17" s="400"/>
      <c r="HYS17" s="400"/>
      <c r="HYT17" s="400"/>
      <c r="HYU17" s="400"/>
      <c r="HYV17" s="400"/>
      <c r="HYW17" s="400"/>
      <c r="HYX17" s="400"/>
      <c r="HYY17" s="400"/>
      <c r="HYZ17" s="400"/>
      <c r="HZA17" s="400"/>
      <c r="HZB17" s="400"/>
      <c r="HZC17" s="400"/>
      <c r="HZD17" s="400"/>
      <c r="HZE17" s="400"/>
      <c r="HZF17" s="400"/>
      <c r="HZG17" s="400"/>
      <c r="HZH17" s="400"/>
      <c r="HZI17" s="400"/>
      <c r="HZJ17" s="400"/>
      <c r="HZK17" s="400"/>
      <c r="HZL17" s="400"/>
      <c r="HZM17" s="400"/>
      <c r="HZN17" s="400"/>
      <c r="HZO17" s="400"/>
      <c r="HZP17" s="400"/>
      <c r="HZQ17" s="400"/>
      <c r="HZR17" s="400"/>
      <c r="HZS17" s="400"/>
      <c r="HZT17" s="400"/>
      <c r="HZU17" s="400"/>
      <c r="HZV17" s="400"/>
      <c r="HZW17" s="400"/>
      <c r="HZX17" s="400"/>
      <c r="HZY17" s="400"/>
      <c r="HZZ17" s="400"/>
      <c r="IAA17" s="400"/>
      <c r="IAB17" s="400"/>
      <c r="IAC17" s="400"/>
      <c r="IAD17" s="400"/>
      <c r="IAE17" s="400"/>
      <c r="IAF17" s="400"/>
      <c r="IAG17" s="400"/>
      <c r="IAH17" s="400"/>
      <c r="IAI17" s="400"/>
      <c r="IAJ17" s="400"/>
      <c r="IAK17" s="400"/>
      <c r="IAL17" s="400"/>
      <c r="IAM17" s="400"/>
      <c r="IAN17" s="400"/>
      <c r="IAO17" s="400"/>
      <c r="IAP17" s="400"/>
      <c r="IAQ17" s="400"/>
      <c r="IAR17" s="400"/>
      <c r="IAS17" s="400"/>
      <c r="IAT17" s="400"/>
      <c r="IAU17" s="400"/>
      <c r="IAV17" s="400"/>
      <c r="IAW17" s="400"/>
      <c r="IAX17" s="400"/>
      <c r="IAY17" s="400"/>
      <c r="IAZ17" s="400"/>
      <c r="IBA17" s="400"/>
      <c r="IBB17" s="400"/>
      <c r="IBC17" s="400"/>
      <c r="IBD17" s="400"/>
      <c r="IBE17" s="400"/>
      <c r="IBF17" s="400"/>
      <c r="IBG17" s="400"/>
      <c r="IBH17" s="400"/>
      <c r="IBI17" s="400"/>
      <c r="IBJ17" s="400"/>
      <c r="IBK17" s="400"/>
      <c r="IBL17" s="400"/>
      <c r="IBM17" s="400"/>
      <c r="IBN17" s="400"/>
      <c r="IBO17" s="400"/>
      <c r="IBP17" s="400"/>
      <c r="IBQ17" s="400"/>
      <c r="IBR17" s="400"/>
      <c r="IBS17" s="400"/>
      <c r="IBT17" s="400"/>
      <c r="IBU17" s="400"/>
      <c r="IBV17" s="400"/>
      <c r="IBW17" s="400"/>
      <c r="IBX17" s="400"/>
      <c r="IBY17" s="400"/>
      <c r="IBZ17" s="400"/>
      <c r="ICA17" s="400"/>
      <c r="ICB17" s="400"/>
      <c r="ICC17" s="400"/>
      <c r="ICD17" s="400"/>
      <c r="ICE17" s="400"/>
      <c r="ICF17" s="400"/>
      <c r="ICG17" s="400"/>
      <c r="ICH17" s="400"/>
      <c r="ICI17" s="400"/>
      <c r="ICJ17" s="400"/>
      <c r="ICK17" s="400"/>
      <c r="ICL17" s="400"/>
      <c r="ICM17" s="400"/>
      <c r="ICN17" s="400"/>
      <c r="ICO17" s="400"/>
      <c r="ICP17" s="400"/>
      <c r="ICQ17" s="400"/>
      <c r="ICR17" s="400"/>
      <c r="ICS17" s="400"/>
      <c r="ICT17" s="400"/>
      <c r="ICU17" s="400"/>
      <c r="ICV17" s="400"/>
      <c r="ICW17" s="400"/>
      <c r="ICX17" s="400"/>
      <c r="ICY17" s="400"/>
      <c r="ICZ17" s="400"/>
      <c r="IDA17" s="400"/>
      <c r="IDB17" s="400"/>
      <c r="IDC17" s="400"/>
      <c r="IDD17" s="400"/>
      <c r="IDE17" s="400"/>
      <c r="IDF17" s="400"/>
      <c r="IDG17" s="400"/>
      <c r="IDH17" s="400"/>
      <c r="IDI17" s="400"/>
      <c r="IDJ17" s="400"/>
      <c r="IDK17" s="400"/>
      <c r="IDL17" s="400"/>
      <c r="IDM17" s="400"/>
      <c r="IDN17" s="400"/>
      <c r="IDO17" s="400"/>
      <c r="IDP17" s="400"/>
      <c r="IDQ17" s="400"/>
      <c r="IDR17" s="400"/>
      <c r="IDS17" s="400"/>
      <c r="IDT17" s="400"/>
      <c r="IDU17" s="400"/>
      <c r="IDV17" s="400"/>
      <c r="IDW17" s="400"/>
      <c r="IDX17" s="400"/>
      <c r="IDY17" s="400"/>
      <c r="IDZ17" s="400"/>
      <c r="IEA17" s="400"/>
      <c r="IEB17" s="400"/>
      <c r="IEC17" s="400"/>
      <c r="IED17" s="400"/>
      <c r="IEE17" s="400"/>
      <c r="IEF17" s="400"/>
      <c r="IEG17" s="400"/>
      <c r="IEH17" s="400"/>
      <c r="IEI17" s="400"/>
      <c r="IEJ17" s="400"/>
      <c r="IEK17" s="400"/>
      <c r="IEL17" s="400"/>
      <c r="IEM17" s="400"/>
      <c r="IEN17" s="400"/>
      <c r="IEO17" s="400"/>
      <c r="IEP17" s="400"/>
      <c r="IEQ17" s="400"/>
      <c r="IER17" s="400"/>
      <c r="IES17" s="400"/>
      <c r="IET17" s="400"/>
      <c r="IEU17" s="400"/>
      <c r="IEV17" s="400"/>
      <c r="IEW17" s="400"/>
      <c r="IEX17" s="400"/>
      <c r="IEY17" s="400"/>
      <c r="IEZ17" s="400"/>
      <c r="IFA17" s="400"/>
      <c r="IFB17" s="400"/>
      <c r="IFC17" s="400"/>
      <c r="IFD17" s="400"/>
      <c r="IFE17" s="400"/>
      <c r="IFF17" s="400"/>
      <c r="IFG17" s="400"/>
      <c r="IFH17" s="400"/>
      <c r="IFI17" s="400"/>
      <c r="IFJ17" s="400"/>
      <c r="IFK17" s="400"/>
      <c r="IFL17" s="400"/>
      <c r="IFM17" s="400"/>
      <c r="IFN17" s="400"/>
      <c r="IFO17" s="400"/>
      <c r="IFP17" s="400"/>
      <c r="IFQ17" s="400"/>
      <c r="IFR17" s="400"/>
      <c r="IFS17" s="400"/>
      <c r="IFT17" s="400"/>
      <c r="IFU17" s="400"/>
      <c r="IFV17" s="400"/>
      <c r="IFW17" s="400"/>
      <c r="IFX17" s="400"/>
      <c r="IFY17" s="400"/>
      <c r="IFZ17" s="400"/>
      <c r="IGA17" s="400"/>
      <c r="IGB17" s="400"/>
      <c r="IGC17" s="400"/>
      <c r="IGD17" s="400"/>
      <c r="IGE17" s="400"/>
      <c r="IGF17" s="400"/>
      <c r="IGG17" s="400"/>
      <c r="IGH17" s="400"/>
      <c r="IGI17" s="400"/>
      <c r="IGJ17" s="400"/>
      <c r="IGK17" s="400"/>
      <c r="IGL17" s="400"/>
      <c r="IGM17" s="400"/>
      <c r="IGN17" s="400"/>
      <c r="IGO17" s="400"/>
      <c r="IGP17" s="400"/>
      <c r="IGQ17" s="400"/>
      <c r="IGR17" s="400"/>
      <c r="IGS17" s="400"/>
      <c r="IGT17" s="400"/>
      <c r="IGU17" s="400"/>
      <c r="IGV17" s="400"/>
      <c r="IGW17" s="400"/>
      <c r="IGX17" s="400"/>
      <c r="IGY17" s="400"/>
      <c r="IGZ17" s="400"/>
      <c r="IHA17" s="400"/>
      <c r="IHB17" s="400"/>
      <c r="IHC17" s="400"/>
      <c r="IHD17" s="400"/>
      <c r="IHE17" s="400"/>
      <c r="IHF17" s="400"/>
      <c r="IHG17" s="400"/>
      <c r="IHH17" s="400"/>
      <c r="IHI17" s="400"/>
      <c r="IHJ17" s="400"/>
      <c r="IHK17" s="400"/>
      <c r="IHL17" s="400"/>
      <c r="IHM17" s="400"/>
      <c r="IHN17" s="400"/>
      <c r="IHO17" s="400"/>
      <c r="IHP17" s="400"/>
      <c r="IHQ17" s="400"/>
      <c r="IHR17" s="400"/>
      <c r="IHS17" s="400"/>
      <c r="IHT17" s="400"/>
      <c r="IHU17" s="400"/>
      <c r="IHV17" s="400"/>
      <c r="IHW17" s="400"/>
      <c r="IHX17" s="400"/>
      <c r="IHY17" s="400"/>
      <c r="IHZ17" s="400"/>
      <c r="IIA17" s="400"/>
      <c r="IIB17" s="400"/>
      <c r="IIC17" s="400"/>
      <c r="IID17" s="400"/>
      <c r="IIE17" s="400"/>
      <c r="IIF17" s="400"/>
      <c r="IIG17" s="400"/>
      <c r="IIH17" s="400"/>
      <c r="III17" s="400"/>
      <c r="IIJ17" s="400"/>
      <c r="IIK17" s="400"/>
      <c r="IIL17" s="400"/>
      <c r="IIM17" s="400"/>
      <c r="IIN17" s="400"/>
      <c r="IIO17" s="400"/>
      <c r="IIP17" s="400"/>
      <c r="IIQ17" s="400"/>
      <c r="IIR17" s="400"/>
      <c r="IIS17" s="400"/>
      <c r="IIT17" s="400"/>
      <c r="IIU17" s="400"/>
      <c r="IIV17" s="400"/>
      <c r="IIW17" s="400"/>
      <c r="IIX17" s="400"/>
      <c r="IIY17" s="400"/>
      <c r="IIZ17" s="400"/>
      <c r="IJA17" s="400"/>
      <c r="IJB17" s="400"/>
      <c r="IJC17" s="400"/>
      <c r="IJD17" s="400"/>
      <c r="IJE17" s="400"/>
      <c r="IJF17" s="400"/>
      <c r="IJG17" s="400"/>
      <c r="IJH17" s="400"/>
      <c r="IJI17" s="400"/>
      <c r="IJJ17" s="400"/>
      <c r="IJK17" s="400"/>
      <c r="IJL17" s="400"/>
      <c r="IJM17" s="400"/>
      <c r="IJN17" s="400"/>
      <c r="IJO17" s="400"/>
      <c r="IJP17" s="400"/>
      <c r="IJQ17" s="400"/>
      <c r="IJR17" s="400"/>
      <c r="IJS17" s="400"/>
      <c r="IJT17" s="400"/>
      <c r="IJU17" s="400"/>
      <c r="IJV17" s="400"/>
      <c r="IJW17" s="400"/>
      <c r="IJX17" s="400"/>
      <c r="IJY17" s="400"/>
      <c r="IJZ17" s="400"/>
      <c r="IKA17" s="400"/>
      <c r="IKB17" s="400"/>
      <c r="IKC17" s="400"/>
      <c r="IKD17" s="400"/>
      <c r="IKE17" s="400"/>
      <c r="IKF17" s="400"/>
      <c r="IKG17" s="400"/>
      <c r="IKH17" s="400"/>
      <c r="IKI17" s="400"/>
      <c r="IKJ17" s="400"/>
      <c r="IKK17" s="400"/>
      <c r="IKL17" s="400"/>
      <c r="IKM17" s="400"/>
      <c r="IKN17" s="400"/>
      <c r="IKO17" s="400"/>
      <c r="IKP17" s="400"/>
      <c r="IKQ17" s="400"/>
      <c r="IKR17" s="400"/>
      <c r="IKS17" s="400"/>
      <c r="IKT17" s="400"/>
      <c r="IKU17" s="400"/>
      <c r="IKV17" s="400"/>
      <c r="IKW17" s="400"/>
      <c r="IKX17" s="400"/>
      <c r="IKY17" s="400"/>
      <c r="IKZ17" s="400"/>
      <c r="ILA17" s="400"/>
      <c r="ILB17" s="400"/>
      <c r="ILC17" s="400"/>
      <c r="ILD17" s="400"/>
      <c r="ILE17" s="400"/>
      <c r="ILF17" s="400"/>
      <c r="ILG17" s="400"/>
      <c r="ILH17" s="400"/>
      <c r="ILI17" s="400"/>
      <c r="ILJ17" s="400"/>
      <c r="ILK17" s="400"/>
      <c r="ILL17" s="400"/>
      <c r="ILM17" s="400"/>
      <c r="ILN17" s="400"/>
      <c r="ILO17" s="400"/>
      <c r="ILP17" s="400"/>
      <c r="ILQ17" s="400"/>
      <c r="ILR17" s="400"/>
      <c r="ILS17" s="400"/>
      <c r="ILT17" s="400"/>
      <c r="ILU17" s="400"/>
      <c r="ILV17" s="400"/>
      <c r="ILW17" s="400"/>
      <c r="ILX17" s="400"/>
      <c r="ILY17" s="400"/>
      <c r="ILZ17" s="400"/>
      <c r="IMA17" s="400"/>
      <c r="IMB17" s="400"/>
      <c r="IMC17" s="400"/>
      <c r="IMD17" s="400"/>
      <c r="IME17" s="400"/>
      <c r="IMF17" s="400"/>
      <c r="IMG17" s="400"/>
      <c r="IMH17" s="400"/>
      <c r="IMI17" s="400"/>
      <c r="IMJ17" s="400"/>
      <c r="IMK17" s="400"/>
      <c r="IML17" s="400"/>
      <c r="IMM17" s="400"/>
      <c r="IMN17" s="400"/>
      <c r="IMO17" s="400"/>
      <c r="IMP17" s="400"/>
      <c r="IMQ17" s="400"/>
      <c r="IMR17" s="400"/>
      <c r="IMS17" s="400"/>
      <c r="IMT17" s="400"/>
      <c r="IMU17" s="400"/>
      <c r="IMV17" s="400"/>
      <c r="IMW17" s="400"/>
      <c r="IMX17" s="400"/>
      <c r="IMY17" s="400"/>
      <c r="IMZ17" s="400"/>
      <c r="INA17" s="400"/>
      <c r="INB17" s="400"/>
      <c r="INC17" s="400"/>
      <c r="IND17" s="400"/>
      <c r="INE17" s="400"/>
      <c r="INF17" s="400"/>
      <c r="ING17" s="400"/>
      <c r="INH17" s="400"/>
      <c r="INI17" s="400"/>
      <c r="INJ17" s="400"/>
      <c r="INK17" s="400"/>
      <c r="INL17" s="400"/>
      <c r="INM17" s="400"/>
      <c r="INN17" s="400"/>
      <c r="INO17" s="400"/>
      <c r="INP17" s="400"/>
      <c r="INQ17" s="400"/>
      <c r="INR17" s="400"/>
      <c r="INS17" s="400"/>
      <c r="INT17" s="400"/>
      <c r="INU17" s="400"/>
      <c r="INV17" s="400"/>
      <c r="INW17" s="400"/>
      <c r="INX17" s="400"/>
      <c r="INY17" s="400"/>
      <c r="INZ17" s="400"/>
      <c r="IOA17" s="400"/>
      <c r="IOB17" s="400"/>
      <c r="IOC17" s="400"/>
      <c r="IOD17" s="400"/>
      <c r="IOE17" s="400"/>
      <c r="IOF17" s="400"/>
      <c r="IOG17" s="400"/>
      <c r="IOH17" s="400"/>
      <c r="IOI17" s="400"/>
      <c r="IOJ17" s="400"/>
      <c r="IOK17" s="400"/>
      <c r="IOL17" s="400"/>
      <c r="IOM17" s="400"/>
      <c r="ION17" s="400"/>
      <c r="IOO17" s="400"/>
      <c r="IOP17" s="400"/>
      <c r="IOQ17" s="400"/>
      <c r="IOR17" s="400"/>
      <c r="IOS17" s="400"/>
      <c r="IOT17" s="400"/>
      <c r="IOU17" s="400"/>
      <c r="IOV17" s="400"/>
      <c r="IOW17" s="400"/>
      <c r="IOX17" s="400"/>
      <c r="IOY17" s="400"/>
      <c r="IOZ17" s="400"/>
      <c r="IPA17" s="400"/>
      <c r="IPB17" s="400"/>
      <c r="IPC17" s="400"/>
      <c r="IPD17" s="400"/>
      <c r="IPE17" s="400"/>
      <c r="IPF17" s="400"/>
      <c r="IPG17" s="400"/>
      <c r="IPH17" s="400"/>
      <c r="IPI17" s="400"/>
      <c r="IPJ17" s="400"/>
      <c r="IPK17" s="400"/>
      <c r="IPL17" s="400"/>
      <c r="IPM17" s="400"/>
      <c r="IPN17" s="400"/>
      <c r="IPO17" s="400"/>
      <c r="IPP17" s="400"/>
      <c r="IPQ17" s="400"/>
      <c r="IPR17" s="400"/>
      <c r="IPS17" s="400"/>
      <c r="IPT17" s="400"/>
      <c r="IPU17" s="400"/>
      <c r="IPV17" s="400"/>
      <c r="IPW17" s="400"/>
      <c r="IPX17" s="400"/>
      <c r="IPY17" s="400"/>
      <c r="IPZ17" s="400"/>
      <c r="IQA17" s="400"/>
      <c r="IQB17" s="400"/>
      <c r="IQC17" s="400"/>
      <c r="IQD17" s="400"/>
      <c r="IQE17" s="400"/>
      <c r="IQF17" s="400"/>
      <c r="IQG17" s="400"/>
      <c r="IQH17" s="400"/>
      <c r="IQI17" s="400"/>
      <c r="IQJ17" s="400"/>
      <c r="IQK17" s="400"/>
      <c r="IQL17" s="400"/>
      <c r="IQM17" s="400"/>
      <c r="IQN17" s="400"/>
      <c r="IQO17" s="400"/>
      <c r="IQP17" s="400"/>
      <c r="IQQ17" s="400"/>
      <c r="IQR17" s="400"/>
      <c r="IQS17" s="400"/>
      <c r="IQT17" s="400"/>
      <c r="IQU17" s="400"/>
      <c r="IQV17" s="400"/>
      <c r="IQW17" s="400"/>
      <c r="IQX17" s="400"/>
      <c r="IQY17" s="400"/>
      <c r="IQZ17" s="400"/>
      <c r="IRA17" s="400"/>
      <c r="IRB17" s="400"/>
      <c r="IRC17" s="400"/>
      <c r="IRD17" s="400"/>
      <c r="IRE17" s="400"/>
      <c r="IRF17" s="400"/>
      <c r="IRG17" s="400"/>
      <c r="IRH17" s="400"/>
      <c r="IRI17" s="400"/>
      <c r="IRJ17" s="400"/>
      <c r="IRK17" s="400"/>
      <c r="IRL17" s="400"/>
      <c r="IRM17" s="400"/>
      <c r="IRN17" s="400"/>
      <c r="IRO17" s="400"/>
      <c r="IRP17" s="400"/>
      <c r="IRQ17" s="400"/>
      <c r="IRR17" s="400"/>
      <c r="IRS17" s="400"/>
      <c r="IRT17" s="400"/>
      <c r="IRU17" s="400"/>
      <c r="IRV17" s="400"/>
      <c r="IRW17" s="400"/>
      <c r="IRX17" s="400"/>
      <c r="IRY17" s="400"/>
      <c r="IRZ17" s="400"/>
      <c r="ISA17" s="400"/>
      <c r="ISB17" s="400"/>
      <c r="ISC17" s="400"/>
      <c r="ISD17" s="400"/>
      <c r="ISE17" s="400"/>
      <c r="ISF17" s="400"/>
      <c r="ISG17" s="400"/>
      <c r="ISH17" s="400"/>
      <c r="ISI17" s="400"/>
      <c r="ISJ17" s="400"/>
      <c r="ISK17" s="400"/>
      <c r="ISL17" s="400"/>
      <c r="ISM17" s="400"/>
      <c r="ISN17" s="400"/>
      <c r="ISO17" s="400"/>
      <c r="ISP17" s="400"/>
      <c r="ISQ17" s="400"/>
      <c r="ISR17" s="400"/>
      <c r="ISS17" s="400"/>
      <c r="IST17" s="400"/>
      <c r="ISU17" s="400"/>
      <c r="ISV17" s="400"/>
      <c r="ISW17" s="400"/>
      <c r="ISX17" s="400"/>
      <c r="ISY17" s="400"/>
      <c r="ISZ17" s="400"/>
      <c r="ITA17" s="400"/>
      <c r="ITB17" s="400"/>
      <c r="ITC17" s="400"/>
      <c r="ITD17" s="400"/>
      <c r="ITE17" s="400"/>
      <c r="ITF17" s="400"/>
      <c r="ITG17" s="400"/>
      <c r="ITH17" s="400"/>
      <c r="ITI17" s="400"/>
      <c r="ITJ17" s="400"/>
      <c r="ITK17" s="400"/>
      <c r="ITL17" s="400"/>
      <c r="ITM17" s="400"/>
      <c r="ITN17" s="400"/>
      <c r="ITO17" s="400"/>
      <c r="ITP17" s="400"/>
      <c r="ITQ17" s="400"/>
      <c r="ITR17" s="400"/>
      <c r="ITS17" s="400"/>
      <c r="ITT17" s="400"/>
      <c r="ITU17" s="400"/>
      <c r="ITV17" s="400"/>
      <c r="ITW17" s="400"/>
      <c r="ITX17" s="400"/>
      <c r="ITY17" s="400"/>
      <c r="ITZ17" s="400"/>
      <c r="IUA17" s="400"/>
      <c r="IUB17" s="400"/>
      <c r="IUC17" s="400"/>
      <c r="IUD17" s="400"/>
      <c r="IUE17" s="400"/>
      <c r="IUF17" s="400"/>
      <c r="IUG17" s="400"/>
      <c r="IUH17" s="400"/>
      <c r="IUI17" s="400"/>
      <c r="IUJ17" s="400"/>
      <c r="IUK17" s="400"/>
      <c r="IUL17" s="400"/>
      <c r="IUM17" s="400"/>
      <c r="IUN17" s="400"/>
      <c r="IUO17" s="400"/>
      <c r="IUP17" s="400"/>
      <c r="IUQ17" s="400"/>
      <c r="IUR17" s="400"/>
      <c r="IUS17" s="400"/>
      <c r="IUT17" s="400"/>
      <c r="IUU17" s="400"/>
      <c r="IUV17" s="400"/>
      <c r="IUW17" s="400"/>
      <c r="IUX17" s="400"/>
      <c r="IUY17" s="400"/>
      <c r="IUZ17" s="400"/>
      <c r="IVA17" s="400"/>
      <c r="IVB17" s="400"/>
      <c r="IVC17" s="400"/>
      <c r="IVD17" s="400"/>
      <c r="IVE17" s="400"/>
      <c r="IVF17" s="400"/>
      <c r="IVG17" s="400"/>
      <c r="IVH17" s="400"/>
      <c r="IVI17" s="400"/>
      <c r="IVJ17" s="400"/>
      <c r="IVK17" s="400"/>
      <c r="IVL17" s="400"/>
      <c r="IVM17" s="400"/>
      <c r="IVN17" s="400"/>
      <c r="IVO17" s="400"/>
      <c r="IVP17" s="400"/>
      <c r="IVQ17" s="400"/>
      <c r="IVR17" s="400"/>
      <c r="IVS17" s="400"/>
      <c r="IVT17" s="400"/>
      <c r="IVU17" s="400"/>
      <c r="IVV17" s="400"/>
      <c r="IVW17" s="400"/>
      <c r="IVX17" s="400"/>
      <c r="IVY17" s="400"/>
      <c r="IVZ17" s="400"/>
      <c r="IWA17" s="400"/>
      <c r="IWB17" s="400"/>
      <c r="IWC17" s="400"/>
      <c r="IWD17" s="400"/>
      <c r="IWE17" s="400"/>
      <c r="IWF17" s="400"/>
      <c r="IWG17" s="400"/>
      <c r="IWH17" s="400"/>
      <c r="IWI17" s="400"/>
      <c r="IWJ17" s="400"/>
      <c r="IWK17" s="400"/>
      <c r="IWL17" s="400"/>
      <c r="IWM17" s="400"/>
      <c r="IWN17" s="400"/>
      <c r="IWO17" s="400"/>
      <c r="IWP17" s="400"/>
      <c r="IWQ17" s="400"/>
      <c r="IWR17" s="400"/>
      <c r="IWS17" s="400"/>
      <c r="IWT17" s="400"/>
      <c r="IWU17" s="400"/>
      <c r="IWV17" s="400"/>
      <c r="IWW17" s="400"/>
      <c r="IWX17" s="400"/>
      <c r="IWY17" s="400"/>
      <c r="IWZ17" s="400"/>
      <c r="IXA17" s="400"/>
      <c r="IXB17" s="400"/>
      <c r="IXC17" s="400"/>
      <c r="IXD17" s="400"/>
      <c r="IXE17" s="400"/>
      <c r="IXF17" s="400"/>
      <c r="IXG17" s="400"/>
      <c r="IXH17" s="400"/>
      <c r="IXI17" s="400"/>
      <c r="IXJ17" s="400"/>
      <c r="IXK17" s="400"/>
      <c r="IXL17" s="400"/>
      <c r="IXM17" s="400"/>
      <c r="IXN17" s="400"/>
      <c r="IXO17" s="400"/>
      <c r="IXP17" s="400"/>
      <c r="IXQ17" s="400"/>
      <c r="IXR17" s="400"/>
      <c r="IXS17" s="400"/>
      <c r="IXT17" s="400"/>
      <c r="IXU17" s="400"/>
      <c r="IXV17" s="400"/>
      <c r="IXW17" s="400"/>
      <c r="IXX17" s="400"/>
      <c r="IXY17" s="400"/>
      <c r="IXZ17" s="400"/>
      <c r="IYA17" s="400"/>
      <c r="IYB17" s="400"/>
      <c r="IYC17" s="400"/>
      <c r="IYD17" s="400"/>
      <c r="IYE17" s="400"/>
      <c r="IYF17" s="400"/>
      <c r="IYG17" s="400"/>
      <c r="IYH17" s="400"/>
      <c r="IYI17" s="400"/>
      <c r="IYJ17" s="400"/>
      <c r="IYK17" s="400"/>
      <c r="IYL17" s="400"/>
      <c r="IYM17" s="400"/>
      <c r="IYN17" s="400"/>
      <c r="IYO17" s="400"/>
      <c r="IYP17" s="400"/>
      <c r="IYQ17" s="400"/>
      <c r="IYR17" s="400"/>
      <c r="IYS17" s="400"/>
      <c r="IYT17" s="400"/>
      <c r="IYU17" s="400"/>
      <c r="IYV17" s="400"/>
      <c r="IYW17" s="400"/>
      <c r="IYX17" s="400"/>
      <c r="IYY17" s="400"/>
      <c r="IYZ17" s="400"/>
      <c r="IZA17" s="400"/>
      <c r="IZB17" s="400"/>
      <c r="IZC17" s="400"/>
      <c r="IZD17" s="400"/>
      <c r="IZE17" s="400"/>
      <c r="IZF17" s="400"/>
      <c r="IZG17" s="400"/>
      <c r="IZH17" s="400"/>
      <c r="IZI17" s="400"/>
      <c r="IZJ17" s="400"/>
      <c r="IZK17" s="400"/>
      <c r="IZL17" s="400"/>
      <c r="IZM17" s="400"/>
      <c r="IZN17" s="400"/>
      <c r="IZO17" s="400"/>
      <c r="IZP17" s="400"/>
      <c r="IZQ17" s="400"/>
      <c r="IZR17" s="400"/>
      <c r="IZS17" s="400"/>
      <c r="IZT17" s="400"/>
      <c r="IZU17" s="400"/>
      <c r="IZV17" s="400"/>
      <c r="IZW17" s="400"/>
      <c r="IZX17" s="400"/>
      <c r="IZY17" s="400"/>
      <c r="IZZ17" s="400"/>
      <c r="JAA17" s="400"/>
      <c r="JAB17" s="400"/>
      <c r="JAC17" s="400"/>
      <c r="JAD17" s="400"/>
      <c r="JAE17" s="400"/>
      <c r="JAF17" s="400"/>
      <c r="JAG17" s="400"/>
      <c r="JAH17" s="400"/>
      <c r="JAI17" s="400"/>
      <c r="JAJ17" s="400"/>
      <c r="JAK17" s="400"/>
      <c r="JAL17" s="400"/>
      <c r="JAM17" s="400"/>
      <c r="JAN17" s="400"/>
      <c r="JAO17" s="400"/>
      <c r="JAP17" s="400"/>
      <c r="JAQ17" s="400"/>
      <c r="JAR17" s="400"/>
      <c r="JAS17" s="400"/>
      <c r="JAT17" s="400"/>
      <c r="JAU17" s="400"/>
      <c r="JAV17" s="400"/>
      <c r="JAW17" s="400"/>
      <c r="JAX17" s="400"/>
      <c r="JAY17" s="400"/>
      <c r="JAZ17" s="400"/>
      <c r="JBA17" s="400"/>
      <c r="JBB17" s="400"/>
      <c r="JBC17" s="400"/>
      <c r="JBD17" s="400"/>
      <c r="JBE17" s="400"/>
      <c r="JBF17" s="400"/>
      <c r="JBG17" s="400"/>
      <c r="JBH17" s="400"/>
      <c r="JBI17" s="400"/>
      <c r="JBJ17" s="400"/>
      <c r="JBK17" s="400"/>
      <c r="JBL17" s="400"/>
      <c r="JBM17" s="400"/>
      <c r="JBN17" s="400"/>
      <c r="JBO17" s="400"/>
      <c r="JBP17" s="400"/>
      <c r="JBQ17" s="400"/>
      <c r="JBR17" s="400"/>
      <c r="JBS17" s="400"/>
      <c r="JBT17" s="400"/>
      <c r="JBU17" s="400"/>
      <c r="JBV17" s="400"/>
      <c r="JBW17" s="400"/>
      <c r="JBX17" s="400"/>
      <c r="JBY17" s="400"/>
      <c r="JBZ17" s="400"/>
      <c r="JCA17" s="400"/>
      <c r="JCB17" s="400"/>
      <c r="JCC17" s="400"/>
      <c r="JCD17" s="400"/>
      <c r="JCE17" s="400"/>
      <c r="JCF17" s="400"/>
      <c r="JCG17" s="400"/>
      <c r="JCH17" s="400"/>
      <c r="JCI17" s="400"/>
      <c r="JCJ17" s="400"/>
      <c r="JCK17" s="400"/>
      <c r="JCL17" s="400"/>
      <c r="JCM17" s="400"/>
      <c r="JCN17" s="400"/>
      <c r="JCO17" s="400"/>
      <c r="JCP17" s="400"/>
      <c r="JCQ17" s="400"/>
      <c r="JCR17" s="400"/>
      <c r="JCS17" s="400"/>
      <c r="JCT17" s="400"/>
      <c r="JCU17" s="400"/>
      <c r="JCV17" s="400"/>
      <c r="JCW17" s="400"/>
      <c r="JCX17" s="400"/>
      <c r="JCY17" s="400"/>
      <c r="JCZ17" s="400"/>
      <c r="JDA17" s="400"/>
      <c r="JDB17" s="400"/>
      <c r="JDC17" s="400"/>
      <c r="JDD17" s="400"/>
      <c r="JDE17" s="400"/>
      <c r="JDF17" s="400"/>
      <c r="JDG17" s="400"/>
      <c r="JDH17" s="400"/>
      <c r="JDI17" s="400"/>
      <c r="JDJ17" s="400"/>
      <c r="JDK17" s="400"/>
      <c r="JDL17" s="400"/>
      <c r="JDM17" s="400"/>
      <c r="JDN17" s="400"/>
      <c r="JDO17" s="400"/>
      <c r="JDP17" s="400"/>
      <c r="JDQ17" s="400"/>
      <c r="JDR17" s="400"/>
      <c r="JDS17" s="400"/>
      <c r="JDT17" s="400"/>
      <c r="JDU17" s="400"/>
      <c r="JDV17" s="400"/>
      <c r="JDW17" s="400"/>
      <c r="JDX17" s="400"/>
      <c r="JDY17" s="400"/>
      <c r="JDZ17" s="400"/>
      <c r="JEA17" s="400"/>
      <c r="JEB17" s="400"/>
      <c r="JEC17" s="400"/>
      <c r="JED17" s="400"/>
      <c r="JEE17" s="400"/>
      <c r="JEF17" s="400"/>
      <c r="JEG17" s="400"/>
      <c r="JEH17" s="400"/>
      <c r="JEI17" s="400"/>
      <c r="JEJ17" s="400"/>
      <c r="JEK17" s="400"/>
      <c r="JEL17" s="400"/>
      <c r="JEM17" s="400"/>
      <c r="JEN17" s="400"/>
      <c r="JEO17" s="400"/>
      <c r="JEP17" s="400"/>
      <c r="JEQ17" s="400"/>
      <c r="JER17" s="400"/>
      <c r="JES17" s="400"/>
      <c r="JET17" s="400"/>
      <c r="JEU17" s="400"/>
      <c r="JEV17" s="400"/>
      <c r="JEW17" s="400"/>
      <c r="JEX17" s="400"/>
      <c r="JEY17" s="400"/>
      <c r="JEZ17" s="400"/>
      <c r="JFA17" s="400"/>
      <c r="JFB17" s="400"/>
      <c r="JFC17" s="400"/>
      <c r="JFD17" s="400"/>
      <c r="JFE17" s="400"/>
      <c r="JFF17" s="400"/>
      <c r="JFG17" s="400"/>
      <c r="JFH17" s="400"/>
      <c r="JFI17" s="400"/>
      <c r="JFJ17" s="400"/>
      <c r="JFK17" s="400"/>
      <c r="JFL17" s="400"/>
      <c r="JFM17" s="400"/>
      <c r="JFN17" s="400"/>
      <c r="JFO17" s="400"/>
      <c r="JFP17" s="400"/>
      <c r="JFQ17" s="400"/>
      <c r="JFR17" s="400"/>
      <c r="JFS17" s="400"/>
      <c r="JFT17" s="400"/>
      <c r="JFU17" s="400"/>
      <c r="JFV17" s="400"/>
      <c r="JFW17" s="400"/>
      <c r="JFX17" s="400"/>
      <c r="JFY17" s="400"/>
      <c r="JFZ17" s="400"/>
      <c r="JGA17" s="400"/>
      <c r="JGB17" s="400"/>
      <c r="JGC17" s="400"/>
      <c r="JGD17" s="400"/>
      <c r="JGE17" s="400"/>
      <c r="JGF17" s="400"/>
      <c r="JGG17" s="400"/>
      <c r="JGH17" s="400"/>
      <c r="JGI17" s="400"/>
      <c r="JGJ17" s="400"/>
      <c r="JGK17" s="400"/>
      <c r="JGL17" s="400"/>
      <c r="JGM17" s="400"/>
      <c r="JGN17" s="400"/>
      <c r="JGO17" s="400"/>
      <c r="JGP17" s="400"/>
      <c r="JGQ17" s="400"/>
      <c r="JGR17" s="400"/>
      <c r="JGS17" s="400"/>
      <c r="JGT17" s="400"/>
      <c r="JGU17" s="400"/>
      <c r="JGV17" s="400"/>
      <c r="JGW17" s="400"/>
      <c r="JGX17" s="400"/>
      <c r="JGY17" s="400"/>
      <c r="JGZ17" s="400"/>
      <c r="JHA17" s="400"/>
      <c r="JHB17" s="400"/>
      <c r="JHC17" s="400"/>
      <c r="JHD17" s="400"/>
      <c r="JHE17" s="400"/>
      <c r="JHF17" s="400"/>
      <c r="JHG17" s="400"/>
      <c r="JHH17" s="400"/>
      <c r="JHI17" s="400"/>
      <c r="JHJ17" s="400"/>
      <c r="JHK17" s="400"/>
      <c r="JHL17" s="400"/>
      <c r="JHM17" s="400"/>
      <c r="JHN17" s="400"/>
      <c r="JHO17" s="400"/>
      <c r="JHP17" s="400"/>
      <c r="JHQ17" s="400"/>
      <c r="JHR17" s="400"/>
      <c r="JHS17" s="400"/>
      <c r="JHT17" s="400"/>
      <c r="JHU17" s="400"/>
      <c r="JHV17" s="400"/>
      <c r="JHW17" s="400"/>
      <c r="JHX17" s="400"/>
      <c r="JHY17" s="400"/>
      <c r="JHZ17" s="400"/>
      <c r="JIA17" s="400"/>
      <c r="JIB17" s="400"/>
      <c r="JIC17" s="400"/>
      <c r="JID17" s="400"/>
      <c r="JIE17" s="400"/>
      <c r="JIF17" s="400"/>
      <c r="JIG17" s="400"/>
      <c r="JIH17" s="400"/>
      <c r="JII17" s="400"/>
      <c r="JIJ17" s="400"/>
      <c r="JIK17" s="400"/>
      <c r="JIL17" s="400"/>
      <c r="JIM17" s="400"/>
      <c r="JIN17" s="400"/>
      <c r="JIO17" s="400"/>
      <c r="JIP17" s="400"/>
      <c r="JIQ17" s="400"/>
      <c r="JIR17" s="400"/>
      <c r="JIS17" s="400"/>
      <c r="JIT17" s="400"/>
      <c r="JIU17" s="400"/>
      <c r="JIV17" s="400"/>
      <c r="JIW17" s="400"/>
      <c r="JIX17" s="400"/>
      <c r="JIY17" s="400"/>
      <c r="JIZ17" s="400"/>
      <c r="JJA17" s="400"/>
      <c r="JJB17" s="400"/>
      <c r="JJC17" s="400"/>
      <c r="JJD17" s="400"/>
      <c r="JJE17" s="400"/>
      <c r="JJF17" s="400"/>
      <c r="JJG17" s="400"/>
      <c r="JJH17" s="400"/>
      <c r="JJI17" s="400"/>
      <c r="JJJ17" s="400"/>
      <c r="JJK17" s="400"/>
      <c r="JJL17" s="400"/>
      <c r="JJM17" s="400"/>
      <c r="JJN17" s="400"/>
      <c r="JJO17" s="400"/>
      <c r="JJP17" s="400"/>
      <c r="JJQ17" s="400"/>
      <c r="JJR17" s="400"/>
      <c r="JJS17" s="400"/>
      <c r="JJT17" s="400"/>
      <c r="JJU17" s="400"/>
      <c r="JJV17" s="400"/>
      <c r="JJW17" s="400"/>
      <c r="JJX17" s="400"/>
      <c r="JJY17" s="400"/>
      <c r="JJZ17" s="400"/>
      <c r="JKA17" s="400"/>
      <c r="JKB17" s="400"/>
      <c r="JKC17" s="400"/>
      <c r="JKD17" s="400"/>
      <c r="JKE17" s="400"/>
      <c r="JKF17" s="400"/>
      <c r="JKG17" s="400"/>
      <c r="JKH17" s="400"/>
      <c r="JKI17" s="400"/>
      <c r="JKJ17" s="400"/>
      <c r="JKK17" s="400"/>
      <c r="JKL17" s="400"/>
      <c r="JKM17" s="400"/>
      <c r="JKN17" s="400"/>
      <c r="JKO17" s="400"/>
      <c r="JKP17" s="400"/>
      <c r="JKQ17" s="400"/>
      <c r="JKR17" s="400"/>
      <c r="JKS17" s="400"/>
      <c r="JKT17" s="400"/>
      <c r="JKU17" s="400"/>
      <c r="JKV17" s="400"/>
      <c r="JKW17" s="400"/>
      <c r="JKX17" s="400"/>
      <c r="JKY17" s="400"/>
      <c r="JKZ17" s="400"/>
      <c r="JLA17" s="400"/>
      <c r="JLB17" s="400"/>
      <c r="JLC17" s="400"/>
      <c r="JLD17" s="400"/>
      <c r="JLE17" s="400"/>
      <c r="JLF17" s="400"/>
      <c r="JLG17" s="400"/>
      <c r="JLH17" s="400"/>
      <c r="JLI17" s="400"/>
      <c r="JLJ17" s="400"/>
      <c r="JLK17" s="400"/>
      <c r="JLL17" s="400"/>
      <c r="JLM17" s="400"/>
      <c r="JLN17" s="400"/>
      <c r="JLO17" s="400"/>
      <c r="JLP17" s="400"/>
      <c r="JLQ17" s="400"/>
      <c r="JLR17" s="400"/>
      <c r="JLS17" s="400"/>
      <c r="JLT17" s="400"/>
      <c r="JLU17" s="400"/>
      <c r="JLV17" s="400"/>
      <c r="JLW17" s="400"/>
      <c r="JLX17" s="400"/>
      <c r="JLY17" s="400"/>
      <c r="JLZ17" s="400"/>
      <c r="JMA17" s="400"/>
      <c r="JMB17" s="400"/>
      <c r="JMC17" s="400"/>
      <c r="JMD17" s="400"/>
      <c r="JME17" s="400"/>
      <c r="JMF17" s="400"/>
      <c r="JMG17" s="400"/>
      <c r="JMH17" s="400"/>
      <c r="JMI17" s="400"/>
      <c r="JMJ17" s="400"/>
      <c r="JMK17" s="400"/>
      <c r="JML17" s="400"/>
      <c r="JMM17" s="400"/>
      <c r="JMN17" s="400"/>
      <c r="JMO17" s="400"/>
      <c r="JMP17" s="400"/>
      <c r="JMQ17" s="400"/>
      <c r="JMR17" s="400"/>
      <c r="JMS17" s="400"/>
      <c r="JMT17" s="400"/>
      <c r="JMU17" s="400"/>
      <c r="JMV17" s="400"/>
      <c r="JMW17" s="400"/>
      <c r="JMX17" s="400"/>
      <c r="JMY17" s="400"/>
      <c r="JMZ17" s="400"/>
      <c r="JNA17" s="400"/>
      <c r="JNB17" s="400"/>
      <c r="JNC17" s="400"/>
      <c r="JND17" s="400"/>
      <c r="JNE17" s="400"/>
      <c r="JNF17" s="400"/>
      <c r="JNG17" s="400"/>
      <c r="JNH17" s="400"/>
      <c r="JNI17" s="400"/>
      <c r="JNJ17" s="400"/>
      <c r="JNK17" s="400"/>
      <c r="JNL17" s="400"/>
      <c r="JNM17" s="400"/>
      <c r="JNN17" s="400"/>
      <c r="JNO17" s="400"/>
      <c r="JNP17" s="400"/>
      <c r="JNQ17" s="400"/>
      <c r="JNR17" s="400"/>
      <c r="JNS17" s="400"/>
      <c r="JNT17" s="400"/>
      <c r="JNU17" s="400"/>
      <c r="JNV17" s="400"/>
      <c r="JNW17" s="400"/>
      <c r="JNX17" s="400"/>
      <c r="JNY17" s="400"/>
      <c r="JNZ17" s="400"/>
      <c r="JOA17" s="400"/>
      <c r="JOB17" s="400"/>
      <c r="JOC17" s="400"/>
      <c r="JOD17" s="400"/>
      <c r="JOE17" s="400"/>
      <c r="JOF17" s="400"/>
      <c r="JOG17" s="400"/>
      <c r="JOH17" s="400"/>
      <c r="JOI17" s="400"/>
      <c r="JOJ17" s="400"/>
      <c r="JOK17" s="400"/>
      <c r="JOL17" s="400"/>
      <c r="JOM17" s="400"/>
      <c r="JON17" s="400"/>
      <c r="JOO17" s="400"/>
      <c r="JOP17" s="400"/>
      <c r="JOQ17" s="400"/>
      <c r="JOR17" s="400"/>
      <c r="JOS17" s="400"/>
      <c r="JOT17" s="400"/>
      <c r="JOU17" s="400"/>
      <c r="JOV17" s="400"/>
      <c r="JOW17" s="400"/>
      <c r="JOX17" s="400"/>
      <c r="JOY17" s="400"/>
      <c r="JOZ17" s="400"/>
      <c r="JPA17" s="400"/>
      <c r="JPB17" s="400"/>
      <c r="JPC17" s="400"/>
      <c r="JPD17" s="400"/>
      <c r="JPE17" s="400"/>
      <c r="JPF17" s="400"/>
      <c r="JPG17" s="400"/>
      <c r="JPH17" s="400"/>
      <c r="JPI17" s="400"/>
      <c r="JPJ17" s="400"/>
      <c r="JPK17" s="400"/>
      <c r="JPL17" s="400"/>
      <c r="JPM17" s="400"/>
      <c r="JPN17" s="400"/>
      <c r="JPO17" s="400"/>
      <c r="JPP17" s="400"/>
      <c r="JPQ17" s="400"/>
      <c r="JPR17" s="400"/>
      <c r="JPS17" s="400"/>
      <c r="JPT17" s="400"/>
      <c r="JPU17" s="400"/>
      <c r="JPV17" s="400"/>
      <c r="JPW17" s="400"/>
      <c r="JPX17" s="400"/>
      <c r="JPY17" s="400"/>
      <c r="JPZ17" s="400"/>
      <c r="JQA17" s="400"/>
      <c r="JQB17" s="400"/>
      <c r="JQC17" s="400"/>
      <c r="JQD17" s="400"/>
      <c r="JQE17" s="400"/>
      <c r="JQF17" s="400"/>
      <c r="JQG17" s="400"/>
      <c r="JQH17" s="400"/>
      <c r="JQI17" s="400"/>
      <c r="JQJ17" s="400"/>
      <c r="JQK17" s="400"/>
      <c r="JQL17" s="400"/>
      <c r="JQM17" s="400"/>
      <c r="JQN17" s="400"/>
      <c r="JQO17" s="400"/>
      <c r="JQP17" s="400"/>
      <c r="JQQ17" s="400"/>
      <c r="JQR17" s="400"/>
      <c r="JQS17" s="400"/>
      <c r="JQT17" s="400"/>
      <c r="JQU17" s="400"/>
      <c r="JQV17" s="400"/>
      <c r="JQW17" s="400"/>
      <c r="JQX17" s="400"/>
      <c r="JQY17" s="400"/>
      <c r="JQZ17" s="400"/>
      <c r="JRA17" s="400"/>
      <c r="JRB17" s="400"/>
      <c r="JRC17" s="400"/>
      <c r="JRD17" s="400"/>
      <c r="JRE17" s="400"/>
      <c r="JRF17" s="400"/>
      <c r="JRG17" s="400"/>
      <c r="JRH17" s="400"/>
      <c r="JRI17" s="400"/>
      <c r="JRJ17" s="400"/>
      <c r="JRK17" s="400"/>
      <c r="JRL17" s="400"/>
      <c r="JRM17" s="400"/>
      <c r="JRN17" s="400"/>
      <c r="JRO17" s="400"/>
      <c r="JRP17" s="400"/>
      <c r="JRQ17" s="400"/>
      <c r="JRR17" s="400"/>
      <c r="JRS17" s="400"/>
      <c r="JRT17" s="400"/>
      <c r="JRU17" s="400"/>
      <c r="JRV17" s="400"/>
      <c r="JRW17" s="400"/>
      <c r="JRX17" s="400"/>
      <c r="JRY17" s="400"/>
      <c r="JRZ17" s="400"/>
      <c r="JSA17" s="400"/>
      <c r="JSB17" s="400"/>
      <c r="JSC17" s="400"/>
      <c r="JSD17" s="400"/>
      <c r="JSE17" s="400"/>
      <c r="JSF17" s="400"/>
      <c r="JSG17" s="400"/>
      <c r="JSH17" s="400"/>
      <c r="JSI17" s="400"/>
      <c r="JSJ17" s="400"/>
      <c r="JSK17" s="400"/>
      <c r="JSL17" s="400"/>
      <c r="JSM17" s="400"/>
      <c r="JSN17" s="400"/>
      <c r="JSO17" s="400"/>
      <c r="JSP17" s="400"/>
      <c r="JSQ17" s="400"/>
      <c r="JSR17" s="400"/>
      <c r="JSS17" s="400"/>
      <c r="JST17" s="400"/>
      <c r="JSU17" s="400"/>
      <c r="JSV17" s="400"/>
      <c r="JSW17" s="400"/>
      <c r="JSX17" s="400"/>
      <c r="JSY17" s="400"/>
      <c r="JSZ17" s="400"/>
      <c r="JTA17" s="400"/>
      <c r="JTB17" s="400"/>
      <c r="JTC17" s="400"/>
      <c r="JTD17" s="400"/>
      <c r="JTE17" s="400"/>
      <c r="JTF17" s="400"/>
      <c r="JTG17" s="400"/>
      <c r="JTH17" s="400"/>
      <c r="JTI17" s="400"/>
      <c r="JTJ17" s="400"/>
      <c r="JTK17" s="400"/>
      <c r="JTL17" s="400"/>
      <c r="JTM17" s="400"/>
      <c r="JTN17" s="400"/>
      <c r="JTO17" s="400"/>
      <c r="JTP17" s="400"/>
      <c r="JTQ17" s="400"/>
      <c r="JTR17" s="400"/>
      <c r="JTS17" s="400"/>
      <c r="JTT17" s="400"/>
      <c r="JTU17" s="400"/>
      <c r="JTV17" s="400"/>
      <c r="JTW17" s="400"/>
      <c r="JTX17" s="400"/>
      <c r="JTY17" s="400"/>
      <c r="JTZ17" s="400"/>
      <c r="JUA17" s="400"/>
      <c r="JUB17" s="400"/>
      <c r="JUC17" s="400"/>
      <c r="JUD17" s="400"/>
      <c r="JUE17" s="400"/>
      <c r="JUF17" s="400"/>
      <c r="JUG17" s="400"/>
      <c r="JUH17" s="400"/>
      <c r="JUI17" s="400"/>
      <c r="JUJ17" s="400"/>
      <c r="JUK17" s="400"/>
      <c r="JUL17" s="400"/>
      <c r="JUM17" s="400"/>
      <c r="JUN17" s="400"/>
      <c r="JUO17" s="400"/>
      <c r="JUP17" s="400"/>
      <c r="JUQ17" s="400"/>
      <c r="JUR17" s="400"/>
      <c r="JUS17" s="400"/>
      <c r="JUT17" s="400"/>
      <c r="JUU17" s="400"/>
      <c r="JUV17" s="400"/>
      <c r="JUW17" s="400"/>
      <c r="JUX17" s="400"/>
      <c r="JUY17" s="400"/>
      <c r="JUZ17" s="400"/>
      <c r="JVA17" s="400"/>
      <c r="JVB17" s="400"/>
      <c r="JVC17" s="400"/>
      <c r="JVD17" s="400"/>
      <c r="JVE17" s="400"/>
      <c r="JVF17" s="400"/>
      <c r="JVG17" s="400"/>
      <c r="JVH17" s="400"/>
      <c r="JVI17" s="400"/>
      <c r="JVJ17" s="400"/>
      <c r="JVK17" s="400"/>
      <c r="JVL17" s="400"/>
      <c r="JVM17" s="400"/>
      <c r="JVN17" s="400"/>
      <c r="JVO17" s="400"/>
      <c r="JVP17" s="400"/>
      <c r="JVQ17" s="400"/>
      <c r="JVR17" s="400"/>
      <c r="JVS17" s="400"/>
      <c r="JVT17" s="400"/>
      <c r="JVU17" s="400"/>
      <c r="JVV17" s="400"/>
      <c r="JVW17" s="400"/>
      <c r="JVX17" s="400"/>
      <c r="JVY17" s="400"/>
      <c r="JVZ17" s="400"/>
      <c r="JWA17" s="400"/>
      <c r="JWB17" s="400"/>
      <c r="JWC17" s="400"/>
      <c r="JWD17" s="400"/>
      <c r="JWE17" s="400"/>
      <c r="JWF17" s="400"/>
      <c r="JWG17" s="400"/>
      <c r="JWH17" s="400"/>
      <c r="JWI17" s="400"/>
      <c r="JWJ17" s="400"/>
      <c r="JWK17" s="400"/>
      <c r="JWL17" s="400"/>
      <c r="JWM17" s="400"/>
      <c r="JWN17" s="400"/>
      <c r="JWO17" s="400"/>
      <c r="JWP17" s="400"/>
      <c r="JWQ17" s="400"/>
      <c r="JWR17" s="400"/>
      <c r="JWS17" s="400"/>
      <c r="JWT17" s="400"/>
      <c r="JWU17" s="400"/>
      <c r="JWV17" s="400"/>
      <c r="JWW17" s="400"/>
      <c r="JWX17" s="400"/>
      <c r="JWY17" s="400"/>
      <c r="JWZ17" s="400"/>
      <c r="JXA17" s="400"/>
      <c r="JXB17" s="400"/>
      <c r="JXC17" s="400"/>
      <c r="JXD17" s="400"/>
      <c r="JXE17" s="400"/>
      <c r="JXF17" s="400"/>
      <c r="JXG17" s="400"/>
      <c r="JXH17" s="400"/>
      <c r="JXI17" s="400"/>
      <c r="JXJ17" s="400"/>
      <c r="JXK17" s="400"/>
      <c r="JXL17" s="400"/>
      <c r="JXM17" s="400"/>
      <c r="JXN17" s="400"/>
      <c r="JXO17" s="400"/>
      <c r="JXP17" s="400"/>
      <c r="JXQ17" s="400"/>
      <c r="JXR17" s="400"/>
      <c r="JXS17" s="400"/>
      <c r="JXT17" s="400"/>
      <c r="JXU17" s="400"/>
      <c r="JXV17" s="400"/>
      <c r="JXW17" s="400"/>
      <c r="JXX17" s="400"/>
      <c r="JXY17" s="400"/>
      <c r="JXZ17" s="400"/>
      <c r="JYA17" s="400"/>
      <c r="JYB17" s="400"/>
      <c r="JYC17" s="400"/>
      <c r="JYD17" s="400"/>
      <c r="JYE17" s="400"/>
      <c r="JYF17" s="400"/>
      <c r="JYG17" s="400"/>
      <c r="JYH17" s="400"/>
      <c r="JYI17" s="400"/>
      <c r="JYJ17" s="400"/>
      <c r="JYK17" s="400"/>
      <c r="JYL17" s="400"/>
      <c r="JYM17" s="400"/>
      <c r="JYN17" s="400"/>
      <c r="JYO17" s="400"/>
      <c r="JYP17" s="400"/>
      <c r="JYQ17" s="400"/>
      <c r="JYR17" s="400"/>
      <c r="JYS17" s="400"/>
      <c r="JYT17" s="400"/>
      <c r="JYU17" s="400"/>
      <c r="JYV17" s="400"/>
      <c r="JYW17" s="400"/>
      <c r="JYX17" s="400"/>
      <c r="JYY17" s="400"/>
      <c r="JYZ17" s="400"/>
      <c r="JZA17" s="400"/>
      <c r="JZB17" s="400"/>
      <c r="JZC17" s="400"/>
      <c r="JZD17" s="400"/>
      <c r="JZE17" s="400"/>
      <c r="JZF17" s="400"/>
      <c r="JZG17" s="400"/>
      <c r="JZH17" s="400"/>
      <c r="JZI17" s="400"/>
      <c r="JZJ17" s="400"/>
      <c r="JZK17" s="400"/>
      <c r="JZL17" s="400"/>
      <c r="JZM17" s="400"/>
      <c r="JZN17" s="400"/>
      <c r="JZO17" s="400"/>
      <c r="JZP17" s="400"/>
      <c r="JZQ17" s="400"/>
      <c r="JZR17" s="400"/>
      <c r="JZS17" s="400"/>
      <c r="JZT17" s="400"/>
      <c r="JZU17" s="400"/>
      <c r="JZV17" s="400"/>
      <c r="JZW17" s="400"/>
      <c r="JZX17" s="400"/>
      <c r="JZY17" s="400"/>
      <c r="JZZ17" s="400"/>
      <c r="KAA17" s="400"/>
      <c r="KAB17" s="400"/>
      <c r="KAC17" s="400"/>
      <c r="KAD17" s="400"/>
      <c r="KAE17" s="400"/>
      <c r="KAF17" s="400"/>
      <c r="KAG17" s="400"/>
      <c r="KAH17" s="400"/>
      <c r="KAI17" s="400"/>
      <c r="KAJ17" s="400"/>
      <c r="KAK17" s="400"/>
      <c r="KAL17" s="400"/>
      <c r="KAM17" s="400"/>
      <c r="KAN17" s="400"/>
      <c r="KAO17" s="400"/>
      <c r="KAP17" s="400"/>
      <c r="KAQ17" s="400"/>
      <c r="KAR17" s="400"/>
      <c r="KAS17" s="400"/>
      <c r="KAT17" s="400"/>
      <c r="KAU17" s="400"/>
      <c r="KAV17" s="400"/>
      <c r="KAW17" s="400"/>
      <c r="KAX17" s="400"/>
      <c r="KAY17" s="400"/>
      <c r="KAZ17" s="400"/>
      <c r="KBA17" s="400"/>
      <c r="KBB17" s="400"/>
      <c r="KBC17" s="400"/>
      <c r="KBD17" s="400"/>
      <c r="KBE17" s="400"/>
      <c r="KBF17" s="400"/>
      <c r="KBG17" s="400"/>
      <c r="KBH17" s="400"/>
      <c r="KBI17" s="400"/>
      <c r="KBJ17" s="400"/>
      <c r="KBK17" s="400"/>
      <c r="KBL17" s="400"/>
      <c r="KBM17" s="400"/>
      <c r="KBN17" s="400"/>
      <c r="KBO17" s="400"/>
      <c r="KBP17" s="400"/>
      <c r="KBQ17" s="400"/>
      <c r="KBR17" s="400"/>
      <c r="KBS17" s="400"/>
      <c r="KBT17" s="400"/>
      <c r="KBU17" s="400"/>
      <c r="KBV17" s="400"/>
      <c r="KBW17" s="400"/>
      <c r="KBX17" s="400"/>
      <c r="KBY17" s="400"/>
      <c r="KBZ17" s="400"/>
      <c r="KCA17" s="400"/>
      <c r="KCB17" s="400"/>
      <c r="KCC17" s="400"/>
      <c r="KCD17" s="400"/>
      <c r="KCE17" s="400"/>
      <c r="KCF17" s="400"/>
      <c r="KCG17" s="400"/>
      <c r="KCH17" s="400"/>
      <c r="KCI17" s="400"/>
      <c r="KCJ17" s="400"/>
      <c r="KCK17" s="400"/>
      <c r="KCL17" s="400"/>
      <c r="KCM17" s="400"/>
      <c r="KCN17" s="400"/>
      <c r="KCO17" s="400"/>
      <c r="KCP17" s="400"/>
      <c r="KCQ17" s="400"/>
      <c r="KCR17" s="400"/>
      <c r="KCS17" s="400"/>
      <c r="KCT17" s="400"/>
      <c r="KCU17" s="400"/>
      <c r="KCV17" s="400"/>
      <c r="KCW17" s="400"/>
      <c r="KCX17" s="400"/>
      <c r="KCY17" s="400"/>
      <c r="KCZ17" s="400"/>
      <c r="KDA17" s="400"/>
      <c r="KDB17" s="400"/>
      <c r="KDC17" s="400"/>
      <c r="KDD17" s="400"/>
      <c r="KDE17" s="400"/>
      <c r="KDF17" s="400"/>
      <c r="KDG17" s="400"/>
      <c r="KDH17" s="400"/>
      <c r="KDI17" s="400"/>
      <c r="KDJ17" s="400"/>
      <c r="KDK17" s="400"/>
      <c r="KDL17" s="400"/>
      <c r="KDM17" s="400"/>
      <c r="KDN17" s="400"/>
      <c r="KDO17" s="400"/>
      <c r="KDP17" s="400"/>
      <c r="KDQ17" s="400"/>
      <c r="KDR17" s="400"/>
      <c r="KDS17" s="400"/>
      <c r="KDT17" s="400"/>
      <c r="KDU17" s="400"/>
      <c r="KDV17" s="400"/>
      <c r="KDW17" s="400"/>
      <c r="KDX17" s="400"/>
      <c r="KDY17" s="400"/>
      <c r="KDZ17" s="400"/>
      <c r="KEA17" s="400"/>
      <c r="KEB17" s="400"/>
      <c r="KEC17" s="400"/>
      <c r="KED17" s="400"/>
      <c r="KEE17" s="400"/>
      <c r="KEF17" s="400"/>
      <c r="KEG17" s="400"/>
      <c r="KEH17" s="400"/>
      <c r="KEI17" s="400"/>
      <c r="KEJ17" s="400"/>
      <c r="KEK17" s="400"/>
      <c r="KEL17" s="400"/>
      <c r="KEM17" s="400"/>
      <c r="KEN17" s="400"/>
      <c r="KEO17" s="400"/>
      <c r="KEP17" s="400"/>
      <c r="KEQ17" s="400"/>
      <c r="KER17" s="400"/>
      <c r="KES17" s="400"/>
      <c r="KET17" s="400"/>
      <c r="KEU17" s="400"/>
      <c r="KEV17" s="400"/>
      <c r="KEW17" s="400"/>
      <c r="KEX17" s="400"/>
      <c r="KEY17" s="400"/>
      <c r="KEZ17" s="400"/>
      <c r="KFA17" s="400"/>
      <c r="KFB17" s="400"/>
      <c r="KFC17" s="400"/>
      <c r="KFD17" s="400"/>
      <c r="KFE17" s="400"/>
      <c r="KFF17" s="400"/>
      <c r="KFG17" s="400"/>
      <c r="KFH17" s="400"/>
      <c r="KFI17" s="400"/>
      <c r="KFJ17" s="400"/>
      <c r="KFK17" s="400"/>
      <c r="KFL17" s="400"/>
      <c r="KFM17" s="400"/>
      <c r="KFN17" s="400"/>
      <c r="KFO17" s="400"/>
      <c r="KFP17" s="400"/>
      <c r="KFQ17" s="400"/>
      <c r="KFR17" s="400"/>
      <c r="KFS17" s="400"/>
      <c r="KFT17" s="400"/>
      <c r="KFU17" s="400"/>
      <c r="KFV17" s="400"/>
      <c r="KFW17" s="400"/>
      <c r="KFX17" s="400"/>
      <c r="KFY17" s="400"/>
      <c r="KFZ17" s="400"/>
      <c r="KGA17" s="400"/>
      <c r="KGB17" s="400"/>
      <c r="KGC17" s="400"/>
      <c r="KGD17" s="400"/>
      <c r="KGE17" s="400"/>
      <c r="KGF17" s="400"/>
      <c r="KGG17" s="400"/>
      <c r="KGH17" s="400"/>
      <c r="KGI17" s="400"/>
      <c r="KGJ17" s="400"/>
      <c r="KGK17" s="400"/>
      <c r="KGL17" s="400"/>
      <c r="KGM17" s="400"/>
      <c r="KGN17" s="400"/>
      <c r="KGO17" s="400"/>
      <c r="KGP17" s="400"/>
      <c r="KGQ17" s="400"/>
      <c r="KGR17" s="400"/>
      <c r="KGS17" s="400"/>
      <c r="KGT17" s="400"/>
      <c r="KGU17" s="400"/>
      <c r="KGV17" s="400"/>
      <c r="KGW17" s="400"/>
      <c r="KGX17" s="400"/>
      <c r="KGY17" s="400"/>
      <c r="KGZ17" s="400"/>
      <c r="KHA17" s="400"/>
      <c r="KHB17" s="400"/>
      <c r="KHC17" s="400"/>
      <c r="KHD17" s="400"/>
      <c r="KHE17" s="400"/>
      <c r="KHF17" s="400"/>
      <c r="KHG17" s="400"/>
      <c r="KHH17" s="400"/>
      <c r="KHI17" s="400"/>
      <c r="KHJ17" s="400"/>
      <c r="KHK17" s="400"/>
      <c r="KHL17" s="400"/>
      <c r="KHM17" s="400"/>
      <c r="KHN17" s="400"/>
      <c r="KHO17" s="400"/>
      <c r="KHP17" s="400"/>
      <c r="KHQ17" s="400"/>
      <c r="KHR17" s="400"/>
      <c r="KHS17" s="400"/>
      <c r="KHT17" s="400"/>
      <c r="KHU17" s="400"/>
      <c r="KHV17" s="400"/>
      <c r="KHW17" s="400"/>
      <c r="KHX17" s="400"/>
      <c r="KHY17" s="400"/>
      <c r="KHZ17" s="400"/>
      <c r="KIA17" s="400"/>
      <c r="KIB17" s="400"/>
      <c r="KIC17" s="400"/>
      <c r="KID17" s="400"/>
      <c r="KIE17" s="400"/>
      <c r="KIF17" s="400"/>
      <c r="KIG17" s="400"/>
      <c r="KIH17" s="400"/>
      <c r="KII17" s="400"/>
      <c r="KIJ17" s="400"/>
      <c r="KIK17" s="400"/>
      <c r="KIL17" s="400"/>
      <c r="KIM17" s="400"/>
      <c r="KIN17" s="400"/>
      <c r="KIO17" s="400"/>
      <c r="KIP17" s="400"/>
      <c r="KIQ17" s="400"/>
      <c r="KIR17" s="400"/>
      <c r="KIS17" s="400"/>
      <c r="KIT17" s="400"/>
      <c r="KIU17" s="400"/>
      <c r="KIV17" s="400"/>
      <c r="KIW17" s="400"/>
      <c r="KIX17" s="400"/>
      <c r="KIY17" s="400"/>
      <c r="KIZ17" s="400"/>
      <c r="KJA17" s="400"/>
      <c r="KJB17" s="400"/>
      <c r="KJC17" s="400"/>
      <c r="KJD17" s="400"/>
      <c r="KJE17" s="400"/>
      <c r="KJF17" s="400"/>
      <c r="KJG17" s="400"/>
      <c r="KJH17" s="400"/>
      <c r="KJI17" s="400"/>
      <c r="KJJ17" s="400"/>
      <c r="KJK17" s="400"/>
      <c r="KJL17" s="400"/>
      <c r="KJM17" s="400"/>
      <c r="KJN17" s="400"/>
      <c r="KJO17" s="400"/>
      <c r="KJP17" s="400"/>
      <c r="KJQ17" s="400"/>
      <c r="KJR17" s="400"/>
      <c r="KJS17" s="400"/>
      <c r="KJT17" s="400"/>
      <c r="KJU17" s="400"/>
      <c r="KJV17" s="400"/>
      <c r="KJW17" s="400"/>
      <c r="KJX17" s="400"/>
      <c r="KJY17" s="400"/>
      <c r="KJZ17" s="400"/>
      <c r="KKA17" s="400"/>
      <c r="KKB17" s="400"/>
      <c r="KKC17" s="400"/>
      <c r="KKD17" s="400"/>
      <c r="KKE17" s="400"/>
      <c r="KKF17" s="400"/>
      <c r="KKG17" s="400"/>
      <c r="KKH17" s="400"/>
      <c r="KKI17" s="400"/>
      <c r="KKJ17" s="400"/>
      <c r="KKK17" s="400"/>
      <c r="KKL17" s="400"/>
      <c r="KKM17" s="400"/>
      <c r="KKN17" s="400"/>
      <c r="KKO17" s="400"/>
      <c r="KKP17" s="400"/>
      <c r="KKQ17" s="400"/>
      <c r="KKR17" s="400"/>
      <c r="KKS17" s="400"/>
      <c r="KKT17" s="400"/>
      <c r="KKU17" s="400"/>
      <c r="KKV17" s="400"/>
      <c r="KKW17" s="400"/>
      <c r="KKX17" s="400"/>
      <c r="KKY17" s="400"/>
      <c r="KKZ17" s="400"/>
      <c r="KLA17" s="400"/>
      <c r="KLB17" s="400"/>
      <c r="KLC17" s="400"/>
      <c r="KLD17" s="400"/>
      <c r="KLE17" s="400"/>
      <c r="KLF17" s="400"/>
      <c r="KLG17" s="400"/>
      <c r="KLH17" s="400"/>
      <c r="KLI17" s="400"/>
      <c r="KLJ17" s="400"/>
      <c r="KLK17" s="400"/>
      <c r="KLL17" s="400"/>
      <c r="KLM17" s="400"/>
      <c r="KLN17" s="400"/>
      <c r="KLO17" s="400"/>
      <c r="KLP17" s="400"/>
      <c r="KLQ17" s="400"/>
      <c r="KLR17" s="400"/>
      <c r="KLS17" s="400"/>
      <c r="KLT17" s="400"/>
      <c r="KLU17" s="400"/>
      <c r="KLV17" s="400"/>
      <c r="KLW17" s="400"/>
      <c r="KLX17" s="400"/>
      <c r="KLY17" s="400"/>
      <c r="KLZ17" s="400"/>
      <c r="KMA17" s="400"/>
      <c r="KMB17" s="400"/>
      <c r="KMC17" s="400"/>
      <c r="KMD17" s="400"/>
      <c r="KME17" s="400"/>
      <c r="KMF17" s="400"/>
      <c r="KMG17" s="400"/>
      <c r="KMH17" s="400"/>
      <c r="KMI17" s="400"/>
      <c r="KMJ17" s="400"/>
      <c r="KMK17" s="400"/>
      <c r="KML17" s="400"/>
      <c r="KMM17" s="400"/>
      <c r="KMN17" s="400"/>
      <c r="KMO17" s="400"/>
      <c r="KMP17" s="400"/>
      <c r="KMQ17" s="400"/>
      <c r="KMR17" s="400"/>
      <c r="KMS17" s="400"/>
      <c r="KMT17" s="400"/>
      <c r="KMU17" s="400"/>
      <c r="KMV17" s="400"/>
      <c r="KMW17" s="400"/>
      <c r="KMX17" s="400"/>
      <c r="KMY17" s="400"/>
      <c r="KMZ17" s="400"/>
      <c r="KNA17" s="400"/>
      <c r="KNB17" s="400"/>
      <c r="KNC17" s="400"/>
      <c r="KND17" s="400"/>
      <c r="KNE17" s="400"/>
      <c r="KNF17" s="400"/>
      <c r="KNG17" s="400"/>
      <c r="KNH17" s="400"/>
      <c r="KNI17" s="400"/>
      <c r="KNJ17" s="400"/>
      <c r="KNK17" s="400"/>
      <c r="KNL17" s="400"/>
      <c r="KNM17" s="400"/>
      <c r="KNN17" s="400"/>
      <c r="KNO17" s="400"/>
      <c r="KNP17" s="400"/>
      <c r="KNQ17" s="400"/>
      <c r="KNR17" s="400"/>
      <c r="KNS17" s="400"/>
      <c r="KNT17" s="400"/>
      <c r="KNU17" s="400"/>
      <c r="KNV17" s="400"/>
      <c r="KNW17" s="400"/>
      <c r="KNX17" s="400"/>
      <c r="KNY17" s="400"/>
      <c r="KNZ17" s="400"/>
      <c r="KOA17" s="400"/>
      <c r="KOB17" s="400"/>
      <c r="KOC17" s="400"/>
      <c r="KOD17" s="400"/>
      <c r="KOE17" s="400"/>
      <c r="KOF17" s="400"/>
      <c r="KOG17" s="400"/>
      <c r="KOH17" s="400"/>
      <c r="KOI17" s="400"/>
      <c r="KOJ17" s="400"/>
      <c r="KOK17" s="400"/>
      <c r="KOL17" s="400"/>
      <c r="KOM17" s="400"/>
      <c r="KON17" s="400"/>
      <c r="KOO17" s="400"/>
      <c r="KOP17" s="400"/>
      <c r="KOQ17" s="400"/>
      <c r="KOR17" s="400"/>
      <c r="KOS17" s="400"/>
      <c r="KOT17" s="400"/>
      <c r="KOU17" s="400"/>
      <c r="KOV17" s="400"/>
      <c r="KOW17" s="400"/>
      <c r="KOX17" s="400"/>
      <c r="KOY17" s="400"/>
      <c r="KOZ17" s="400"/>
      <c r="KPA17" s="400"/>
      <c r="KPB17" s="400"/>
      <c r="KPC17" s="400"/>
      <c r="KPD17" s="400"/>
      <c r="KPE17" s="400"/>
      <c r="KPF17" s="400"/>
      <c r="KPG17" s="400"/>
      <c r="KPH17" s="400"/>
      <c r="KPI17" s="400"/>
      <c r="KPJ17" s="400"/>
      <c r="KPK17" s="400"/>
      <c r="KPL17" s="400"/>
      <c r="KPM17" s="400"/>
      <c r="KPN17" s="400"/>
      <c r="KPO17" s="400"/>
      <c r="KPP17" s="400"/>
      <c r="KPQ17" s="400"/>
      <c r="KPR17" s="400"/>
      <c r="KPS17" s="400"/>
      <c r="KPT17" s="400"/>
      <c r="KPU17" s="400"/>
      <c r="KPV17" s="400"/>
      <c r="KPW17" s="400"/>
      <c r="KPX17" s="400"/>
      <c r="KPY17" s="400"/>
      <c r="KPZ17" s="400"/>
      <c r="KQA17" s="400"/>
      <c r="KQB17" s="400"/>
      <c r="KQC17" s="400"/>
      <c r="KQD17" s="400"/>
      <c r="KQE17" s="400"/>
      <c r="KQF17" s="400"/>
      <c r="KQG17" s="400"/>
      <c r="KQH17" s="400"/>
      <c r="KQI17" s="400"/>
      <c r="KQJ17" s="400"/>
      <c r="KQK17" s="400"/>
      <c r="KQL17" s="400"/>
      <c r="KQM17" s="400"/>
      <c r="KQN17" s="400"/>
      <c r="KQO17" s="400"/>
      <c r="KQP17" s="400"/>
      <c r="KQQ17" s="400"/>
      <c r="KQR17" s="400"/>
      <c r="KQS17" s="400"/>
      <c r="KQT17" s="400"/>
      <c r="KQU17" s="400"/>
      <c r="KQV17" s="400"/>
      <c r="KQW17" s="400"/>
      <c r="KQX17" s="400"/>
      <c r="KQY17" s="400"/>
      <c r="KQZ17" s="400"/>
      <c r="KRA17" s="400"/>
      <c r="KRB17" s="400"/>
      <c r="KRC17" s="400"/>
      <c r="KRD17" s="400"/>
      <c r="KRE17" s="400"/>
      <c r="KRF17" s="400"/>
      <c r="KRG17" s="400"/>
      <c r="KRH17" s="400"/>
      <c r="KRI17" s="400"/>
      <c r="KRJ17" s="400"/>
      <c r="KRK17" s="400"/>
      <c r="KRL17" s="400"/>
      <c r="KRM17" s="400"/>
      <c r="KRN17" s="400"/>
      <c r="KRO17" s="400"/>
      <c r="KRP17" s="400"/>
      <c r="KRQ17" s="400"/>
      <c r="KRR17" s="400"/>
      <c r="KRS17" s="400"/>
      <c r="KRT17" s="400"/>
      <c r="KRU17" s="400"/>
      <c r="KRV17" s="400"/>
      <c r="KRW17" s="400"/>
      <c r="KRX17" s="400"/>
      <c r="KRY17" s="400"/>
      <c r="KRZ17" s="400"/>
      <c r="KSA17" s="400"/>
      <c r="KSB17" s="400"/>
      <c r="KSC17" s="400"/>
      <c r="KSD17" s="400"/>
      <c r="KSE17" s="400"/>
      <c r="KSF17" s="400"/>
      <c r="KSG17" s="400"/>
      <c r="KSH17" s="400"/>
      <c r="KSI17" s="400"/>
      <c r="KSJ17" s="400"/>
      <c r="KSK17" s="400"/>
      <c r="KSL17" s="400"/>
      <c r="KSM17" s="400"/>
      <c r="KSN17" s="400"/>
      <c r="KSO17" s="400"/>
      <c r="KSP17" s="400"/>
      <c r="KSQ17" s="400"/>
      <c r="KSR17" s="400"/>
      <c r="KSS17" s="400"/>
      <c r="KST17" s="400"/>
      <c r="KSU17" s="400"/>
      <c r="KSV17" s="400"/>
      <c r="KSW17" s="400"/>
      <c r="KSX17" s="400"/>
      <c r="KSY17" s="400"/>
      <c r="KSZ17" s="400"/>
      <c r="KTA17" s="400"/>
      <c r="KTB17" s="400"/>
      <c r="KTC17" s="400"/>
      <c r="KTD17" s="400"/>
      <c r="KTE17" s="400"/>
      <c r="KTF17" s="400"/>
      <c r="KTG17" s="400"/>
      <c r="KTH17" s="400"/>
      <c r="KTI17" s="400"/>
      <c r="KTJ17" s="400"/>
      <c r="KTK17" s="400"/>
      <c r="KTL17" s="400"/>
      <c r="KTM17" s="400"/>
      <c r="KTN17" s="400"/>
      <c r="KTO17" s="400"/>
      <c r="KTP17" s="400"/>
      <c r="KTQ17" s="400"/>
      <c r="KTR17" s="400"/>
      <c r="KTS17" s="400"/>
      <c r="KTT17" s="400"/>
      <c r="KTU17" s="400"/>
      <c r="KTV17" s="400"/>
      <c r="KTW17" s="400"/>
      <c r="KTX17" s="400"/>
      <c r="KTY17" s="400"/>
      <c r="KTZ17" s="400"/>
      <c r="KUA17" s="400"/>
      <c r="KUB17" s="400"/>
      <c r="KUC17" s="400"/>
      <c r="KUD17" s="400"/>
      <c r="KUE17" s="400"/>
      <c r="KUF17" s="400"/>
      <c r="KUG17" s="400"/>
      <c r="KUH17" s="400"/>
      <c r="KUI17" s="400"/>
      <c r="KUJ17" s="400"/>
      <c r="KUK17" s="400"/>
      <c r="KUL17" s="400"/>
      <c r="KUM17" s="400"/>
      <c r="KUN17" s="400"/>
      <c r="KUO17" s="400"/>
      <c r="KUP17" s="400"/>
      <c r="KUQ17" s="400"/>
      <c r="KUR17" s="400"/>
      <c r="KUS17" s="400"/>
      <c r="KUT17" s="400"/>
      <c r="KUU17" s="400"/>
      <c r="KUV17" s="400"/>
      <c r="KUW17" s="400"/>
      <c r="KUX17" s="400"/>
      <c r="KUY17" s="400"/>
      <c r="KUZ17" s="400"/>
      <c r="KVA17" s="400"/>
      <c r="KVB17" s="400"/>
      <c r="KVC17" s="400"/>
      <c r="KVD17" s="400"/>
      <c r="KVE17" s="400"/>
      <c r="KVF17" s="400"/>
      <c r="KVG17" s="400"/>
      <c r="KVH17" s="400"/>
      <c r="KVI17" s="400"/>
      <c r="KVJ17" s="400"/>
      <c r="KVK17" s="400"/>
      <c r="KVL17" s="400"/>
      <c r="KVM17" s="400"/>
      <c r="KVN17" s="400"/>
      <c r="KVO17" s="400"/>
      <c r="KVP17" s="400"/>
      <c r="KVQ17" s="400"/>
      <c r="KVR17" s="400"/>
      <c r="KVS17" s="400"/>
      <c r="KVT17" s="400"/>
      <c r="KVU17" s="400"/>
      <c r="KVV17" s="400"/>
      <c r="KVW17" s="400"/>
      <c r="KVX17" s="400"/>
      <c r="KVY17" s="400"/>
      <c r="KVZ17" s="400"/>
      <c r="KWA17" s="400"/>
      <c r="KWB17" s="400"/>
      <c r="KWC17" s="400"/>
      <c r="KWD17" s="400"/>
      <c r="KWE17" s="400"/>
      <c r="KWF17" s="400"/>
      <c r="KWG17" s="400"/>
      <c r="KWH17" s="400"/>
      <c r="KWI17" s="400"/>
      <c r="KWJ17" s="400"/>
      <c r="KWK17" s="400"/>
      <c r="KWL17" s="400"/>
      <c r="KWM17" s="400"/>
      <c r="KWN17" s="400"/>
      <c r="KWO17" s="400"/>
      <c r="KWP17" s="400"/>
      <c r="KWQ17" s="400"/>
      <c r="KWR17" s="400"/>
      <c r="KWS17" s="400"/>
      <c r="KWT17" s="400"/>
      <c r="KWU17" s="400"/>
      <c r="KWV17" s="400"/>
      <c r="KWW17" s="400"/>
      <c r="KWX17" s="400"/>
      <c r="KWY17" s="400"/>
      <c r="KWZ17" s="400"/>
      <c r="KXA17" s="400"/>
      <c r="KXB17" s="400"/>
      <c r="KXC17" s="400"/>
      <c r="KXD17" s="400"/>
      <c r="KXE17" s="400"/>
      <c r="KXF17" s="400"/>
      <c r="KXG17" s="400"/>
      <c r="KXH17" s="400"/>
      <c r="KXI17" s="400"/>
      <c r="KXJ17" s="400"/>
      <c r="KXK17" s="400"/>
      <c r="KXL17" s="400"/>
      <c r="KXM17" s="400"/>
      <c r="KXN17" s="400"/>
      <c r="KXO17" s="400"/>
      <c r="KXP17" s="400"/>
      <c r="KXQ17" s="400"/>
      <c r="KXR17" s="400"/>
      <c r="KXS17" s="400"/>
      <c r="KXT17" s="400"/>
      <c r="KXU17" s="400"/>
      <c r="KXV17" s="400"/>
      <c r="KXW17" s="400"/>
      <c r="KXX17" s="400"/>
      <c r="KXY17" s="400"/>
      <c r="KXZ17" s="400"/>
      <c r="KYA17" s="400"/>
      <c r="KYB17" s="400"/>
      <c r="KYC17" s="400"/>
      <c r="KYD17" s="400"/>
      <c r="KYE17" s="400"/>
      <c r="KYF17" s="400"/>
      <c r="KYG17" s="400"/>
      <c r="KYH17" s="400"/>
      <c r="KYI17" s="400"/>
      <c r="KYJ17" s="400"/>
      <c r="KYK17" s="400"/>
      <c r="KYL17" s="400"/>
      <c r="KYM17" s="400"/>
      <c r="KYN17" s="400"/>
      <c r="KYO17" s="400"/>
      <c r="KYP17" s="400"/>
      <c r="KYQ17" s="400"/>
      <c r="KYR17" s="400"/>
      <c r="KYS17" s="400"/>
      <c r="KYT17" s="400"/>
      <c r="KYU17" s="400"/>
      <c r="KYV17" s="400"/>
      <c r="KYW17" s="400"/>
      <c r="KYX17" s="400"/>
      <c r="KYY17" s="400"/>
      <c r="KYZ17" s="400"/>
      <c r="KZA17" s="400"/>
      <c r="KZB17" s="400"/>
      <c r="KZC17" s="400"/>
      <c r="KZD17" s="400"/>
      <c r="KZE17" s="400"/>
      <c r="KZF17" s="400"/>
      <c r="KZG17" s="400"/>
      <c r="KZH17" s="400"/>
      <c r="KZI17" s="400"/>
      <c r="KZJ17" s="400"/>
      <c r="KZK17" s="400"/>
      <c r="KZL17" s="400"/>
      <c r="KZM17" s="400"/>
      <c r="KZN17" s="400"/>
      <c r="KZO17" s="400"/>
      <c r="KZP17" s="400"/>
      <c r="KZQ17" s="400"/>
      <c r="KZR17" s="400"/>
      <c r="KZS17" s="400"/>
      <c r="KZT17" s="400"/>
      <c r="KZU17" s="400"/>
      <c r="KZV17" s="400"/>
      <c r="KZW17" s="400"/>
      <c r="KZX17" s="400"/>
      <c r="KZY17" s="400"/>
      <c r="KZZ17" s="400"/>
      <c r="LAA17" s="400"/>
      <c r="LAB17" s="400"/>
      <c r="LAC17" s="400"/>
      <c r="LAD17" s="400"/>
      <c r="LAE17" s="400"/>
      <c r="LAF17" s="400"/>
      <c r="LAG17" s="400"/>
      <c r="LAH17" s="400"/>
      <c r="LAI17" s="400"/>
      <c r="LAJ17" s="400"/>
      <c r="LAK17" s="400"/>
      <c r="LAL17" s="400"/>
      <c r="LAM17" s="400"/>
      <c r="LAN17" s="400"/>
      <c r="LAO17" s="400"/>
      <c r="LAP17" s="400"/>
      <c r="LAQ17" s="400"/>
      <c r="LAR17" s="400"/>
      <c r="LAS17" s="400"/>
      <c r="LAT17" s="400"/>
      <c r="LAU17" s="400"/>
      <c r="LAV17" s="400"/>
      <c r="LAW17" s="400"/>
      <c r="LAX17" s="400"/>
      <c r="LAY17" s="400"/>
      <c r="LAZ17" s="400"/>
      <c r="LBA17" s="400"/>
      <c r="LBB17" s="400"/>
      <c r="LBC17" s="400"/>
      <c r="LBD17" s="400"/>
      <c r="LBE17" s="400"/>
      <c r="LBF17" s="400"/>
      <c r="LBG17" s="400"/>
      <c r="LBH17" s="400"/>
      <c r="LBI17" s="400"/>
      <c r="LBJ17" s="400"/>
      <c r="LBK17" s="400"/>
      <c r="LBL17" s="400"/>
      <c r="LBM17" s="400"/>
      <c r="LBN17" s="400"/>
      <c r="LBO17" s="400"/>
      <c r="LBP17" s="400"/>
      <c r="LBQ17" s="400"/>
      <c r="LBR17" s="400"/>
      <c r="LBS17" s="400"/>
      <c r="LBT17" s="400"/>
      <c r="LBU17" s="400"/>
      <c r="LBV17" s="400"/>
      <c r="LBW17" s="400"/>
      <c r="LBX17" s="400"/>
      <c r="LBY17" s="400"/>
      <c r="LBZ17" s="400"/>
      <c r="LCA17" s="400"/>
      <c r="LCB17" s="400"/>
      <c r="LCC17" s="400"/>
      <c r="LCD17" s="400"/>
      <c r="LCE17" s="400"/>
      <c r="LCF17" s="400"/>
      <c r="LCG17" s="400"/>
      <c r="LCH17" s="400"/>
      <c r="LCI17" s="400"/>
      <c r="LCJ17" s="400"/>
      <c r="LCK17" s="400"/>
      <c r="LCL17" s="400"/>
      <c r="LCM17" s="400"/>
      <c r="LCN17" s="400"/>
      <c r="LCO17" s="400"/>
      <c r="LCP17" s="400"/>
      <c r="LCQ17" s="400"/>
      <c r="LCR17" s="400"/>
      <c r="LCS17" s="400"/>
      <c r="LCT17" s="400"/>
      <c r="LCU17" s="400"/>
      <c r="LCV17" s="400"/>
      <c r="LCW17" s="400"/>
      <c r="LCX17" s="400"/>
      <c r="LCY17" s="400"/>
      <c r="LCZ17" s="400"/>
      <c r="LDA17" s="400"/>
      <c r="LDB17" s="400"/>
      <c r="LDC17" s="400"/>
      <c r="LDD17" s="400"/>
      <c r="LDE17" s="400"/>
      <c r="LDF17" s="400"/>
      <c r="LDG17" s="400"/>
      <c r="LDH17" s="400"/>
      <c r="LDI17" s="400"/>
      <c r="LDJ17" s="400"/>
      <c r="LDK17" s="400"/>
      <c r="LDL17" s="400"/>
      <c r="LDM17" s="400"/>
      <c r="LDN17" s="400"/>
      <c r="LDO17" s="400"/>
      <c r="LDP17" s="400"/>
      <c r="LDQ17" s="400"/>
      <c r="LDR17" s="400"/>
      <c r="LDS17" s="400"/>
      <c r="LDT17" s="400"/>
      <c r="LDU17" s="400"/>
      <c r="LDV17" s="400"/>
      <c r="LDW17" s="400"/>
      <c r="LDX17" s="400"/>
      <c r="LDY17" s="400"/>
      <c r="LDZ17" s="400"/>
      <c r="LEA17" s="400"/>
      <c r="LEB17" s="400"/>
      <c r="LEC17" s="400"/>
      <c r="LED17" s="400"/>
      <c r="LEE17" s="400"/>
      <c r="LEF17" s="400"/>
      <c r="LEG17" s="400"/>
      <c r="LEH17" s="400"/>
      <c r="LEI17" s="400"/>
      <c r="LEJ17" s="400"/>
      <c r="LEK17" s="400"/>
      <c r="LEL17" s="400"/>
      <c r="LEM17" s="400"/>
      <c r="LEN17" s="400"/>
      <c r="LEO17" s="400"/>
      <c r="LEP17" s="400"/>
      <c r="LEQ17" s="400"/>
      <c r="LER17" s="400"/>
      <c r="LES17" s="400"/>
      <c r="LET17" s="400"/>
      <c r="LEU17" s="400"/>
      <c r="LEV17" s="400"/>
      <c r="LEW17" s="400"/>
      <c r="LEX17" s="400"/>
      <c r="LEY17" s="400"/>
      <c r="LEZ17" s="400"/>
      <c r="LFA17" s="400"/>
      <c r="LFB17" s="400"/>
      <c r="LFC17" s="400"/>
      <c r="LFD17" s="400"/>
      <c r="LFE17" s="400"/>
      <c r="LFF17" s="400"/>
      <c r="LFG17" s="400"/>
      <c r="LFH17" s="400"/>
      <c r="LFI17" s="400"/>
      <c r="LFJ17" s="400"/>
      <c r="LFK17" s="400"/>
      <c r="LFL17" s="400"/>
      <c r="LFM17" s="400"/>
      <c r="LFN17" s="400"/>
      <c r="LFO17" s="400"/>
      <c r="LFP17" s="400"/>
      <c r="LFQ17" s="400"/>
      <c r="LFR17" s="400"/>
      <c r="LFS17" s="400"/>
      <c r="LFT17" s="400"/>
      <c r="LFU17" s="400"/>
      <c r="LFV17" s="400"/>
      <c r="LFW17" s="400"/>
      <c r="LFX17" s="400"/>
      <c r="LFY17" s="400"/>
      <c r="LFZ17" s="400"/>
      <c r="LGA17" s="400"/>
      <c r="LGB17" s="400"/>
      <c r="LGC17" s="400"/>
      <c r="LGD17" s="400"/>
      <c r="LGE17" s="400"/>
      <c r="LGF17" s="400"/>
      <c r="LGG17" s="400"/>
      <c r="LGH17" s="400"/>
      <c r="LGI17" s="400"/>
      <c r="LGJ17" s="400"/>
      <c r="LGK17" s="400"/>
      <c r="LGL17" s="400"/>
      <c r="LGM17" s="400"/>
      <c r="LGN17" s="400"/>
      <c r="LGO17" s="400"/>
      <c r="LGP17" s="400"/>
      <c r="LGQ17" s="400"/>
      <c r="LGR17" s="400"/>
      <c r="LGS17" s="400"/>
      <c r="LGT17" s="400"/>
      <c r="LGU17" s="400"/>
      <c r="LGV17" s="400"/>
      <c r="LGW17" s="400"/>
      <c r="LGX17" s="400"/>
      <c r="LGY17" s="400"/>
      <c r="LGZ17" s="400"/>
      <c r="LHA17" s="400"/>
      <c r="LHB17" s="400"/>
      <c r="LHC17" s="400"/>
      <c r="LHD17" s="400"/>
      <c r="LHE17" s="400"/>
      <c r="LHF17" s="400"/>
      <c r="LHG17" s="400"/>
      <c r="LHH17" s="400"/>
      <c r="LHI17" s="400"/>
      <c r="LHJ17" s="400"/>
      <c r="LHK17" s="400"/>
      <c r="LHL17" s="400"/>
      <c r="LHM17" s="400"/>
      <c r="LHN17" s="400"/>
      <c r="LHO17" s="400"/>
      <c r="LHP17" s="400"/>
      <c r="LHQ17" s="400"/>
      <c r="LHR17" s="400"/>
      <c r="LHS17" s="400"/>
      <c r="LHT17" s="400"/>
      <c r="LHU17" s="400"/>
      <c r="LHV17" s="400"/>
      <c r="LHW17" s="400"/>
      <c r="LHX17" s="400"/>
      <c r="LHY17" s="400"/>
      <c r="LHZ17" s="400"/>
      <c r="LIA17" s="400"/>
      <c r="LIB17" s="400"/>
      <c r="LIC17" s="400"/>
      <c r="LID17" s="400"/>
      <c r="LIE17" s="400"/>
      <c r="LIF17" s="400"/>
      <c r="LIG17" s="400"/>
      <c r="LIH17" s="400"/>
      <c r="LII17" s="400"/>
      <c r="LIJ17" s="400"/>
      <c r="LIK17" s="400"/>
      <c r="LIL17" s="400"/>
      <c r="LIM17" s="400"/>
      <c r="LIN17" s="400"/>
      <c r="LIO17" s="400"/>
      <c r="LIP17" s="400"/>
      <c r="LIQ17" s="400"/>
      <c r="LIR17" s="400"/>
      <c r="LIS17" s="400"/>
      <c r="LIT17" s="400"/>
      <c r="LIU17" s="400"/>
      <c r="LIV17" s="400"/>
      <c r="LIW17" s="400"/>
      <c r="LIX17" s="400"/>
      <c r="LIY17" s="400"/>
      <c r="LIZ17" s="400"/>
      <c r="LJA17" s="400"/>
      <c r="LJB17" s="400"/>
      <c r="LJC17" s="400"/>
      <c r="LJD17" s="400"/>
      <c r="LJE17" s="400"/>
      <c r="LJF17" s="400"/>
      <c r="LJG17" s="400"/>
      <c r="LJH17" s="400"/>
      <c r="LJI17" s="400"/>
      <c r="LJJ17" s="400"/>
      <c r="LJK17" s="400"/>
      <c r="LJL17" s="400"/>
      <c r="LJM17" s="400"/>
      <c r="LJN17" s="400"/>
      <c r="LJO17" s="400"/>
      <c r="LJP17" s="400"/>
      <c r="LJQ17" s="400"/>
      <c r="LJR17" s="400"/>
      <c r="LJS17" s="400"/>
      <c r="LJT17" s="400"/>
      <c r="LJU17" s="400"/>
      <c r="LJV17" s="400"/>
      <c r="LJW17" s="400"/>
      <c r="LJX17" s="400"/>
      <c r="LJY17" s="400"/>
      <c r="LJZ17" s="400"/>
      <c r="LKA17" s="400"/>
      <c r="LKB17" s="400"/>
      <c r="LKC17" s="400"/>
      <c r="LKD17" s="400"/>
      <c r="LKE17" s="400"/>
      <c r="LKF17" s="400"/>
      <c r="LKG17" s="400"/>
      <c r="LKH17" s="400"/>
      <c r="LKI17" s="400"/>
      <c r="LKJ17" s="400"/>
      <c r="LKK17" s="400"/>
      <c r="LKL17" s="400"/>
      <c r="LKM17" s="400"/>
      <c r="LKN17" s="400"/>
      <c r="LKO17" s="400"/>
      <c r="LKP17" s="400"/>
      <c r="LKQ17" s="400"/>
      <c r="LKR17" s="400"/>
      <c r="LKS17" s="400"/>
      <c r="LKT17" s="400"/>
      <c r="LKU17" s="400"/>
      <c r="LKV17" s="400"/>
      <c r="LKW17" s="400"/>
      <c r="LKX17" s="400"/>
      <c r="LKY17" s="400"/>
      <c r="LKZ17" s="400"/>
      <c r="LLA17" s="400"/>
      <c r="LLB17" s="400"/>
      <c r="LLC17" s="400"/>
      <c r="LLD17" s="400"/>
      <c r="LLE17" s="400"/>
      <c r="LLF17" s="400"/>
      <c r="LLG17" s="400"/>
      <c r="LLH17" s="400"/>
      <c r="LLI17" s="400"/>
      <c r="LLJ17" s="400"/>
      <c r="LLK17" s="400"/>
      <c r="LLL17" s="400"/>
      <c r="LLM17" s="400"/>
      <c r="LLN17" s="400"/>
      <c r="LLO17" s="400"/>
      <c r="LLP17" s="400"/>
      <c r="LLQ17" s="400"/>
      <c r="LLR17" s="400"/>
      <c r="LLS17" s="400"/>
      <c r="LLT17" s="400"/>
      <c r="LLU17" s="400"/>
      <c r="LLV17" s="400"/>
      <c r="LLW17" s="400"/>
      <c r="LLX17" s="400"/>
      <c r="LLY17" s="400"/>
      <c r="LLZ17" s="400"/>
      <c r="LMA17" s="400"/>
      <c r="LMB17" s="400"/>
      <c r="LMC17" s="400"/>
      <c r="LMD17" s="400"/>
      <c r="LME17" s="400"/>
      <c r="LMF17" s="400"/>
      <c r="LMG17" s="400"/>
      <c r="LMH17" s="400"/>
      <c r="LMI17" s="400"/>
      <c r="LMJ17" s="400"/>
      <c r="LMK17" s="400"/>
      <c r="LML17" s="400"/>
      <c r="LMM17" s="400"/>
      <c r="LMN17" s="400"/>
      <c r="LMO17" s="400"/>
      <c r="LMP17" s="400"/>
      <c r="LMQ17" s="400"/>
      <c r="LMR17" s="400"/>
      <c r="LMS17" s="400"/>
      <c r="LMT17" s="400"/>
      <c r="LMU17" s="400"/>
      <c r="LMV17" s="400"/>
      <c r="LMW17" s="400"/>
      <c r="LMX17" s="400"/>
      <c r="LMY17" s="400"/>
      <c r="LMZ17" s="400"/>
      <c r="LNA17" s="400"/>
      <c r="LNB17" s="400"/>
      <c r="LNC17" s="400"/>
      <c r="LND17" s="400"/>
      <c r="LNE17" s="400"/>
      <c r="LNF17" s="400"/>
      <c r="LNG17" s="400"/>
      <c r="LNH17" s="400"/>
      <c r="LNI17" s="400"/>
      <c r="LNJ17" s="400"/>
      <c r="LNK17" s="400"/>
      <c r="LNL17" s="400"/>
      <c r="LNM17" s="400"/>
      <c r="LNN17" s="400"/>
      <c r="LNO17" s="400"/>
      <c r="LNP17" s="400"/>
      <c r="LNQ17" s="400"/>
      <c r="LNR17" s="400"/>
      <c r="LNS17" s="400"/>
      <c r="LNT17" s="400"/>
      <c r="LNU17" s="400"/>
      <c r="LNV17" s="400"/>
      <c r="LNW17" s="400"/>
      <c r="LNX17" s="400"/>
      <c r="LNY17" s="400"/>
      <c r="LNZ17" s="400"/>
      <c r="LOA17" s="400"/>
      <c r="LOB17" s="400"/>
      <c r="LOC17" s="400"/>
      <c r="LOD17" s="400"/>
      <c r="LOE17" s="400"/>
      <c r="LOF17" s="400"/>
      <c r="LOG17" s="400"/>
      <c r="LOH17" s="400"/>
      <c r="LOI17" s="400"/>
      <c r="LOJ17" s="400"/>
      <c r="LOK17" s="400"/>
      <c r="LOL17" s="400"/>
      <c r="LOM17" s="400"/>
      <c r="LON17" s="400"/>
      <c r="LOO17" s="400"/>
      <c r="LOP17" s="400"/>
      <c r="LOQ17" s="400"/>
      <c r="LOR17" s="400"/>
      <c r="LOS17" s="400"/>
      <c r="LOT17" s="400"/>
      <c r="LOU17" s="400"/>
      <c r="LOV17" s="400"/>
      <c r="LOW17" s="400"/>
      <c r="LOX17" s="400"/>
      <c r="LOY17" s="400"/>
      <c r="LOZ17" s="400"/>
      <c r="LPA17" s="400"/>
      <c r="LPB17" s="400"/>
      <c r="LPC17" s="400"/>
      <c r="LPD17" s="400"/>
      <c r="LPE17" s="400"/>
      <c r="LPF17" s="400"/>
      <c r="LPG17" s="400"/>
      <c r="LPH17" s="400"/>
      <c r="LPI17" s="400"/>
      <c r="LPJ17" s="400"/>
      <c r="LPK17" s="400"/>
      <c r="LPL17" s="400"/>
      <c r="LPM17" s="400"/>
      <c r="LPN17" s="400"/>
      <c r="LPO17" s="400"/>
      <c r="LPP17" s="400"/>
      <c r="LPQ17" s="400"/>
      <c r="LPR17" s="400"/>
      <c r="LPS17" s="400"/>
      <c r="LPT17" s="400"/>
      <c r="LPU17" s="400"/>
      <c r="LPV17" s="400"/>
      <c r="LPW17" s="400"/>
      <c r="LPX17" s="400"/>
      <c r="LPY17" s="400"/>
      <c r="LPZ17" s="400"/>
      <c r="LQA17" s="400"/>
      <c r="LQB17" s="400"/>
      <c r="LQC17" s="400"/>
      <c r="LQD17" s="400"/>
      <c r="LQE17" s="400"/>
      <c r="LQF17" s="400"/>
      <c r="LQG17" s="400"/>
      <c r="LQH17" s="400"/>
      <c r="LQI17" s="400"/>
      <c r="LQJ17" s="400"/>
      <c r="LQK17" s="400"/>
      <c r="LQL17" s="400"/>
      <c r="LQM17" s="400"/>
      <c r="LQN17" s="400"/>
      <c r="LQO17" s="400"/>
      <c r="LQP17" s="400"/>
      <c r="LQQ17" s="400"/>
      <c r="LQR17" s="400"/>
      <c r="LQS17" s="400"/>
      <c r="LQT17" s="400"/>
      <c r="LQU17" s="400"/>
      <c r="LQV17" s="400"/>
      <c r="LQW17" s="400"/>
      <c r="LQX17" s="400"/>
      <c r="LQY17" s="400"/>
      <c r="LQZ17" s="400"/>
      <c r="LRA17" s="400"/>
      <c r="LRB17" s="400"/>
      <c r="LRC17" s="400"/>
      <c r="LRD17" s="400"/>
      <c r="LRE17" s="400"/>
      <c r="LRF17" s="400"/>
      <c r="LRG17" s="400"/>
      <c r="LRH17" s="400"/>
      <c r="LRI17" s="400"/>
      <c r="LRJ17" s="400"/>
      <c r="LRK17" s="400"/>
      <c r="LRL17" s="400"/>
      <c r="LRM17" s="400"/>
      <c r="LRN17" s="400"/>
      <c r="LRO17" s="400"/>
      <c r="LRP17" s="400"/>
      <c r="LRQ17" s="400"/>
      <c r="LRR17" s="400"/>
      <c r="LRS17" s="400"/>
      <c r="LRT17" s="400"/>
      <c r="LRU17" s="400"/>
      <c r="LRV17" s="400"/>
      <c r="LRW17" s="400"/>
      <c r="LRX17" s="400"/>
      <c r="LRY17" s="400"/>
      <c r="LRZ17" s="400"/>
      <c r="LSA17" s="400"/>
      <c r="LSB17" s="400"/>
      <c r="LSC17" s="400"/>
      <c r="LSD17" s="400"/>
      <c r="LSE17" s="400"/>
      <c r="LSF17" s="400"/>
      <c r="LSG17" s="400"/>
      <c r="LSH17" s="400"/>
      <c r="LSI17" s="400"/>
      <c r="LSJ17" s="400"/>
      <c r="LSK17" s="400"/>
      <c r="LSL17" s="400"/>
      <c r="LSM17" s="400"/>
      <c r="LSN17" s="400"/>
      <c r="LSO17" s="400"/>
      <c r="LSP17" s="400"/>
      <c r="LSQ17" s="400"/>
      <c r="LSR17" s="400"/>
      <c r="LSS17" s="400"/>
      <c r="LST17" s="400"/>
      <c r="LSU17" s="400"/>
      <c r="LSV17" s="400"/>
      <c r="LSW17" s="400"/>
      <c r="LSX17" s="400"/>
      <c r="LSY17" s="400"/>
      <c r="LSZ17" s="400"/>
      <c r="LTA17" s="400"/>
      <c r="LTB17" s="400"/>
      <c r="LTC17" s="400"/>
      <c r="LTD17" s="400"/>
      <c r="LTE17" s="400"/>
      <c r="LTF17" s="400"/>
      <c r="LTG17" s="400"/>
      <c r="LTH17" s="400"/>
      <c r="LTI17" s="400"/>
      <c r="LTJ17" s="400"/>
      <c r="LTK17" s="400"/>
      <c r="LTL17" s="400"/>
      <c r="LTM17" s="400"/>
      <c r="LTN17" s="400"/>
      <c r="LTO17" s="400"/>
      <c r="LTP17" s="400"/>
      <c r="LTQ17" s="400"/>
      <c r="LTR17" s="400"/>
      <c r="LTS17" s="400"/>
      <c r="LTT17" s="400"/>
      <c r="LTU17" s="400"/>
      <c r="LTV17" s="400"/>
      <c r="LTW17" s="400"/>
      <c r="LTX17" s="400"/>
      <c r="LTY17" s="400"/>
      <c r="LTZ17" s="400"/>
      <c r="LUA17" s="400"/>
      <c r="LUB17" s="400"/>
      <c r="LUC17" s="400"/>
      <c r="LUD17" s="400"/>
      <c r="LUE17" s="400"/>
      <c r="LUF17" s="400"/>
      <c r="LUG17" s="400"/>
      <c r="LUH17" s="400"/>
      <c r="LUI17" s="400"/>
      <c r="LUJ17" s="400"/>
      <c r="LUK17" s="400"/>
      <c r="LUL17" s="400"/>
      <c r="LUM17" s="400"/>
      <c r="LUN17" s="400"/>
      <c r="LUO17" s="400"/>
      <c r="LUP17" s="400"/>
      <c r="LUQ17" s="400"/>
      <c r="LUR17" s="400"/>
      <c r="LUS17" s="400"/>
      <c r="LUT17" s="400"/>
      <c r="LUU17" s="400"/>
      <c r="LUV17" s="400"/>
      <c r="LUW17" s="400"/>
      <c r="LUX17" s="400"/>
      <c r="LUY17" s="400"/>
      <c r="LUZ17" s="400"/>
      <c r="LVA17" s="400"/>
      <c r="LVB17" s="400"/>
      <c r="LVC17" s="400"/>
      <c r="LVD17" s="400"/>
      <c r="LVE17" s="400"/>
      <c r="LVF17" s="400"/>
      <c r="LVG17" s="400"/>
      <c r="LVH17" s="400"/>
      <c r="LVI17" s="400"/>
      <c r="LVJ17" s="400"/>
      <c r="LVK17" s="400"/>
      <c r="LVL17" s="400"/>
      <c r="LVM17" s="400"/>
      <c r="LVN17" s="400"/>
      <c r="LVO17" s="400"/>
      <c r="LVP17" s="400"/>
      <c r="LVQ17" s="400"/>
      <c r="LVR17" s="400"/>
      <c r="LVS17" s="400"/>
      <c r="LVT17" s="400"/>
      <c r="LVU17" s="400"/>
      <c r="LVV17" s="400"/>
      <c r="LVW17" s="400"/>
      <c r="LVX17" s="400"/>
      <c r="LVY17" s="400"/>
      <c r="LVZ17" s="400"/>
      <c r="LWA17" s="400"/>
      <c r="LWB17" s="400"/>
      <c r="LWC17" s="400"/>
      <c r="LWD17" s="400"/>
      <c r="LWE17" s="400"/>
      <c r="LWF17" s="400"/>
      <c r="LWG17" s="400"/>
      <c r="LWH17" s="400"/>
      <c r="LWI17" s="400"/>
      <c r="LWJ17" s="400"/>
      <c r="LWK17" s="400"/>
      <c r="LWL17" s="400"/>
      <c r="LWM17" s="400"/>
      <c r="LWN17" s="400"/>
      <c r="LWO17" s="400"/>
      <c r="LWP17" s="400"/>
      <c r="LWQ17" s="400"/>
      <c r="LWR17" s="400"/>
      <c r="LWS17" s="400"/>
      <c r="LWT17" s="400"/>
      <c r="LWU17" s="400"/>
      <c r="LWV17" s="400"/>
      <c r="LWW17" s="400"/>
      <c r="LWX17" s="400"/>
      <c r="LWY17" s="400"/>
      <c r="LWZ17" s="400"/>
      <c r="LXA17" s="400"/>
      <c r="LXB17" s="400"/>
      <c r="LXC17" s="400"/>
      <c r="LXD17" s="400"/>
      <c r="LXE17" s="400"/>
      <c r="LXF17" s="400"/>
      <c r="LXG17" s="400"/>
      <c r="LXH17" s="400"/>
      <c r="LXI17" s="400"/>
      <c r="LXJ17" s="400"/>
      <c r="LXK17" s="400"/>
      <c r="LXL17" s="400"/>
      <c r="LXM17" s="400"/>
      <c r="LXN17" s="400"/>
      <c r="LXO17" s="400"/>
      <c r="LXP17" s="400"/>
      <c r="LXQ17" s="400"/>
      <c r="LXR17" s="400"/>
      <c r="LXS17" s="400"/>
      <c r="LXT17" s="400"/>
      <c r="LXU17" s="400"/>
      <c r="LXV17" s="400"/>
      <c r="LXW17" s="400"/>
      <c r="LXX17" s="400"/>
      <c r="LXY17" s="400"/>
      <c r="LXZ17" s="400"/>
      <c r="LYA17" s="400"/>
      <c r="LYB17" s="400"/>
      <c r="LYC17" s="400"/>
      <c r="LYD17" s="400"/>
      <c r="LYE17" s="400"/>
      <c r="LYF17" s="400"/>
      <c r="LYG17" s="400"/>
      <c r="LYH17" s="400"/>
      <c r="LYI17" s="400"/>
      <c r="LYJ17" s="400"/>
      <c r="LYK17" s="400"/>
      <c r="LYL17" s="400"/>
      <c r="LYM17" s="400"/>
      <c r="LYN17" s="400"/>
      <c r="LYO17" s="400"/>
      <c r="LYP17" s="400"/>
      <c r="LYQ17" s="400"/>
      <c r="LYR17" s="400"/>
      <c r="LYS17" s="400"/>
      <c r="LYT17" s="400"/>
      <c r="LYU17" s="400"/>
      <c r="LYV17" s="400"/>
      <c r="LYW17" s="400"/>
      <c r="LYX17" s="400"/>
      <c r="LYY17" s="400"/>
      <c r="LYZ17" s="400"/>
      <c r="LZA17" s="400"/>
      <c r="LZB17" s="400"/>
      <c r="LZC17" s="400"/>
      <c r="LZD17" s="400"/>
      <c r="LZE17" s="400"/>
      <c r="LZF17" s="400"/>
      <c r="LZG17" s="400"/>
      <c r="LZH17" s="400"/>
      <c r="LZI17" s="400"/>
      <c r="LZJ17" s="400"/>
      <c r="LZK17" s="400"/>
      <c r="LZL17" s="400"/>
      <c r="LZM17" s="400"/>
      <c r="LZN17" s="400"/>
      <c r="LZO17" s="400"/>
      <c r="LZP17" s="400"/>
      <c r="LZQ17" s="400"/>
      <c r="LZR17" s="400"/>
      <c r="LZS17" s="400"/>
      <c r="LZT17" s="400"/>
      <c r="LZU17" s="400"/>
      <c r="LZV17" s="400"/>
      <c r="LZW17" s="400"/>
      <c r="LZX17" s="400"/>
      <c r="LZY17" s="400"/>
      <c r="LZZ17" s="400"/>
      <c r="MAA17" s="400"/>
      <c r="MAB17" s="400"/>
      <c r="MAC17" s="400"/>
      <c r="MAD17" s="400"/>
      <c r="MAE17" s="400"/>
      <c r="MAF17" s="400"/>
      <c r="MAG17" s="400"/>
      <c r="MAH17" s="400"/>
      <c r="MAI17" s="400"/>
      <c r="MAJ17" s="400"/>
      <c r="MAK17" s="400"/>
      <c r="MAL17" s="400"/>
      <c r="MAM17" s="400"/>
      <c r="MAN17" s="400"/>
      <c r="MAO17" s="400"/>
      <c r="MAP17" s="400"/>
      <c r="MAQ17" s="400"/>
      <c r="MAR17" s="400"/>
      <c r="MAS17" s="400"/>
      <c r="MAT17" s="400"/>
      <c r="MAU17" s="400"/>
      <c r="MAV17" s="400"/>
      <c r="MAW17" s="400"/>
      <c r="MAX17" s="400"/>
      <c r="MAY17" s="400"/>
      <c r="MAZ17" s="400"/>
      <c r="MBA17" s="400"/>
      <c r="MBB17" s="400"/>
      <c r="MBC17" s="400"/>
      <c r="MBD17" s="400"/>
      <c r="MBE17" s="400"/>
      <c r="MBF17" s="400"/>
      <c r="MBG17" s="400"/>
      <c r="MBH17" s="400"/>
      <c r="MBI17" s="400"/>
      <c r="MBJ17" s="400"/>
      <c r="MBK17" s="400"/>
      <c r="MBL17" s="400"/>
      <c r="MBM17" s="400"/>
      <c r="MBN17" s="400"/>
      <c r="MBO17" s="400"/>
      <c r="MBP17" s="400"/>
      <c r="MBQ17" s="400"/>
      <c r="MBR17" s="400"/>
      <c r="MBS17" s="400"/>
      <c r="MBT17" s="400"/>
      <c r="MBU17" s="400"/>
      <c r="MBV17" s="400"/>
      <c r="MBW17" s="400"/>
      <c r="MBX17" s="400"/>
      <c r="MBY17" s="400"/>
      <c r="MBZ17" s="400"/>
      <c r="MCA17" s="400"/>
      <c r="MCB17" s="400"/>
      <c r="MCC17" s="400"/>
      <c r="MCD17" s="400"/>
      <c r="MCE17" s="400"/>
      <c r="MCF17" s="400"/>
      <c r="MCG17" s="400"/>
      <c r="MCH17" s="400"/>
      <c r="MCI17" s="400"/>
      <c r="MCJ17" s="400"/>
      <c r="MCK17" s="400"/>
      <c r="MCL17" s="400"/>
      <c r="MCM17" s="400"/>
      <c r="MCN17" s="400"/>
      <c r="MCO17" s="400"/>
      <c r="MCP17" s="400"/>
      <c r="MCQ17" s="400"/>
      <c r="MCR17" s="400"/>
      <c r="MCS17" s="400"/>
      <c r="MCT17" s="400"/>
      <c r="MCU17" s="400"/>
      <c r="MCV17" s="400"/>
      <c r="MCW17" s="400"/>
      <c r="MCX17" s="400"/>
      <c r="MCY17" s="400"/>
      <c r="MCZ17" s="400"/>
      <c r="MDA17" s="400"/>
      <c r="MDB17" s="400"/>
      <c r="MDC17" s="400"/>
      <c r="MDD17" s="400"/>
      <c r="MDE17" s="400"/>
      <c r="MDF17" s="400"/>
      <c r="MDG17" s="400"/>
      <c r="MDH17" s="400"/>
      <c r="MDI17" s="400"/>
      <c r="MDJ17" s="400"/>
      <c r="MDK17" s="400"/>
      <c r="MDL17" s="400"/>
      <c r="MDM17" s="400"/>
      <c r="MDN17" s="400"/>
      <c r="MDO17" s="400"/>
      <c r="MDP17" s="400"/>
      <c r="MDQ17" s="400"/>
      <c r="MDR17" s="400"/>
      <c r="MDS17" s="400"/>
      <c r="MDT17" s="400"/>
      <c r="MDU17" s="400"/>
      <c r="MDV17" s="400"/>
      <c r="MDW17" s="400"/>
      <c r="MDX17" s="400"/>
      <c r="MDY17" s="400"/>
      <c r="MDZ17" s="400"/>
      <c r="MEA17" s="400"/>
      <c r="MEB17" s="400"/>
      <c r="MEC17" s="400"/>
      <c r="MED17" s="400"/>
      <c r="MEE17" s="400"/>
      <c r="MEF17" s="400"/>
      <c r="MEG17" s="400"/>
      <c r="MEH17" s="400"/>
      <c r="MEI17" s="400"/>
      <c r="MEJ17" s="400"/>
      <c r="MEK17" s="400"/>
      <c r="MEL17" s="400"/>
      <c r="MEM17" s="400"/>
      <c r="MEN17" s="400"/>
      <c r="MEO17" s="400"/>
      <c r="MEP17" s="400"/>
      <c r="MEQ17" s="400"/>
      <c r="MER17" s="400"/>
      <c r="MES17" s="400"/>
      <c r="MET17" s="400"/>
      <c r="MEU17" s="400"/>
      <c r="MEV17" s="400"/>
      <c r="MEW17" s="400"/>
      <c r="MEX17" s="400"/>
      <c r="MEY17" s="400"/>
      <c r="MEZ17" s="400"/>
      <c r="MFA17" s="400"/>
      <c r="MFB17" s="400"/>
      <c r="MFC17" s="400"/>
      <c r="MFD17" s="400"/>
      <c r="MFE17" s="400"/>
      <c r="MFF17" s="400"/>
      <c r="MFG17" s="400"/>
      <c r="MFH17" s="400"/>
      <c r="MFI17" s="400"/>
      <c r="MFJ17" s="400"/>
      <c r="MFK17" s="400"/>
      <c r="MFL17" s="400"/>
      <c r="MFM17" s="400"/>
      <c r="MFN17" s="400"/>
      <c r="MFO17" s="400"/>
      <c r="MFP17" s="400"/>
      <c r="MFQ17" s="400"/>
      <c r="MFR17" s="400"/>
      <c r="MFS17" s="400"/>
      <c r="MFT17" s="400"/>
      <c r="MFU17" s="400"/>
      <c r="MFV17" s="400"/>
      <c r="MFW17" s="400"/>
      <c r="MFX17" s="400"/>
      <c r="MFY17" s="400"/>
      <c r="MFZ17" s="400"/>
      <c r="MGA17" s="400"/>
      <c r="MGB17" s="400"/>
      <c r="MGC17" s="400"/>
      <c r="MGD17" s="400"/>
      <c r="MGE17" s="400"/>
      <c r="MGF17" s="400"/>
      <c r="MGG17" s="400"/>
      <c r="MGH17" s="400"/>
      <c r="MGI17" s="400"/>
      <c r="MGJ17" s="400"/>
      <c r="MGK17" s="400"/>
      <c r="MGL17" s="400"/>
      <c r="MGM17" s="400"/>
      <c r="MGN17" s="400"/>
      <c r="MGO17" s="400"/>
      <c r="MGP17" s="400"/>
      <c r="MGQ17" s="400"/>
      <c r="MGR17" s="400"/>
      <c r="MGS17" s="400"/>
      <c r="MGT17" s="400"/>
      <c r="MGU17" s="400"/>
      <c r="MGV17" s="400"/>
      <c r="MGW17" s="400"/>
      <c r="MGX17" s="400"/>
      <c r="MGY17" s="400"/>
      <c r="MGZ17" s="400"/>
      <c r="MHA17" s="400"/>
      <c r="MHB17" s="400"/>
      <c r="MHC17" s="400"/>
      <c r="MHD17" s="400"/>
      <c r="MHE17" s="400"/>
      <c r="MHF17" s="400"/>
      <c r="MHG17" s="400"/>
      <c r="MHH17" s="400"/>
      <c r="MHI17" s="400"/>
      <c r="MHJ17" s="400"/>
      <c r="MHK17" s="400"/>
      <c r="MHL17" s="400"/>
      <c r="MHM17" s="400"/>
      <c r="MHN17" s="400"/>
      <c r="MHO17" s="400"/>
      <c r="MHP17" s="400"/>
      <c r="MHQ17" s="400"/>
      <c r="MHR17" s="400"/>
      <c r="MHS17" s="400"/>
      <c r="MHT17" s="400"/>
      <c r="MHU17" s="400"/>
      <c r="MHV17" s="400"/>
      <c r="MHW17" s="400"/>
      <c r="MHX17" s="400"/>
      <c r="MHY17" s="400"/>
      <c r="MHZ17" s="400"/>
      <c r="MIA17" s="400"/>
      <c r="MIB17" s="400"/>
      <c r="MIC17" s="400"/>
      <c r="MID17" s="400"/>
      <c r="MIE17" s="400"/>
      <c r="MIF17" s="400"/>
      <c r="MIG17" s="400"/>
      <c r="MIH17" s="400"/>
      <c r="MII17" s="400"/>
      <c r="MIJ17" s="400"/>
      <c r="MIK17" s="400"/>
      <c r="MIL17" s="400"/>
      <c r="MIM17" s="400"/>
      <c r="MIN17" s="400"/>
      <c r="MIO17" s="400"/>
      <c r="MIP17" s="400"/>
      <c r="MIQ17" s="400"/>
      <c r="MIR17" s="400"/>
      <c r="MIS17" s="400"/>
      <c r="MIT17" s="400"/>
      <c r="MIU17" s="400"/>
      <c r="MIV17" s="400"/>
      <c r="MIW17" s="400"/>
      <c r="MIX17" s="400"/>
      <c r="MIY17" s="400"/>
      <c r="MIZ17" s="400"/>
      <c r="MJA17" s="400"/>
      <c r="MJB17" s="400"/>
      <c r="MJC17" s="400"/>
      <c r="MJD17" s="400"/>
      <c r="MJE17" s="400"/>
      <c r="MJF17" s="400"/>
      <c r="MJG17" s="400"/>
      <c r="MJH17" s="400"/>
      <c r="MJI17" s="400"/>
      <c r="MJJ17" s="400"/>
      <c r="MJK17" s="400"/>
      <c r="MJL17" s="400"/>
      <c r="MJM17" s="400"/>
      <c r="MJN17" s="400"/>
      <c r="MJO17" s="400"/>
      <c r="MJP17" s="400"/>
      <c r="MJQ17" s="400"/>
      <c r="MJR17" s="400"/>
      <c r="MJS17" s="400"/>
      <c r="MJT17" s="400"/>
      <c r="MJU17" s="400"/>
      <c r="MJV17" s="400"/>
      <c r="MJW17" s="400"/>
      <c r="MJX17" s="400"/>
      <c r="MJY17" s="400"/>
      <c r="MJZ17" s="400"/>
      <c r="MKA17" s="400"/>
      <c r="MKB17" s="400"/>
      <c r="MKC17" s="400"/>
      <c r="MKD17" s="400"/>
      <c r="MKE17" s="400"/>
      <c r="MKF17" s="400"/>
      <c r="MKG17" s="400"/>
      <c r="MKH17" s="400"/>
      <c r="MKI17" s="400"/>
      <c r="MKJ17" s="400"/>
      <c r="MKK17" s="400"/>
      <c r="MKL17" s="400"/>
      <c r="MKM17" s="400"/>
      <c r="MKN17" s="400"/>
      <c r="MKO17" s="400"/>
      <c r="MKP17" s="400"/>
      <c r="MKQ17" s="400"/>
      <c r="MKR17" s="400"/>
      <c r="MKS17" s="400"/>
      <c r="MKT17" s="400"/>
      <c r="MKU17" s="400"/>
      <c r="MKV17" s="400"/>
      <c r="MKW17" s="400"/>
      <c r="MKX17" s="400"/>
      <c r="MKY17" s="400"/>
      <c r="MKZ17" s="400"/>
      <c r="MLA17" s="400"/>
      <c r="MLB17" s="400"/>
      <c r="MLC17" s="400"/>
      <c r="MLD17" s="400"/>
      <c r="MLE17" s="400"/>
      <c r="MLF17" s="400"/>
      <c r="MLG17" s="400"/>
      <c r="MLH17" s="400"/>
      <c r="MLI17" s="400"/>
      <c r="MLJ17" s="400"/>
      <c r="MLK17" s="400"/>
      <c r="MLL17" s="400"/>
      <c r="MLM17" s="400"/>
      <c r="MLN17" s="400"/>
      <c r="MLO17" s="400"/>
      <c r="MLP17" s="400"/>
      <c r="MLQ17" s="400"/>
      <c r="MLR17" s="400"/>
      <c r="MLS17" s="400"/>
      <c r="MLT17" s="400"/>
      <c r="MLU17" s="400"/>
      <c r="MLV17" s="400"/>
      <c r="MLW17" s="400"/>
      <c r="MLX17" s="400"/>
      <c r="MLY17" s="400"/>
      <c r="MLZ17" s="400"/>
      <c r="MMA17" s="400"/>
      <c r="MMB17" s="400"/>
      <c r="MMC17" s="400"/>
      <c r="MMD17" s="400"/>
      <c r="MME17" s="400"/>
      <c r="MMF17" s="400"/>
      <c r="MMG17" s="400"/>
      <c r="MMH17" s="400"/>
      <c r="MMI17" s="400"/>
      <c r="MMJ17" s="400"/>
      <c r="MMK17" s="400"/>
      <c r="MML17" s="400"/>
      <c r="MMM17" s="400"/>
      <c r="MMN17" s="400"/>
      <c r="MMO17" s="400"/>
      <c r="MMP17" s="400"/>
      <c r="MMQ17" s="400"/>
      <c r="MMR17" s="400"/>
      <c r="MMS17" s="400"/>
      <c r="MMT17" s="400"/>
      <c r="MMU17" s="400"/>
      <c r="MMV17" s="400"/>
      <c r="MMW17" s="400"/>
      <c r="MMX17" s="400"/>
      <c r="MMY17" s="400"/>
      <c r="MMZ17" s="400"/>
      <c r="MNA17" s="400"/>
      <c r="MNB17" s="400"/>
      <c r="MNC17" s="400"/>
      <c r="MND17" s="400"/>
      <c r="MNE17" s="400"/>
      <c r="MNF17" s="400"/>
      <c r="MNG17" s="400"/>
      <c r="MNH17" s="400"/>
      <c r="MNI17" s="400"/>
      <c r="MNJ17" s="400"/>
      <c r="MNK17" s="400"/>
      <c r="MNL17" s="400"/>
      <c r="MNM17" s="400"/>
      <c r="MNN17" s="400"/>
      <c r="MNO17" s="400"/>
      <c r="MNP17" s="400"/>
      <c r="MNQ17" s="400"/>
      <c r="MNR17" s="400"/>
      <c r="MNS17" s="400"/>
      <c r="MNT17" s="400"/>
      <c r="MNU17" s="400"/>
      <c r="MNV17" s="400"/>
      <c r="MNW17" s="400"/>
      <c r="MNX17" s="400"/>
      <c r="MNY17" s="400"/>
      <c r="MNZ17" s="400"/>
      <c r="MOA17" s="400"/>
      <c r="MOB17" s="400"/>
      <c r="MOC17" s="400"/>
      <c r="MOD17" s="400"/>
      <c r="MOE17" s="400"/>
      <c r="MOF17" s="400"/>
      <c r="MOG17" s="400"/>
      <c r="MOH17" s="400"/>
      <c r="MOI17" s="400"/>
      <c r="MOJ17" s="400"/>
      <c r="MOK17" s="400"/>
      <c r="MOL17" s="400"/>
      <c r="MOM17" s="400"/>
      <c r="MON17" s="400"/>
      <c r="MOO17" s="400"/>
      <c r="MOP17" s="400"/>
      <c r="MOQ17" s="400"/>
      <c r="MOR17" s="400"/>
      <c r="MOS17" s="400"/>
      <c r="MOT17" s="400"/>
      <c r="MOU17" s="400"/>
      <c r="MOV17" s="400"/>
      <c r="MOW17" s="400"/>
      <c r="MOX17" s="400"/>
      <c r="MOY17" s="400"/>
      <c r="MOZ17" s="400"/>
      <c r="MPA17" s="400"/>
      <c r="MPB17" s="400"/>
      <c r="MPC17" s="400"/>
      <c r="MPD17" s="400"/>
      <c r="MPE17" s="400"/>
      <c r="MPF17" s="400"/>
      <c r="MPG17" s="400"/>
      <c r="MPH17" s="400"/>
      <c r="MPI17" s="400"/>
      <c r="MPJ17" s="400"/>
      <c r="MPK17" s="400"/>
      <c r="MPL17" s="400"/>
      <c r="MPM17" s="400"/>
      <c r="MPN17" s="400"/>
      <c r="MPO17" s="400"/>
      <c r="MPP17" s="400"/>
      <c r="MPQ17" s="400"/>
      <c r="MPR17" s="400"/>
      <c r="MPS17" s="400"/>
      <c r="MPT17" s="400"/>
      <c r="MPU17" s="400"/>
      <c r="MPV17" s="400"/>
      <c r="MPW17" s="400"/>
      <c r="MPX17" s="400"/>
      <c r="MPY17" s="400"/>
      <c r="MPZ17" s="400"/>
      <c r="MQA17" s="400"/>
      <c r="MQB17" s="400"/>
      <c r="MQC17" s="400"/>
      <c r="MQD17" s="400"/>
      <c r="MQE17" s="400"/>
      <c r="MQF17" s="400"/>
      <c r="MQG17" s="400"/>
      <c r="MQH17" s="400"/>
      <c r="MQI17" s="400"/>
      <c r="MQJ17" s="400"/>
      <c r="MQK17" s="400"/>
      <c r="MQL17" s="400"/>
      <c r="MQM17" s="400"/>
      <c r="MQN17" s="400"/>
      <c r="MQO17" s="400"/>
      <c r="MQP17" s="400"/>
      <c r="MQQ17" s="400"/>
      <c r="MQR17" s="400"/>
      <c r="MQS17" s="400"/>
      <c r="MQT17" s="400"/>
      <c r="MQU17" s="400"/>
      <c r="MQV17" s="400"/>
      <c r="MQW17" s="400"/>
      <c r="MQX17" s="400"/>
      <c r="MQY17" s="400"/>
      <c r="MQZ17" s="400"/>
      <c r="MRA17" s="400"/>
      <c r="MRB17" s="400"/>
      <c r="MRC17" s="400"/>
      <c r="MRD17" s="400"/>
      <c r="MRE17" s="400"/>
      <c r="MRF17" s="400"/>
      <c r="MRG17" s="400"/>
      <c r="MRH17" s="400"/>
      <c r="MRI17" s="400"/>
      <c r="MRJ17" s="400"/>
      <c r="MRK17" s="400"/>
      <c r="MRL17" s="400"/>
      <c r="MRM17" s="400"/>
      <c r="MRN17" s="400"/>
      <c r="MRO17" s="400"/>
      <c r="MRP17" s="400"/>
      <c r="MRQ17" s="400"/>
      <c r="MRR17" s="400"/>
      <c r="MRS17" s="400"/>
      <c r="MRT17" s="400"/>
      <c r="MRU17" s="400"/>
      <c r="MRV17" s="400"/>
      <c r="MRW17" s="400"/>
      <c r="MRX17" s="400"/>
      <c r="MRY17" s="400"/>
      <c r="MRZ17" s="400"/>
      <c r="MSA17" s="400"/>
      <c r="MSB17" s="400"/>
      <c r="MSC17" s="400"/>
      <c r="MSD17" s="400"/>
      <c r="MSE17" s="400"/>
      <c r="MSF17" s="400"/>
      <c r="MSG17" s="400"/>
      <c r="MSH17" s="400"/>
      <c r="MSI17" s="400"/>
      <c r="MSJ17" s="400"/>
      <c r="MSK17" s="400"/>
      <c r="MSL17" s="400"/>
      <c r="MSM17" s="400"/>
      <c r="MSN17" s="400"/>
      <c r="MSO17" s="400"/>
      <c r="MSP17" s="400"/>
      <c r="MSQ17" s="400"/>
      <c r="MSR17" s="400"/>
      <c r="MSS17" s="400"/>
      <c r="MST17" s="400"/>
      <c r="MSU17" s="400"/>
      <c r="MSV17" s="400"/>
      <c r="MSW17" s="400"/>
      <c r="MSX17" s="400"/>
      <c r="MSY17" s="400"/>
      <c r="MSZ17" s="400"/>
      <c r="MTA17" s="400"/>
      <c r="MTB17" s="400"/>
      <c r="MTC17" s="400"/>
      <c r="MTD17" s="400"/>
      <c r="MTE17" s="400"/>
      <c r="MTF17" s="400"/>
      <c r="MTG17" s="400"/>
      <c r="MTH17" s="400"/>
      <c r="MTI17" s="400"/>
      <c r="MTJ17" s="400"/>
      <c r="MTK17" s="400"/>
      <c r="MTL17" s="400"/>
      <c r="MTM17" s="400"/>
      <c r="MTN17" s="400"/>
      <c r="MTO17" s="400"/>
      <c r="MTP17" s="400"/>
      <c r="MTQ17" s="400"/>
      <c r="MTR17" s="400"/>
      <c r="MTS17" s="400"/>
      <c r="MTT17" s="400"/>
      <c r="MTU17" s="400"/>
      <c r="MTV17" s="400"/>
      <c r="MTW17" s="400"/>
      <c r="MTX17" s="400"/>
      <c r="MTY17" s="400"/>
      <c r="MTZ17" s="400"/>
      <c r="MUA17" s="400"/>
      <c r="MUB17" s="400"/>
      <c r="MUC17" s="400"/>
      <c r="MUD17" s="400"/>
      <c r="MUE17" s="400"/>
      <c r="MUF17" s="400"/>
      <c r="MUG17" s="400"/>
      <c r="MUH17" s="400"/>
      <c r="MUI17" s="400"/>
      <c r="MUJ17" s="400"/>
      <c r="MUK17" s="400"/>
      <c r="MUL17" s="400"/>
      <c r="MUM17" s="400"/>
      <c r="MUN17" s="400"/>
      <c r="MUO17" s="400"/>
      <c r="MUP17" s="400"/>
      <c r="MUQ17" s="400"/>
      <c r="MUR17" s="400"/>
      <c r="MUS17" s="400"/>
      <c r="MUT17" s="400"/>
      <c r="MUU17" s="400"/>
      <c r="MUV17" s="400"/>
      <c r="MUW17" s="400"/>
      <c r="MUX17" s="400"/>
      <c r="MUY17" s="400"/>
      <c r="MUZ17" s="400"/>
      <c r="MVA17" s="400"/>
      <c r="MVB17" s="400"/>
      <c r="MVC17" s="400"/>
      <c r="MVD17" s="400"/>
      <c r="MVE17" s="400"/>
      <c r="MVF17" s="400"/>
      <c r="MVG17" s="400"/>
      <c r="MVH17" s="400"/>
      <c r="MVI17" s="400"/>
      <c r="MVJ17" s="400"/>
      <c r="MVK17" s="400"/>
      <c r="MVL17" s="400"/>
      <c r="MVM17" s="400"/>
      <c r="MVN17" s="400"/>
      <c r="MVO17" s="400"/>
      <c r="MVP17" s="400"/>
      <c r="MVQ17" s="400"/>
      <c r="MVR17" s="400"/>
      <c r="MVS17" s="400"/>
      <c r="MVT17" s="400"/>
      <c r="MVU17" s="400"/>
      <c r="MVV17" s="400"/>
      <c r="MVW17" s="400"/>
      <c r="MVX17" s="400"/>
      <c r="MVY17" s="400"/>
      <c r="MVZ17" s="400"/>
      <c r="MWA17" s="400"/>
      <c r="MWB17" s="400"/>
      <c r="MWC17" s="400"/>
      <c r="MWD17" s="400"/>
      <c r="MWE17" s="400"/>
      <c r="MWF17" s="400"/>
      <c r="MWG17" s="400"/>
      <c r="MWH17" s="400"/>
      <c r="MWI17" s="400"/>
      <c r="MWJ17" s="400"/>
      <c r="MWK17" s="400"/>
      <c r="MWL17" s="400"/>
      <c r="MWM17" s="400"/>
      <c r="MWN17" s="400"/>
      <c r="MWO17" s="400"/>
      <c r="MWP17" s="400"/>
      <c r="MWQ17" s="400"/>
      <c r="MWR17" s="400"/>
      <c r="MWS17" s="400"/>
      <c r="MWT17" s="400"/>
      <c r="MWU17" s="400"/>
      <c r="MWV17" s="400"/>
      <c r="MWW17" s="400"/>
      <c r="MWX17" s="400"/>
      <c r="MWY17" s="400"/>
      <c r="MWZ17" s="400"/>
      <c r="MXA17" s="400"/>
      <c r="MXB17" s="400"/>
      <c r="MXC17" s="400"/>
      <c r="MXD17" s="400"/>
      <c r="MXE17" s="400"/>
      <c r="MXF17" s="400"/>
      <c r="MXG17" s="400"/>
      <c r="MXH17" s="400"/>
      <c r="MXI17" s="400"/>
      <c r="MXJ17" s="400"/>
      <c r="MXK17" s="400"/>
      <c r="MXL17" s="400"/>
      <c r="MXM17" s="400"/>
      <c r="MXN17" s="400"/>
      <c r="MXO17" s="400"/>
      <c r="MXP17" s="400"/>
      <c r="MXQ17" s="400"/>
      <c r="MXR17" s="400"/>
      <c r="MXS17" s="400"/>
      <c r="MXT17" s="400"/>
      <c r="MXU17" s="400"/>
      <c r="MXV17" s="400"/>
      <c r="MXW17" s="400"/>
      <c r="MXX17" s="400"/>
      <c r="MXY17" s="400"/>
      <c r="MXZ17" s="400"/>
      <c r="MYA17" s="400"/>
      <c r="MYB17" s="400"/>
      <c r="MYC17" s="400"/>
      <c r="MYD17" s="400"/>
      <c r="MYE17" s="400"/>
      <c r="MYF17" s="400"/>
      <c r="MYG17" s="400"/>
      <c r="MYH17" s="400"/>
      <c r="MYI17" s="400"/>
      <c r="MYJ17" s="400"/>
      <c r="MYK17" s="400"/>
      <c r="MYL17" s="400"/>
      <c r="MYM17" s="400"/>
      <c r="MYN17" s="400"/>
      <c r="MYO17" s="400"/>
      <c r="MYP17" s="400"/>
      <c r="MYQ17" s="400"/>
      <c r="MYR17" s="400"/>
      <c r="MYS17" s="400"/>
      <c r="MYT17" s="400"/>
      <c r="MYU17" s="400"/>
      <c r="MYV17" s="400"/>
      <c r="MYW17" s="400"/>
      <c r="MYX17" s="400"/>
      <c r="MYY17" s="400"/>
      <c r="MYZ17" s="400"/>
      <c r="MZA17" s="400"/>
      <c r="MZB17" s="400"/>
      <c r="MZC17" s="400"/>
      <c r="MZD17" s="400"/>
      <c r="MZE17" s="400"/>
      <c r="MZF17" s="400"/>
      <c r="MZG17" s="400"/>
      <c r="MZH17" s="400"/>
      <c r="MZI17" s="400"/>
      <c r="MZJ17" s="400"/>
      <c r="MZK17" s="400"/>
      <c r="MZL17" s="400"/>
      <c r="MZM17" s="400"/>
      <c r="MZN17" s="400"/>
      <c r="MZO17" s="400"/>
      <c r="MZP17" s="400"/>
      <c r="MZQ17" s="400"/>
      <c r="MZR17" s="400"/>
      <c r="MZS17" s="400"/>
      <c r="MZT17" s="400"/>
      <c r="MZU17" s="400"/>
      <c r="MZV17" s="400"/>
      <c r="MZW17" s="400"/>
      <c r="MZX17" s="400"/>
      <c r="MZY17" s="400"/>
      <c r="MZZ17" s="400"/>
      <c r="NAA17" s="400"/>
      <c r="NAB17" s="400"/>
      <c r="NAC17" s="400"/>
      <c r="NAD17" s="400"/>
      <c r="NAE17" s="400"/>
      <c r="NAF17" s="400"/>
      <c r="NAG17" s="400"/>
      <c r="NAH17" s="400"/>
      <c r="NAI17" s="400"/>
      <c r="NAJ17" s="400"/>
      <c r="NAK17" s="400"/>
      <c r="NAL17" s="400"/>
      <c r="NAM17" s="400"/>
      <c r="NAN17" s="400"/>
      <c r="NAO17" s="400"/>
      <c r="NAP17" s="400"/>
      <c r="NAQ17" s="400"/>
      <c r="NAR17" s="400"/>
      <c r="NAS17" s="400"/>
      <c r="NAT17" s="400"/>
      <c r="NAU17" s="400"/>
      <c r="NAV17" s="400"/>
      <c r="NAW17" s="400"/>
      <c r="NAX17" s="400"/>
      <c r="NAY17" s="400"/>
      <c r="NAZ17" s="400"/>
      <c r="NBA17" s="400"/>
      <c r="NBB17" s="400"/>
      <c r="NBC17" s="400"/>
      <c r="NBD17" s="400"/>
      <c r="NBE17" s="400"/>
      <c r="NBF17" s="400"/>
      <c r="NBG17" s="400"/>
      <c r="NBH17" s="400"/>
      <c r="NBI17" s="400"/>
      <c r="NBJ17" s="400"/>
      <c r="NBK17" s="400"/>
      <c r="NBL17" s="400"/>
      <c r="NBM17" s="400"/>
      <c r="NBN17" s="400"/>
      <c r="NBO17" s="400"/>
      <c r="NBP17" s="400"/>
      <c r="NBQ17" s="400"/>
      <c r="NBR17" s="400"/>
      <c r="NBS17" s="400"/>
      <c r="NBT17" s="400"/>
      <c r="NBU17" s="400"/>
      <c r="NBV17" s="400"/>
      <c r="NBW17" s="400"/>
      <c r="NBX17" s="400"/>
      <c r="NBY17" s="400"/>
      <c r="NBZ17" s="400"/>
      <c r="NCA17" s="400"/>
      <c r="NCB17" s="400"/>
      <c r="NCC17" s="400"/>
      <c r="NCD17" s="400"/>
      <c r="NCE17" s="400"/>
      <c r="NCF17" s="400"/>
      <c r="NCG17" s="400"/>
      <c r="NCH17" s="400"/>
      <c r="NCI17" s="400"/>
      <c r="NCJ17" s="400"/>
      <c r="NCK17" s="400"/>
      <c r="NCL17" s="400"/>
      <c r="NCM17" s="400"/>
      <c r="NCN17" s="400"/>
      <c r="NCO17" s="400"/>
      <c r="NCP17" s="400"/>
      <c r="NCQ17" s="400"/>
      <c r="NCR17" s="400"/>
      <c r="NCS17" s="400"/>
      <c r="NCT17" s="400"/>
      <c r="NCU17" s="400"/>
      <c r="NCV17" s="400"/>
      <c r="NCW17" s="400"/>
      <c r="NCX17" s="400"/>
      <c r="NCY17" s="400"/>
      <c r="NCZ17" s="400"/>
      <c r="NDA17" s="400"/>
      <c r="NDB17" s="400"/>
      <c r="NDC17" s="400"/>
      <c r="NDD17" s="400"/>
      <c r="NDE17" s="400"/>
      <c r="NDF17" s="400"/>
      <c r="NDG17" s="400"/>
      <c r="NDH17" s="400"/>
      <c r="NDI17" s="400"/>
      <c r="NDJ17" s="400"/>
      <c r="NDK17" s="400"/>
      <c r="NDL17" s="400"/>
      <c r="NDM17" s="400"/>
      <c r="NDN17" s="400"/>
      <c r="NDO17" s="400"/>
      <c r="NDP17" s="400"/>
      <c r="NDQ17" s="400"/>
      <c r="NDR17" s="400"/>
      <c r="NDS17" s="400"/>
      <c r="NDT17" s="400"/>
      <c r="NDU17" s="400"/>
      <c r="NDV17" s="400"/>
      <c r="NDW17" s="400"/>
      <c r="NDX17" s="400"/>
      <c r="NDY17" s="400"/>
      <c r="NDZ17" s="400"/>
      <c r="NEA17" s="400"/>
      <c r="NEB17" s="400"/>
      <c r="NEC17" s="400"/>
      <c r="NED17" s="400"/>
      <c r="NEE17" s="400"/>
      <c r="NEF17" s="400"/>
      <c r="NEG17" s="400"/>
      <c r="NEH17" s="400"/>
      <c r="NEI17" s="400"/>
      <c r="NEJ17" s="400"/>
      <c r="NEK17" s="400"/>
      <c r="NEL17" s="400"/>
      <c r="NEM17" s="400"/>
      <c r="NEN17" s="400"/>
      <c r="NEO17" s="400"/>
      <c r="NEP17" s="400"/>
      <c r="NEQ17" s="400"/>
      <c r="NER17" s="400"/>
      <c r="NES17" s="400"/>
      <c r="NET17" s="400"/>
      <c r="NEU17" s="400"/>
      <c r="NEV17" s="400"/>
      <c r="NEW17" s="400"/>
      <c r="NEX17" s="400"/>
      <c r="NEY17" s="400"/>
      <c r="NEZ17" s="400"/>
      <c r="NFA17" s="400"/>
      <c r="NFB17" s="400"/>
      <c r="NFC17" s="400"/>
      <c r="NFD17" s="400"/>
      <c r="NFE17" s="400"/>
      <c r="NFF17" s="400"/>
      <c r="NFG17" s="400"/>
      <c r="NFH17" s="400"/>
      <c r="NFI17" s="400"/>
      <c r="NFJ17" s="400"/>
      <c r="NFK17" s="400"/>
      <c r="NFL17" s="400"/>
      <c r="NFM17" s="400"/>
      <c r="NFN17" s="400"/>
      <c r="NFO17" s="400"/>
      <c r="NFP17" s="400"/>
      <c r="NFQ17" s="400"/>
      <c r="NFR17" s="400"/>
      <c r="NFS17" s="400"/>
      <c r="NFT17" s="400"/>
      <c r="NFU17" s="400"/>
      <c r="NFV17" s="400"/>
      <c r="NFW17" s="400"/>
      <c r="NFX17" s="400"/>
      <c r="NFY17" s="400"/>
      <c r="NFZ17" s="400"/>
      <c r="NGA17" s="400"/>
      <c r="NGB17" s="400"/>
      <c r="NGC17" s="400"/>
      <c r="NGD17" s="400"/>
      <c r="NGE17" s="400"/>
      <c r="NGF17" s="400"/>
      <c r="NGG17" s="400"/>
      <c r="NGH17" s="400"/>
      <c r="NGI17" s="400"/>
      <c r="NGJ17" s="400"/>
      <c r="NGK17" s="400"/>
      <c r="NGL17" s="400"/>
      <c r="NGM17" s="400"/>
      <c r="NGN17" s="400"/>
      <c r="NGO17" s="400"/>
      <c r="NGP17" s="400"/>
      <c r="NGQ17" s="400"/>
      <c r="NGR17" s="400"/>
      <c r="NGS17" s="400"/>
      <c r="NGT17" s="400"/>
      <c r="NGU17" s="400"/>
      <c r="NGV17" s="400"/>
      <c r="NGW17" s="400"/>
      <c r="NGX17" s="400"/>
      <c r="NGY17" s="400"/>
      <c r="NGZ17" s="400"/>
      <c r="NHA17" s="400"/>
      <c r="NHB17" s="400"/>
      <c r="NHC17" s="400"/>
      <c r="NHD17" s="400"/>
      <c r="NHE17" s="400"/>
      <c r="NHF17" s="400"/>
      <c r="NHG17" s="400"/>
      <c r="NHH17" s="400"/>
      <c r="NHI17" s="400"/>
      <c r="NHJ17" s="400"/>
      <c r="NHK17" s="400"/>
      <c r="NHL17" s="400"/>
      <c r="NHM17" s="400"/>
      <c r="NHN17" s="400"/>
      <c r="NHO17" s="400"/>
      <c r="NHP17" s="400"/>
      <c r="NHQ17" s="400"/>
      <c r="NHR17" s="400"/>
      <c r="NHS17" s="400"/>
      <c r="NHT17" s="400"/>
      <c r="NHU17" s="400"/>
      <c r="NHV17" s="400"/>
      <c r="NHW17" s="400"/>
      <c r="NHX17" s="400"/>
      <c r="NHY17" s="400"/>
      <c r="NHZ17" s="400"/>
      <c r="NIA17" s="400"/>
      <c r="NIB17" s="400"/>
      <c r="NIC17" s="400"/>
      <c r="NID17" s="400"/>
      <c r="NIE17" s="400"/>
      <c r="NIF17" s="400"/>
      <c r="NIG17" s="400"/>
      <c r="NIH17" s="400"/>
      <c r="NII17" s="400"/>
      <c r="NIJ17" s="400"/>
      <c r="NIK17" s="400"/>
      <c r="NIL17" s="400"/>
      <c r="NIM17" s="400"/>
      <c r="NIN17" s="400"/>
      <c r="NIO17" s="400"/>
      <c r="NIP17" s="400"/>
      <c r="NIQ17" s="400"/>
      <c r="NIR17" s="400"/>
      <c r="NIS17" s="400"/>
      <c r="NIT17" s="400"/>
      <c r="NIU17" s="400"/>
      <c r="NIV17" s="400"/>
      <c r="NIW17" s="400"/>
      <c r="NIX17" s="400"/>
      <c r="NIY17" s="400"/>
      <c r="NIZ17" s="400"/>
      <c r="NJA17" s="400"/>
      <c r="NJB17" s="400"/>
      <c r="NJC17" s="400"/>
      <c r="NJD17" s="400"/>
      <c r="NJE17" s="400"/>
      <c r="NJF17" s="400"/>
      <c r="NJG17" s="400"/>
      <c r="NJH17" s="400"/>
      <c r="NJI17" s="400"/>
      <c r="NJJ17" s="400"/>
      <c r="NJK17" s="400"/>
      <c r="NJL17" s="400"/>
      <c r="NJM17" s="400"/>
      <c r="NJN17" s="400"/>
      <c r="NJO17" s="400"/>
      <c r="NJP17" s="400"/>
      <c r="NJQ17" s="400"/>
      <c r="NJR17" s="400"/>
      <c r="NJS17" s="400"/>
      <c r="NJT17" s="400"/>
      <c r="NJU17" s="400"/>
      <c r="NJV17" s="400"/>
      <c r="NJW17" s="400"/>
      <c r="NJX17" s="400"/>
      <c r="NJY17" s="400"/>
      <c r="NJZ17" s="400"/>
      <c r="NKA17" s="400"/>
      <c r="NKB17" s="400"/>
      <c r="NKC17" s="400"/>
      <c r="NKD17" s="400"/>
      <c r="NKE17" s="400"/>
      <c r="NKF17" s="400"/>
      <c r="NKG17" s="400"/>
      <c r="NKH17" s="400"/>
      <c r="NKI17" s="400"/>
      <c r="NKJ17" s="400"/>
      <c r="NKK17" s="400"/>
      <c r="NKL17" s="400"/>
      <c r="NKM17" s="400"/>
      <c r="NKN17" s="400"/>
      <c r="NKO17" s="400"/>
      <c r="NKP17" s="400"/>
      <c r="NKQ17" s="400"/>
      <c r="NKR17" s="400"/>
      <c r="NKS17" s="400"/>
      <c r="NKT17" s="400"/>
      <c r="NKU17" s="400"/>
      <c r="NKV17" s="400"/>
      <c r="NKW17" s="400"/>
      <c r="NKX17" s="400"/>
      <c r="NKY17" s="400"/>
      <c r="NKZ17" s="400"/>
      <c r="NLA17" s="400"/>
      <c r="NLB17" s="400"/>
      <c r="NLC17" s="400"/>
      <c r="NLD17" s="400"/>
      <c r="NLE17" s="400"/>
      <c r="NLF17" s="400"/>
      <c r="NLG17" s="400"/>
      <c r="NLH17" s="400"/>
      <c r="NLI17" s="400"/>
      <c r="NLJ17" s="400"/>
      <c r="NLK17" s="400"/>
      <c r="NLL17" s="400"/>
      <c r="NLM17" s="400"/>
      <c r="NLN17" s="400"/>
      <c r="NLO17" s="400"/>
      <c r="NLP17" s="400"/>
      <c r="NLQ17" s="400"/>
      <c r="NLR17" s="400"/>
      <c r="NLS17" s="400"/>
      <c r="NLT17" s="400"/>
      <c r="NLU17" s="400"/>
      <c r="NLV17" s="400"/>
      <c r="NLW17" s="400"/>
      <c r="NLX17" s="400"/>
      <c r="NLY17" s="400"/>
      <c r="NLZ17" s="400"/>
      <c r="NMA17" s="400"/>
      <c r="NMB17" s="400"/>
      <c r="NMC17" s="400"/>
      <c r="NMD17" s="400"/>
      <c r="NME17" s="400"/>
      <c r="NMF17" s="400"/>
      <c r="NMG17" s="400"/>
      <c r="NMH17" s="400"/>
      <c r="NMI17" s="400"/>
      <c r="NMJ17" s="400"/>
      <c r="NMK17" s="400"/>
      <c r="NML17" s="400"/>
      <c r="NMM17" s="400"/>
      <c r="NMN17" s="400"/>
      <c r="NMO17" s="400"/>
      <c r="NMP17" s="400"/>
      <c r="NMQ17" s="400"/>
      <c r="NMR17" s="400"/>
      <c r="NMS17" s="400"/>
      <c r="NMT17" s="400"/>
      <c r="NMU17" s="400"/>
      <c r="NMV17" s="400"/>
      <c r="NMW17" s="400"/>
      <c r="NMX17" s="400"/>
      <c r="NMY17" s="400"/>
      <c r="NMZ17" s="400"/>
      <c r="NNA17" s="400"/>
      <c r="NNB17" s="400"/>
      <c r="NNC17" s="400"/>
      <c r="NND17" s="400"/>
      <c r="NNE17" s="400"/>
      <c r="NNF17" s="400"/>
      <c r="NNG17" s="400"/>
      <c r="NNH17" s="400"/>
      <c r="NNI17" s="400"/>
      <c r="NNJ17" s="400"/>
      <c r="NNK17" s="400"/>
      <c r="NNL17" s="400"/>
      <c r="NNM17" s="400"/>
      <c r="NNN17" s="400"/>
      <c r="NNO17" s="400"/>
      <c r="NNP17" s="400"/>
      <c r="NNQ17" s="400"/>
      <c r="NNR17" s="400"/>
      <c r="NNS17" s="400"/>
      <c r="NNT17" s="400"/>
      <c r="NNU17" s="400"/>
      <c r="NNV17" s="400"/>
      <c r="NNW17" s="400"/>
      <c r="NNX17" s="400"/>
      <c r="NNY17" s="400"/>
      <c r="NNZ17" s="400"/>
      <c r="NOA17" s="400"/>
      <c r="NOB17" s="400"/>
      <c r="NOC17" s="400"/>
      <c r="NOD17" s="400"/>
      <c r="NOE17" s="400"/>
      <c r="NOF17" s="400"/>
      <c r="NOG17" s="400"/>
      <c r="NOH17" s="400"/>
      <c r="NOI17" s="400"/>
      <c r="NOJ17" s="400"/>
      <c r="NOK17" s="400"/>
      <c r="NOL17" s="400"/>
      <c r="NOM17" s="400"/>
      <c r="NON17" s="400"/>
      <c r="NOO17" s="400"/>
      <c r="NOP17" s="400"/>
      <c r="NOQ17" s="400"/>
      <c r="NOR17" s="400"/>
      <c r="NOS17" s="400"/>
      <c r="NOT17" s="400"/>
      <c r="NOU17" s="400"/>
      <c r="NOV17" s="400"/>
      <c r="NOW17" s="400"/>
      <c r="NOX17" s="400"/>
      <c r="NOY17" s="400"/>
      <c r="NOZ17" s="400"/>
      <c r="NPA17" s="400"/>
      <c r="NPB17" s="400"/>
      <c r="NPC17" s="400"/>
      <c r="NPD17" s="400"/>
      <c r="NPE17" s="400"/>
      <c r="NPF17" s="400"/>
      <c r="NPG17" s="400"/>
      <c r="NPH17" s="400"/>
      <c r="NPI17" s="400"/>
      <c r="NPJ17" s="400"/>
      <c r="NPK17" s="400"/>
      <c r="NPL17" s="400"/>
      <c r="NPM17" s="400"/>
      <c r="NPN17" s="400"/>
      <c r="NPO17" s="400"/>
      <c r="NPP17" s="400"/>
      <c r="NPQ17" s="400"/>
      <c r="NPR17" s="400"/>
      <c r="NPS17" s="400"/>
      <c r="NPT17" s="400"/>
      <c r="NPU17" s="400"/>
      <c r="NPV17" s="400"/>
      <c r="NPW17" s="400"/>
      <c r="NPX17" s="400"/>
      <c r="NPY17" s="400"/>
      <c r="NPZ17" s="400"/>
      <c r="NQA17" s="400"/>
      <c r="NQB17" s="400"/>
      <c r="NQC17" s="400"/>
      <c r="NQD17" s="400"/>
      <c r="NQE17" s="400"/>
      <c r="NQF17" s="400"/>
      <c r="NQG17" s="400"/>
      <c r="NQH17" s="400"/>
      <c r="NQI17" s="400"/>
      <c r="NQJ17" s="400"/>
      <c r="NQK17" s="400"/>
      <c r="NQL17" s="400"/>
      <c r="NQM17" s="400"/>
      <c r="NQN17" s="400"/>
      <c r="NQO17" s="400"/>
      <c r="NQP17" s="400"/>
      <c r="NQQ17" s="400"/>
      <c r="NQR17" s="400"/>
      <c r="NQS17" s="400"/>
      <c r="NQT17" s="400"/>
      <c r="NQU17" s="400"/>
      <c r="NQV17" s="400"/>
      <c r="NQW17" s="400"/>
      <c r="NQX17" s="400"/>
      <c r="NQY17" s="400"/>
      <c r="NQZ17" s="400"/>
      <c r="NRA17" s="400"/>
      <c r="NRB17" s="400"/>
      <c r="NRC17" s="400"/>
      <c r="NRD17" s="400"/>
      <c r="NRE17" s="400"/>
      <c r="NRF17" s="400"/>
      <c r="NRG17" s="400"/>
      <c r="NRH17" s="400"/>
      <c r="NRI17" s="400"/>
      <c r="NRJ17" s="400"/>
      <c r="NRK17" s="400"/>
      <c r="NRL17" s="400"/>
      <c r="NRM17" s="400"/>
      <c r="NRN17" s="400"/>
      <c r="NRO17" s="400"/>
      <c r="NRP17" s="400"/>
      <c r="NRQ17" s="400"/>
      <c r="NRR17" s="400"/>
      <c r="NRS17" s="400"/>
      <c r="NRT17" s="400"/>
      <c r="NRU17" s="400"/>
      <c r="NRV17" s="400"/>
      <c r="NRW17" s="400"/>
      <c r="NRX17" s="400"/>
      <c r="NRY17" s="400"/>
      <c r="NRZ17" s="400"/>
      <c r="NSA17" s="400"/>
      <c r="NSB17" s="400"/>
      <c r="NSC17" s="400"/>
      <c r="NSD17" s="400"/>
      <c r="NSE17" s="400"/>
      <c r="NSF17" s="400"/>
      <c r="NSG17" s="400"/>
      <c r="NSH17" s="400"/>
      <c r="NSI17" s="400"/>
      <c r="NSJ17" s="400"/>
      <c r="NSK17" s="400"/>
      <c r="NSL17" s="400"/>
      <c r="NSM17" s="400"/>
      <c r="NSN17" s="400"/>
      <c r="NSO17" s="400"/>
      <c r="NSP17" s="400"/>
      <c r="NSQ17" s="400"/>
      <c r="NSR17" s="400"/>
      <c r="NSS17" s="400"/>
      <c r="NST17" s="400"/>
      <c r="NSU17" s="400"/>
      <c r="NSV17" s="400"/>
      <c r="NSW17" s="400"/>
      <c r="NSX17" s="400"/>
      <c r="NSY17" s="400"/>
      <c r="NSZ17" s="400"/>
      <c r="NTA17" s="400"/>
      <c r="NTB17" s="400"/>
      <c r="NTC17" s="400"/>
      <c r="NTD17" s="400"/>
      <c r="NTE17" s="400"/>
      <c r="NTF17" s="400"/>
      <c r="NTG17" s="400"/>
      <c r="NTH17" s="400"/>
      <c r="NTI17" s="400"/>
      <c r="NTJ17" s="400"/>
      <c r="NTK17" s="400"/>
      <c r="NTL17" s="400"/>
      <c r="NTM17" s="400"/>
      <c r="NTN17" s="400"/>
      <c r="NTO17" s="400"/>
      <c r="NTP17" s="400"/>
      <c r="NTQ17" s="400"/>
      <c r="NTR17" s="400"/>
      <c r="NTS17" s="400"/>
      <c r="NTT17" s="400"/>
      <c r="NTU17" s="400"/>
      <c r="NTV17" s="400"/>
      <c r="NTW17" s="400"/>
      <c r="NTX17" s="400"/>
      <c r="NTY17" s="400"/>
      <c r="NTZ17" s="400"/>
      <c r="NUA17" s="400"/>
      <c r="NUB17" s="400"/>
      <c r="NUC17" s="400"/>
      <c r="NUD17" s="400"/>
      <c r="NUE17" s="400"/>
      <c r="NUF17" s="400"/>
      <c r="NUG17" s="400"/>
      <c r="NUH17" s="400"/>
      <c r="NUI17" s="400"/>
      <c r="NUJ17" s="400"/>
      <c r="NUK17" s="400"/>
      <c r="NUL17" s="400"/>
      <c r="NUM17" s="400"/>
      <c r="NUN17" s="400"/>
      <c r="NUO17" s="400"/>
      <c r="NUP17" s="400"/>
      <c r="NUQ17" s="400"/>
      <c r="NUR17" s="400"/>
      <c r="NUS17" s="400"/>
      <c r="NUT17" s="400"/>
      <c r="NUU17" s="400"/>
      <c r="NUV17" s="400"/>
      <c r="NUW17" s="400"/>
      <c r="NUX17" s="400"/>
      <c r="NUY17" s="400"/>
      <c r="NUZ17" s="400"/>
      <c r="NVA17" s="400"/>
      <c r="NVB17" s="400"/>
      <c r="NVC17" s="400"/>
      <c r="NVD17" s="400"/>
      <c r="NVE17" s="400"/>
      <c r="NVF17" s="400"/>
      <c r="NVG17" s="400"/>
      <c r="NVH17" s="400"/>
      <c r="NVI17" s="400"/>
      <c r="NVJ17" s="400"/>
      <c r="NVK17" s="400"/>
      <c r="NVL17" s="400"/>
      <c r="NVM17" s="400"/>
      <c r="NVN17" s="400"/>
      <c r="NVO17" s="400"/>
      <c r="NVP17" s="400"/>
      <c r="NVQ17" s="400"/>
      <c r="NVR17" s="400"/>
      <c r="NVS17" s="400"/>
      <c r="NVT17" s="400"/>
      <c r="NVU17" s="400"/>
      <c r="NVV17" s="400"/>
      <c r="NVW17" s="400"/>
      <c r="NVX17" s="400"/>
      <c r="NVY17" s="400"/>
      <c r="NVZ17" s="400"/>
      <c r="NWA17" s="400"/>
      <c r="NWB17" s="400"/>
      <c r="NWC17" s="400"/>
      <c r="NWD17" s="400"/>
      <c r="NWE17" s="400"/>
      <c r="NWF17" s="400"/>
      <c r="NWG17" s="400"/>
      <c r="NWH17" s="400"/>
      <c r="NWI17" s="400"/>
      <c r="NWJ17" s="400"/>
      <c r="NWK17" s="400"/>
      <c r="NWL17" s="400"/>
      <c r="NWM17" s="400"/>
      <c r="NWN17" s="400"/>
      <c r="NWO17" s="400"/>
      <c r="NWP17" s="400"/>
      <c r="NWQ17" s="400"/>
      <c r="NWR17" s="400"/>
      <c r="NWS17" s="400"/>
      <c r="NWT17" s="400"/>
      <c r="NWU17" s="400"/>
      <c r="NWV17" s="400"/>
      <c r="NWW17" s="400"/>
      <c r="NWX17" s="400"/>
      <c r="NWY17" s="400"/>
      <c r="NWZ17" s="400"/>
      <c r="NXA17" s="400"/>
      <c r="NXB17" s="400"/>
      <c r="NXC17" s="400"/>
      <c r="NXD17" s="400"/>
      <c r="NXE17" s="400"/>
      <c r="NXF17" s="400"/>
      <c r="NXG17" s="400"/>
      <c r="NXH17" s="400"/>
      <c r="NXI17" s="400"/>
      <c r="NXJ17" s="400"/>
      <c r="NXK17" s="400"/>
      <c r="NXL17" s="400"/>
      <c r="NXM17" s="400"/>
      <c r="NXN17" s="400"/>
      <c r="NXO17" s="400"/>
      <c r="NXP17" s="400"/>
      <c r="NXQ17" s="400"/>
      <c r="NXR17" s="400"/>
      <c r="NXS17" s="400"/>
      <c r="NXT17" s="400"/>
      <c r="NXU17" s="400"/>
      <c r="NXV17" s="400"/>
      <c r="NXW17" s="400"/>
      <c r="NXX17" s="400"/>
      <c r="NXY17" s="400"/>
      <c r="NXZ17" s="400"/>
      <c r="NYA17" s="400"/>
      <c r="NYB17" s="400"/>
      <c r="NYC17" s="400"/>
      <c r="NYD17" s="400"/>
      <c r="NYE17" s="400"/>
      <c r="NYF17" s="400"/>
      <c r="NYG17" s="400"/>
      <c r="NYH17" s="400"/>
      <c r="NYI17" s="400"/>
      <c r="NYJ17" s="400"/>
      <c r="NYK17" s="400"/>
      <c r="NYL17" s="400"/>
      <c r="NYM17" s="400"/>
      <c r="NYN17" s="400"/>
      <c r="NYO17" s="400"/>
      <c r="NYP17" s="400"/>
      <c r="NYQ17" s="400"/>
      <c r="NYR17" s="400"/>
      <c r="NYS17" s="400"/>
      <c r="NYT17" s="400"/>
      <c r="NYU17" s="400"/>
      <c r="NYV17" s="400"/>
      <c r="NYW17" s="400"/>
      <c r="NYX17" s="400"/>
      <c r="NYY17" s="400"/>
      <c r="NYZ17" s="400"/>
      <c r="NZA17" s="400"/>
      <c r="NZB17" s="400"/>
      <c r="NZC17" s="400"/>
      <c r="NZD17" s="400"/>
      <c r="NZE17" s="400"/>
      <c r="NZF17" s="400"/>
      <c r="NZG17" s="400"/>
      <c r="NZH17" s="400"/>
      <c r="NZI17" s="400"/>
      <c r="NZJ17" s="400"/>
      <c r="NZK17" s="400"/>
      <c r="NZL17" s="400"/>
      <c r="NZM17" s="400"/>
      <c r="NZN17" s="400"/>
      <c r="NZO17" s="400"/>
      <c r="NZP17" s="400"/>
      <c r="NZQ17" s="400"/>
      <c r="NZR17" s="400"/>
      <c r="NZS17" s="400"/>
      <c r="NZT17" s="400"/>
      <c r="NZU17" s="400"/>
      <c r="NZV17" s="400"/>
      <c r="NZW17" s="400"/>
      <c r="NZX17" s="400"/>
      <c r="NZY17" s="400"/>
      <c r="NZZ17" s="400"/>
      <c r="OAA17" s="400"/>
      <c r="OAB17" s="400"/>
      <c r="OAC17" s="400"/>
      <c r="OAD17" s="400"/>
      <c r="OAE17" s="400"/>
      <c r="OAF17" s="400"/>
      <c r="OAG17" s="400"/>
      <c r="OAH17" s="400"/>
      <c r="OAI17" s="400"/>
      <c r="OAJ17" s="400"/>
      <c r="OAK17" s="400"/>
      <c r="OAL17" s="400"/>
      <c r="OAM17" s="400"/>
      <c r="OAN17" s="400"/>
      <c r="OAO17" s="400"/>
      <c r="OAP17" s="400"/>
      <c r="OAQ17" s="400"/>
      <c r="OAR17" s="400"/>
      <c r="OAS17" s="400"/>
      <c r="OAT17" s="400"/>
      <c r="OAU17" s="400"/>
      <c r="OAV17" s="400"/>
      <c r="OAW17" s="400"/>
      <c r="OAX17" s="400"/>
      <c r="OAY17" s="400"/>
      <c r="OAZ17" s="400"/>
      <c r="OBA17" s="400"/>
      <c r="OBB17" s="400"/>
      <c r="OBC17" s="400"/>
      <c r="OBD17" s="400"/>
      <c r="OBE17" s="400"/>
      <c r="OBF17" s="400"/>
      <c r="OBG17" s="400"/>
      <c r="OBH17" s="400"/>
      <c r="OBI17" s="400"/>
      <c r="OBJ17" s="400"/>
      <c r="OBK17" s="400"/>
      <c r="OBL17" s="400"/>
      <c r="OBM17" s="400"/>
      <c r="OBN17" s="400"/>
      <c r="OBO17" s="400"/>
      <c r="OBP17" s="400"/>
      <c r="OBQ17" s="400"/>
      <c r="OBR17" s="400"/>
      <c r="OBS17" s="400"/>
      <c r="OBT17" s="400"/>
      <c r="OBU17" s="400"/>
      <c r="OBV17" s="400"/>
      <c r="OBW17" s="400"/>
      <c r="OBX17" s="400"/>
      <c r="OBY17" s="400"/>
      <c r="OBZ17" s="400"/>
      <c r="OCA17" s="400"/>
      <c r="OCB17" s="400"/>
      <c r="OCC17" s="400"/>
      <c r="OCD17" s="400"/>
      <c r="OCE17" s="400"/>
      <c r="OCF17" s="400"/>
      <c r="OCG17" s="400"/>
      <c r="OCH17" s="400"/>
      <c r="OCI17" s="400"/>
      <c r="OCJ17" s="400"/>
      <c r="OCK17" s="400"/>
      <c r="OCL17" s="400"/>
      <c r="OCM17" s="400"/>
      <c r="OCN17" s="400"/>
      <c r="OCO17" s="400"/>
      <c r="OCP17" s="400"/>
      <c r="OCQ17" s="400"/>
      <c r="OCR17" s="400"/>
      <c r="OCS17" s="400"/>
      <c r="OCT17" s="400"/>
      <c r="OCU17" s="400"/>
      <c r="OCV17" s="400"/>
      <c r="OCW17" s="400"/>
      <c r="OCX17" s="400"/>
      <c r="OCY17" s="400"/>
      <c r="OCZ17" s="400"/>
      <c r="ODA17" s="400"/>
      <c r="ODB17" s="400"/>
      <c r="ODC17" s="400"/>
      <c r="ODD17" s="400"/>
      <c r="ODE17" s="400"/>
      <c r="ODF17" s="400"/>
      <c r="ODG17" s="400"/>
      <c r="ODH17" s="400"/>
      <c r="ODI17" s="400"/>
      <c r="ODJ17" s="400"/>
      <c r="ODK17" s="400"/>
      <c r="ODL17" s="400"/>
      <c r="ODM17" s="400"/>
      <c r="ODN17" s="400"/>
      <c r="ODO17" s="400"/>
      <c r="ODP17" s="400"/>
      <c r="ODQ17" s="400"/>
      <c r="ODR17" s="400"/>
      <c r="ODS17" s="400"/>
      <c r="ODT17" s="400"/>
      <c r="ODU17" s="400"/>
      <c r="ODV17" s="400"/>
      <c r="ODW17" s="400"/>
      <c r="ODX17" s="400"/>
      <c r="ODY17" s="400"/>
      <c r="ODZ17" s="400"/>
      <c r="OEA17" s="400"/>
      <c r="OEB17" s="400"/>
      <c r="OEC17" s="400"/>
      <c r="OED17" s="400"/>
      <c r="OEE17" s="400"/>
      <c r="OEF17" s="400"/>
      <c r="OEG17" s="400"/>
      <c r="OEH17" s="400"/>
      <c r="OEI17" s="400"/>
      <c r="OEJ17" s="400"/>
      <c r="OEK17" s="400"/>
      <c r="OEL17" s="400"/>
      <c r="OEM17" s="400"/>
      <c r="OEN17" s="400"/>
      <c r="OEO17" s="400"/>
      <c r="OEP17" s="400"/>
      <c r="OEQ17" s="400"/>
      <c r="OER17" s="400"/>
      <c r="OES17" s="400"/>
      <c r="OET17" s="400"/>
      <c r="OEU17" s="400"/>
      <c r="OEV17" s="400"/>
      <c r="OEW17" s="400"/>
      <c r="OEX17" s="400"/>
      <c r="OEY17" s="400"/>
      <c r="OEZ17" s="400"/>
      <c r="OFA17" s="400"/>
      <c r="OFB17" s="400"/>
      <c r="OFC17" s="400"/>
      <c r="OFD17" s="400"/>
      <c r="OFE17" s="400"/>
      <c r="OFF17" s="400"/>
      <c r="OFG17" s="400"/>
      <c r="OFH17" s="400"/>
      <c r="OFI17" s="400"/>
      <c r="OFJ17" s="400"/>
      <c r="OFK17" s="400"/>
      <c r="OFL17" s="400"/>
      <c r="OFM17" s="400"/>
      <c r="OFN17" s="400"/>
      <c r="OFO17" s="400"/>
      <c r="OFP17" s="400"/>
      <c r="OFQ17" s="400"/>
      <c r="OFR17" s="400"/>
      <c r="OFS17" s="400"/>
      <c r="OFT17" s="400"/>
      <c r="OFU17" s="400"/>
      <c r="OFV17" s="400"/>
      <c r="OFW17" s="400"/>
      <c r="OFX17" s="400"/>
      <c r="OFY17" s="400"/>
      <c r="OFZ17" s="400"/>
      <c r="OGA17" s="400"/>
      <c r="OGB17" s="400"/>
      <c r="OGC17" s="400"/>
      <c r="OGD17" s="400"/>
      <c r="OGE17" s="400"/>
      <c r="OGF17" s="400"/>
      <c r="OGG17" s="400"/>
      <c r="OGH17" s="400"/>
      <c r="OGI17" s="400"/>
      <c r="OGJ17" s="400"/>
      <c r="OGK17" s="400"/>
      <c r="OGL17" s="400"/>
      <c r="OGM17" s="400"/>
      <c r="OGN17" s="400"/>
      <c r="OGO17" s="400"/>
      <c r="OGP17" s="400"/>
      <c r="OGQ17" s="400"/>
      <c r="OGR17" s="400"/>
      <c r="OGS17" s="400"/>
      <c r="OGT17" s="400"/>
      <c r="OGU17" s="400"/>
      <c r="OGV17" s="400"/>
      <c r="OGW17" s="400"/>
      <c r="OGX17" s="400"/>
      <c r="OGY17" s="400"/>
      <c r="OGZ17" s="400"/>
      <c r="OHA17" s="400"/>
      <c r="OHB17" s="400"/>
      <c r="OHC17" s="400"/>
      <c r="OHD17" s="400"/>
      <c r="OHE17" s="400"/>
      <c r="OHF17" s="400"/>
      <c r="OHG17" s="400"/>
      <c r="OHH17" s="400"/>
      <c r="OHI17" s="400"/>
      <c r="OHJ17" s="400"/>
      <c r="OHK17" s="400"/>
      <c r="OHL17" s="400"/>
      <c r="OHM17" s="400"/>
      <c r="OHN17" s="400"/>
      <c r="OHO17" s="400"/>
      <c r="OHP17" s="400"/>
      <c r="OHQ17" s="400"/>
      <c r="OHR17" s="400"/>
      <c r="OHS17" s="400"/>
      <c r="OHT17" s="400"/>
      <c r="OHU17" s="400"/>
      <c r="OHV17" s="400"/>
      <c r="OHW17" s="400"/>
      <c r="OHX17" s="400"/>
      <c r="OHY17" s="400"/>
      <c r="OHZ17" s="400"/>
      <c r="OIA17" s="400"/>
      <c r="OIB17" s="400"/>
      <c r="OIC17" s="400"/>
      <c r="OID17" s="400"/>
      <c r="OIE17" s="400"/>
      <c r="OIF17" s="400"/>
      <c r="OIG17" s="400"/>
      <c r="OIH17" s="400"/>
      <c r="OII17" s="400"/>
      <c r="OIJ17" s="400"/>
      <c r="OIK17" s="400"/>
      <c r="OIL17" s="400"/>
      <c r="OIM17" s="400"/>
      <c r="OIN17" s="400"/>
      <c r="OIO17" s="400"/>
      <c r="OIP17" s="400"/>
      <c r="OIQ17" s="400"/>
      <c r="OIR17" s="400"/>
      <c r="OIS17" s="400"/>
      <c r="OIT17" s="400"/>
      <c r="OIU17" s="400"/>
      <c r="OIV17" s="400"/>
      <c r="OIW17" s="400"/>
      <c r="OIX17" s="400"/>
      <c r="OIY17" s="400"/>
      <c r="OIZ17" s="400"/>
      <c r="OJA17" s="400"/>
      <c r="OJB17" s="400"/>
      <c r="OJC17" s="400"/>
      <c r="OJD17" s="400"/>
      <c r="OJE17" s="400"/>
      <c r="OJF17" s="400"/>
      <c r="OJG17" s="400"/>
      <c r="OJH17" s="400"/>
      <c r="OJI17" s="400"/>
      <c r="OJJ17" s="400"/>
      <c r="OJK17" s="400"/>
      <c r="OJL17" s="400"/>
      <c r="OJM17" s="400"/>
      <c r="OJN17" s="400"/>
      <c r="OJO17" s="400"/>
      <c r="OJP17" s="400"/>
      <c r="OJQ17" s="400"/>
      <c r="OJR17" s="400"/>
      <c r="OJS17" s="400"/>
      <c r="OJT17" s="400"/>
      <c r="OJU17" s="400"/>
      <c r="OJV17" s="400"/>
      <c r="OJW17" s="400"/>
      <c r="OJX17" s="400"/>
      <c r="OJY17" s="400"/>
      <c r="OJZ17" s="400"/>
      <c r="OKA17" s="400"/>
      <c r="OKB17" s="400"/>
      <c r="OKC17" s="400"/>
      <c r="OKD17" s="400"/>
      <c r="OKE17" s="400"/>
      <c r="OKF17" s="400"/>
      <c r="OKG17" s="400"/>
      <c r="OKH17" s="400"/>
      <c r="OKI17" s="400"/>
      <c r="OKJ17" s="400"/>
      <c r="OKK17" s="400"/>
      <c r="OKL17" s="400"/>
      <c r="OKM17" s="400"/>
      <c r="OKN17" s="400"/>
      <c r="OKO17" s="400"/>
      <c r="OKP17" s="400"/>
      <c r="OKQ17" s="400"/>
      <c r="OKR17" s="400"/>
      <c r="OKS17" s="400"/>
      <c r="OKT17" s="400"/>
      <c r="OKU17" s="400"/>
      <c r="OKV17" s="400"/>
      <c r="OKW17" s="400"/>
      <c r="OKX17" s="400"/>
      <c r="OKY17" s="400"/>
      <c r="OKZ17" s="400"/>
      <c r="OLA17" s="400"/>
      <c r="OLB17" s="400"/>
      <c r="OLC17" s="400"/>
      <c r="OLD17" s="400"/>
      <c r="OLE17" s="400"/>
      <c r="OLF17" s="400"/>
      <c r="OLG17" s="400"/>
      <c r="OLH17" s="400"/>
      <c r="OLI17" s="400"/>
      <c r="OLJ17" s="400"/>
      <c r="OLK17" s="400"/>
      <c r="OLL17" s="400"/>
      <c r="OLM17" s="400"/>
      <c r="OLN17" s="400"/>
      <c r="OLO17" s="400"/>
      <c r="OLP17" s="400"/>
      <c r="OLQ17" s="400"/>
      <c r="OLR17" s="400"/>
      <c r="OLS17" s="400"/>
      <c r="OLT17" s="400"/>
      <c r="OLU17" s="400"/>
      <c r="OLV17" s="400"/>
      <c r="OLW17" s="400"/>
      <c r="OLX17" s="400"/>
      <c r="OLY17" s="400"/>
      <c r="OLZ17" s="400"/>
      <c r="OMA17" s="400"/>
      <c r="OMB17" s="400"/>
      <c r="OMC17" s="400"/>
      <c r="OMD17" s="400"/>
      <c r="OME17" s="400"/>
      <c r="OMF17" s="400"/>
      <c r="OMG17" s="400"/>
      <c r="OMH17" s="400"/>
      <c r="OMI17" s="400"/>
      <c r="OMJ17" s="400"/>
      <c r="OMK17" s="400"/>
      <c r="OML17" s="400"/>
      <c r="OMM17" s="400"/>
      <c r="OMN17" s="400"/>
      <c r="OMO17" s="400"/>
      <c r="OMP17" s="400"/>
      <c r="OMQ17" s="400"/>
      <c r="OMR17" s="400"/>
      <c r="OMS17" s="400"/>
      <c r="OMT17" s="400"/>
      <c r="OMU17" s="400"/>
      <c r="OMV17" s="400"/>
      <c r="OMW17" s="400"/>
      <c r="OMX17" s="400"/>
      <c r="OMY17" s="400"/>
      <c r="OMZ17" s="400"/>
      <c r="ONA17" s="400"/>
      <c r="ONB17" s="400"/>
      <c r="ONC17" s="400"/>
      <c r="OND17" s="400"/>
      <c r="ONE17" s="400"/>
      <c r="ONF17" s="400"/>
      <c r="ONG17" s="400"/>
      <c r="ONH17" s="400"/>
      <c r="ONI17" s="400"/>
      <c r="ONJ17" s="400"/>
      <c r="ONK17" s="400"/>
      <c r="ONL17" s="400"/>
      <c r="ONM17" s="400"/>
      <c r="ONN17" s="400"/>
      <c r="ONO17" s="400"/>
      <c r="ONP17" s="400"/>
      <c r="ONQ17" s="400"/>
      <c r="ONR17" s="400"/>
      <c r="ONS17" s="400"/>
      <c r="ONT17" s="400"/>
      <c r="ONU17" s="400"/>
      <c r="ONV17" s="400"/>
      <c r="ONW17" s="400"/>
      <c r="ONX17" s="400"/>
      <c r="ONY17" s="400"/>
      <c r="ONZ17" s="400"/>
      <c r="OOA17" s="400"/>
      <c r="OOB17" s="400"/>
      <c r="OOC17" s="400"/>
      <c r="OOD17" s="400"/>
      <c r="OOE17" s="400"/>
      <c r="OOF17" s="400"/>
      <c r="OOG17" s="400"/>
      <c r="OOH17" s="400"/>
      <c r="OOI17" s="400"/>
      <c r="OOJ17" s="400"/>
      <c r="OOK17" s="400"/>
      <c r="OOL17" s="400"/>
      <c r="OOM17" s="400"/>
      <c r="OON17" s="400"/>
      <c r="OOO17" s="400"/>
      <c r="OOP17" s="400"/>
      <c r="OOQ17" s="400"/>
      <c r="OOR17" s="400"/>
      <c r="OOS17" s="400"/>
      <c r="OOT17" s="400"/>
      <c r="OOU17" s="400"/>
      <c r="OOV17" s="400"/>
      <c r="OOW17" s="400"/>
      <c r="OOX17" s="400"/>
      <c r="OOY17" s="400"/>
      <c r="OOZ17" s="400"/>
      <c r="OPA17" s="400"/>
      <c r="OPB17" s="400"/>
      <c r="OPC17" s="400"/>
      <c r="OPD17" s="400"/>
      <c r="OPE17" s="400"/>
      <c r="OPF17" s="400"/>
      <c r="OPG17" s="400"/>
      <c r="OPH17" s="400"/>
      <c r="OPI17" s="400"/>
      <c r="OPJ17" s="400"/>
      <c r="OPK17" s="400"/>
      <c r="OPL17" s="400"/>
      <c r="OPM17" s="400"/>
      <c r="OPN17" s="400"/>
      <c r="OPO17" s="400"/>
      <c r="OPP17" s="400"/>
      <c r="OPQ17" s="400"/>
      <c r="OPR17" s="400"/>
      <c r="OPS17" s="400"/>
      <c r="OPT17" s="400"/>
      <c r="OPU17" s="400"/>
      <c r="OPV17" s="400"/>
      <c r="OPW17" s="400"/>
      <c r="OPX17" s="400"/>
      <c r="OPY17" s="400"/>
      <c r="OPZ17" s="400"/>
      <c r="OQA17" s="400"/>
      <c r="OQB17" s="400"/>
      <c r="OQC17" s="400"/>
      <c r="OQD17" s="400"/>
      <c r="OQE17" s="400"/>
      <c r="OQF17" s="400"/>
      <c r="OQG17" s="400"/>
      <c r="OQH17" s="400"/>
      <c r="OQI17" s="400"/>
      <c r="OQJ17" s="400"/>
      <c r="OQK17" s="400"/>
      <c r="OQL17" s="400"/>
      <c r="OQM17" s="400"/>
      <c r="OQN17" s="400"/>
      <c r="OQO17" s="400"/>
      <c r="OQP17" s="400"/>
      <c r="OQQ17" s="400"/>
      <c r="OQR17" s="400"/>
      <c r="OQS17" s="400"/>
      <c r="OQT17" s="400"/>
      <c r="OQU17" s="400"/>
      <c r="OQV17" s="400"/>
      <c r="OQW17" s="400"/>
      <c r="OQX17" s="400"/>
      <c r="OQY17" s="400"/>
      <c r="OQZ17" s="400"/>
      <c r="ORA17" s="400"/>
      <c r="ORB17" s="400"/>
      <c r="ORC17" s="400"/>
      <c r="ORD17" s="400"/>
      <c r="ORE17" s="400"/>
      <c r="ORF17" s="400"/>
      <c r="ORG17" s="400"/>
      <c r="ORH17" s="400"/>
      <c r="ORI17" s="400"/>
      <c r="ORJ17" s="400"/>
      <c r="ORK17" s="400"/>
      <c r="ORL17" s="400"/>
      <c r="ORM17" s="400"/>
      <c r="ORN17" s="400"/>
      <c r="ORO17" s="400"/>
      <c r="ORP17" s="400"/>
      <c r="ORQ17" s="400"/>
      <c r="ORR17" s="400"/>
      <c r="ORS17" s="400"/>
      <c r="ORT17" s="400"/>
      <c r="ORU17" s="400"/>
      <c r="ORV17" s="400"/>
      <c r="ORW17" s="400"/>
      <c r="ORX17" s="400"/>
      <c r="ORY17" s="400"/>
      <c r="ORZ17" s="400"/>
      <c r="OSA17" s="400"/>
      <c r="OSB17" s="400"/>
      <c r="OSC17" s="400"/>
      <c r="OSD17" s="400"/>
      <c r="OSE17" s="400"/>
      <c r="OSF17" s="400"/>
      <c r="OSG17" s="400"/>
      <c r="OSH17" s="400"/>
      <c r="OSI17" s="400"/>
      <c r="OSJ17" s="400"/>
      <c r="OSK17" s="400"/>
      <c r="OSL17" s="400"/>
      <c r="OSM17" s="400"/>
      <c r="OSN17" s="400"/>
      <c r="OSO17" s="400"/>
      <c r="OSP17" s="400"/>
      <c r="OSQ17" s="400"/>
      <c r="OSR17" s="400"/>
      <c r="OSS17" s="400"/>
      <c r="OST17" s="400"/>
      <c r="OSU17" s="400"/>
      <c r="OSV17" s="400"/>
      <c r="OSW17" s="400"/>
      <c r="OSX17" s="400"/>
      <c r="OSY17" s="400"/>
      <c r="OSZ17" s="400"/>
      <c r="OTA17" s="400"/>
      <c r="OTB17" s="400"/>
      <c r="OTC17" s="400"/>
      <c r="OTD17" s="400"/>
      <c r="OTE17" s="400"/>
      <c r="OTF17" s="400"/>
      <c r="OTG17" s="400"/>
      <c r="OTH17" s="400"/>
      <c r="OTI17" s="400"/>
      <c r="OTJ17" s="400"/>
      <c r="OTK17" s="400"/>
      <c r="OTL17" s="400"/>
      <c r="OTM17" s="400"/>
      <c r="OTN17" s="400"/>
      <c r="OTO17" s="400"/>
      <c r="OTP17" s="400"/>
      <c r="OTQ17" s="400"/>
      <c r="OTR17" s="400"/>
      <c r="OTS17" s="400"/>
      <c r="OTT17" s="400"/>
      <c r="OTU17" s="400"/>
      <c r="OTV17" s="400"/>
      <c r="OTW17" s="400"/>
      <c r="OTX17" s="400"/>
      <c r="OTY17" s="400"/>
      <c r="OTZ17" s="400"/>
      <c r="OUA17" s="400"/>
      <c r="OUB17" s="400"/>
      <c r="OUC17" s="400"/>
      <c r="OUD17" s="400"/>
      <c r="OUE17" s="400"/>
      <c r="OUF17" s="400"/>
      <c r="OUG17" s="400"/>
      <c r="OUH17" s="400"/>
      <c r="OUI17" s="400"/>
      <c r="OUJ17" s="400"/>
      <c r="OUK17" s="400"/>
      <c r="OUL17" s="400"/>
      <c r="OUM17" s="400"/>
      <c r="OUN17" s="400"/>
      <c r="OUO17" s="400"/>
      <c r="OUP17" s="400"/>
      <c r="OUQ17" s="400"/>
      <c r="OUR17" s="400"/>
      <c r="OUS17" s="400"/>
      <c r="OUT17" s="400"/>
      <c r="OUU17" s="400"/>
      <c r="OUV17" s="400"/>
      <c r="OUW17" s="400"/>
      <c r="OUX17" s="400"/>
      <c r="OUY17" s="400"/>
      <c r="OUZ17" s="400"/>
      <c r="OVA17" s="400"/>
      <c r="OVB17" s="400"/>
      <c r="OVC17" s="400"/>
      <c r="OVD17" s="400"/>
      <c r="OVE17" s="400"/>
      <c r="OVF17" s="400"/>
      <c r="OVG17" s="400"/>
      <c r="OVH17" s="400"/>
      <c r="OVI17" s="400"/>
      <c r="OVJ17" s="400"/>
      <c r="OVK17" s="400"/>
      <c r="OVL17" s="400"/>
      <c r="OVM17" s="400"/>
      <c r="OVN17" s="400"/>
      <c r="OVO17" s="400"/>
      <c r="OVP17" s="400"/>
      <c r="OVQ17" s="400"/>
      <c r="OVR17" s="400"/>
      <c r="OVS17" s="400"/>
      <c r="OVT17" s="400"/>
      <c r="OVU17" s="400"/>
      <c r="OVV17" s="400"/>
      <c r="OVW17" s="400"/>
      <c r="OVX17" s="400"/>
      <c r="OVY17" s="400"/>
      <c r="OVZ17" s="400"/>
      <c r="OWA17" s="400"/>
      <c r="OWB17" s="400"/>
      <c r="OWC17" s="400"/>
      <c r="OWD17" s="400"/>
      <c r="OWE17" s="400"/>
      <c r="OWF17" s="400"/>
      <c r="OWG17" s="400"/>
      <c r="OWH17" s="400"/>
      <c r="OWI17" s="400"/>
      <c r="OWJ17" s="400"/>
      <c r="OWK17" s="400"/>
      <c r="OWL17" s="400"/>
      <c r="OWM17" s="400"/>
      <c r="OWN17" s="400"/>
      <c r="OWO17" s="400"/>
      <c r="OWP17" s="400"/>
      <c r="OWQ17" s="400"/>
      <c r="OWR17" s="400"/>
      <c r="OWS17" s="400"/>
      <c r="OWT17" s="400"/>
      <c r="OWU17" s="400"/>
      <c r="OWV17" s="400"/>
      <c r="OWW17" s="400"/>
      <c r="OWX17" s="400"/>
      <c r="OWY17" s="400"/>
      <c r="OWZ17" s="400"/>
      <c r="OXA17" s="400"/>
      <c r="OXB17" s="400"/>
      <c r="OXC17" s="400"/>
      <c r="OXD17" s="400"/>
      <c r="OXE17" s="400"/>
      <c r="OXF17" s="400"/>
      <c r="OXG17" s="400"/>
      <c r="OXH17" s="400"/>
      <c r="OXI17" s="400"/>
      <c r="OXJ17" s="400"/>
      <c r="OXK17" s="400"/>
      <c r="OXL17" s="400"/>
      <c r="OXM17" s="400"/>
      <c r="OXN17" s="400"/>
      <c r="OXO17" s="400"/>
      <c r="OXP17" s="400"/>
      <c r="OXQ17" s="400"/>
      <c r="OXR17" s="400"/>
      <c r="OXS17" s="400"/>
      <c r="OXT17" s="400"/>
      <c r="OXU17" s="400"/>
      <c r="OXV17" s="400"/>
      <c r="OXW17" s="400"/>
      <c r="OXX17" s="400"/>
      <c r="OXY17" s="400"/>
      <c r="OXZ17" s="400"/>
      <c r="OYA17" s="400"/>
      <c r="OYB17" s="400"/>
      <c r="OYC17" s="400"/>
      <c r="OYD17" s="400"/>
      <c r="OYE17" s="400"/>
      <c r="OYF17" s="400"/>
      <c r="OYG17" s="400"/>
      <c r="OYH17" s="400"/>
      <c r="OYI17" s="400"/>
      <c r="OYJ17" s="400"/>
      <c r="OYK17" s="400"/>
      <c r="OYL17" s="400"/>
      <c r="OYM17" s="400"/>
      <c r="OYN17" s="400"/>
      <c r="OYO17" s="400"/>
      <c r="OYP17" s="400"/>
      <c r="OYQ17" s="400"/>
      <c r="OYR17" s="400"/>
      <c r="OYS17" s="400"/>
      <c r="OYT17" s="400"/>
      <c r="OYU17" s="400"/>
      <c r="OYV17" s="400"/>
      <c r="OYW17" s="400"/>
      <c r="OYX17" s="400"/>
      <c r="OYY17" s="400"/>
      <c r="OYZ17" s="400"/>
      <c r="OZA17" s="400"/>
      <c r="OZB17" s="400"/>
      <c r="OZC17" s="400"/>
      <c r="OZD17" s="400"/>
      <c r="OZE17" s="400"/>
      <c r="OZF17" s="400"/>
      <c r="OZG17" s="400"/>
      <c r="OZH17" s="400"/>
      <c r="OZI17" s="400"/>
      <c r="OZJ17" s="400"/>
      <c r="OZK17" s="400"/>
      <c r="OZL17" s="400"/>
      <c r="OZM17" s="400"/>
      <c r="OZN17" s="400"/>
      <c r="OZO17" s="400"/>
      <c r="OZP17" s="400"/>
      <c r="OZQ17" s="400"/>
      <c r="OZR17" s="400"/>
      <c r="OZS17" s="400"/>
      <c r="OZT17" s="400"/>
      <c r="OZU17" s="400"/>
      <c r="OZV17" s="400"/>
      <c r="OZW17" s="400"/>
      <c r="OZX17" s="400"/>
      <c r="OZY17" s="400"/>
      <c r="OZZ17" s="400"/>
      <c r="PAA17" s="400"/>
      <c r="PAB17" s="400"/>
      <c r="PAC17" s="400"/>
      <c r="PAD17" s="400"/>
      <c r="PAE17" s="400"/>
      <c r="PAF17" s="400"/>
      <c r="PAG17" s="400"/>
      <c r="PAH17" s="400"/>
      <c r="PAI17" s="400"/>
      <c r="PAJ17" s="400"/>
      <c r="PAK17" s="400"/>
      <c r="PAL17" s="400"/>
      <c r="PAM17" s="400"/>
      <c r="PAN17" s="400"/>
      <c r="PAO17" s="400"/>
      <c r="PAP17" s="400"/>
      <c r="PAQ17" s="400"/>
      <c r="PAR17" s="400"/>
      <c r="PAS17" s="400"/>
      <c r="PAT17" s="400"/>
      <c r="PAU17" s="400"/>
      <c r="PAV17" s="400"/>
      <c r="PAW17" s="400"/>
      <c r="PAX17" s="400"/>
      <c r="PAY17" s="400"/>
      <c r="PAZ17" s="400"/>
      <c r="PBA17" s="400"/>
      <c r="PBB17" s="400"/>
      <c r="PBC17" s="400"/>
      <c r="PBD17" s="400"/>
      <c r="PBE17" s="400"/>
      <c r="PBF17" s="400"/>
      <c r="PBG17" s="400"/>
      <c r="PBH17" s="400"/>
      <c r="PBI17" s="400"/>
      <c r="PBJ17" s="400"/>
      <c r="PBK17" s="400"/>
      <c r="PBL17" s="400"/>
      <c r="PBM17" s="400"/>
      <c r="PBN17" s="400"/>
      <c r="PBO17" s="400"/>
      <c r="PBP17" s="400"/>
      <c r="PBQ17" s="400"/>
      <c r="PBR17" s="400"/>
      <c r="PBS17" s="400"/>
      <c r="PBT17" s="400"/>
      <c r="PBU17" s="400"/>
      <c r="PBV17" s="400"/>
      <c r="PBW17" s="400"/>
      <c r="PBX17" s="400"/>
      <c r="PBY17" s="400"/>
      <c r="PBZ17" s="400"/>
      <c r="PCA17" s="400"/>
      <c r="PCB17" s="400"/>
      <c r="PCC17" s="400"/>
      <c r="PCD17" s="400"/>
      <c r="PCE17" s="400"/>
      <c r="PCF17" s="400"/>
      <c r="PCG17" s="400"/>
      <c r="PCH17" s="400"/>
      <c r="PCI17" s="400"/>
      <c r="PCJ17" s="400"/>
      <c r="PCK17" s="400"/>
      <c r="PCL17" s="400"/>
      <c r="PCM17" s="400"/>
      <c r="PCN17" s="400"/>
      <c r="PCO17" s="400"/>
      <c r="PCP17" s="400"/>
      <c r="PCQ17" s="400"/>
      <c r="PCR17" s="400"/>
      <c r="PCS17" s="400"/>
      <c r="PCT17" s="400"/>
      <c r="PCU17" s="400"/>
      <c r="PCV17" s="400"/>
      <c r="PCW17" s="400"/>
      <c r="PCX17" s="400"/>
      <c r="PCY17" s="400"/>
      <c r="PCZ17" s="400"/>
      <c r="PDA17" s="400"/>
      <c r="PDB17" s="400"/>
      <c r="PDC17" s="400"/>
      <c r="PDD17" s="400"/>
      <c r="PDE17" s="400"/>
      <c r="PDF17" s="400"/>
      <c r="PDG17" s="400"/>
      <c r="PDH17" s="400"/>
      <c r="PDI17" s="400"/>
      <c r="PDJ17" s="400"/>
      <c r="PDK17" s="400"/>
      <c r="PDL17" s="400"/>
      <c r="PDM17" s="400"/>
      <c r="PDN17" s="400"/>
      <c r="PDO17" s="400"/>
      <c r="PDP17" s="400"/>
      <c r="PDQ17" s="400"/>
      <c r="PDR17" s="400"/>
      <c r="PDS17" s="400"/>
      <c r="PDT17" s="400"/>
      <c r="PDU17" s="400"/>
      <c r="PDV17" s="400"/>
      <c r="PDW17" s="400"/>
      <c r="PDX17" s="400"/>
      <c r="PDY17" s="400"/>
      <c r="PDZ17" s="400"/>
      <c r="PEA17" s="400"/>
      <c r="PEB17" s="400"/>
      <c r="PEC17" s="400"/>
      <c r="PED17" s="400"/>
      <c r="PEE17" s="400"/>
      <c r="PEF17" s="400"/>
      <c r="PEG17" s="400"/>
      <c r="PEH17" s="400"/>
      <c r="PEI17" s="400"/>
      <c r="PEJ17" s="400"/>
      <c r="PEK17" s="400"/>
      <c r="PEL17" s="400"/>
      <c r="PEM17" s="400"/>
      <c r="PEN17" s="400"/>
      <c r="PEO17" s="400"/>
      <c r="PEP17" s="400"/>
      <c r="PEQ17" s="400"/>
      <c r="PER17" s="400"/>
      <c r="PES17" s="400"/>
      <c r="PET17" s="400"/>
      <c r="PEU17" s="400"/>
      <c r="PEV17" s="400"/>
      <c r="PEW17" s="400"/>
      <c r="PEX17" s="400"/>
      <c r="PEY17" s="400"/>
      <c r="PEZ17" s="400"/>
      <c r="PFA17" s="400"/>
      <c r="PFB17" s="400"/>
      <c r="PFC17" s="400"/>
      <c r="PFD17" s="400"/>
      <c r="PFE17" s="400"/>
      <c r="PFF17" s="400"/>
      <c r="PFG17" s="400"/>
      <c r="PFH17" s="400"/>
      <c r="PFI17" s="400"/>
      <c r="PFJ17" s="400"/>
      <c r="PFK17" s="400"/>
      <c r="PFL17" s="400"/>
      <c r="PFM17" s="400"/>
      <c r="PFN17" s="400"/>
      <c r="PFO17" s="400"/>
      <c r="PFP17" s="400"/>
      <c r="PFQ17" s="400"/>
      <c r="PFR17" s="400"/>
      <c r="PFS17" s="400"/>
      <c r="PFT17" s="400"/>
      <c r="PFU17" s="400"/>
      <c r="PFV17" s="400"/>
      <c r="PFW17" s="400"/>
      <c r="PFX17" s="400"/>
      <c r="PFY17" s="400"/>
      <c r="PFZ17" s="400"/>
      <c r="PGA17" s="400"/>
      <c r="PGB17" s="400"/>
      <c r="PGC17" s="400"/>
      <c r="PGD17" s="400"/>
      <c r="PGE17" s="400"/>
      <c r="PGF17" s="400"/>
      <c r="PGG17" s="400"/>
      <c r="PGH17" s="400"/>
      <c r="PGI17" s="400"/>
      <c r="PGJ17" s="400"/>
      <c r="PGK17" s="400"/>
      <c r="PGL17" s="400"/>
      <c r="PGM17" s="400"/>
      <c r="PGN17" s="400"/>
      <c r="PGO17" s="400"/>
      <c r="PGP17" s="400"/>
      <c r="PGQ17" s="400"/>
      <c r="PGR17" s="400"/>
      <c r="PGS17" s="400"/>
      <c r="PGT17" s="400"/>
      <c r="PGU17" s="400"/>
      <c r="PGV17" s="400"/>
      <c r="PGW17" s="400"/>
      <c r="PGX17" s="400"/>
      <c r="PGY17" s="400"/>
      <c r="PGZ17" s="400"/>
      <c r="PHA17" s="400"/>
      <c r="PHB17" s="400"/>
      <c r="PHC17" s="400"/>
      <c r="PHD17" s="400"/>
      <c r="PHE17" s="400"/>
      <c r="PHF17" s="400"/>
      <c r="PHG17" s="400"/>
      <c r="PHH17" s="400"/>
      <c r="PHI17" s="400"/>
      <c r="PHJ17" s="400"/>
      <c r="PHK17" s="400"/>
      <c r="PHL17" s="400"/>
      <c r="PHM17" s="400"/>
      <c r="PHN17" s="400"/>
      <c r="PHO17" s="400"/>
      <c r="PHP17" s="400"/>
      <c r="PHQ17" s="400"/>
      <c r="PHR17" s="400"/>
      <c r="PHS17" s="400"/>
      <c r="PHT17" s="400"/>
      <c r="PHU17" s="400"/>
      <c r="PHV17" s="400"/>
      <c r="PHW17" s="400"/>
      <c r="PHX17" s="400"/>
      <c r="PHY17" s="400"/>
      <c r="PHZ17" s="400"/>
      <c r="PIA17" s="400"/>
      <c r="PIB17" s="400"/>
      <c r="PIC17" s="400"/>
      <c r="PID17" s="400"/>
      <c r="PIE17" s="400"/>
      <c r="PIF17" s="400"/>
      <c r="PIG17" s="400"/>
      <c r="PIH17" s="400"/>
      <c r="PII17" s="400"/>
      <c r="PIJ17" s="400"/>
      <c r="PIK17" s="400"/>
      <c r="PIL17" s="400"/>
      <c r="PIM17" s="400"/>
      <c r="PIN17" s="400"/>
      <c r="PIO17" s="400"/>
      <c r="PIP17" s="400"/>
      <c r="PIQ17" s="400"/>
      <c r="PIR17" s="400"/>
      <c r="PIS17" s="400"/>
      <c r="PIT17" s="400"/>
      <c r="PIU17" s="400"/>
      <c r="PIV17" s="400"/>
      <c r="PIW17" s="400"/>
      <c r="PIX17" s="400"/>
      <c r="PIY17" s="400"/>
      <c r="PIZ17" s="400"/>
      <c r="PJA17" s="400"/>
      <c r="PJB17" s="400"/>
      <c r="PJC17" s="400"/>
      <c r="PJD17" s="400"/>
      <c r="PJE17" s="400"/>
      <c r="PJF17" s="400"/>
      <c r="PJG17" s="400"/>
      <c r="PJH17" s="400"/>
      <c r="PJI17" s="400"/>
      <c r="PJJ17" s="400"/>
      <c r="PJK17" s="400"/>
      <c r="PJL17" s="400"/>
      <c r="PJM17" s="400"/>
      <c r="PJN17" s="400"/>
      <c r="PJO17" s="400"/>
      <c r="PJP17" s="400"/>
      <c r="PJQ17" s="400"/>
      <c r="PJR17" s="400"/>
      <c r="PJS17" s="400"/>
      <c r="PJT17" s="400"/>
      <c r="PJU17" s="400"/>
      <c r="PJV17" s="400"/>
      <c r="PJW17" s="400"/>
      <c r="PJX17" s="400"/>
      <c r="PJY17" s="400"/>
      <c r="PJZ17" s="400"/>
      <c r="PKA17" s="400"/>
      <c r="PKB17" s="400"/>
      <c r="PKC17" s="400"/>
      <c r="PKD17" s="400"/>
      <c r="PKE17" s="400"/>
      <c r="PKF17" s="400"/>
      <c r="PKG17" s="400"/>
      <c r="PKH17" s="400"/>
      <c r="PKI17" s="400"/>
      <c r="PKJ17" s="400"/>
      <c r="PKK17" s="400"/>
      <c r="PKL17" s="400"/>
      <c r="PKM17" s="400"/>
      <c r="PKN17" s="400"/>
      <c r="PKO17" s="400"/>
      <c r="PKP17" s="400"/>
      <c r="PKQ17" s="400"/>
      <c r="PKR17" s="400"/>
      <c r="PKS17" s="400"/>
      <c r="PKT17" s="400"/>
      <c r="PKU17" s="400"/>
      <c r="PKV17" s="400"/>
      <c r="PKW17" s="400"/>
      <c r="PKX17" s="400"/>
      <c r="PKY17" s="400"/>
      <c r="PKZ17" s="400"/>
      <c r="PLA17" s="400"/>
      <c r="PLB17" s="400"/>
      <c r="PLC17" s="400"/>
      <c r="PLD17" s="400"/>
      <c r="PLE17" s="400"/>
      <c r="PLF17" s="400"/>
      <c r="PLG17" s="400"/>
      <c r="PLH17" s="400"/>
      <c r="PLI17" s="400"/>
      <c r="PLJ17" s="400"/>
      <c r="PLK17" s="400"/>
      <c r="PLL17" s="400"/>
      <c r="PLM17" s="400"/>
      <c r="PLN17" s="400"/>
      <c r="PLO17" s="400"/>
      <c r="PLP17" s="400"/>
      <c r="PLQ17" s="400"/>
      <c r="PLR17" s="400"/>
      <c r="PLS17" s="400"/>
      <c r="PLT17" s="400"/>
      <c r="PLU17" s="400"/>
      <c r="PLV17" s="400"/>
      <c r="PLW17" s="400"/>
      <c r="PLX17" s="400"/>
      <c r="PLY17" s="400"/>
      <c r="PLZ17" s="400"/>
      <c r="PMA17" s="400"/>
      <c r="PMB17" s="400"/>
      <c r="PMC17" s="400"/>
      <c r="PMD17" s="400"/>
      <c r="PME17" s="400"/>
      <c r="PMF17" s="400"/>
      <c r="PMG17" s="400"/>
      <c r="PMH17" s="400"/>
      <c r="PMI17" s="400"/>
      <c r="PMJ17" s="400"/>
      <c r="PMK17" s="400"/>
      <c r="PML17" s="400"/>
      <c r="PMM17" s="400"/>
      <c r="PMN17" s="400"/>
      <c r="PMO17" s="400"/>
      <c r="PMP17" s="400"/>
      <c r="PMQ17" s="400"/>
      <c r="PMR17" s="400"/>
      <c r="PMS17" s="400"/>
      <c r="PMT17" s="400"/>
      <c r="PMU17" s="400"/>
      <c r="PMV17" s="400"/>
      <c r="PMW17" s="400"/>
      <c r="PMX17" s="400"/>
      <c r="PMY17" s="400"/>
      <c r="PMZ17" s="400"/>
      <c r="PNA17" s="400"/>
      <c r="PNB17" s="400"/>
      <c r="PNC17" s="400"/>
      <c r="PND17" s="400"/>
      <c r="PNE17" s="400"/>
      <c r="PNF17" s="400"/>
      <c r="PNG17" s="400"/>
      <c r="PNH17" s="400"/>
      <c r="PNI17" s="400"/>
      <c r="PNJ17" s="400"/>
      <c r="PNK17" s="400"/>
      <c r="PNL17" s="400"/>
      <c r="PNM17" s="400"/>
      <c r="PNN17" s="400"/>
      <c r="PNO17" s="400"/>
      <c r="PNP17" s="400"/>
      <c r="PNQ17" s="400"/>
      <c r="PNR17" s="400"/>
      <c r="PNS17" s="400"/>
      <c r="PNT17" s="400"/>
      <c r="PNU17" s="400"/>
      <c r="PNV17" s="400"/>
      <c r="PNW17" s="400"/>
      <c r="PNX17" s="400"/>
      <c r="PNY17" s="400"/>
      <c r="PNZ17" s="400"/>
      <c r="POA17" s="400"/>
      <c r="POB17" s="400"/>
      <c r="POC17" s="400"/>
      <c r="POD17" s="400"/>
      <c r="POE17" s="400"/>
      <c r="POF17" s="400"/>
      <c r="POG17" s="400"/>
      <c r="POH17" s="400"/>
      <c r="POI17" s="400"/>
      <c r="POJ17" s="400"/>
      <c r="POK17" s="400"/>
      <c r="POL17" s="400"/>
      <c r="POM17" s="400"/>
      <c r="PON17" s="400"/>
      <c r="POO17" s="400"/>
      <c r="POP17" s="400"/>
      <c r="POQ17" s="400"/>
      <c r="POR17" s="400"/>
      <c r="POS17" s="400"/>
      <c r="POT17" s="400"/>
      <c r="POU17" s="400"/>
      <c r="POV17" s="400"/>
      <c r="POW17" s="400"/>
      <c r="POX17" s="400"/>
      <c r="POY17" s="400"/>
      <c r="POZ17" s="400"/>
      <c r="PPA17" s="400"/>
      <c r="PPB17" s="400"/>
      <c r="PPC17" s="400"/>
      <c r="PPD17" s="400"/>
      <c r="PPE17" s="400"/>
      <c r="PPF17" s="400"/>
      <c r="PPG17" s="400"/>
      <c r="PPH17" s="400"/>
      <c r="PPI17" s="400"/>
      <c r="PPJ17" s="400"/>
      <c r="PPK17" s="400"/>
      <c r="PPL17" s="400"/>
      <c r="PPM17" s="400"/>
      <c r="PPN17" s="400"/>
      <c r="PPO17" s="400"/>
      <c r="PPP17" s="400"/>
      <c r="PPQ17" s="400"/>
      <c r="PPR17" s="400"/>
      <c r="PPS17" s="400"/>
      <c r="PPT17" s="400"/>
      <c r="PPU17" s="400"/>
      <c r="PPV17" s="400"/>
      <c r="PPW17" s="400"/>
      <c r="PPX17" s="400"/>
      <c r="PPY17" s="400"/>
      <c r="PPZ17" s="400"/>
      <c r="PQA17" s="400"/>
      <c r="PQB17" s="400"/>
      <c r="PQC17" s="400"/>
      <c r="PQD17" s="400"/>
      <c r="PQE17" s="400"/>
      <c r="PQF17" s="400"/>
      <c r="PQG17" s="400"/>
      <c r="PQH17" s="400"/>
      <c r="PQI17" s="400"/>
      <c r="PQJ17" s="400"/>
      <c r="PQK17" s="400"/>
      <c r="PQL17" s="400"/>
      <c r="PQM17" s="400"/>
      <c r="PQN17" s="400"/>
      <c r="PQO17" s="400"/>
      <c r="PQP17" s="400"/>
      <c r="PQQ17" s="400"/>
      <c r="PQR17" s="400"/>
      <c r="PQS17" s="400"/>
      <c r="PQT17" s="400"/>
      <c r="PQU17" s="400"/>
      <c r="PQV17" s="400"/>
      <c r="PQW17" s="400"/>
      <c r="PQX17" s="400"/>
      <c r="PQY17" s="400"/>
      <c r="PQZ17" s="400"/>
      <c r="PRA17" s="400"/>
      <c r="PRB17" s="400"/>
      <c r="PRC17" s="400"/>
      <c r="PRD17" s="400"/>
      <c r="PRE17" s="400"/>
      <c r="PRF17" s="400"/>
      <c r="PRG17" s="400"/>
      <c r="PRH17" s="400"/>
      <c r="PRI17" s="400"/>
      <c r="PRJ17" s="400"/>
      <c r="PRK17" s="400"/>
      <c r="PRL17" s="400"/>
      <c r="PRM17" s="400"/>
      <c r="PRN17" s="400"/>
      <c r="PRO17" s="400"/>
      <c r="PRP17" s="400"/>
      <c r="PRQ17" s="400"/>
      <c r="PRR17" s="400"/>
      <c r="PRS17" s="400"/>
      <c r="PRT17" s="400"/>
      <c r="PRU17" s="400"/>
      <c r="PRV17" s="400"/>
      <c r="PRW17" s="400"/>
      <c r="PRX17" s="400"/>
      <c r="PRY17" s="400"/>
      <c r="PRZ17" s="400"/>
      <c r="PSA17" s="400"/>
      <c r="PSB17" s="400"/>
      <c r="PSC17" s="400"/>
      <c r="PSD17" s="400"/>
      <c r="PSE17" s="400"/>
      <c r="PSF17" s="400"/>
      <c r="PSG17" s="400"/>
      <c r="PSH17" s="400"/>
      <c r="PSI17" s="400"/>
      <c r="PSJ17" s="400"/>
      <c r="PSK17" s="400"/>
      <c r="PSL17" s="400"/>
      <c r="PSM17" s="400"/>
      <c r="PSN17" s="400"/>
      <c r="PSO17" s="400"/>
      <c r="PSP17" s="400"/>
      <c r="PSQ17" s="400"/>
      <c r="PSR17" s="400"/>
      <c r="PSS17" s="400"/>
      <c r="PST17" s="400"/>
      <c r="PSU17" s="400"/>
      <c r="PSV17" s="400"/>
      <c r="PSW17" s="400"/>
      <c r="PSX17" s="400"/>
      <c r="PSY17" s="400"/>
      <c r="PSZ17" s="400"/>
      <c r="PTA17" s="400"/>
      <c r="PTB17" s="400"/>
      <c r="PTC17" s="400"/>
      <c r="PTD17" s="400"/>
      <c r="PTE17" s="400"/>
      <c r="PTF17" s="400"/>
      <c r="PTG17" s="400"/>
      <c r="PTH17" s="400"/>
      <c r="PTI17" s="400"/>
      <c r="PTJ17" s="400"/>
      <c r="PTK17" s="400"/>
      <c r="PTL17" s="400"/>
      <c r="PTM17" s="400"/>
      <c r="PTN17" s="400"/>
      <c r="PTO17" s="400"/>
      <c r="PTP17" s="400"/>
      <c r="PTQ17" s="400"/>
      <c r="PTR17" s="400"/>
      <c r="PTS17" s="400"/>
      <c r="PTT17" s="400"/>
      <c r="PTU17" s="400"/>
      <c r="PTV17" s="400"/>
      <c r="PTW17" s="400"/>
      <c r="PTX17" s="400"/>
      <c r="PTY17" s="400"/>
      <c r="PTZ17" s="400"/>
      <c r="PUA17" s="400"/>
      <c r="PUB17" s="400"/>
      <c r="PUC17" s="400"/>
      <c r="PUD17" s="400"/>
      <c r="PUE17" s="400"/>
      <c r="PUF17" s="400"/>
      <c r="PUG17" s="400"/>
      <c r="PUH17" s="400"/>
      <c r="PUI17" s="400"/>
      <c r="PUJ17" s="400"/>
      <c r="PUK17" s="400"/>
      <c r="PUL17" s="400"/>
      <c r="PUM17" s="400"/>
      <c r="PUN17" s="400"/>
      <c r="PUO17" s="400"/>
      <c r="PUP17" s="400"/>
      <c r="PUQ17" s="400"/>
      <c r="PUR17" s="400"/>
      <c r="PUS17" s="400"/>
      <c r="PUT17" s="400"/>
      <c r="PUU17" s="400"/>
      <c r="PUV17" s="400"/>
      <c r="PUW17" s="400"/>
      <c r="PUX17" s="400"/>
      <c r="PUY17" s="400"/>
      <c r="PUZ17" s="400"/>
      <c r="PVA17" s="400"/>
      <c r="PVB17" s="400"/>
      <c r="PVC17" s="400"/>
      <c r="PVD17" s="400"/>
      <c r="PVE17" s="400"/>
      <c r="PVF17" s="400"/>
      <c r="PVG17" s="400"/>
      <c r="PVH17" s="400"/>
      <c r="PVI17" s="400"/>
      <c r="PVJ17" s="400"/>
      <c r="PVK17" s="400"/>
      <c r="PVL17" s="400"/>
      <c r="PVM17" s="400"/>
      <c r="PVN17" s="400"/>
      <c r="PVO17" s="400"/>
      <c r="PVP17" s="400"/>
      <c r="PVQ17" s="400"/>
      <c r="PVR17" s="400"/>
      <c r="PVS17" s="400"/>
      <c r="PVT17" s="400"/>
      <c r="PVU17" s="400"/>
      <c r="PVV17" s="400"/>
      <c r="PVW17" s="400"/>
      <c r="PVX17" s="400"/>
      <c r="PVY17" s="400"/>
      <c r="PVZ17" s="400"/>
      <c r="PWA17" s="400"/>
      <c r="PWB17" s="400"/>
      <c r="PWC17" s="400"/>
      <c r="PWD17" s="400"/>
      <c r="PWE17" s="400"/>
      <c r="PWF17" s="400"/>
      <c r="PWG17" s="400"/>
      <c r="PWH17" s="400"/>
      <c r="PWI17" s="400"/>
      <c r="PWJ17" s="400"/>
      <c r="PWK17" s="400"/>
      <c r="PWL17" s="400"/>
      <c r="PWM17" s="400"/>
      <c r="PWN17" s="400"/>
      <c r="PWO17" s="400"/>
      <c r="PWP17" s="400"/>
      <c r="PWQ17" s="400"/>
      <c r="PWR17" s="400"/>
      <c r="PWS17" s="400"/>
      <c r="PWT17" s="400"/>
      <c r="PWU17" s="400"/>
      <c r="PWV17" s="400"/>
      <c r="PWW17" s="400"/>
      <c r="PWX17" s="400"/>
      <c r="PWY17" s="400"/>
      <c r="PWZ17" s="400"/>
      <c r="PXA17" s="400"/>
      <c r="PXB17" s="400"/>
      <c r="PXC17" s="400"/>
      <c r="PXD17" s="400"/>
      <c r="PXE17" s="400"/>
      <c r="PXF17" s="400"/>
      <c r="PXG17" s="400"/>
      <c r="PXH17" s="400"/>
      <c r="PXI17" s="400"/>
      <c r="PXJ17" s="400"/>
      <c r="PXK17" s="400"/>
      <c r="PXL17" s="400"/>
      <c r="PXM17" s="400"/>
      <c r="PXN17" s="400"/>
      <c r="PXO17" s="400"/>
      <c r="PXP17" s="400"/>
      <c r="PXQ17" s="400"/>
      <c r="PXR17" s="400"/>
      <c r="PXS17" s="400"/>
      <c r="PXT17" s="400"/>
      <c r="PXU17" s="400"/>
      <c r="PXV17" s="400"/>
      <c r="PXW17" s="400"/>
      <c r="PXX17" s="400"/>
      <c r="PXY17" s="400"/>
      <c r="PXZ17" s="400"/>
      <c r="PYA17" s="400"/>
      <c r="PYB17" s="400"/>
      <c r="PYC17" s="400"/>
      <c r="PYD17" s="400"/>
      <c r="PYE17" s="400"/>
      <c r="PYF17" s="400"/>
      <c r="PYG17" s="400"/>
      <c r="PYH17" s="400"/>
      <c r="PYI17" s="400"/>
      <c r="PYJ17" s="400"/>
      <c r="PYK17" s="400"/>
      <c r="PYL17" s="400"/>
      <c r="PYM17" s="400"/>
      <c r="PYN17" s="400"/>
      <c r="PYO17" s="400"/>
      <c r="PYP17" s="400"/>
      <c r="PYQ17" s="400"/>
      <c r="PYR17" s="400"/>
      <c r="PYS17" s="400"/>
      <c r="PYT17" s="400"/>
      <c r="PYU17" s="400"/>
      <c r="PYV17" s="400"/>
      <c r="PYW17" s="400"/>
      <c r="PYX17" s="400"/>
      <c r="PYY17" s="400"/>
      <c r="PYZ17" s="400"/>
      <c r="PZA17" s="400"/>
      <c r="PZB17" s="400"/>
      <c r="PZC17" s="400"/>
      <c r="PZD17" s="400"/>
      <c r="PZE17" s="400"/>
      <c r="PZF17" s="400"/>
      <c r="PZG17" s="400"/>
      <c r="PZH17" s="400"/>
      <c r="PZI17" s="400"/>
      <c r="PZJ17" s="400"/>
      <c r="PZK17" s="400"/>
      <c r="PZL17" s="400"/>
      <c r="PZM17" s="400"/>
      <c r="PZN17" s="400"/>
      <c r="PZO17" s="400"/>
      <c r="PZP17" s="400"/>
      <c r="PZQ17" s="400"/>
      <c r="PZR17" s="400"/>
      <c r="PZS17" s="400"/>
      <c r="PZT17" s="400"/>
      <c r="PZU17" s="400"/>
      <c r="PZV17" s="400"/>
      <c r="PZW17" s="400"/>
      <c r="PZX17" s="400"/>
      <c r="PZY17" s="400"/>
      <c r="PZZ17" s="400"/>
      <c r="QAA17" s="400"/>
      <c r="QAB17" s="400"/>
      <c r="QAC17" s="400"/>
      <c r="QAD17" s="400"/>
      <c r="QAE17" s="400"/>
      <c r="QAF17" s="400"/>
      <c r="QAG17" s="400"/>
      <c r="QAH17" s="400"/>
      <c r="QAI17" s="400"/>
      <c r="QAJ17" s="400"/>
      <c r="QAK17" s="400"/>
      <c r="QAL17" s="400"/>
      <c r="QAM17" s="400"/>
      <c r="QAN17" s="400"/>
      <c r="QAO17" s="400"/>
      <c r="QAP17" s="400"/>
      <c r="QAQ17" s="400"/>
      <c r="QAR17" s="400"/>
      <c r="QAS17" s="400"/>
      <c r="QAT17" s="400"/>
      <c r="QAU17" s="400"/>
      <c r="QAV17" s="400"/>
      <c r="QAW17" s="400"/>
      <c r="QAX17" s="400"/>
      <c r="QAY17" s="400"/>
      <c r="QAZ17" s="400"/>
      <c r="QBA17" s="400"/>
      <c r="QBB17" s="400"/>
      <c r="QBC17" s="400"/>
      <c r="QBD17" s="400"/>
      <c r="QBE17" s="400"/>
      <c r="QBF17" s="400"/>
      <c r="QBG17" s="400"/>
      <c r="QBH17" s="400"/>
      <c r="QBI17" s="400"/>
      <c r="QBJ17" s="400"/>
      <c r="QBK17" s="400"/>
      <c r="QBL17" s="400"/>
      <c r="QBM17" s="400"/>
      <c r="QBN17" s="400"/>
      <c r="QBO17" s="400"/>
      <c r="QBP17" s="400"/>
      <c r="QBQ17" s="400"/>
      <c r="QBR17" s="400"/>
      <c r="QBS17" s="400"/>
      <c r="QBT17" s="400"/>
      <c r="QBU17" s="400"/>
      <c r="QBV17" s="400"/>
      <c r="QBW17" s="400"/>
      <c r="QBX17" s="400"/>
      <c r="QBY17" s="400"/>
      <c r="QBZ17" s="400"/>
      <c r="QCA17" s="400"/>
      <c r="QCB17" s="400"/>
      <c r="QCC17" s="400"/>
      <c r="QCD17" s="400"/>
      <c r="QCE17" s="400"/>
      <c r="QCF17" s="400"/>
      <c r="QCG17" s="400"/>
      <c r="QCH17" s="400"/>
      <c r="QCI17" s="400"/>
      <c r="QCJ17" s="400"/>
      <c r="QCK17" s="400"/>
      <c r="QCL17" s="400"/>
      <c r="QCM17" s="400"/>
      <c r="QCN17" s="400"/>
      <c r="QCO17" s="400"/>
      <c r="QCP17" s="400"/>
      <c r="QCQ17" s="400"/>
      <c r="QCR17" s="400"/>
      <c r="QCS17" s="400"/>
      <c r="QCT17" s="400"/>
      <c r="QCU17" s="400"/>
      <c r="QCV17" s="400"/>
      <c r="QCW17" s="400"/>
      <c r="QCX17" s="400"/>
      <c r="QCY17" s="400"/>
      <c r="QCZ17" s="400"/>
      <c r="QDA17" s="400"/>
      <c r="QDB17" s="400"/>
      <c r="QDC17" s="400"/>
      <c r="QDD17" s="400"/>
      <c r="QDE17" s="400"/>
      <c r="QDF17" s="400"/>
      <c r="QDG17" s="400"/>
      <c r="QDH17" s="400"/>
      <c r="QDI17" s="400"/>
      <c r="QDJ17" s="400"/>
      <c r="QDK17" s="400"/>
      <c r="QDL17" s="400"/>
      <c r="QDM17" s="400"/>
      <c r="QDN17" s="400"/>
      <c r="QDO17" s="400"/>
      <c r="QDP17" s="400"/>
      <c r="QDQ17" s="400"/>
      <c r="QDR17" s="400"/>
      <c r="QDS17" s="400"/>
      <c r="QDT17" s="400"/>
      <c r="QDU17" s="400"/>
      <c r="QDV17" s="400"/>
      <c r="QDW17" s="400"/>
      <c r="QDX17" s="400"/>
      <c r="QDY17" s="400"/>
      <c r="QDZ17" s="400"/>
      <c r="QEA17" s="400"/>
      <c r="QEB17" s="400"/>
      <c r="QEC17" s="400"/>
      <c r="QED17" s="400"/>
      <c r="QEE17" s="400"/>
      <c r="QEF17" s="400"/>
      <c r="QEG17" s="400"/>
      <c r="QEH17" s="400"/>
      <c r="QEI17" s="400"/>
      <c r="QEJ17" s="400"/>
      <c r="QEK17" s="400"/>
      <c r="QEL17" s="400"/>
      <c r="QEM17" s="400"/>
      <c r="QEN17" s="400"/>
      <c r="QEO17" s="400"/>
      <c r="QEP17" s="400"/>
      <c r="QEQ17" s="400"/>
      <c r="QER17" s="400"/>
      <c r="QES17" s="400"/>
      <c r="QET17" s="400"/>
      <c r="QEU17" s="400"/>
      <c r="QEV17" s="400"/>
      <c r="QEW17" s="400"/>
      <c r="QEX17" s="400"/>
      <c r="QEY17" s="400"/>
      <c r="QEZ17" s="400"/>
      <c r="QFA17" s="400"/>
      <c r="QFB17" s="400"/>
      <c r="QFC17" s="400"/>
      <c r="QFD17" s="400"/>
      <c r="QFE17" s="400"/>
      <c r="QFF17" s="400"/>
      <c r="QFG17" s="400"/>
      <c r="QFH17" s="400"/>
      <c r="QFI17" s="400"/>
      <c r="QFJ17" s="400"/>
      <c r="QFK17" s="400"/>
      <c r="QFL17" s="400"/>
      <c r="QFM17" s="400"/>
      <c r="QFN17" s="400"/>
      <c r="QFO17" s="400"/>
      <c r="QFP17" s="400"/>
      <c r="QFQ17" s="400"/>
      <c r="QFR17" s="400"/>
      <c r="QFS17" s="400"/>
      <c r="QFT17" s="400"/>
      <c r="QFU17" s="400"/>
      <c r="QFV17" s="400"/>
      <c r="QFW17" s="400"/>
      <c r="QFX17" s="400"/>
      <c r="QFY17" s="400"/>
      <c r="QFZ17" s="400"/>
      <c r="QGA17" s="400"/>
      <c r="QGB17" s="400"/>
      <c r="QGC17" s="400"/>
      <c r="QGD17" s="400"/>
      <c r="QGE17" s="400"/>
      <c r="QGF17" s="400"/>
      <c r="QGG17" s="400"/>
      <c r="QGH17" s="400"/>
      <c r="QGI17" s="400"/>
      <c r="QGJ17" s="400"/>
      <c r="QGK17" s="400"/>
      <c r="QGL17" s="400"/>
      <c r="QGM17" s="400"/>
      <c r="QGN17" s="400"/>
      <c r="QGO17" s="400"/>
      <c r="QGP17" s="400"/>
      <c r="QGQ17" s="400"/>
      <c r="QGR17" s="400"/>
      <c r="QGS17" s="400"/>
      <c r="QGT17" s="400"/>
      <c r="QGU17" s="400"/>
      <c r="QGV17" s="400"/>
      <c r="QGW17" s="400"/>
      <c r="QGX17" s="400"/>
      <c r="QGY17" s="400"/>
      <c r="QGZ17" s="400"/>
      <c r="QHA17" s="400"/>
      <c r="QHB17" s="400"/>
      <c r="QHC17" s="400"/>
      <c r="QHD17" s="400"/>
      <c r="QHE17" s="400"/>
      <c r="QHF17" s="400"/>
      <c r="QHG17" s="400"/>
      <c r="QHH17" s="400"/>
      <c r="QHI17" s="400"/>
      <c r="QHJ17" s="400"/>
      <c r="QHK17" s="400"/>
      <c r="QHL17" s="400"/>
      <c r="QHM17" s="400"/>
      <c r="QHN17" s="400"/>
      <c r="QHO17" s="400"/>
      <c r="QHP17" s="400"/>
      <c r="QHQ17" s="400"/>
      <c r="QHR17" s="400"/>
      <c r="QHS17" s="400"/>
      <c r="QHT17" s="400"/>
      <c r="QHU17" s="400"/>
      <c r="QHV17" s="400"/>
      <c r="QHW17" s="400"/>
      <c r="QHX17" s="400"/>
      <c r="QHY17" s="400"/>
      <c r="QHZ17" s="400"/>
      <c r="QIA17" s="400"/>
      <c r="QIB17" s="400"/>
      <c r="QIC17" s="400"/>
      <c r="QID17" s="400"/>
      <c r="QIE17" s="400"/>
      <c r="QIF17" s="400"/>
      <c r="QIG17" s="400"/>
      <c r="QIH17" s="400"/>
      <c r="QII17" s="400"/>
      <c r="QIJ17" s="400"/>
      <c r="QIK17" s="400"/>
      <c r="QIL17" s="400"/>
      <c r="QIM17" s="400"/>
      <c r="QIN17" s="400"/>
      <c r="QIO17" s="400"/>
      <c r="QIP17" s="400"/>
      <c r="QIQ17" s="400"/>
      <c r="QIR17" s="400"/>
      <c r="QIS17" s="400"/>
      <c r="QIT17" s="400"/>
      <c r="QIU17" s="400"/>
      <c r="QIV17" s="400"/>
      <c r="QIW17" s="400"/>
      <c r="QIX17" s="400"/>
      <c r="QIY17" s="400"/>
      <c r="QIZ17" s="400"/>
      <c r="QJA17" s="400"/>
      <c r="QJB17" s="400"/>
      <c r="QJC17" s="400"/>
      <c r="QJD17" s="400"/>
      <c r="QJE17" s="400"/>
      <c r="QJF17" s="400"/>
      <c r="QJG17" s="400"/>
      <c r="QJH17" s="400"/>
      <c r="QJI17" s="400"/>
      <c r="QJJ17" s="400"/>
      <c r="QJK17" s="400"/>
      <c r="QJL17" s="400"/>
      <c r="QJM17" s="400"/>
      <c r="QJN17" s="400"/>
      <c r="QJO17" s="400"/>
      <c r="QJP17" s="400"/>
      <c r="QJQ17" s="400"/>
      <c r="QJR17" s="400"/>
      <c r="QJS17" s="400"/>
      <c r="QJT17" s="400"/>
      <c r="QJU17" s="400"/>
      <c r="QJV17" s="400"/>
      <c r="QJW17" s="400"/>
      <c r="QJX17" s="400"/>
      <c r="QJY17" s="400"/>
      <c r="QJZ17" s="400"/>
      <c r="QKA17" s="400"/>
      <c r="QKB17" s="400"/>
      <c r="QKC17" s="400"/>
      <c r="QKD17" s="400"/>
      <c r="QKE17" s="400"/>
      <c r="QKF17" s="400"/>
      <c r="QKG17" s="400"/>
      <c r="QKH17" s="400"/>
      <c r="QKI17" s="400"/>
      <c r="QKJ17" s="400"/>
      <c r="QKK17" s="400"/>
      <c r="QKL17" s="400"/>
      <c r="QKM17" s="400"/>
      <c r="QKN17" s="400"/>
      <c r="QKO17" s="400"/>
      <c r="QKP17" s="400"/>
      <c r="QKQ17" s="400"/>
      <c r="QKR17" s="400"/>
      <c r="QKS17" s="400"/>
      <c r="QKT17" s="400"/>
      <c r="QKU17" s="400"/>
      <c r="QKV17" s="400"/>
      <c r="QKW17" s="400"/>
      <c r="QKX17" s="400"/>
      <c r="QKY17" s="400"/>
      <c r="QKZ17" s="400"/>
      <c r="QLA17" s="400"/>
      <c r="QLB17" s="400"/>
      <c r="QLC17" s="400"/>
      <c r="QLD17" s="400"/>
      <c r="QLE17" s="400"/>
      <c r="QLF17" s="400"/>
      <c r="QLG17" s="400"/>
      <c r="QLH17" s="400"/>
      <c r="QLI17" s="400"/>
      <c r="QLJ17" s="400"/>
      <c r="QLK17" s="400"/>
      <c r="QLL17" s="400"/>
      <c r="QLM17" s="400"/>
      <c r="QLN17" s="400"/>
      <c r="QLO17" s="400"/>
      <c r="QLP17" s="400"/>
      <c r="QLQ17" s="400"/>
      <c r="QLR17" s="400"/>
      <c r="QLS17" s="400"/>
      <c r="QLT17" s="400"/>
      <c r="QLU17" s="400"/>
      <c r="QLV17" s="400"/>
      <c r="QLW17" s="400"/>
      <c r="QLX17" s="400"/>
      <c r="QLY17" s="400"/>
      <c r="QLZ17" s="400"/>
      <c r="QMA17" s="400"/>
      <c r="QMB17" s="400"/>
      <c r="QMC17" s="400"/>
      <c r="QMD17" s="400"/>
      <c r="QME17" s="400"/>
      <c r="QMF17" s="400"/>
      <c r="QMG17" s="400"/>
      <c r="QMH17" s="400"/>
      <c r="QMI17" s="400"/>
      <c r="QMJ17" s="400"/>
      <c r="QMK17" s="400"/>
      <c r="QML17" s="400"/>
      <c r="QMM17" s="400"/>
      <c r="QMN17" s="400"/>
      <c r="QMO17" s="400"/>
      <c r="QMP17" s="400"/>
      <c r="QMQ17" s="400"/>
      <c r="QMR17" s="400"/>
      <c r="QMS17" s="400"/>
      <c r="QMT17" s="400"/>
      <c r="QMU17" s="400"/>
      <c r="QMV17" s="400"/>
      <c r="QMW17" s="400"/>
      <c r="QMX17" s="400"/>
      <c r="QMY17" s="400"/>
      <c r="QMZ17" s="400"/>
      <c r="QNA17" s="400"/>
      <c r="QNB17" s="400"/>
      <c r="QNC17" s="400"/>
      <c r="QND17" s="400"/>
      <c r="QNE17" s="400"/>
      <c r="QNF17" s="400"/>
      <c r="QNG17" s="400"/>
      <c r="QNH17" s="400"/>
      <c r="QNI17" s="400"/>
      <c r="QNJ17" s="400"/>
      <c r="QNK17" s="400"/>
      <c r="QNL17" s="400"/>
      <c r="QNM17" s="400"/>
      <c r="QNN17" s="400"/>
      <c r="QNO17" s="400"/>
      <c r="QNP17" s="400"/>
      <c r="QNQ17" s="400"/>
      <c r="QNR17" s="400"/>
      <c r="QNS17" s="400"/>
      <c r="QNT17" s="400"/>
      <c r="QNU17" s="400"/>
      <c r="QNV17" s="400"/>
      <c r="QNW17" s="400"/>
      <c r="QNX17" s="400"/>
      <c r="QNY17" s="400"/>
      <c r="QNZ17" s="400"/>
      <c r="QOA17" s="400"/>
      <c r="QOB17" s="400"/>
      <c r="QOC17" s="400"/>
      <c r="QOD17" s="400"/>
      <c r="QOE17" s="400"/>
      <c r="QOF17" s="400"/>
      <c r="QOG17" s="400"/>
      <c r="QOH17" s="400"/>
      <c r="QOI17" s="400"/>
      <c r="QOJ17" s="400"/>
      <c r="QOK17" s="400"/>
      <c r="QOL17" s="400"/>
      <c r="QOM17" s="400"/>
      <c r="QON17" s="400"/>
      <c r="QOO17" s="400"/>
      <c r="QOP17" s="400"/>
      <c r="QOQ17" s="400"/>
      <c r="QOR17" s="400"/>
      <c r="QOS17" s="400"/>
      <c r="QOT17" s="400"/>
      <c r="QOU17" s="400"/>
      <c r="QOV17" s="400"/>
      <c r="QOW17" s="400"/>
      <c r="QOX17" s="400"/>
      <c r="QOY17" s="400"/>
      <c r="QOZ17" s="400"/>
      <c r="QPA17" s="400"/>
      <c r="QPB17" s="400"/>
      <c r="QPC17" s="400"/>
      <c r="QPD17" s="400"/>
      <c r="QPE17" s="400"/>
      <c r="QPF17" s="400"/>
      <c r="QPG17" s="400"/>
      <c r="QPH17" s="400"/>
      <c r="QPI17" s="400"/>
      <c r="QPJ17" s="400"/>
      <c r="QPK17" s="400"/>
      <c r="QPL17" s="400"/>
      <c r="QPM17" s="400"/>
      <c r="QPN17" s="400"/>
      <c r="QPO17" s="400"/>
      <c r="QPP17" s="400"/>
      <c r="QPQ17" s="400"/>
      <c r="QPR17" s="400"/>
      <c r="QPS17" s="400"/>
      <c r="QPT17" s="400"/>
      <c r="QPU17" s="400"/>
      <c r="QPV17" s="400"/>
      <c r="QPW17" s="400"/>
      <c r="QPX17" s="400"/>
      <c r="QPY17" s="400"/>
      <c r="QPZ17" s="400"/>
      <c r="QQA17" s="400"/>
      <c r="QQB17" s="400"/>
      <c r="QQC17" s="400"/>
      <c r="QQD17" s="400"/>
      <c r="QQE17" s="400"/>
      <c r="QQF17" s="400"/>
      <c r="QQG17" s="400"/>
      <c r="QQH17" s="400"/>
      <c r="QQI17" s="400"/>
      <c r="QQJ17" s="400"/>
      <c r="QQK17" s="400"/>
      <c r="QQL17" s="400"/>
      <c r="QQM17" s="400"/>
      <c r="QQN17" s="400"/>
      <c r="QQO17" s="400"/>
      <c r="QQP17" s="400"/>
      <c r="QQQ17" s="400"/>
      <c r="QQR17" s="400"/>
      <c r="QQS17" s="400"/>
      <c r="QQT17" s="400"/>
      <c r="QQU17" s="400"/>
      <c r="QQV17" s="400"/>
      <c r="QQW17" s="400"/>
      <c r="QQX17" s="400"/>
      <c r="QQY17" s="400"/>
      <c r="QQZ17" s="400"/>
      <c r="QRA17" s="400"/>
      <c r="QRB17" s="400"/>
      <c r="QRC17" s="400"/>
      <c r="QRD17" s="400"/>
      <c r="QRE17" s="400"/>
      <c r="QRF17" s="400"/>
      <c r="QRG17" s="400"/>
      <c r="QRH17" s="400"/>
      <c r="QRI17" s="400"/>
      <c r="QRJ17" s="400"/>
      <c r="QRK17" s="400"/>
      <c r="QRL17" s="400"/>
      <c r="QRM17" s="400"/>
      <c r="QRN17" s="400"/>
      <c r="QRO17" s="400"/>
      <c r="QRP17" s="400"/>
      <c r="QRQ17" s="400"/>
      <c r="QRR17" s="400"/>
      <c r="QRS17" s="400"/>
      <c r="QRT17" s="400"/>
      <c r="QRU17" s="400"/>
      <c r="QRV17" s="400"/>
      <c r="QRW17" s="400"/>
      <c r="QRX17" s="400"/>
      <c r="QRY17" s="400"/>
      <c r="QRZ17" s="400"/>
      <c r="QSA17" s="400"/>
      <c r="QSB17" s="400"/>
      <c r="QSC17" s="400"/>
      <c r="QSD17" s="400"/>
      <c r="QSE17" s="400"/>
      <c r="QSF17" s="400"/>
      <c r="QSG17" s="400"/>
      <c r="QSH17" s="400"/>
      <c r="QSI17" s="400"/>
      <c r="QSJ17" s="400"/>
      <c r="QSK17" s="400"/>
      <c r="QSL17" s="400"/>
      <c r="QSM17" s="400"/>
      <c r="QSN17" s="400"/>
      <c r="QSO17" s="400"/>
      <c r="QSP17" s="400"/>
      <c r="QSQ17" s="400"/>
      <c r="QSR17" s="400"/>
      <c r="QSS17" s="400"/>
      <c r="QST17" s="400"/>
      <c r="QSU17" s="400"/>
      <c r="QSV17" s="400"/>
      <c r="QSW17" s="400"/>
      <c r="QSX17" s="400"/>
      <c r="QSY17" s="400"/>
      <c r="QSZ17" s="400"/>
      <c r="QTA17" s="400"/>
      <c r="QTB17" s="400"/>
      <c r="QTC17" s="400"/>
      <c r="QTD17" s="400"/>
      <c r="QTE17" s="400"/>
      <c r="QTF17" s="400"/>
      <c r="QTG17" s="400"/>
      <c r="QTH17" s="400"/>
      <c r="QTI17" s="400"/>
      <c r="QTJ17" s="400"/>
      <c r="QTK17" s="400"/>
      <c r="QTL17" s="400"/>
      <c r="QTM17" s="400"/>
      <c r="QTN17" s="400"/>
      <c r="QTO17" s="400"/>
      <c r="QTP17" s="400"/>
      <c r="QTQ17" s="400"/>
      <c r="QTR17" s="400"/>
      <c r="QTS17" s="400"/>
      <c r="QTT17" s="400"/>
      <c r="QTU17" s="400"/>
      <c r="QTV17" s="400"/>
      <c r="QTW17" s="400"/>
      <c r="QTX17" s="400"/>
      <c r="QTY17" s="400"/>
      <c r="QTZ17" s="400"/>
      <c r="QUA17" s="400"/>
      <c r="QUB17" s="400"/>
      <c r="QUC17" s="400"/>
      <c r="QUD17" s="400"/>
      <c r="QUE17" s="400"/>
      <c r="QUF17" s="400"/>
      <c r="QUG17" s="400"/>
      <c r="QUH17" s="400"/>
      <c r="QUI17" s="400"/>
      <c r="QUJ17" s="400"/>
      <c r="QUK17" s="400"/>
      <c r="QUL17" s="400"/>
      <c r="QUM17" s="400"/>
      <c r="QUN17" s="400"/>
      <c r="QUO17" s="400"/>
      <c r="QUP17" s="400"/>
      <c r="QUQ17" s="400"/>
      <c r="QUR17" s="400"/>
      <c r="QUS17" s="400"/>
      <c r="QUT17" s="400"/>
      <c r="QUU17" s="400"/>
      <c r="QUV17" s="400"/>
      <c r="QUW17" s="400"/>
      <c r="QUX17" s="400"/>
      <c r="QUY17" s="400"/>
      <c r="QUZ17" s="400"/>
      <c r="QVA17" s="400"/>
      <c r="QVB17" s="400"/>
      <c r="QVC17" s="400"/>
      <c r="QVD17" s="400"/>
      <c r="QVE17" s="400"/>
      <c r="QVF17" s="400"/>
      <c r="QVG17" s="400"/>
      <c r="QVH17" s="400"/>
      <c r="QVI17" s="400"/>
      <c r="QVJ17" s="400"/>
      <c r="QVK17" s="400"/>
      <c r="QVL17" s="400"/>
      <c r="QVM17" s="400"/>
      <c r="QVN17" s="400"/>
      <c r="QVO17" s="400"/>
      <c r="QVP17" s="400"/>
      <c r="QVQ17" s="400"/>
      <c r="QVR17" s="400"/>
      <c r="QVS17" s="400"/>
      <c r="QVT17" s="400"/>
      <c r="QVU17" s="400"/>
      <c r="QVV17" s="400"/>
      <c r="QVW17" s="400"/>
      <c r="QVX17" s="400"/>
      <c r="QVY17" s="400"/>
      <c r="QVZ17" s="400"/>
      <c r="QWA17" s="400"/>
      <c r="QWB17" s="400"/>
      <c r="QWC17" s="400"/>
      <c r="QWD17" s="400"/>
      <c r="QWE17" s="400"/>
      <c r="QWF17" s="400"/>
      <c r="QWG17" s="400"/>
      <c r="QWH17" s="400"/>
      <c r="QWI17" s="400"/>
      <c r="QWJ17" s="400"/>
      <c r="QWK17" s="400"/>
      <c r="QWL17" s="400"/>
      <c r="QWM17" s="400"/>
      <c r="QWN17" s="400"/>
      <c r="QWO17" s="400"/>
      <c r="QWP17" s="400"/>
      <c r="QWQ17" s="400"/>
      <c r="QWR17" s="400"/>
      <c r="QWS17" s="400"/>
      <c r="QWT17" s="400"/>
      <c r="QWU17" s="400"/>
      <c r="QWV17" s="400"/>
      <c r="QWW17" s="400"/>
      <c r="QWX17" s="400"/>
      <c r="QWY17" s="400"/>
      <c r="QWZ17" s="400"/>
      <c r="QXA17" s="400"/>
      <c r="QXB17" s="400"/>
      <c r="QXC17" s="400"/>
      <c r="QXD17" s="400"/>
      <c r="QXE17" s="400"/>
      <c r="QXF17" s="400"/>
      <c r="QXG17" s="400"/>
      <c r="QXH17" s="400"/>
      <c r="QXI17" s="400"/>
      <c r="QXJ17" s="400"/>
      <c r="QXK17" s="400"/>
      <c r="QXL17" s="400"/>
      <c r="QXM17" s="400"/>
      <c r="QXN17" s="400"/>
      <c r="QXO17" s="400"/>
      <c r="QXP17" s="400"/>
      <c r="QXQ17" s="400"/>
      <c r="QXR17" s="400"/>
      <c r="QXS17" s="400"/>
      <c r="QXT17" s="400"/>
      <c r="QXU17" s="400"/>
      <c r="QXV17" s="400"/>
      <c r="QXW17" s="400"/>
      <c r="QXX17" s="400"/>
      <c r="QXY17" s="400"/>
      <c r="QXZ17" s="400"/>
      <c r="QYA17" s="400"/>
      <c r="QYB17" s="400"/>
      <c r="QYC17" s="400"/>
      <c r="QYD17" s="400"/>
      <c r="QYE17" s="400"/>
      <c r="QYF17" s="400"/>
      <c r="QYG17" s="400"/>
      <c r="QYH17" s="400"/>
      <c r="QYI17" s="400"/>
      <c r="QYJ17" s="400"/>
      <c r="QYK17" s="400"/>
      <c r="QYL17" s="400"/>
      <c r="QYM17" s="400"/>
      <c r="QYN17" s="400"/>
      <c r="QYO17" s="400"/>
      <c r="QYP17" s="400"/>
      <c r="QYQ17" s="400"/>
      <c r="QYR17" s="400"/>
      <c r="QYS17" s="400"/>
      <c r="QYT17" s="400"/>
      <c r="QYU17" s="400"/>
      <c r="QYV17" s="400"/>
      <c r="QYW17" s="400"/>
      <c r="QYX17" s="400"/>
      <c r="QYY17" s="400"/>
      <c r="QYZ17" s="400"/>
      <c r="QZA17" s="400"/>
      <c r="QZB17" s="400"/>
      <c r="QZC17" s="400"/>
      <c r="QZD17" s="400"/>
      <c r="QZE17" s="400"/>
      <c r="QZF17" s="400"/>
      <c r="QZG17" s="400"/>
      <c r="QZH17" s="400"/>
      <c r="QZI17" s="400"/>
      <c r="QZJ17" s="400"/>
      <c r="QZK17" s="400"/>
      <c r="QZL17" s="400"/>
      <c r="QZM17" s="400"/>
      <c r="QZN17" s="400"/>
      <c r="QZO17" s="400"/>
      <c r="QZP17" s="400"/>
      <c r="QZQ17" s="400"/>
      <c r="QZR17" s="400"/>
      <c r="QZS17" s="400"/>
      <c r="QZT17" s="400"/>
      <c r="QZU17" s="400"/>
      <c r="QZV17" s="400"/>
      <c r="QZW17" s="400"/>
      <c r="QZX17" s="400"/>
      <c r="QZY17" s="400"/>
      <c r="QZZ17" s="400"/>
      <c r="RAA17" s="400"/>
      <c r="RAB17" s="400"/>
      <c r="RAC17" s="400"/>
      <c r="RAD17" s="400"/>
      <c r="RAE17" s="400"/>
      <c r="RAF17" s="400"/>
      <c r="RAG17" s="400"/>
      <c r="RAH17" s="400"/>
      <c r="RAI17" s="400"/>
      <c r="RAJ17" s="400"/>
      <c r="RAK17" s="400"/>
      <c r="RAL17" s="400"/>
      <c r="RAM17" s="400"/>
      <c r="RAN17" s="400"/>
      <c r="RAO17" s="400"/>
      <c r="RAP17" s="400"/>
      <c r="RAQ17" s="400"/>
      <c r="RAR17" s="400"/>
      <c r="RAS17" s="400"/>
      <c r="RAT17" s="400"/>
      <c r="RAU17" s="400"/>
      <c r="RAV17" s="400"/>
      <c r="RAW17" s="400"/>
      <c r="RAX17" s="400"/>
      <c r="RAY17" s="400"/>
      <c r="RAZ17" s="400"/>
      <c r="RBA17" s="400"/>
      <c r="RBB17" s="400"/>
      <c r="RBC17" s="400"/>
      <c r="RBD17" s="400"/>
      <c r="RBE17" s="400"/>
      <c r="RBF17" s="400"/>
      <c r="RBG17" s="400"/>
      <c r="RBH17" s="400"/>
      <c r="RBI17" s="400"/>
      <c r="RBJ17" s="400"/>
      <c r="RBK17" s="400"/>
      <c r="RBL17" s="400"/>
      <c r="RBM17" s="400"/>
      <c r="RBN17" s="400"/>
      <c r="RBO17" s="400"/>
      <c r="RBP17" s="400"/>
      <c r="RBQ17" s="400"/>
      <c r="RBR17" s="400"/>
      <c r="RBS17" s="400"/>
      <c r="RBT17" s="400"/>
      <c r="RBU17" s="400"/>
      <c r="RBV17" s="400"/>
      <c r="RBW17" s="400"/>
      <c r="RBX17" s="400"/>
      <c r="RBY17" s="400"/>
      <c r="RBZ17" s="400"/>
      <c r="RCA17" s="400"/>
      <c r="RCB17" s="400"/>
      <c r="RCC17" s="400"/>
      <c r="RCD17" s="400"/>
      <c r="RCE17" s="400"/>
      <c r="RCF17" s="400"/>
      <c r="RCG17" s="400"/>
      <c r="RCH17" s="400"/>
      <c r="RCI17" s="400"/>
      <c r="RCJ17" s="400"/>
      <c r="RCK17" s="400"/>
      <c r="RCL17" s="400"/>
      <c r="RCM17" s="400"/>
      <c r="RCN17" s="400"/>
      <c r="RCO17" s="400"/>
      <c r="RCP17" s="400"/>
      <c r="RCQ17" s="400"/>
      <c r="RCR17" s="400"/>
      <c r="RCS17" s="400"/>
      <c r="RCT17" s="400"/>
      <c r="RCU17" s="400"/>
      <c r="RCV17" s="400"/>
      <c r="RCW17" s="400"/>
      <c r="RCX17" s="400"/>
      <c r="RCY17" s="400"/>
      <c r="RCZ17" s="400"/>
      <c r="RDA17" s="400"/>
      <c r="RDB17" s="400"/>
      <c r="RDC17" s="400"/>
      <c r="RDD17" s="400"/>
      <c r="RDE17" s="400"/>
      <c r="RDF17" s="400"/>
      <c r="RDG17" s="400"/>
      <c r="RDH17" s="400"/>
      <c r="RDI17" s="400"/>
      <c r="RDJ17" s="400"/>
      <c r="RDK17" s="400"/>
      <c r="RDL17" s="400"/>
      <c r="RDM17" s="400"/>
      <c r="RDN17" s="400"/>
      <c r="RDO17" s="400"/>
      <c r="RDP17" s="400"/>
      <c r="RDQ17" s="400"/>
      <c r="RDR17" s="400"/>
      <c r="RDS17" s="400"/>
      <c r="RDT17" s="400"/>
      <c r="RDU17" s="400"/>
      <c r="RDV17" s="400"/>
      <c r="RDW17" s="400"/>
      <c r="RDX17" s="400"/>
      <c r="RDY17" s="400"/>
      <c r="RDZ17" s="400"/>
      <c r="REA17" s="400"/>
      <c r="REB17" s="400"/>
      <c r="REC17" s="400"/>
      <c r="RED17" s="400"/>
      <c r="REE17" s="400"/>
      <c r="REF17" s="400"/>
      <c r="REG17" s="400"/>
      <c r="REH17" s="400"/>
      <c r="REI17" s="400"/>
      <c r="REJ17" s="400"/>
      <c r="REK17" s="400"/>
      <c r="REL17" s="400"/>
      <c r="REM17" s="400"/>
      <c r="REN17" s="400"/>
      <c r="REO17" s="400"/>
      <c r="REP17" s="400"/>
      <c r="REQ17" s="400"/>
      <c r="RER17" s="400"/>
      <c r="RES17" s="400"/>
      <c r="RET17" s="400"/>
      <c r="REU17" s="400"/>
      <c r="REV17" s="400"/>
      <c r="REW17" s="400"/>
      <c r="REX17" s="400"/>
      <c r="REY17" s="400"/>
      <c r="REZ17" s="400"/>
      <c r="RFA17" s="400"/>
      <c r="RFB17" s="400"/>
      <c r="RFC17" s="400"/>
      <c r="RFD17" s="400"/>
      <c r="RFE17" s="400"/>
      <c r="RFF17" s="400"/>
      <c r="RFG17" s="400"/>
      <c r="RFH17" s="400"/>
      <c r="RFI17" s="400"/>
      <c r="RFJ17" s="400"/>
      <c r="RFK17" s="400"/>
      <c r="RFL17" s="400"/>
      <c r="RFM17" s="400"/>
      <c r="RFN17" s="400"/>
      <c r="RFO17" s="400"/>
      <c r="RFP17" s="400"/>
      <c r="RFQ17" s="400"/>
      <c r="RFR17" s="400"/>
      <c r="RFS17" s="400"/>
      <c r="RFT17" s="400"/>
      <c r="RFU17" s="400"/>
      <c r="RFV17" s="400"/>
      <c r="RFW17" s="400"/>
      <c r="RFX17" s="400"/>
      <c r="RFY17" s="400"/>
      <c r="RFZ17" s="400"/>
      <c r="RGA17" s="400"/>
      <c r="RGB17" s="400"/>
      <c r="RGC17" s="400"/>
      <c r="RGD17" s="400"/>
      <c r="RGE17" s="400"/>
      <c r="RGF17" s="400"/>
      <c r="RGG17" s="400"/>
      <c r="RGH17" s="400"/>
      <c r="RGI17" s="400"/>
      <c r="RGJ17" s="400"/>
      <c r="RGK17" s="400"/>
      <c r="RGL17" s="400"/>
      <c r="RGM17" s="400"/>
      <c r="RGN17" s="400"/>
      <c r="RGO17" s="400"/>
      <c r="RGP17" s="400"/>
      <c r="RGQ17" s="400"/>
      <c r="RGR17" s="400"/>
      <c r="RGS17" s="400"/>
      <c r="RGT17" s="400"/>
      <c r="RGU17" s="400"/>
      <c r="RGV17" s="400"/>
      <c r="RGW17" s="400"/>
      <c r="RGX17" s="400"/>
      <c r="RGY17" s="400"/>
      <c r="RGZ17" s="400"/>
      <c r="RHA17" s="400"/>
      <c r="RHB17" s="400"/>
      <c r="RHC17" s="400"/>
      <c r="RHD17" s="400"/>
      <c r="RHE17" s="400"/>
      <c r="RHF17" s="400"/>
      <c r="RHG17" s="400"/>
      <c r="RHH17" s="400"/>
      <c r="RHI17" s="400"/>
      <c r="RHJ17" s="400"/>
      <c r="RHK17" s="400"/>
      <c r="RHL17" s="400"/>
      <c r="RHM17" s="400"/>
      <c r="RHN17" s="400"/>
      <c r="RHO17" s="400"/>
      <c r="RHP17" s="400"/>
      <c r="RHQ17" s="400"/>
      <c r="RHR17" s="400"/>
      <c r="RHS17" s="400"/>
      <c r="RHT17" s="400"/>
      <c r="RHU17" s="400"/>
      <c r="RHV17" s="400"/>
      <c r="RHW17" s="400"/>
      <c r="RHX17" s="400"/>
      <c r="RHY17" s="400"/>
      <c r="RHZ17" s="400"/>
      <c r="RIA17" s="400"/>
      <c r="RIB17" s="400"/>
      <c r="RIC17" s="400"/>
      <c r="RID17" s="400"/>
      <c r="RIE17" s="400"/>
      <c r="RIF17" s="400"/>
      <c r="RIG17" s="400"/>
      <c r="RIH17" s="400"/>
      <c r="RII17" s="400"/>
      <c r="RIJ17" s="400"/>
      <c r="RIK17" s="400"/>
      <c r="RIL17" s="400"/>
      <c r="RIM17" s="400"/>
      <c r="RIN17" s="400"/>
      <c r="RIO17" s="400"/>
      <c r="RIP17" s="400"/>
      <c r="RIQ17" s="400"/>
      <c r="RIR17" s="400"/>
      <c r="RIS17" s="400"/>
      <c r="RIT17" s="400"/>
      <c r="RIU17" s="400"/>
      <c r="RIV17" s="400"/>
      <c r="RIW17" s="400"/>
      <c r="RIX17" s="400"/>
      <c r="RIY17" s="400"/>
      <c r="RIZ17" s="400"/>
      <c r="RJA17" s="400"/>
      <c r="RJB17" s="400"/>
      <c r="RJC17" s="400"/>
      <c r="RJD17" s="400"/>
      <c r="RJE17" s="400"/>
      <c r="RJF17" s="400"/>
      <c r="RJG17" s="400"/>
      <c r="RJH17" s="400"/>
      <c r="RJI17" s="400"/>
      <c r="RJJ17" s="400"/>
      <c r="RJK17" s="400"/>
      <c r="RJL17" s="400"/>
      <c r="RJM17" s="400"/>
      <c r="RJN17" s="400"/>
      <c r="RJO17" s="400"/>
      <c r="RJP17" s="400"/>
      <c r="RJQ17" s="400"/>
      <c r="RJR17" s="400"/>
      <c r="RJS17" s="400"/>
      <c r="RJT17" s="400"/>
      <c r="RJU17" s="400"/>
      <c r="RJV17" s="400"/>
      <c r="RJW17" s="400"/>
      <c r="RJX17" s="400"/>
      <c r="RJY17" s="400"/>
      <c r="RJZ17" s="400"/>
      <c r="RKA17" s="400"/>
      <c r="RKB17" s="400"/>
      <c r="RKC17" s="400"/>
      <c r="RKD17" s="400"/>
      <c r="RKE17" s="400"/>
      <c r="RKF17" s="400"/>
      <c r="RKG17" s="400"/>
      <c r="RKH17" s="400"/>
      <c r="RKI17" s="400"/>
      <c r="RKJ17" s="400"/>
      <c r="RKK17" s="400"/>
      <c r="RKL17" s="400"/>
      <c r="RKM17" s="400"/>
      <c r="RKN17" s="400"/>
      <c r="RKO17" s="400"/>
      <c r="RKP17" s="400"/>
      <c r="RKQ17" s="400"/>
      <c r="RKR17" s="400"/>
      <c r="RKS17" s="400"/>
      <c r="RKT17" s="400"/>
      <c r="RKU17" s="400"/>
      <c r="RKV17" s="400"/>
      <c r="RKW17" s="400"/>
      <c r="RKX17" s="400"/>
      <c r="RKY17" s="400"/>
      <c r="RKZ17" s="400"/>
      <c r="RLA17" s="400"/>
      <c r="RLB17" s="400"/>
      <c r="RLC17" s="400"/>
      <c r="RLD17" s="400"/>
      <c r="RLE17" s="400"/>
      <c r="RLF17" s="400"/>
      <c r="RLG17" s="400"/>
      <c r="RLH17" s="400"/>
      <c r="RLI17" s="400"/>
      <c r="RLJ17" s="400"/>
      <c r="RLK17" s="400"/>
      <c r="RLL17" s="400"/>
      <c r="RLM17" s="400"/>
      <c r="RLN17" s="400"/>
      <c r="RLO17" s="400"/>
      <c r="RLP17" s="400"/>
      <c r="RLQ17" s="400"/>
      <c r="RLR17" s="400"/>
      <c r="RLS17" s="400"/>
      <c r="RLT17" s="400"/>
      <c r="RLU17" s="400"/>
      <c r="RLV17" s="400"/>
      <c r="RLW17" s="400"/>
      <c r="RLX17" s="400"/>
      <c r="RLY17" s="400"/>
      <c r="RLZ17" s="400"/>
      <c r="RMA17" s="400"/>
      <c r="RMB17" s="400"/>
      <c r="RMC17" s="400"/>
      <c r="RMD17" s="400"/>
      <c r="RME17" s="400"/>
      <c r="RMF17" s="400"/>
      <c r="RMG17" s="400"/>
      <c r="RMH17" s="400"/>
      <c r="RMI17" s="400"/>
      <c r="RMJ17" s="400"/>
      <c r="RMK17" s="400"/>
      <c r="RML17" s="400"/>
      <c r="RMM17" s="400"/>
      <c r="RMN17" s="400"/>
      <c r="RMO17" s="400"/>
      <c r="RMP17" s="400"/>
      <c r="RMQ17" s="400"/>
      <c r="RMR17" s="400"/>
      <c r="RMS17" s="400"/>
      <c r="RMT17" s="400"/>
      <c r="RMU17" s="400"/>
      <c r="RMV17" s="400"/>
      <c r="RMW17" s="400"/>
      <c r="RMX17" s="400"/>
      <c r="RMY17" s="400"/>
      <c r="RMZ17" s="400"/>
      <c r="RNA17" s="400"/>
      <c r="RNB17" s="400"/>
      <c r="RNC17" s="400"/>
      <c r="RND17" s="400"/>
      <c r="RNE17" s="400"/>
      <c r="RNF17" s="400"/>
      <c r="RNG17" s="400"/>
      <c r="RNH17" s="400"/>
      <c r="RNI17" s="400"/>
      <c r="RNJ17" s="400"/>
      <c r="RNK17" s="400"/>
      <c r="RNL17" s="400"/>
      <c r="RNM17" s="400"/>
      <c r="RNN17" s="400"/>
      <c r="RNO17" s="400"/>
      <c r="RNP17" s="400"/>
      <c r="RNQ17" s="400"/>
      <c r="RNR17" s="400"/>
      <c r="RNS17" s="400"/>
      <c r="RNT17" s="400"/>
      <c r="RNU17" s="400"/>
      <c r="RNV17" s="400"/>
      <c r="RNW17" s="400"/>
      <c r="RNX17" s="400"/>
      <c r="RNY17" s="400"/>
      <c r="RNZ17" s="400"/>
      <c r="ROA17" s="400"/>
      <c r="ROB17" s="400"/>
      <c r="ROC17" s="400"/>
      <c r="ROD17" s="400"/>
      <c r="ROE17" s="400"/>
      <c r="ROF17" s="400"/>
      <c r="ROG17" s="400"/>
      <c r="ROH17" s="400"/>
      <c r="ROI17" s="400"/>
      <c r="ROJ17" s="400"/>
      <c r="ROK17" s="400"/>
      <c r="ROL17" s="400"/>
      <c r="ROM17" s="400"/>
      <c r="RON17" s="400"/>
      <c r="ROO17" s="400"/>
      <c r="ROP17" s="400"/>
      <c r="ROQ17" s="400"/>
      <c r="ROR17" s="400"/>
      <c r="ROS17" s="400"/>
      <c r="ROT17" s="400"/>
      <c r="ROU17" s="400"/>
      <c r="ROV17" s="400"/>
      <c r="ROW17" s="400"/>
      <c r="ROX17" s="400"/>
      <c r="ROY17" s="400"/>
      <c r="ROZ17" s="400"/>
      <c r="RPA17" s="400"/>
      <c r="RPB17" s="400"/>
      <c r="RPC17" s="400"/>
      <c r="RPD17" s="400"/>
      <c r="RPE17" s="400"/>
      <c r="RPF17" s="400"/>
      <c r="RPG17" s="400"/>
      <c r="RPH17" s="400"/>
      <c r="RPI17" s="400"/>
      <c r="RPJ17" s="400"/>
      <c r="RPK17" s="400"/>
      <c r="RPL17" s="400"/>
      <c r="RPM17" s="400"/>
      <c r="RPN17" s="400"/>
      <c r="RPO17" s="400"/>
      <c r="RPP17" s="400"/>
      <c r="RPQ17" s="400"/>
      <c r="RPR17" s="400"/>
      <c r="RPS17" s="400"/>
      <c r="RPT17" s="400"/>
      <c r="RPU17" s="400"/>
      <c r="RPV17" s="400"/>
      <c r="RPW17" s="400"/>
      <c r="RPX17" s="400"/>
      <c r="RPY17" s="400"/>
      <c r="RPZ17" s="400"/>
      <c r="RQA17" s="400"/>
      <c r="RQB17" s="400"/>
      <c r="RQC17" s="400"/>
      <c r="RQD17" s="400"/>
      <c r="RQE17" s="400"/>
      <c r="RQF17" s="400"/>
      <c r="RQG17" s="400"/>
      <c r="RQH17" s="400"/>
      <c r="RQI17" s="400"/>
      <c r="RQJ17" s="400"/>
      <c r="RQK17" s="400"/>
      <c r="RQL17" s="400"/>
      <c r="RQM17" s="400"/>
      <c r="RQN17" s="400"/>
      <c r="RQO17" s="400"/>
      <c r="RQP17" s="400"/>
      <c r="RQQ17" s="400"/>
      <c r="RQR17" s="400"/>
      <c r="RQS17" s="400"/>
      <c r="RQT17" s="400"/>
      <c r="RQU17" s="400"/>
      <c r="RQV17" s="400"/>
      <c r="RQW17" s="400"/>
      <c r="RQX17" s="400"/>
      <c r="RQY17" s="400"/>
      <c r="RQZ17" s="400"/>
      <c r="RRA17" s="400"/>
      <c r="RRB17" s="400"/>
      <c r="RRC17" s="400"/>
      <c r="RRD17" s="400"/>
      <c r="RRE17" s="400"/>
      <c r="RRF17" s="400"/>
      <c r="RRG17" s="400"/>
      <c r="RRH17" s="400"/>
      <c r="RRI17" s="400"/>
      <c r="RRJ17" s="400"/>
      <c r="RRK17" s="400"/>
      <c r="RRL17" s="400"/>
      <c r="RRM17" s="400"/>
      <c r="RRN17" s="400"/>
      <c r="RRO17" s="400"/>
      <c r="RRP17" s="400"/>
      <c r="RRQ17" s="400"/>
      <c r="RRR17" s="400"/>
      <c r="RRS17" s="400"/>
      <c r="RRT17" s="400"/>
      <c r="RRU17" s="400"/>
      <c r="RRV17" s="400"/>
      <c r="RRW17" s="400"/>
      <c r="RRX17" s="400"/>
      <c r="RRY17" s="400"/>
      <c r="RRZ17" s="400"/>
      <c r="RSA17" s="400"/>
      <c r="RSB17" s="400"/>
      <c r="RSC17" s="400"/>
      <c r="RSD17" s="400"/>
      <c r="RSE17" s="400"/>
      <c r="RSF17" s="400"/>
      <c r="RSG17" s="400"/>
      <c r="RSH17" s="400"/>
      <c r="RSI17" s="400"/>
      <c r="RSJ17" s="400"/>
      <c r="RSK17" s="400"/>
      <c r="RSL17" s="400"/>
      <c r="RSM17" s="400"/>
      <c r="RSN17" s="400"/>
      <c r="RSO17" s="400"/>
      <c r="RSP17" s="400"/>
      <c r="RSQ17" s="400"/>
      <c r="RSR17" s="400"/>
      <c r="RSS17" s="400"/>
      <c r="RST17" s="400"/>
      <c r="RSU17" s="400"/>
      <c r="RSV17" s="400"/>
      <c r="RSW17" s="400"/>
      <c r="RSX17" s="400"/>
      <c r="RSY17" s="400"/>
      <c r="RSZ17" s="400"/>
      <c r="RTA17" s="400"/>
      <c r="RTB17" s="400"/>
      <c r="RTC17" s="400"/>
      <c r="RTD17" s="400"/>
      <c r="RTE17" s="400"/>
      <c r="RTF17" s="400"/>
      <c r="RTG17" s="400"/>
      <c r="RTH17" s="400"/>
      <c r="RTI17" s="400"/>
      <c r="RTJ17" s="400"/>
      <c r="RTK17" s="400"/>
      <c r="RTL17" s="400"/>
      <c r="RTM17" s="400"/>
      <c r="RTN17" s="400"/>
      <c r="RTO17" s="400"/>
      <c r="RTP17" s="400"/>
      <c r="RTQ17" s="400"/>
      <c r="RTR17" s="400"/>
      <c r="RTS17" s="400"/>
      <c r="RTT17" s="400"/>
      <c r="RTU17" s="400"/>
      <c r="RTV17" s="400"/>
      <c r="RTW17" s="400"/>
      <c r="RTX17" s="400"/>
      <c r="RTY17" s="400"/>
      <c r="RTZ17" s="400"/>
      <c r="RUA17" s="400"/>
      <c r="RUB17" s="400"/>
      <c r="RUC17" s="400"/>
      <c r="RUD17" s="400"/>
      <c r="RUE17" s="400"/>
      <c r="RUF17" s="400"/>
      <c r="RUG17" s="400"/>
      <c r="RUH17" s="400"/>
      <c r="RUI17" s="400"/>
      <c r="RUJ17" s="400"/>
      <c r="RUK17" s="400"/>
      <c r="RUL17" s="400"/>
      <c r="RUM17" s="400"/>
      <c r="RUN17" s="400"/>
      <c r="RUO17" s="400"/>
      <c r="RUP17" s="400"/>
      <c r="RUQ17" s="400"/>
      <c r="RUR17" s="400"/>
      <c r="RUS17" s="400"/>
      <c r="RUT17" s="400"/>
      <c r="RUU17" s="400"/>
      <c r="RUV17" s="400"/>
      <c r="RUW17" s="400"/>
      <c r="RUX17" s="400"/>
      <c r="RUY17" s="400"/>
      <c r="RUZ17" s="400"/>
      <c r="RVA17" s="400"/>
      <c r="RVB17" s="400"/>
      <c r="RVC17" s="400"/>
      <c r="RVD17" s="400"/>
      <c r="RVE17" s="400"/>
      <c r="RVF17" s="400"/>
      <c r="RVG17" s="400"/>
      <c r="RVH17" s="400"/>
      <c r="RVI17" s="400"/>
      <c r="RVJ17" s="400"/>
      <c r="RVK17" s="400"/>
      <c r="RVL17" s="400"/>
      <c r="RVM17" s="400"/>
      <c r="RVN17" s="400"/>
      <c r="RVO17" s="400"/>
      <c r="RVP17" s="400"/>
      <c r="RVQ17" s="400"/>
      <c r="RVR17" s="400"/>
      <c r="RVS17" s="400"/>
      <c r="RVT17" s="400"/>
      <c r="RVU17" s="400"/>
      <c r="RVV17" s="400"/>
      <c r="RVW17" s="400"/>
      <c r="RVX17" s="400"/>
      <c r="RVY17" s="400"/>
      <c r="RVZ17" s="400"/>
      <c r="RWA17" s="400"/>
      <c r="RWB17" s="400"/>
      <c r="RWC17" s="400"/>
      <c r="RWD17" s="400"/>
      <c r="RWE17" s="400"/>
      <c r="RWF17" s="400"/>
      <c r="RWG17" s="400"/>
      <c r="RWH17" s="400"/>
      <c r="RWI17" s="400"/>
      <c r="RWJ17" s="400"/>
      <c r="RWK17" s="400"/>
      <c r="RWL17" s="400"/>
      <c r="RWM17" s="400"/>
      <c r="RWN17" s="400"/>
      <c r="RWO17" s="400"/>
      <c r="RWP17" s="400"/>
      <c r="RWQ17" s="400"/>
      <c r="RWR17" s="400"/>
      <c r="RWS17" s="400"/>
      <c r="RWT17" s="400"/>
      <c r="RWU17" s="400"/>
      <c r="RWV17" s="400"/>
      <c r="RWW17" s="400"/>
      <c r="RWX17" s="400"/>
      <c r="RWY17" s="400"/>
      <c r="RWZ17" s="400"/>
      <c r="RXA17" s="400"/>
      <c r="RXB17" s="400"/>
      <c r="RXC17" s="400"/>
      <c r="RXD17" s="400"/>
      <c r="RXE17" s="400"/>
      <c r="RXF17" s="400"/>
      <c r="RXG17" s="400"/>
      <c r="RXH17" s="400"/>
      <c r="RXI17" s="400"/>
      <c r="RXJ17" s="400"/>
      <c r="RXK17" s="400"/>
      <c r="RXL17" s="400"/>
      <c r="RXM17" s="400"/>
      <c r="RXN17" s="400"/>
      <c r="RXO17" s="400"/>
      <c r="RXP17" s="400"/>
      <c r="RXQ17" s="400"/>
      <c r="RXR17" s="400"/>
      <c r="RXS17" s="400"/>
      <c r="RXT17" s="400"/>
      <c r="RXU17" s="400"/>
      <c r="RXV17" s="400"/>
      <c r="RXW17" s="400"/>
      <c r="RXX17" s="400"/>
      <c r="RXY17" s="400"/>
      <c r="RXZ17" s="400"/>
      <c r="RYA17" s="400"/>
      <c r="RYB17" s="400"/>
      <c r="RYC17" s="400"/>
      <c r="RYD17" s="400"/>
      <c r="RYE17" s="400"/>
      <c r="RYF17" s="400"/>
      <c r="RYG17" s="400"/>
      <c r="RYH17" s="400"/>
      <c r="RYI17" s="400"/>
      <c r="RYJ17" s="400"/>
      <c r="RYK17" s="400"/>
      <c r="RYL17" s="400"/>
      <c r="RYM17" s="400"/>
      <c r="RYN17" s="400"/>
      <c r="RYO17" s="400"/>
      <c r="RYP17" s="400"/>
      <c r="RYQ17" s="400"/>
      <c r="RYR17" s="400"/>
      <c r="RYS17" s="400"/>
      <c r="RYT17" s="400"/>
      <c r="RYU17" s="400"/>
      <c r="RYV17" s="400"/>
      <c r="RYW17" s="400"/>
      <c r="RYX17" s="400"/>
      <c r="RYY17" s="400"/>
      <c r="RYZ17" s="400"/>
      <c r="RZA17" s="400"/>
      <c r="RZB17" s="400"/>
      <c r="RZC17" s="400"/>
      <c r="RZD17" s="400"/>
      <c r="RZE17" s="400"/>
      <c r="RZF17" s="400"/>
      <c r="RZG17" s="400"/>
      <c r="RZH17" s="400"/>
      <c r="RZI17" s="400"/>
      <c r="RZJ17" s="400"/>
      <c r="RZK17" s="400"/>
      <c r="RZL17" s="400"/>
      <c r="RZM17" s="400"/>
      <c r="RZN17" s="400"/>
      <c r="RZO17" s="400"/>
      <c r="RZP17" s="400"/>
      <c r="RZQ17" s="400"/>
      <c r="RZR17" s="400"/>
      <c r="RZS17" s="400"/>
      <c r="RZT17" s="400"/>
      <c r="RZU17" s="400"/>
      <c r="RZV17" s="400"/>
      <c r="RZW17" s="400"/>
      <c r="RZX17" s="400"/>
      <c r="RZY17" s="400"/>
      <c r="RZZ17" s="400"/>
      <c r="SAA17" s="400"/>
      <c r="SAB17" s="400"/>
      <c r="SAC17" s="400"/>
      <c r="SAD17" s="400"/>
      <c r="SAE17" s="400"/>
      <c r="SAF17" s="400"/>
      <c r="SAG17" s="400"/>
      <c r="SAH17" s="400"/>
      <c r="SAI17" s="400"/>
      <c r="SAJ17" s="400"/>
      <c r="SAK17" s="400"/>
      <c r="SAL17" s="400"/>
      <c r="SAM17" s="400"/>
      <c r="SAN17" s="400"/>
      <c r="SAO17" s="400"/>
      <c r="SAP17" s="400"/>
      <c r="SAQ17" s="400"/>
      <c r="SAR17" s="400"/>
      <c r="SAS17" s="400"/>
      <c r="SAT17" s="400"/>
      <c r="SAU17" s="400"/>
      <c r="SAV17" s="400"/>
      <c r="SAW17" s="400"/>
      <c r="SAX17" s="400"/>
      <c r="SAY17" s="400"/>
      <c r="SAZ17" s="400"/>
      <c r="SBA17" s="400"/>
      <c r="SBB17" s="400"/>
      <c r="SBC17" s="400"/>
      <c r="SBD17" s="400"/>
      <c r="SBE17" s="400"/>
      <c r="SBF17" s="400"/>
      <c r="SBG17" s="400"/>
      <c r="SBH17" s="400"/>
      <c r="SBI17" s="400"/>
      <c r="SBJ17" s="400"/>
      <c r="SBK17" s="400"/>
      <c r="SBL17" s="400"/>
      <c r="SBM17" s="400"/>
      <c r="SBN17" s="400"/>
      <c r="SBO17" s="400"/>
      <c r="SBP17" s="400"/>
      <c r="SBQ17" s="400"/>
      <c r="SBR17" s="400"/>
      <c r="SBS17" s="400"/>
      <c r="SBT17" s="400"/>
      <c r="SBU17" s="400"/>
      <c r="SBV17" s="400"/>
      <c r="SBW17" s="400"/>
      <c r="SBX17" s="400"/>
      <c r="SBY17" s="400"/>
      <c r="SBZ17" s="400"/>
      <c r="SCA17" s="400"/>
      <c r="SCB17" s="400"/>
      <c r="SCC17" s="400"/>
      <c r="SCD17" s="400"/>
      <c r="SCE17" s="400"/>
      <c r="SCF17" s="400"/>
      <c r="SCG17" s="400"/>
      <c r="SCH17" s="400"/>
      <c r="SCI17" s="400"/>
      <c r="SCJ17" s="400"/>
      <c r="SCK17" s="400"/>
      <c r="SCL17" s="400"/>
      <c r="SCM17" s="400"/>
      <c r="SCN17" s="400"/>
      <c r="SCO17" s="400"/>
      <c r="SCP17" s="400"/>
      <c r="SCQ17" s="400"/>
      <c r="SCR17" s="400"/>
      <c r="SCS17" s="400"/>
      <c r="SCT17" s="400"/>
      <c r="SCU17" s="400"/>
      <c r="SCV17" s="400"/>
      <c r="SCW17" s="400"/>
      <c r="SCX17" s="400"/>
      <c r="SCY17" s="400"/>
      <c r="SCZ17" s="400"/>
      <c r="SDA17" s="400"/>
      <c r="SDB17" s="400"/>
      <c r="SDC17" s="400"/>
      <c r="SDD17" s="400"/>
      <c r="SDE17" s="400"/>
      <c r="SDF17" s="400"/>
      <c r="SDG17" s="400"/>
      <c r="SDH17" s="400"/>
      <c r="SDI17" s="400"/>
      <c r="SDJ17" s="400"/>
      <c r="SDK17" s="400"/>
      <c r="SDL17" s="400"/>
      <c r="SDM17" s="400"/>
      <c r="SDN17" s="400"/>
      <c r="SDO17" s="400"/>
      <c r="SDP17" s="400"/>
      <c r="SDQ17" s="400"/>
      <c r="SDR17" s="400"/>
      <c r="SDS17" s="400"/>
      <c r="SDT17" s="400"/>
      <c r="SDU17" s="400"/>
      <c r="SDV17" s="400"/>
      <c r="SDW17" s="400"/>
      <c r="SDX17" s="400"/>
      <c r="SDY17" s="400"/>
      <c r="SDZ17" s="400"/>
      <c r="SEA17" s="400"/>
      <c r="SEB17" s="400"/>
      <c r="SEC17" s="400"/>
      <c r="SED17" s="400"/>
      <c r="SEE17" s="400"/>
      <c r="SEF17" s="400"/>
      <c r="SEG17" s="400"/>
      <c r="SEH17" s="400"/>
      <c r="SEI17" s="400"/>
      <c r="SEJ17" s="400"/>
      <c r="SEK17" s="400"/>
      <c r="SEL17" s="400"/>
      <c r="SEM17" s="400"/>
      <c r="SEN17" s="400"/>
      <c r="SEO17" s="400"/>
      <c r="SEP17" s="400"/>
      <c r="SEQ17" s="400"/>
      <c r="SER17" s="400"/>
      <c r="SES17" s="400"/>
      <c r="SET17" s="400"/>
      <c r="SEU17" s="400"/>
      <c r="SEV17" s="400"/>
      <c r="SEW17" s="400"/>
      <c r="SEX17" s="400"/>
      <c r="SEY17" s="400"/>
      <c r="SEZ17" s="400"/>
      <c r="SFA17" s="400"/>
      <c r="SFB17" s="400"/>
      <c r="SFC17" s="400"/>
      <c r="SFD17" s="400"/>
      <c r="SFE17" s="400"/>
      <c r="SFF17" s="400"/>
      <c r="SFG17" s="400"/>
      <c r="SFH17" s="400"/>
      <c r="SFI17" s="400"/>
      <c r="SFJ17" s="400"/>
      <c r="SFK17" s="400"/>
      <c r="SFL17" s="400"/>
      <c r="SFM17" s="400"/>
      <c r="SFN17" s="400"/>
      <c r="SFO17" s="400"/>
      <c r="SFP17" s="400"/>
      <c r="SFQ17" s="400"/>
      <c r="SFR17" s="400"/>
      <c r="SFS17" s="400"/>
      <c r="SFT17" s="400"/>
      <c r="SFU17" s="400"/>
      <c r="SFV17" s="400"/>
      <c r="SFW17" s="400"/>
      <c r="SFX17" s="400"/>
      <c r="SFY17" s="400"/>
      <c r="SFZ17" s="400"/>
      <c r="SGA17" s="400"/>
      <c r="SGB17" s="400"/>
      <c r="SGC17" s="400"/>
      <c r="SGD17" s="400"/>
      <c r="SGE17" s="400"/>
      <c r="SGF17" s="400"/>
      <c r="SGG17" s="400"/>
      <c r="SGH17" s="400"/>
      <c r="SGI17" s="400"/>
      <c r="SGJ17" s="400"/>
      <c r="SGK17" s="400"/>
      <c r="SGL17" s="400"/>
      <c r="SGM17" s="400"/>
      <c r="SGN17" s="400"/>
      <c r="SGO17" s="400"/>
      <c r="SGP17" s="400"/>
      <c r="SGQ17" s="400"/>
      <c r="SGR17" s="400"/>
      <c r="SGS17" s="400"/>
      <c r="SGT17" s="400"/>
      <c r="SGU17" s="400"/>
      <c r="SGV17" s="400"/>
      <c r="SGW17" s="400"/>
      <c r="SGX17" s="400"/>
      <c r="SGY17" s="400"/>
      <c r="SGZ17" s="400"/>
      <c r="SHA17" s="400"/>
      <c r="SHB17" s="400"/>
      <c r="SHC17" s="400"/>
      <c r="SHD17" s="400"/>
      <c r="SHE17" s="400"/>
      <c r="SHF17" s="400"/>
      <c r="SHG17" s="400"/>
      <c r="SHH17" s="400"/>
      <c r="SHI17" s="400"/>
      <c r="SHJ17" s="400"/>
      <c r="SHK17" s="400"/>
      <c r="SHL17" s="400"/>
      <c r="SHM17" s="400"/>
      <c r="SHN17" s="400"/>
      <c r="SHO17" s="400"/>
      <c r="SHP17" s="400"/>
      <c r="SHQ17" s="400"/>
      <c r="SHR17" s="400"/>
      <c r="SHS17" s="400"/>
      <c r="SHT17" s="400"/>
      <c r="SHU17" s="400"/>
      <c r="SHV17" s="400"/>
      <c r="SHW17" s="400"/>
      <c r="SHX17" s="400"/>
      <c r="SHY17" s="400"/>
      <c r="SHZ17" s="400"/>
      <c r="SIA17" s="400"/>
      <c r="SIB17" s="400"/>
      <c r="SIC17" s="400"/>
      <c r="SID17" s="400"/>
      <c r="SIE17" s="400"/>
      <c r="SIF17" s="400"/>
      <c r="SIG17" s="400"/>
      <c r="SIH17" s="400"/>
      <c r="SII17" s="400"/>
      <c r="SIJ17" s="400"/>
      <c r="SIK17" s="400"/>
      <c r="SIL17" s="400"/>
      <c r="SIM17" s="400"/>
      <c r="SIN17" s="400"/>
      <c r="SIO17" s="400"/>
      <c r="SIP17" s="400"/>
      <c r="SIQ17" s="400"/>
      <c r="SIR17" s="400"/>
      <c r="SIS17" s="400"/>
      <c r="SIT17" s="400"/>
      <c r="SIU17" s="400"/>
      <c r="SIV17" s="400"/>
      <c r="SIW17" s="400"/>
      <c r="SIX17" s="400"/>
      <c r="SIY17" s="400"/>
      <c r="SIZ17" s="400"/>
      <c r="SJA17" s="400"/>
      <c r="SJB17" s="400"/>
      <c r="SJC17" s="400"/>
      <c r="SJD17" s="400"/>
      <c r="SJE17" s="400"/>
      <c r="SJF17" s="400"/>
      <c r="SJG17" s="400"/>
      <c r="SJH17" s="400"/>
      <c r="SJI17" s="400"/>
      <c r="SJJ17" s="400"/>
      <c r="SJK17" s="400"/>
      <c r="SJL17" s="400"/>
      <c r="SJM17" s="400"/>
      <c r="SJN17" s="400"/>
      <c r="SJO17" s="400"/>
      <c r="SJP17" s="400"/>
      <c r="SJQ17" s="400"/>
      <c r="SJR17" s="400"/>
      <c r="SJS17" s="400"/>
      <c r="SJT17" s="400"/>
      <c r="SJU17" s="400"/>
      <c r="SJV17" s="400"/>
      <c r="SJW17" s="400"/>
      <c r="SJX17" s="400"/>
      <c r="SJY17" s="400"/>
      <c r="SJZ17" s="400"/>
      <c r="SKA17" s="400"/>
      <c r="SKB17" s="400"/>
      <c r="SKC17" s="400"/>
      <c r="SKD17" s="400"/>
      <c r="SKE17" s="400"/>
      <c r="SKF17" s="400"/>
      <c r="SKG17" s="400"/>
      <c r="SKH17" s="400"/>
      <c r="SKI17" s="400"/>
      <c r="SKJ17" s="400"/>
      <c r="SKK17" s="400"/>
      <c r="SKL17" s="400"/>
      <c r="SKM17" s="400"/>
      <c r="SKN17" s="400"/>
      <c r="SKO17" s="400"/>
      <c r="SKP17" s="400"/>
      <c r="SKQ17" s="400"/>
      <c r="SKR17" s="400"/>
      <c r="SKS17" s="400"/>
      <c r="SKT17" s="400"/>
      <c r="SKU17" s="400"/>
      <c r="SKV17" s="400"/>
      <c r="SKW17" s="400"/>
      <c r="SKX17" s="400"/>
      <c r="SKY17" s="400"/>
      <c r="SKZ17" s="400"/>
      <c r="SLA17" s="400"/>
      <c r="SLB17" s="400"/>
      <c r="SLC17" s="400"/>
      <c r="SLD17" s="400"/>
      <c r="SLE17" s="400"/>
      <c r="SLF17" s="400"/>
      <c r="SLG17" s="400"/>
      <c r="SLH17" s="400"/>
      <c r="SLI17" s="400"/>
      <c r="SLJ17" s="400"/>
      <c r="SLK17" s="400"/>
      <c r="SLL17" s="400"/>
      <c r="SLM17" s="400"/>
      <c r="SLN17" s="400"/>
      <c r="SLO17" s="400"/>
      <c r="SLP17" s="400"/>
      <c r="SLQ17" s="400"/>
      <c r="SLR17" s="400"/>
      <c r="SLS17" s="400"/>
      <c r="SLT17" s="400"/>
      <c r="SLU17" s="400"/>
      <c r="SLV17" s="400"/>
      <c r="SLW17" s="400"/>
      <c r="SLX17" s="400"/>
      <c r="SLY17" s="400"/>
      <c r="SLZ17" s="400"/>
      <c r="SMA17" s="400"/>
      <c r="SMB17" s="400"/>
      <c r="SMC17" s="400"/>
      <c r="SMD17" s="400"/>
      <c r="SME17" s="400"/>
      <c r="SMF17" s="400"/>
      <c r="SMG17" s="400"/>
      <c r="SMH17" s="400"/>
      <c r="SMI17" s="400"/>
      <c r="SMJ17" s="400"/>
      <c r="SMK17" s="400"/>
      <c r="SML17" s="400"/>
      <c r="SMM17" s="400"/>
      <c r="SMN17" s="400"/>
      <c r="SMO17" s="400"/>
      <c r="SMP17" s="400"/>
      <c r="SMQ17" s="400"/>
      <c r="SMR17" s="400"/>
      <c r="SMS17" s="400"/>
      <c r="SMT17" s="400"/>
      <c r="SMU17" s="400"/>
      <c r="SMV17" s="400"/>
      <c r="SMW17" s="400"/>
      <c r="SMX17" s="400"/>
      <c r="SMY17" s="400"/>
      <c r="SMZ17" s="400"/>
      <c r="SNA17" s="400"/>
      <c r="SNB17" s="400"/>
      <c r="SNC17" s="400"/>
      <c r="SND17" s="400"/>
      <c r="SNE17" s="400"/>
      <c r="SNF17" s="400"/>
      <c r="SNG17" s="400"/>
      <c r="SNH17" s="400"/>
      <c r="SNI17" s="400"/>
      <c r="SNJ17" s="400"/>
      <c r="SNK17" s="400"/>
      <c r="SNL17" s="400"/>
      <c r="SNM17" s="400"/>
      <c r="SNN17" s="400"/>
      <c r="SNO17" s="400"/>
      <c r="SNP17" s="400"/>
      <c r="SNQ17" s="400"/>
      <c r="SNR17" s="400"/>
      <c r="SNS17" s="400"/>
      <c r="SNT17" s="400"/>
      <c r="SNU17" s="400"/>
      <c r="SNV17" s="400"/>
      <c r="SNW17" s="400"/>
      <c r="SNX17" s="400"/>
      <c r="SNY17" s="400"/>
      <c r="SNZ17" s="400"/>
      <c r="SOA17" s="400"/>
      <c r="SOB17" s="400"/>
      <c r="SOC17" s="400"/>
      <c r="SOD17" s="400"/>
      <c r="SOE17" s="400"/>
      <c r="SOF17" s="400"/>
      <c r="SOG17" s="400"/>
      <c r="SOH17" s="400"/>
      <c r="SOI17" s="400"/>
      <c r="SOJ17" s="400"/>
      <c r="SOK17" s="400"/>
      <c r="SOL17" s="400"/>
      <c r="SOM17" s="400"/>
      <c r="SON17" s="400"/>
      <c r="SOO17" s="400"/>
      <c r="SOP17" s="400"/>
      <c r="SOQ17" s="400"/>
      <c r="SOR17" s="400"/>
      <c r="SOS17" s="400"/>
      <c r="SOT17" s="400"/>
      <c r="SOU17" s="400"/>
      <c r="SOV17" s="400"/>
      <c r="SOW17" s="400"/>
      <c r="SOX17" s="400"/>
      <c r="SOY17" s="400"/>
      <c r="SOZ17" s="400"/>
      <c r="SPA17" s="400"/>
      <c r="SPB17" s="400"/>
      <c r="SPC17" s="400"/>
      <c r="SPD17" s="400"/>
      <c r="SPE17" s="400"/>
      <c r="SPF17" s="400"/>
      <c r="SPG17" s="400"/>
      <c r="SPH17" s="400"/>
      <c r="SPI17" s="400"/>
      <c r="SPJ17" s="400"/>
      <c r="SPK17" s="400"/>
      <c r="SPL17" s="400"/>
      <c r="SPM17" s="400"/>
      <c r="SPN17" s="400"/>
      <c r="SPO17" s="400"/>
      <c r="SPP17" s="400"/>
      <c r="SPQ17" s="400"/>
      <c r="SPR17" s="400"/>
      <c r="SPS17" s="400"/>
      <c r="SPT17" s="400"/>
      <c r="SPU17" s="400"/>
      <c r="SPV17" s="400"/>
      <c r="SPW17" s="400"/>
      <c r="SPX17" s="400"/>
      <c r="SPY17" s="400"/>
      <c r="SPZ17" s="400"/>
      <c r="SQA17" s="400"/>
      <c r="SQB17" s="400"/>
      <c r="SQC17" s="400"/>
      <c r="SQD17" s="400"/>
      <c r="SQE17" s="400"/>
      <c r="SQF17" s="400"/>
      <c r="SQG17" s="400"/>
      <c r="SQH17" s="400"/>
      <c r="SQI17" s="400"/>
      <c r="SQJ17" s="400"/>
      <c r="SQK17" s="400"/>
      <c r="SQL17" s="400"/>
      <c r="SQM17" s="400"/>
      <c r="SQN17" s="400"/>
      <c r="SQO17" s="400"/>
      <c r="SQP17" s="400"/>
      <c r="SQQ17" s="400"/>
      <c r="SQR17" s="400"/>
      <c r="SQS17" s="400"/>
      <c r="SQT17" s="400"/>
      <c r="SQU17" s="400"/>
      <c r="SQV17" s="400"/>
      <c r="SQW17" s="400"/>
      <c r="SQX17" s="400"/>
      <c r="SQY17" s="400"/>
      <c r="SQZ17" s="400"/>
      <c r="SRA17" s="400"/>
      <c r="SRB17" s="400"/>
      <c r="SRC17" s="400"/>
      <c r="SRD17" s="400"/>
      <c r="SRE17" s="400"/>
      <c r="SRF17" s="400"/>
      <c r="SRG17" s="400"/>
      <c r="SRH17" s="400"/>
      <c r="SRI17" s="400"/>
      <c r="SRJ17" s="400"/>
      <c r="SRK17" s="400"/>
      <c r="SRL17" s="400"/>
      <c r="SRM17" s="400"/>
      <c r="SRN17" s="400"/>
      <c r="SRO17" s="400"/>
      <c r="SRP17" s="400"/>
      <c r="SRQ17" s="400"/>
      <c r="SRR17" s="400"/>
      <c r="SRS17" s="400"/>
      <c r="SRT17" s="400"/>
      <c r="SRU17" s="400"/>
      <c r="SRV17" s="400"/>
      <c r="SRW17" s="400"/>
      <c r="SRX17" s="400"/>
      <c r="SRY17" s="400"/>
      <c r="SRZ17" s="400"/>
      <c r="SSA17" s="400"/>
      <c r="SSB17" s="400"/>
      <c r="SSC17" s="400"/>
      <c r="SSD17" s="400"/>
      <c r="SSE17" s="400"/>
      <c r="SSF17" s="400"/>
      <c r="SSG17" s="400"/>
      <c r="SSH17" s="400"/>
      <c r="SSI17" s="400"/>
      <c r="SSJ17" s="400"/>
      <c r="SSK17" s="400"/>
      <c r="SSL17" s="400"/>
      <c r="SSM17" s="400"/>
      <c r="SSN17" s="400"/>
      <c r="SSO17" s="400"/>
      <c r="SSP17" s="400"/>
      <c r="SSQ17" s="400"/>
      <c r="SSR17" s="400"/>
      <c r="SSS17" s="400"/>
      <c r="SST17" s="400"/>
      <c r="SSU17" s="400"/>
      <c r="SSV17" s="400"/>
      <c r="SSW17" s="400"/>
      <c r="SSX17" s="400"/>
      <c r="SSY17" s="400"/>
      <c r="SSZ17" s="400"/>
      <c r="STA17" s="400"/>
      <c r="STB17" s="400"/>
      <c r="STC17" s="400"/>
      <c r="STD17" s="400"/>
      <c r="STE17" s="400"/>
      <c r="STF17" s="400"/>
      <c r="STG17" s="400"/>
      <c r="STH17" s="400"/>
      <c r="STI17" s="400"/>
      <c r="STJ17" s="400"/>
      <c r="STK17" s="400"/>
      <c r="STL17" s="400"/>
      <c r="STM17" s="400"/>
      <c r="STN17" s="400"/>
      <c r="STO17" s="400"/>
      <c r="STP17" s="400"/>
      <c r="STQ17" s="400"/>
      <c r="STR17" s="400"/>
      <c r="STS17" s="400"/>
      <c r="STT17" s="400"/>
      <c r="STU17" s="400"/>
      <c r="STV17" s="400"/>
      <c r="STW17" s="400"/>
      <c r="STX17" s="400"/>
      <c r="STY17" s="400"/>
      <c r="STZ17" s="400"/>
      <c r="SUA17" s="400"/>
      <c r="SUB17" s="400"/>
      <c r="SUC17" s="400"/>
      <c r="SUD17" s="400"/>
      <c r="SUE17" s="400"/>
      <c r="SUF17" s="400"/>
      <c r="SUG17" s="400"/>
      <c r="SUH17" s="400"/>
      <c r="SUI17" s="400"/>
      <c r="SUJ17" s="400"/>
      <c r="SUK17" s="400"/>
      <c r="SUL17" s="400"/>
      <c r="SUM17" s="400"/>
      <c r="SUN17" s="400"/>
      <c r="SUO17" s="400"/>
      <c r="SUP17" s="400"/>
      <c r="SUQ17" s="400"/>
      <c r="SUR17" s="400"/>
      <c r="SUS17" s="400"/>
      <c r="SUT17" s="400"/>
      <c r="SUU17" s="400"/>
      <c r="SUV17" s="400"/>
      <c r="SUW17" s="400"/>
      <c r="SUX17" s="400"/>
      <c r="SUY17" s="400"/>
      <c r="SUZ17" s="400"/>
      <c r="SVA17" s="400"/>
      <c r="SVB17" s="400"/>
      <c r="SVC17" s="400"/>
      <c r="SVD17" s="400"/>
      <c r="SVE17" s="400"/>
      <c r="SVF17" s="400"/>
      <c r="SVG17" s="400"/>
      <c r="SVH17" s="400"/>
      <c r="SVI17" s="400"/>
      <c r="SVJ17" s="400"/>
      <c r="SVK17" s="400"/>
      <c r="SVL17" s="400"/>
      <c r="SVM17" s="400"/>
      <c r="SVN17" s="400"/>
      <c r="SVO17" s="400"/>
      <c r="SVP17" s="400"/>
      <c r="SVQ17" s="400"/>
      <c r="SVR17" s="400"/>
      <c r="SVS17" s="400"/>
      <c r="SVT17" s="400"/>
      <c r="SVU17" s="400"/>
      <c r="SVV17" s="400"/>
      <c r="SVW17" s="400"/>
      <c r="SVX17" s="400"/>
      <c r="SVY17" s="400"/>
      <c r="SVZ17" s="400"/>
      <c r="SWA17" s="400"/>
      <c r="SWB17" s="400"/>
      <c r="SWC17" s="400"/>
      <c r="SWD17" s="400"/>
      <c r="SWE17" s="400"/>
      <c r="SWF17" s="400"/>
      <c r="SWG17" s="400"/>
      <c r="SWH17" s="400"/>
      <c r="SWI17" s="400"/>
      <c r="SWJ17" s="400"/>
      <c r="SWK17" s="400"/>
      <c r="SWL17" s="400"/>
      <c r="SWM17" s="400"/>
      <c r="SWN17" s="400"/>
      <c r="SWO17" s="400"/>
      <c r="SWP17" s="400"/>
      <c r="SWQ17" s="400"/>
      <c r="SWR17" s="400"/>
      <c r="SWS17" s="400"/>
      <c r="SWT17" s="400"/>
      <c r="SWU17" s="400"/>
      <c r="SWV17" s="400"/>
      <c r="SWW17" s="400"/>
      <c r="SWX17" s="400"/>
      <c r="SWY17" s="400"/>
      <c r="SWZ17" s="400"/>
      <c r="SXA17" s="400"/>
      <c r="SXB17" s="400"/>
      <c r="SXC17" s="400"/>
      <c r="SXD17" s="400"/>
      <c r="SXE17" s="400"/>
      <c r="SXF17" s="400"/>
      <c r="SXG17" s="400"/>
      <c r="SXH17" s="400"/>
      <c r="SXI17" s="400"/>
      <c r="SXJ17" s="400"/>
      <c r="SXK17" s="400"/>
      <c r="SXL17" s="400"/>
      <c r="SXM17" s="400"/>
      <c r="SXN17" s="400"/>
      <c r="SXO17" s="400"/>
      <c r="SXP17" s="400"/>
      <c r="SXQ17" s="400"/>
      <c r="SXR17" s="400"/>
      <c r="SXS17" s="400"/>
      <c r="SXT17" s="400"/>
      <c r="SXU17" s="400"/>
      <c r="SXV17" s="400"/>
      <c r="SXW17" s="400"/>
      <c r="SXX17" s="400"/>
      <c r="SXY17" s="400"/>
      <c r="SXZ17" s="400"/>
      <c r="SYA17" s="400"/>
      <c r="SYB17" s="400"/>
      <c r="SYC17" s="400"/>
      <c r="SYD17" s="400"/>
      <c r="SYE17" s="400"/>
      <c r="SYF17" s="400"/>
      <c r="SYG17" s="400"/>
      <c r="SYH17" s="400"/>
      <c r="SYI17" s="400"/>
      <c r="SYJ17" s="400"/>
      <c r="SYK17" s="400"/>
      <c r="SYL17" s="400"/>
      <c r="SYM17" s="400"/>
      <c r="SYN17" s="400"/>
      <c r="SYO17" s="400"/>
      <c r="SYP17" s="400"/>
      <c r="SYQ17" s="400"/>
      <c r="SYR17" s="400"/>
      <c r="SYS17" s="400"/>
      <c r="SYT17" s="400"/>
      <c r="SYU17" s="400"/>
      <c r="SYV17" s="400"/>
      <c r="SYW17" s="400"/>
      <c r="SYX17" s="400"/>
      <c r="SYY17" s="400"/>
      <c r="SYZ17" s="400"/>
      <c r="SZA17" s="400"/>
      <c r="SZB17" s="400"/>
      <c r="SZC17" s="400"/>
      <c r="SZD17" s="400"/>
      <c r="SZE17" s="400"/>
      <c r="SZF17" s="400"/>
      <c r="SZG17" s="400"/>
      <c r="SZH17" s="400"/>
      <c r="SZI17" s="400"/>
      <c r="SZJ17" s="400"/>
      <c r="SZK17" s="400"/>
      <c r="SZL17" s="400"/>
      <c r="SZM17" s="400"/>
      <c r="SZN17" s="400"/>
      <c r="SZO17" s="400"/>
      <c r="SZP17" s="400"/>
      <c r="SZQ17" s="400"/>
      <c r="SZR17" s="400"/>
      <c r="SZS17" s="400"/>
      <c r="SZT17" s="400"/>
      <c r="SZU17" s="400"/>
      <c r="SZV17" s="400"/>
      <c r="SZW17" s="400"/>
      <c r="SZX17" s="400"/>
      <c r="SZY17" s="400"/>
      <c r="SZZ17" s="400"/>
      <c r="TAA17" s="400"/>
      <c r="TAB17" s="400"/>
      <c r="TAC17" s="400"/>
      <c r="TAD17" s="400"/>
      <c r="TAE17" s="400"/>
      <c r="TAF17" s="400"/>
      <c r="TAG17" s="400"/>
      <c r="TAH17" s="400"/>
      <c r="TAI17" s="400"/>
      <c r="TAJ17" s="400"/>
      <c r="TAK17" s="400"/>
      <c r="TAL17" s="400"/>
      <c r="TAM17" s="400"/>
      <c r="TAN17" s="400"/>
      <c r="TAO17" s="400"/>
      <c r="TAP17" s="400"/>
      <c r="TAQ17" s="400"/>
      <c r="TAR17" s="400"/>
      <c r="TAS17" s="400"/>
      <c r="TAT17" s="400"/>
      <c r="TAU17" s="400"/>
      <c r="TAV17" s="400"/>
      <c r="TAW17" s="400"/>
      <c r="TAX17" s="400"/>
      <c r="TAY17" s="400"/>
      <c r="TAZ17" s="400"/>
      <c r="TBA17" s="400"/>
      <c r="TBB17" s="400"/>
      <c r="TBC17" s="400"/>
      <c r="TBD17" s="400"/>
      <c r="TBE17" s="400"/>
      <c r="TBF17" s="400"/>
      <c r="TBG17" s="400"/>
      <c r="TBH17" s="400"/>
      <c r="TBI17" s="400"/>
      <c r="TBJ17" s="400"/>
      <c r="TBK17" s="400"/>
      <c r="TBL17" s="400"/>
      <c r="TBM17" s="400"/>
      <c r="TBN17" s="400"/>
      <c r="TBO17" s="400"/>
      <c r="TBP17" s="400"/>
      <c r="TBQ17" s="400"/>
      <c r="TBR17" s="400"/>
      <c r="TBS17" s="400"/>
      <c r="TBT17" s="400"/>
      <c r="TBU17" s="400"/>
      <c r="TBV17" s="400"/>
      <c r="TBW17" s="400"/>
      <c r="TBX17" s="400"/>
      <c r="TBY17" s="400"/>
      <c r="TBZ17" s="400"/>
      <c r="TCA17" s="400"/>
      <c r="TCB17" s="400"/>
      <c r="TCC17" s="400"/>
      <c r="TCD17" s="400"/>
      <c r="TCE17" s="400"/>
      <c r="TCF17" s="400"/>
      <c r="TCG17" s="400"/>
      <c r="TCH17" s="400"/>
      <c r="TCI17" s="400"/>
      <c r="TCJ17" s="400"/>
      <c r="TCK17" s="400"/>
      <c r="TCL17" s="400"/>
      <c r="TCM17" s="400"/>
      <c r="TCN17" s="400"/>
      <c r="TCO17" s="400"/>
      <c r="TCP17" s="400"/>
      <c r="TCQ17" s="400"/>
      <c r="TCR17" s="400"/>
      <c r="TCS17" s="400"/>
      <c r="TCT17" s="400"/>
      <c r="TCU17" s="400"/>
      <c r="TCV17" s="400"/>
      <c r="TCW17" s="400"/>
      <c r="TCX17" s="400"/>
      <c r="TCY17" s="400"/>
      <c r="TCZ17" s="400"/>
      <c r="TDA17" s="400"/>
      <c r="TDB17" s="400"/>
      <c r="TDC17" s="400"/>
      <c r="TDD17" s="400"/>
      <c r="TDE17" s="400"/>
      <c r="TDF17" s="400"/>
      <c r="TDG17" s="400"/>
      <c r="TDH17" s="400"/>
      <c r="TDI17" s="400"/>
      <c r="TDJ17" s="400"/>
      <c r="TDK17" s="400"/>
      <c r="TDL17" s="400"/>
      <c r="TDM17" s="400"/>
      <c r="TDN17" s="400"/>
      <c r="TDO17" s="400"/>
      <c r="TDP17" s="400"/>
      <c r="TDQ17" s="400"/>
      <c r="TDR17" s="400"/>
      <c r="TDS17" s="400"/>
      <c r="TDT17" s="400"/>
      <c r="TDU17" s="400"/>
      <c r="TDV17" s="400"/>
      <c r="TDW17" s="400"/>
      <c r="TDX17" s="400"/>
      <c r="TDY17" s="400"/>
      <c r="TDZ17" s="400"/>
      <c r="TEA17" s="400"/>
      <c r="TEB17" s="400"/>
      <c r="TEC17" s="400"/>
      <c r="TED17" s="400"/>
      <c r="TEE17" s="400"/>
      <c r="TEF17" s="400"/>
      <c r="TEG17" s="400"/>
      <c r="TEH17" s="400"/>
      <c r="TEI17" s="400"/>
      <c r="TEJ17" s="400"/>
      <c r="TEK17" s="400"/>
      <c r="TEL17" s="400"/>
      <c r="TEM17" s="400"/>
      <c r="TEN17" s="400"/>
      <c r="TEO17" s="400"/>
      <c r="TEP17" s="400"/>
      <c r="TEQ17" s="400"/>
      <c r="TER17" s="400"/>
      <c r="TES17" s="400"/>
      <c r="TET17" s="400"/>
      <c r="TEU17" s="400"/>
      <c r="TEV17" s="400"/>
      <c r="TEW17" s="400"/>
      <c r="TEX17" s="400"/>
      <c r="TEY17" s="400"/>
      <c r="TEZ17" s="400"/>
      <c r="TFA17" s="400"/>
      <c r="TFB17" s="400"/>
      <c r="TFC17" s="400"/>
      <c r="TFD17" s="400"/>
      <c r="TFE17" s="400"/>
      <c r="TFF17" s="400"/>
      <c r="TFG17" s="400"/>
      <c r="TFH17" s="400"/>
      <c r="TFI17" s="400"/>
      <c r="TFJ17" s="400"/>
      <c r="TFK17" s="400"/>
      <c r="TFL17" s="400"/>
      <c r="TFM17" s="400"/>
      <c r="TFN17" s="400"/>
      <c r="TFO17" s="400"/>
      <c r="TFP17" s="400"/>
      <c r="TFQ17" s="400"/>
      <c r="TFR17" s="400"/>
      <c r="TFS17" s="400"/>
      <c r="TFT17" s="400"/>
      <c r="TFU17" s="400"/>
      <c r="TFV17" s="400"/>
      <c r="TFW17" s="400"/>
      <c r="TFX17" s="400"/>
      <c r="TFY17" s="400"/>
      <c r="TFZ17" s="400"/>
      <c r="TGA17" s="400"/>
      <c r="TGB17" s="400"/>
      <c r="TGC17" s="400"/>
      <c r="TGD17" s="400"/>
      <c r="TGE17" s="400"/>
      <c r="TGF17" s="400"/>
      <c r="TGG17" s="400"/>
      <c r="TGH17" s="400"/>
      <c r="TGI17" s="400"/>
      <c r="TGJ17" s="400"/>
      <c r="TGK17" s="400"/>
      <c r="TGL17" s="400"/>
      <c r="TGM17" s="400"/>
      <c r="TGN17" s="400"/>
      <c r="TGO17" s="400"/>
      <c r="TGP17" s="400"/>
      <c r="TGQ17" s="400"/>
      <c r="TGR17" s="400"/>
      <c r="TGS17" s="400"/>
      <c r="TGT17" s="400"/>
      <c r="TGU17" s="400"/>
      <c r="TGV17" s="400"/>
      <c r="TGW17" s="400"/>
      <c r="TGX17" s="400"/>
      <c r="TGY17" s="400"/>
      <c r="TGZ17" s="400"/>
      <c r="THA17" s="400"/>
      <c r="THB17" s="400"/>
      <c r="THC17" s="400"/>
      <c r="THD17" s="400"/>
      <c r="THE17" s="400"/>
      <c r="THF17" s="400"/>
      <c r="THG17" s="400"/>
      <c r="THH17" s="400"/>
      <c r="THI17" s="400"/>
      <c r="THJ17" s="400"/>
      <c r="THK17" s="400"/>
      <c r="THL17" s="400"/>
      <c r="THM17" s="400"/>
      <c r="THN17" s="400"/>
      <c r="THO17" s="400"/>
      <c r="THP17" s="400"/>
      <c r="THQ17" s="400"/>
      <c r="THR17" s="400"/>
      <c r="THS17" s="400"/>
      <c r="THT17" s="400"/>
      <c r="THU17" s="400"/>
      <c r="THV17" s="400"/>
      <c r="THW17" s="400"/>
      <c r="THX17" s="400"/>
      <c r="THY17" s="400"/>
      <c r="THZ17" s="400"/>
      <c r="TIA17" s="400"/>
      <c r="TIB17" s="400"/>
      <c r="TIC17" s="400"/>
      <c r="TID17" s="400"/>
      <c r="TIE17" s="400"/>
      <c r="TIF17" s="400"/>
      <c r="TIG17" s="400"/>
      <c r="TIH17" s="400"/>
      <c r="TII17" s="400"/>
      <c r="TIJ17" s="400"/>
      <c r="TIK17" s="400"/>
      <c r="TIL17" s="400"/>
      <c r="TIM17" s="400"/>
      <c r="TIN17" s="400"/>
      <c r="TIO17" s="400"/>
      <c r="TIP17" s="400"/>
      <c r="TIQ17" s="400"/>
      <c r="TIR17" s="400"/>
      <c r="TIS17" s="400"/>
      <c r="TIT17" s="400"/>
      <c r="TIU17" s="400"/>
      <c r="TIV17" s="400"/>
      <c r="TIW17" s="400"/>
      <c r="TIX17" s="400"/>
      <c r="TIY17" s="400"/>
      <c r="TIZ17" s="400"/>
      <c r="TJA17" s="400"/>
      <c r="TJB17" s="400"/>
      <c r="TJC17" s="400"/>
      <c r="TJD17" s="400"/>
      <c r="TJE17" s="400"/>
      <c r="TJF17" s="400"/>
      <c r="TJG17" s="400"/>
      <c r="TJH17" s="400"/>
      <c r="TJI17" s="400"/>
      <c r="TJJ17" s="400"/>
      <c r="TJK17" s="400"/>
      <c r="TJL17" s="400"/>
      <c r="TJM17" s="400"/>
      <c r="TJN17" s="400"/>
      <c r="TJO17" s="400"/>
      <c r="TJP17" s="400"/>
      <c r="TJQ17" s="400"/>
      <c r="TJR17" s="400"/>
      <c r="TJS17" s="400"/>
      <c r="TJT17" s="400"/>
      <c r="TJU17" s="400"/>
      <c r="TJV17" s="400"/>
      <c r="TJW17" s="400"/>
      <c r="TJX17" s="400"/>
      <c r="TJY17" s="400"/>
      <c r="TJZ17" s="400"/>
      <c r="TKA17" s="400"/>
      <c r="TKB17" s="400"/>
      <c r="TKC17" s="400"/>
      <c r="TKD17" s="400"/>
      <c r="TKE17" s="400"/>
      <c r="TKF17" s="400"/>
      <c r="TKG17" s="400"/>
      <c r="TKH17" s="400"/>
      <c r="TKI17" s="400"/>
      <c r="TKJ17" s="400"/>
      <c r="TKK17" s="400"/>
      <c r="TKL17" s="400"/>
      <c r="TKM17" s="400"/>
      <c r="TKN17" s="400"/>
      <c r="TKO17" s="400"/>
      <c r="TKP17" s="400"/>
      <c r="TKQ17" s="400"/>
      <c r="TKR17" s="400"/>
      <c r="TKS17" s="400"/>
      <c r="TKT17" s="400"/>
      <c r="TKU17" s="400"/>
      <c r="TKV17" s="400"/>
      <c r="TKW17" s="400"/>
      <c r="TKX17" s="400"/>
      <c r="TKY17" s="400"/>
      <c r="TKZ17" s="400"/>
      <c r="TLA17" s="400"/>
      <c r="TLB17" s="400"/>
      <c r="TLC17" s="400"/>
      <c r="TLD17" s="400"/>
      <c r="TLE17" s="400"/>
      <c r="TLF17" s="400"/>
      <c r="TLG17" s="400"/>
      <c r="TLH17" s="400"/>
      <c r="TLI17" s="400"/>
      <c r="TLJ17" s="400"/>
      <c r="TLK17" s="400"/>
      <c r="TLL17" s="400"/>
      <c r="TLM17" s="400"/>
      <c r="TLN17" s="400"/>
      <c r="TLO17" s="400"/>
      <c r="TLP17" s="400"/>
      <c r="TLQ17" s="400"/>
      <c r="TLR17" s="400"/>
      <c r="TLS17" s="400"/>
      <c r="TLT17" s="400"/>
      <c r="TLU17" s="400"/>
      <c r="TLV17" s="400"/>
      <c r="TLW17" s="400"/>
      <c r="TLX17" s="400"/>
      <c r="TLY17" s="400"/>
      <c r="TLZ17" s="400"/>
      <c r="TMA17" s="400"/>
      <c r="TMB17" s="400"/>
      <c r="TMC17" s="400"/>
      <c r="TMD17" s="400"/>
      <c r="TME17" s="400"/>
      <c r="TMF17" s="400"/>
      <c r="TMG17" s="400"/>
      <c r="TMH17" s="400"/>
      <c r="TMI17" s="400"/>
      <c r="TMJ17" s="400"/>
      <c r="TMK17" s="400"/>
      <c r="TML17" s="400"/>
      <c r="TMM17" s="400"/>
      <c r="TMN17" s="400"/>
      <c r="TMO17" s="400"/>
      <c r="TMP17" s="400"/>
      <c r="TMQ17" s="400"/>
      <c r="TMR17" s="400"/>
      <c r="TMS17" s="400"/>
      <c r="TMT17" s="400"/>
      <c r="TMU17" s="400"/>
      <c r="TMV17" s="400"/>
      <c r="TMW17" s="400"/>
      <c r="TMX17" s="400"/>
      <c r="TMY17" s="400"/>
      <c r="TMZ17" s="400"/>
      <c r="TNA17" s="400"/>
      <c r="TNB17" s="400"/>
      <c r="TNC17" s="400"/>
      <c r="TND17" s="400"/>
      <c r="TNE17" s="400"/>
      <c r="TNF17" s="400"/>
      <c r="TNG17" s="400"/>
      <c r="TNH17" s="400"/>
      <c r="TNI17" s="400"/>
      <c r="TNJ17" s="400"/>
      <c r="TNK17" s="400"/>
      <c r="TNL17" s="400"/>
      <c r="TNM17" s="400"/>
      <c r="TNN17" s="400"/>
      <c r="TNO17" s="400"/>
      <c r="TNP17" s="400"/>
      <c r="TNQ17" s="400"/>
      <c r="TNR17" s="400"/>
      <c r="TNS17" s="400"/>
      <c r="TNT17" s="400"/>
      <c r="TNU17" s="400"/>
      <c r="TNV17" s="400"/>
      <c r="TNW17" s="400"/>
      <c r="TNX17" s="400"/>
      <c r="TNY17" s="400"/>
      <c r="TNZ17" s="400"/>
      <c r="TOA17" s="400"/>
      <c r="TOB17" s="400"/>
      <c r="TOC17" s="400"/>
      <c r="TOD17" s="400"/>
      <c r="TOE17" s="400"/>
      <c r="TOF17" s="400"/>
      <c r="TOG17" s="400"/>
      <c r="TOH17" s="400"/>
      <c r="TOI17" s="400"/>
      <c r="TOJ17" s="400"/>
      <c r="TOK17" s="400"/>
      <c r="TOL17" s="400"/>
      <c r="TOM17" s="400"/>
      <c r="TON17" s="400"/>
      <c r="TOO17" s="400"/>
      <c r="TOP17" s="400"/>
      <c r="TOQ17" s="400"/>
      <c r="TOR17" s="400"/>
      <c r="TOS17" s="400"/>
      <c r="TOT17" s="400"/>
      <c r="TOU17" s="400"/>
      <c r="TOV17" s="400"/>
      <c r="TOW17" s="400"/>
      <c r="TOX17" s="400"/>
      <c r="TOY17" s="400"/>
      <c r="TOZ17" s="400"/>
      <c r="TPA17" s="400"/>
      <c r="TPB17" s="400"/>
      <c r="TPC17" s="400"/>
      <c r="TPD17" s="400"/>
      <c r="TPE17" s="400"/>
      <c r="TPF17" s="400"/>
      <c r="TPG17" s="400"/>
      <c r="TPH17" s="400"/>
      <c r="TPI17" s="400"/>
      <c r="TPJ17" s="400"/>
      <c r="TPK17" s="400"/>
      <c r="TPL17" s="400"/>
      <c r="TPM17" s="400"/>
      <c r="TPN17" s="400"/>
      <c r="TPO17" s="400"/>
      <c r="TPP17" s="400"/>
      <c r="TPQ17" s="400"/>
      <c r="TPR17" s="400"/>
      <c r="TPS17" s="400"/>
      <c r="TPT17" s="400"/>
      <c r="TPU17" s="400"/>
      <c r="TPV17" s="400"/>
      <c r="TPW17" s="400"/>
      <c r="TPX17" s="400"/>
      <c r="TPY17" s="400"/>
      <c r="TPZ17" s="400"/>
      <c r="TQA17" s="400"/>
      <c r="TQB17" s="400"/>
      <c r="TQC17" s="400"/>
      <c r="TQD17" s="400"/>
      <c r="TQE17" s="400"/>
      <c r="TQF17" s="400"/>
      <c r="TQG17" s="400"/>
      <c r="TQH17" s="400"/>
      <c r="TQI17" s="400"/>
      <c r="TQJ17" s="400"/>
      <c r="TQK17" s="400"/>
      <c r="TQL17" s="400"/>
      <c r="TQM17" s="400"/>
      <c r="TQN17" s="400"/>
      <c r="TQO17" s="400"/>
      <c r="TQP17" s="400"/>
      <c r="TQQ17" s="400"/>
      <c r="TQR17" s="400"/>
      <c r="TQS17" s="400"/>
      <c r="TQT17" s="400"/>
      <c r="TQU17" s="400"/>
      <c r="TQV17" s="400"/>
      <c r="TQW17" s="400"/>
      <c r="TQX17" s="400"/>
      <c r="TQY17" s="400"/>
      <c r="TQZ17" s="400"/>
      <c r="TRA17" s="400"/>
      <c r="TRB17" s="400"/>
      <c r="TRC17" s="400"/>
      <c r="TRD17" s="400"/>
      <c r="TRE17" s="400"/>
      <c r="TRF17" s="400"/>
      <c r="TRG17" s="400"/>
      <c r="TRH17" s="400"/>
      <c r="TRI17" s="400"/>
      <c r="TRJ17" s="400"/>
      <c r="TRK17" s="400"/>
      <c r="TRL17" s="400"/>
      <c r="TRM17" s="400"/>
      <c r="TRN17" s="400"/>
      <c r="TRO17" s="400"/>
      <c r="TRP17" s="400"/>
      <c r="TRQ17" s="400"/>
      <c r="TRR17" s="400"/>
      <c r="TRS17" s="400"/>
      <c r="TRT17" s="400"/>
      <c r="TRU17" s="400"/>
      <c r="TRV17" s="400"/>
      <c r="TRW17" s="400"/>
      <c r="TRX17" s="400"/>
      <c r="TRY17" s="400"/>
      <c r="TRZ17" s="400"/>
      <c r="TSA17" s="400"/>
      <c r="TSB17" s="400"/>
      <c r="TSC17" s="400"/>
      <c r="TSD17" s="400"/>
      <c r="TSE17" s="400"/>
      <c r="TSF17" s="400"/>
      <c r="TSG17" s="400"/>
      <c r="TSH17" s="400"/>
      <c r="TSI17" s="400"/>
      <c r="TSJ17" s="400"/>
      <c r="TSK17" s="400"/>
      <c r="TSL17" s="400"/>
      <c r="TSM17" s="400"/>
      <c r="TSN17" s="400"/>
      <c r="TSO17" s="400"/>
      <c r="TSP17" s="400"/>
      <c r="TSQ17" s="400"/>
      <c r="TSR17" s="400"/>
      <c r="TSS17" s="400"/>
      <c r="TST17" s="400"/>
      <c r="TSU17" s="400"/>
      <c r="TSV17" s="400"/>
      <c r="TSW17" s="400"/>
      <c r="TSX17" s="400"/>
      <c r="TSY17" s="400"/>
      <c r="TSZ17" s="400"/>
      <c r="TTA17" s="400"/>
      <c r="TTB17" s="400"/>
      <c r="TTC17" s="400"/>
      <c r="TTD17" s="400"/>
      <c r="TTE17" s="400"/>
      <c r="TTF17" s="400"/>
      <c r="TTG17" s="400"/>
      <c r="TTH17" s="400"/>
      <c r="TTI17" s="400"/>
      <c r="TTJ17" s="400"/>
      <c r="TTK17" s="400"/>
      <c r="TTL17" s="400"/>
      <c r="TTM17" s="400"/>
      <c r="TTN17" s="400"/>
      <c r="TTO17" s="400"/>
      <c r="TTP17" s="400"/>
      <c r="TTQ17" s="400"/>
      <c r="TTR17" s="400"/>
      <c r="TTS17" s="400"/>
      <c r="TTT17" s="400"/>
      <c r="TTU17" s="400"/>
      <c r="TTV17" s="400"/>
      <c r="TTW17" s="400"/>
      <c r="TTX17" s="400"/>
      <c r="TTY17" s="400"/>
      <c r="TTZ17" s="400"/>
      <c r="TUA17" s="400"/>
      <c r="TUB17" s="400"/>
      <c r="TUC17" s="400"/>
      <c r="TUD17" s="400"/>
      <c r="TUE17" s="400"/>
      <c r="TUF17" s="400"/>
      <c r="TUG17" s="400"/>
      <c r="TUH17" s="400"/>
      <c r="TUI17" s="400"/>
      <c r="TUJ17" s="400"/>
      <c r="TUK17" s="400"/>
      <c r="TUL17" s="400"/>
      <c r="TUM17" s="400"/>
      <c r="TUN17" s="400"/>
      <c r="TUO17" s="400"/>
      <c r="TUP17" s="400"/>
      <c r="TUQ17" s="400"/>
      <c r="TUR17" s="400"/>
      <c r="TUS17" s="400"/>
      <c r="TUT17" s="400"/>
      <c r="TUU17" s="400"/>
      <c r="TUV17" s="400"/>
      <c r="TUW17" s="400"/>
      <c r="TUX17" s="400"/>
      <c r="TUY17" s="400"/>
      <c r="TUZ17" s="400"/>
      <c r="TVA17" s="400"/>
      <c r="TVB17" s="400"/>
      <c r="TVC17" s="400"/>
      <c r="TVD17" s="400"/>
      <c r="TVE17" s="400"/>
      <c r="TVF17" s="400"/>
      <c r="TVG17" s="400"/>
      <c r="TVH17" s="400"/>
      <c r="TVI17" s="400"/>
      <c r="TVJ17" s="400"/>
      <c r="TVK17" s="400"/>
      <c r="TVL17" s="400"/>
      <c r="TVM17" s="400"/>
      <c r="TVN17" s="400"/>
      <c r="TVO17" s="400"/>
      <c r="TVP17" s="400"/>
      <c r="TVQ17" s="400"/>
      <c r="TVR17" s="400"/>
      <c r="TVS17" s="400"/>
      <c r="TVT17" s="400"/>
      <c r="TVU17" s="400"/>
      <c r="TVV17" s="400"/>
      <c r="TVW17" s="400"/>
      <c r="TVX17" s="400"/>
      <c r="TVY17" s="400"/>
      <c r="TVZ17" s="400"/>
      <c r="TWA17" s="400"/>
      <c r="TWB17" s="400"/>
      <c r="TWC17" s="400"/>
      <c r="TWD17" s="400"/>
      <c r="TWE17" s="400"/>
      <c r="TWF17" s="400"/>
      <c r="TWG17" s="400"/>
      <c r="TWH17" s="400"/>
      <c r="TWI17" s="400"/>
      <c r="TWJ17" s="400"/>
      <c r="TWK17" s="400"/>
      <c r="TWL17" s="400"/>
      <c r="TWM17" s="400"/>
      <c r="TWN17" s="400"/>
      <c r="TWO17" s="400"/>
      <c r="TWP17" s="400"/>
      <c r="TWQ17" s="400"/>
      <c r="TWR17" s="400"/>
      <c r="TWS17" s="400"/>
      <c r="TWT17" s="400"/>
      <c r="TWU17" s="400"/>
      <c r="TWV17" s="400"/>
      <c r="TWW17" s="400"/>
      <c r="TWX17" s="400"/>
      <c r="TWY17" s="400"/>
      <c r="TWZ17" s="400"/>
      <c r="TXA17" s="400"/>
      <c r="TXB17" s="400"/>
      <c r="TXC17" s="400"/>
      <c r="TXD17" s="400"/>
      <c r="TXE17" s="400"/>
      <c r="TXF17" s="400"/>
      <c r="TXG17" s="400"/>
      <c r="TXH17" s="400"/>
      <c r="TXI17" s="400"/>
      <c r="TXJ17" s="400"/>
      <c r="TXK17" s="400"/>
      <c r="TXL17" s="400"/>
      <c r="TXM17" s="400"/>
      <c r="TXN17" s="400"/>
      <c r="TXO17" s="400"/>
      <c r="TXP17" s="400"/>
      <c r="TXQ17" s="400"/>
      <c r="TXR17" s="400"/>
      <c r="TXS17" s="400"/>
      <c r="TXT17" s="400"/>
      <c r="TXU17" s="400"/>
      <c r="TXV17" s="400"/>
      <c r="TXW17" s="400"/>
      <c r="TXX17" s="400"/>
      <c r="TXY17" s="400"/>
      <c r="TXZ17" s="400"/>
      <c r="TYA17" s="400"/>
      <c r="TYB17" s="400"/>
      <c r="TYC17" s="400"/>
      <c r="TYD17" s="400"/>
      <c r="TYE17" s="400"/>
      <c r="TYF17" s="400"/>
      <c r="TYG17" s="400"/>
      <c r="TYH17" s="400"/>
      <c r="TYI17" s="400"/>
      <c r="TYJ17" s="400"/>
      <c r="TYK17" s="400"/>
      <c r="TYL17" s="400"/>
      <c r="TYM17" s="400"/>
      <c r="TYN17" s="400"/>
      <c r="TYO17" s="400"/>
      <c r="TYP17" s="400"/>
      <c r="TYQ17" s="400"/>
      <c r="TYR17" s="400"/>
      <c r="TYS17" s="400"/>
      <c r="TYT17" s="400"/>
      <c r="TYU17" s="400"/>
      <c r="TYV17" s="400"/>
      <c r="TYW17" s="400"/>
      <c r="TYX17" s="400"/>
      <c r="TYY17" s="400"/>
      <c r="TYZ17" s="400"/>
      <c r="TZA17" s="400"/>
      <c r="TZB17" s="400"/>
      <c r="TZC17" s="400"/>
      <c r="TZD17" s="400"/>
      <c r="TZE17" s="400"/>
      <c r="TZF17" s="400"/>
      <c r="TZG17" s="400"/>
      <c r="TZH17" s="400"/>
      <c r="TZI17" s="400"/>
      <c r="TZJ17" s="400"/>
      <c r="TZK17" s="400"/>
      <c r="TZL17" s="400"/>
      <c r="TZM17" s="400"/>
      <c r="TZN17" s="400"/>
      <c r="TZO17" s="400"/>
      <c r="TZP17" s="400"/>
      <c r="TZQ17" s="400"/>
      <c r="TZR17" s="400"/>
      <c r="TZS17" s="400"/>
      <c r="TZT17" s="400"/>
      <c r="TZU17" s="400"/>
      <c r="TZV17" s="400"/>
      <c r="TZW17" s="400"/>
      <c r="TZX17" s="400"/>
      <c r="TZY17" s="400"/>
      <c r="TZZ17" s="400"/>
      <c r="UAA17" s="400"/>
      <c r="UAB17" s="400"/>
      <c r="UAC17" s="400"/>
      <c r="UAD17" s="400"/>
      <c r="UAE17" s="400"/>
      <c r="UAF17" s="400"/>
      <c r="UAG17" s="400"/>
      <c r="UAH17" s="400"/>
      <c r="UAI17" s="400"/>
      <c r="UAJ17" s="400"/>
      <c r="UAK17" s="400"/>
      <c r="UAL17" s="400"/>
      <c r="UAM17" s="400"/>
      <c r="UAN17" s="400"/>
      <c r="UAO17" s="400"/>
      <c r="UAP17" s="400"/>
      <c r="UAQ17" s="400"/>
      <c r="UAR17" s="400"/>
      <c r="UAS17" s="400"/>
      <c r="UAT17" s="400"/>
      <c r="UAU17" s="400"/>
      <c r="UAV17" s="400"/>
      <c r="UAW17" s="400"/>
      <c r="UAX17" s="400"/>
      <c r="UAY17" s="400"/>
      <c r="UAZ17" s="400"/>
      <c r="UBA17" s="400"/>
      <c r="UBB17" s="400"/>
      <c r="UBC17" s="400"/>
      <c r="UBD17" s="400"/>
      <c r="UBE17" s="400"/>
      <c r="UBF17" s="400"/>
      <c r="UBG17" s="400"/>
      <c r="UBH17" s="400"/>
      <c r="UBI17" s="400"/>
      <c r="UBJ17" s="400"/>
      <c r="UBK17" s="400"/>
      <c r="UBL17" s="400"/>
      <c r="UBM17" s="400"/>
      <c r="UBN17" s="400"/>
      <c r="UBO17" s="400"/>
      <c r="UBP17" s="400"/>
      <c r="UBQ17" s="400"/>
      <c r="UBR17" s="400"/>
      <c r="UBS17" s="400"/>
      <c r="UBT17" s="400"/>
      <c r="UBU17" s="400"/>
      <c r="UBV17" s="400"/>
      <c r="UBW17" s="400"/>
      <c r="UBX17" s="400"/>
      <c r="UBY17" s="400"/>
      <c r="UBZ17" s="400"/>
      <c r="UCA17" s="400"/>
      <c r="UCB17" s="400"/>
      <c r="UCC17" s="400"/>
      <c r="UCD17" s="400"/>
      <c r="UCE17" s="400"/>
      <c r="UCF17" s="400"/>
      <c r="UCG17" s="400"/>
      <c r="UCH17" s="400"/>
      <c r="UCI17" s="400"/>
      <c r="UCJ17" s="400"/>
      <c r="UCK17" s="400"/>
      <c r="UCL17" s="400"/>
      <c r="UCM17" s="400"/>
      <c r="UCN17" s="400"/>
      <c r="UCO17" s="400"/>
      <c r="UCP17" s="400"/>
      <c r="UCQ17" s="400"/>
      <c r="UCR17" s="400"/>
      <c r="UCS17" s="400"/>
      <c r="UCT17" s="400"/>
      <c r="UCU17" s="400"/>
      <c r="UCV17" s="400"/>
      <c r="UCW17" s="400"/>
      <c r="UCX17" s="400"/>
      <c r="UCY17" s="400"/>
      <c r="UCZ17" s="400"/>
      <c r="UDA17" s="400"/>
      <c r="UDB17" s="400"/>
      <c r="UDC17" s="400"/>
      <c r="UDD17" s="400"/>
      <c r="UDE17" s="400"/>
      <c r="UDF17" s="400"/>
      <c r="UDG17" s="400"/>
      <c r="UDH17" s="400"/>
      <c r="UDI17" s="400"/>
      <c r="UDJ17" s="400"/>
      <c r="UDK17" s="400"/>
      <c r="UDL17" s="400"/>
      <c r="UDM17" s="400"/>
      <c r="UDN17" s="400"/>
      <c r="UDO17" s="400"/>
      <c r="UDP17" s="400"/>
      <c r="UDQ17" s="400"/>
      <c r="UDR17" s="400"/>
      <c r="UDS17" s="400"/>
      <c r="UDT17" s="400"/>
      <c r="UDU17" s="400"/>
      <c r="UDV17" s="400"/>
      <c r="UDW17" s="400"/>
      <c r="UDX17" s="400"/>
      <c r="UDY17" s="400"/>
      <c r="UDZ17" s="400"/>
      <c r="UEA17" s="400"/>
      <c r="UEB17" s="400"/>
      <c r="UEC17" s="400"/>
      <c r="UED17" s="400"/>
      <c r="UEE17" s="400"/>
      <c r="UEF17" s="400"/>
      <c r="UEG17" s="400"/>
      <c r="UEH17" s="400"/>
      <c r="UEI17" s="400"/>
      <c r="UEJ17" s="400"/>
      <c r="UEK17" s="400"/>
      <c r="UEL17" s="400"/>
      <c r="UEM17" s="400"/>
      <c r="UEN17" s="400"/>
      <c r="UEO17" s="400"/>
      <c r="UEP17" s="400"/>
      <c r="UEQ17" s="400"/>
      <c r="UER17" s="400"/>
      <c r="UES17" s="400"/>
      <c r="UET17" s="400"/>
      <c r="UEU17" s="400"/>
      <c r="UEV17" s="400"/>
      <c r="UEW17" s="400"/>
      <c r="UEX17" s="400"/>
      <c r="UEY17" s="400"/>
      <c r="UEZ17" s="400"/>
      <c r="UFA17" s="400"/>
      <c r="UFB17" s="400"/>
      <c r="UFC17" s="400"/>
      <c r="UFD17" s="400"/>
      <c r="UFE17" s="400"/>
      <c r="UFF17" s="400"/>
      <c r="UFG17" s="400"/>
      <c r="UFH17" s="400"/>
      <c r="UFI17" s="400"/>
      <c r="UFJ17" s="400"/>
      <c r="UFK17" s="400"/>
      <c r="UFL17" s="400"/>
      <c r="UFM17" s="400"/>
      <c r="UFN17" s="400"/>
      <c r="UFO17" s="400"/>
      <c r="UFP17" s="400"/>
      <c r="UFQ17" s="400"/>
      <c r="UFR17" s="400"/>
      <c r="UFS17" s="400"/>
      <c r="UFT17" s="400"/>
      <c r="UFU17" s="400"/>
      <c r="UFV17" s="400"/>
      <c r="UFW17" s="400"/>
      <c r="UFX17" s="400"/>
      <c r="UFY17" s="400"/>
      <c r="UFZ17" s="400"/>
      <c r="UGA17" s="400"/>
      <c r="UGB17" s="400"/>
      <c r="UGC17" s="400"/>
      <c r="UGD17" s="400"/>
      <c r="UGE17" s="400"/>
      <c r="UGF17" s="400"/>
      <c r="UGG17" s="400"/>
      <c r="UGH17" s="400"/>
      <c r="UGI17" s="400"/>
      <c r="UGJ17" s="400"/>
      <c r="UGK17" s="400"/>
      <c r="UGL17" s="400"/>
      <c r="UGM17" s="400"/>
      <c r="UGN17" s="400"/>
      <c r="UGO17" s="400"/>
      <c r="UGP17" s="400"/>
      <c r="UGQ17" s="400"/>
      <c r="UGR17" s="400"/>
      <c r="UGS17" s="400"/>
      <c r="UGT17" s="400"/>
      <c r="UGU17" s="400"/>
      <c r="UGV17" s="400"/>
      <c r="UGW17" s="400"/>
      <c r="UGX17" s="400"/>
      <c r="UGY17" s="400"/>
      <c r="UGZ17" s="400"/>
      <c r="UHA17" s="400"/>
      <c r="UHB17" s="400"/>
      <c r="UHC17" s="400"/>
      <c r="UHD17" s="400"/>
      <c r="UHE17" s="400"/>
      <c r="UHF17" s="400"/>
      <c r="UHG17" s="400"/>
      <c r="UHH17" s="400"/>
      <c r="UHI17" s="400"/>
      <c r="UHJ17" s="400"/>
      <c r="UHK17" s="400"/>
      <c r="UHL17" s="400"/>
      <c r="UHM17" s="400"/>
      <c r="UHN17" s="400"/>
      <c r="UHO17" s="400"/>
      <c r="UHP17" s="400"/>
      <c r="UHQ17" s="400"/>
      <c r="UHR17" s="400"/>
      <c r="UHS17" s="400"/>
      <c r="UHT17" s="400"/>
      <c r="UHU17" s="400"/>
      <c r="UHV17" s="400"/>
      <c r="UHW17" s="400"/>
      <c r="UHX17" s="400"/>
      <c r="UHY17" s="400"/>
      <c r="UHZ17" s="400"/>
      <c r="UIA17" s="400"/>
      <c r="UIB17" s="400"/>
      <c r="UIC17" s="400"/>
      <c r="UID17" s="400"/>
      <c r="UIE17" s="400"/>
      <c r="UIF17" s="400"/>
      <c r="UIG17" s="400"/>
      <c r="UIH17" s="400"/>
      <c r="UII17" s="400"/>
      <c r="UIJ17" s="400"/>
      <c r="UIK17" s="400"/>
      <c r="UIL17" s="400"/>
      <c r="UIM17" s="400"/>
      <c r="UIN17" s="400"/>
      <c r="UIO17" s="400"/>
      <c r="UIP17" s="400"/>
      <c r="UIQ17" s="400"/>
      <c r="UIR17" s="400"/>
      <c r="UIS17" s="400"/>
      <c r="UIT17" s="400"/>
      <c r="UIU17" s="400"/>
      <c r="UIV17" s="400"/>
      <c r="UIW17" s="400"/>
      <c r="UIX17" s="400"/>
      <c r="UIY17" s="400"/>
      <c r="UIZ17" s="400"/>
      <c r="UJA17" s="400"/>
      <c r="UJB17" s="400"/>
      <c r="UJC17" s="400"/>
      <c r="UJD17" s="400"/>
      <c r="UJE17" s="400"/>
      <c r="UJF17" s="400"/>
      <c r="UJG17" s="400"/>
      <c r="UJH17" s="400"/>
      <c r="UJI17" s="400"/>
      <c r="UJJ17" s="400"/>
      <c r="UJK17" s="400"/>
      <c r="UJL17" s="400"/>
      <c r="UJM17" s="400"/>
      <c r="UJN17" s="400"/>
      <c r="UJO17" s="400"/>
      <c r="UJP17" s="400"/>
      <c r="UJQ17" s="400"/>
      <c r="UJR17" s="400"/>
      <c r="UJS17" s="400"/>
      <c r="UJT17" s="400"/>
      <c r="UJU17" s="400"/>
      <c r="UJV17" s="400"/>
      <c r="UJW17" s="400"/>
      <c r="UJX17" s="400"/>
      <c r="UJY17" s="400"/>
      <c r="UJZ17" s="400"/>
      <c r="UKA17" s="400"/>
      <c r="UKB17" s="400"/>
      <c r="UKC17" s="400"/>
      <c r="UKD17" s="400"/>
      <c r="UKE17" s="400"/>
      <c r="UKF17" s="400"/>
      <c r="UKG17" s="400"/>
      <c r="UKH17" s="400"/>
      <c r="UKI17" s="400"/>
      <c r="UKJ17" s="400"/>
      <c r="UKK17" s="400"/>
      <c r="UKL17" s="400"/>
      <c r="UKM17" s="400"/>
      <c r="UKN17" s="400"/>
      <c r="UKO17" s="400"/>
      <c r="UKP17" s="400"/>
      <c r="UKQ17" s="400"/>
      <c r="UKR17" s="400"/>
      <c r="UKS17" s="400"/>
      <c r="UKT17" s="400"/>
      <c r="UKU17" s="400"/>
      <c r="UKV17" s="400"/>
      <c r="UKW17" s="400"/>
      <c r="UKX17" s="400"/>
      <c r="UKY17" s="400"/>
      <c r="UKZ17" s="400"/>
      <c r="ULA17" s="400"/>
      <c r="ULB17" s="400"/>
      <c r="ULC17" s="400"/>
      <c r="ULD17" s="400"/>
      <c r="ULE17" s="400"/>
      <c r="ULF17" s="400"/>
      <c r="ULG17" s="400"/>
      <c r="ULH17" s="400"/>
      <c r="ULI17" s="400"/>
      <c r="ULJ17" s="400"/>
      <c r="ULK17" s="400"/>
      <c r="ULL17" s="400"/>
      <c r="ULM17" s="400"/>
      <c r="ULN17" s="400"/>
      <c r="ULO17" s="400"/>
      <c r="ULP17" s="400"/>
      <c r="ULQ17" s="400"/>
      <c r="ULR17" s="400"/>
      <c r="ULS17" s="400"/>
      <c r="ULT17" s="400"/>
      <c r="ULU17" s="400"/>
      <c r="ULV17" s="400"/>
      <c r="ULW17" s="400"/>
      <c r="ULX17" s="400"/>
      <c r="ULY17" s="400"/>
      <c r="ULZ17" s="400"/>
      <c r="UMA17" s="400"/>
      <c r="UMB17" s="400"/>
      <c r="UMC17" s="400"/>
      <c r="UMD17" s="400"/>
      <c r="UME17" s="400"/>
      <c r="UMF17" s="400"/>
      <c r="UMG17" s="400"/>
      <c r="UMH17" s="400"/>
      <c r="UMI17" s="400"/>
      <c r="UMJ17" s="400"/>
      <c r="UMK17" s="400"/>
      <c r="UML17" s="400"/>
      <c r="UMM17" s="400"/>
      <c r="UMN17" s="400"/>
      <c r="UMO17" s="400"/>
      <c r="UMP17" s="400"/>
      <c r="UMQ17" s="400"/>
      <c r="UMR17" s="400"/>
      <c r="UMS17" s="400"/>
      <c r="UMT17" s="400"/>
      <c r="UMU17" s="400"/>
      <c r="UMV17" s="400"/>
      <c r="UMW17" s="400"/>
      <c r="UMX17" s="400"/>
      <c r="UMY17" s="400"/>
      <c r="UMZ17" s="400"/>
      <c r="UNA17" s="400"/>
      <c r="UNB17" s="400"/>
      <c r="UNC17" s="400"/>
      <c r="UND17" s="400"/>
      <c r="UNE17" s="400"/>
      <c r="UNF17" s="400"/>
      <c r="UNG17" s="400"/>
      <c r="UNH17" s="400"/>
      <c r="UNI17" s="400"/>
      <c r="UNJ17" s="400"/>
      <c r="UNK17" s="400"/>
      <c r="UNL17" s="400"/>
      <c r="UNM17" s="400"/>
      <c r="UNN17" s="400"/>
      <c r="UNO17" s="400"/>
      <c r="UNP17" s="400"/>
      <c r="UNQ17" s="400"/>
      <c r="UNR17" s="400"/>
      <c r="UNS17" s="400"/>
      <c r="UNT17" s="400"/>
      <c r="UNU17" s="400"/>
      <c r="UNV17" s="400"/>
      <c r="UNW17" s="400"/>
      <c r="UNX17" s="400"/>
      <c r="UNY17" s="400"/>
      <c r="UNZ17" s="400"/>
      <c r="UOA17" s="400"/>
      <c r="UOB17" s="400"/>
      <c r="UOC17" s="400"/>
      <c r="UOD17" s="400"/>
      <c r="UOE17" s="400"/>
      <c r="UOF17" s="400"/>
      <c r="UOG17" s="400"/>
      <c r="UOH17" s="400"/>
      <c r="UOI17" s="400"/>
      <c r="UOJ17" s="400"/>
      <c r="UOK17" s="400"/>
      <c r="UOL17" s="400"/>
      <c r="UOM17" s="400"/>
      <c r="UON17" s="400"/>
      <c r="UOO17" s="400"/>
      <c r="UOP17" s="400"/>
      <c r="UOQ17" s="400"/>
      <c r="UOR17" s="400"/>
      <c r="UOS17" s="400"/>
      <c r="UOT17" s="400"/>
      <c r="UOU17" s="400"/>
      <c r="UOV17" s="400"/>
      <c r="UOW17" s="400"/>
      <c r="UOX17" s="400"/>
      <c r="UOY17" s="400"/>
      <c r="UOZ17" s="400"/>
      <c r="UPA17" s="400"/>
      <c r="UPB17" s="400"/>
      <c r="UPC17" s="400"/>
      <c r="UPD17" s="400"/>
      <c r="UPE17" s="400"/>
      <c r="UPF17" s="400"/>
      <c r="UPG17" s="400"/>
      <c r="UPH17" s="400"/>
      <c r="UPI17" s="400"/>
      <c r="UPJ17" s="400"/>
      <c r="UPK17" s="400"/>
      <c r="UPL17" s="400"/>
      <c r="UPM17" s="400"/>
      <c r="UPN17" s="400"/>
      <c r="UPO17" s="400"/>
      <c r="UPP17" s="400"/>
      <c r="UPQ17" s="400"/>
      <c r="UPR17" s="400"/>
      <c r="UPS17" s="400"/>
      <c r="UPT17" s="400"/>
      <c r="UPU17" s="400"/>
      <c r="UPV17" s="400"/>
      <c r="UPW17" s="400"/>
      <c r="UPX17" s="400"/>
      <c r="UPY17" s="400"/>
      <c r="UPZ17" s="400"/>
      <c r="UQA17" s="400"/>
      <c r="UQB17" s="400"/>
      <c r="UQC17" s="400"/>
      <c r="UQD17" s="400"/>
      <c r="UQE17" s="400"/>
      <c r="UQF17" s="400"/>
      <c r="UQG17" s="400"/>
      <c r="UQH17" s="400"/>
      <c r="UQI17" s="400"/>
      <c r="UQJ17" s="400"/>
      <c r="UQK17" s="400"/>
      <c r="UQL17" s="400"/>
      <c r="UQM17" s="400"/>
      <c r="UQN17" s="400"/>
      <c r="UQO17" s="400"/>
      <c r="UQP17" s="400"/>
      <c r="UQQ17" s="400"/>
      <c r="UQR17" s="400"/>
      <c r="UQS17" s="400"/>
      <c r="UQT17" s="400"/>
      <c r="UQU17" s="400"/>
      <c r="UQV17" s="400"/>
      <c r="UQW17" s="400"/>
      <c r="UQX17" s="400"/>
      <c r="UQY17" s="400"/>
      <c r="UQZ17" s="400"/>
      <c r="URA17" s="400"/>
      <c r="URB17" s="400"/>
      <c r="URC17" s="400"/>
      <c r="URD17" s="400"/>
      <c r="URE17" s="400"/>
      <c r="URF17" s="400"/>
      <c r="URG17" s="400"/>
      <c r="URH17" s="400"/>
      <c r="URI17" s="400"/>
      <c r="URJ17" s="400"/>
      <c r="URK17" s="400"/>
      <c r="URL17" s="400"/>
      <c r="URM17" s="400"/>
      <c r="URN17" s="400"/>
      <c r="URO17" s="400"/>
      <c r="URP17" s="400"/>
      <c r="URQ17" s="400"/>
      <c r="URR17" s="400"/>
      <c r="URS17" s="400"/>
      <c r="URT17" s="400"/>
      <c r="URU17" s="400"/>
      <c r="URV17" s="400"/>
      <c r="URW17" s="400"/>
      <c r="URX17" s="400"/>
      <c r="URY17" s="400"/>
      <c r="URZ17" s="400"/>
      <c r="USA17" s="400"/>
      <c r="USB17" s="400"/>
      <c r="USC17" s="400"/>
      <c r="USD17" s="400"/>
      <c r="USE17" s="400"/>
      <c r="USF17" s="400"/>
      <c r="USG17" s="400"/>
      <c r="USH17" s="400"/>
      <c r="USI17" s="400"/>
      <c r="USJ17" s="400"/>
      <c r="USK17" s="400"/>
      <c r="USL17" s="400"/>
      <c r="USM17" s="400"/>
      <c r="USN17" s="400"/>
      <c r="USO17" s="400"/>
      <c r="USP17" s="400"/>
      <c r="USQ17" s="400"/>
      <c r="USR17" s="400"/>
      <c r="USS17" s="400"/>
      <c r="UST17" s="400"/>
      <c r="USU17" s="400"/>
      <c r="USV17" s="400"/>
      <c r="USW17" s="400"/>
      <c r="USX17" s="400"/>
      <c r="USY17" s="400"/>
      <c r="USZ17" s="400"/>
      <c r="UTA17" s="400"/>
      <c r="UTB17" s="400"/>
      <c r="UTC17" s="400"/>
      <c r="UTD17" s="400"/>
      <c r="UTE17" s="400"/>
      <c r="UTF17" s="400"/>
      <c r="UTG17" s="400"/>
      <c r="UTH17" s="400"/>
      <c r="UTI17" s="400"/>
      <c r="UTJ17" s="400"/>
      <c r="UTK17" s="400"/>
      <c r="UTL17" s="400"/>
      <c r="UTM17" s="400"/>
      <c r="UTN17" s="400"/>
      <c r="UTO17" s="400"/>
      <c r="UTP17" s="400"/>
      <c r="UTQ17" s="400"/>
      <c r="UTR17" s="400"/>
      <c r="UTS17" s="400"/>
      <c r="UTT17" s="400"/>
      <c r="UTU17" s="400"/>
      <c r="UTV17" s="400"/>
      <c r="UTW17" s="400"/>
      <c r="UTX17" s="400"/>
      <c r="UTY17" s="400"/>
      <c r="UTZ17" s="400"/>
      <c r="UUA17" s="400"/>
      <c r="UUB17" s="400"/>
      <c r="UUC17" s="400"/>
      <c r="UUD17" s="400"/>
      <c r="UUE17" s="400"/>
      <c r="UUF17" s="400"/>
      <c r="UUG17" s="400"/>
      <c r="UUH17" s="400"/>
      <c r="UUI17" s="400"/>
      <c r="UUJ17" s="400"/>
      <c r="UUK17" s="400"/>
      <c r="UUL17" s="400"/>
      <c r="UUM17" s="400"/>
      <c r="UUN17" s="400"/>
      <c r="UUO17" s="400"/>
      <c r="UUP17" s="400"/>
      <c r="UUQ17" s="400"/>
      <c r="UUR17" s="400"/>
      <c r="UUS17" s="400"/>
      <c r="UUT17" s="400"/>
      <c r="UUU17" s="400"/>
      <c r="UUV17" s="400"/>
      <c r="UUW17" s="400"/>
      <c r="UUX17" s="400"/>
      <c r="UUY17" s="400"/>
      <c r="UUZ17" s="400"/>
      <c r="UVA17" s="400"/>
      <c r="UVB17" s="400"/>
      <c r="UVC17" s="400"/>
      <c r="UVD17" s="400"/>
      <c r="UVE17" s="400"/>
      <c r="UVF17" s="400"/>
      <c r="UVG17" s="400"/>
      <c r="UVH17" s="400"/>
      <c r="UVI17" s="400"/>
      <c r="UVJ17" s="400"/>
      <c r="UVK17" s="400"/>
      <c r="UVL17" s="400"/>
      <c r="UVM17" s="400"/>
      <c r="UVN17" s="400"/>
      <c r="UVO17" s="400"/>
      <c r="UVP17" s="400"/>
      <c r="UVQ17" s="400"/>
      <c r="UVR17" s="400"/>
      <c r="UVS17" s="400"/>
      <c r="UVT17" s="400"/>
      <c r="UVU17" s="400"/>
      <c r="UVV17" s="400"/>
      <c r="UVW17" s="400"/>
      <c r="UVX17" s="400"/>
      <c r="UVY17" s="400"/>
      <c r="UVZ17" s="400"/>
      <c r="UWA17" s="400"/>
      <c r="UWB17" s="400"/>
      <c r="UWC17" s="400"/>
      <c r="UWD17" s="400"/>
      <c r="UWE17" s="400"/>
      <c r="UWF17" s="400"/>
      <c r="UWG17" s="400"/>
      <c r="UWH17" s="400"/>
      <c r="UWI17" s="400"/>
      <c r="UWJ17" s="400"/>
      <c r="UWK17" s="400"/>
      <c r="UWL17" s="400"/>
      <c r="UWM17" s="400"/>
      <c r="UWN17" s="400"/>
      <c r="UWO17" s="400"/>
      <c r="UWP17" s="400"/>
      <c r="UWQ17" s="400"/>
      <c r="UWR17" s="400"/>
      <c r="UWS17" s="400"/>
      <c r="UWT17" s="400"/>
      <c r="UWU17" s="400"/>
      <c r="UWV17" s="400"/>
      <c r="UWW17" s="400"/>
      <c r="UWX17" s="400"/>
      <c r="UWY17" s="400"/>
      <c r="UWZ17" s="400"/>
      <c r="UXA17" s="400"/>
      <c r="UXB17" s="400"/>
      <c r="UXC17" s="400"/>
      <c r="UXD17" s="400"/>
      <c r="UXE17" s="400"/>
      <c r="UXF17" s="400"/>
      <c r="UXG17" s="400"/>
      <c r="UXH17" s="400"/>
      <c r="UXI17" s="400"/>
      <c r="UXJ17" s="400"/>
      <c r="UXK17" s="400"/>
      <c r="UXL17" s="400"/>
      <c r="UXM17" s="400"/>
      <c r="UXN17" s="400"/>
      <c r="UXO17" s="400"/>
      <c r="UXP17" s="400"/>
      <c r="UXQ17" s="400"/>
      <c r="UXR17" s="400"/>
      <c r="UXS17" s="400"/>
      <c r="UXT17" s="400"/>
      <c r="UXU17" s="400"/>
      <c r="UXV17" s="400"/>
      <c r="UXW17" s="400"/>
      <c r="UXX17" s="400"/>
      <c r="UXY17" s="400"/>
      <c r="UXZ17" s="400"/>
      <c r="UYA17" s="400"/>
      <c r="UYB17" s="400"/>
      <c r="UYC17" s="400"/>
      <c r="UYD17" s="400"/>
      <c r="UYE17" s="400"/>
      <c r="UYF17" s="400"/>
      <c r="UYG17" s="400"/>
      <c r="UYH17" s="400"/>
      <c r="UYI17" s="400"/>
      <c r="UYJ17" s="400"/>
      <c r="UYK17" s="400"/>
      <c r="UYL17" s="400"/>
      <c r="UYM17" s="400"/>
      <c r="UYN17" s="400"/>
      <c r="UYO17" s="400"/>
      <c r="UYP17" s="400"/>
      <c r="UYQ17" s="400"/>
      <c r="UYR17" s="400"/>
      <c r="UYS17" s="400"/>
      <c r="UYT17" s="400"/>
      <c r="UYU17" s="400"/>
      <c r="UYV17" s="400"/>
      <c r="UYW17" s="400"/>
      <c r="UYX17" s="400"/>
      <c r="UYY17" s="400"/>
      <c r="UYZ17" s="400"/>
      <c r="UZA17" s="400"/>
      <c r="UZB17" s="400"/>
      <c r="UZC17" s="400"/>
      <c r="UZD17" s="400"/>
      <c r="UZE17" s="400"/>
      <c r="UZF17" s="400"/>
      <c r="UZG17" s="400"/>
      <c r="UZH17" s="400"/>
      <c r="UZI17" s="400"/>
      <c r="UZJ17" s="400"/>
      <c r="UZK17" s="400"/>
      <c r="UZL17" s="400"/>
      <c r="UZM17" s="400"/>
      <c r="UZN17" s="400"/>
      <c r="UZO17" s="400"/>
      <c r="UZP17" s="400"/>
      <c r="UZQ17" s="400"/>
      <c r="UZR17" s="400"/>
      <c r="UZS17" s="400"/>
      <c r="UZT17" s="400"/>
      <c r="UZU17" s="400"/>
      <c r="UZV17" s="400"/>
      <c r="UZW17" s="400"/>
      <c r="UZX17" s="400"/>
      <c r="UZY17" s="400"/>
      <c r="UZZ17" s="400"/>
      <c r="VAA17" s="400"/>
      <c r="VAB17" s="400"/>
      <c r="VAC17" s="400"/>
      <c r="VAD17" s="400"/>
      <c r="VAE17" s="400"/>
      <c r="VAF17" s="400"/>
      <c r="VAG17" s="400"/>
      <c r="VAH17" s="400"/>
      <c r="VAI17" s="400"/>
      <c r="VAJ17" s="400"/>
      <c r="VAK17" s="400"/>
      <c r="VAL17" s="400"/>
      <c r="VAM17" s="400"/>
      <c r="VAN17" s="400"/>
      <c r="VAO17" s="400"/>
      <c r="VAP17" s="400"/>
      <c r="VAQ17" s="400"/>
      <c r="VAR17" s="400"/>
      <c r="VAS17" s="400"/>
      <c r="VAT17" s="400"/>
      <c r="VAU17" s="400"/>
      <c r="VAV17" s="400"/>
      <c r="VAW17" s="400"/>
      <c r="VAX17" s="400"/>
      <c r="VAY17" s="400"/>
      <c r="VAZ17" s="400"/>
      <c r="VBA17" s="400"/>
      <c r="VBB17" s="400"/>
      <c r="VBC17" s="400"/>
      <c r="VBD17" s="400"/>
      <c r="VBE17" s="400"/>
      <c r="VBF17" s="400"/>
      <c r="VBG17" s="400"/>
      <c r="VBH17" s="400"/>
      <c r="VBI17" s="400"/>
      <c r="VBJ17" s="400"/>
      <c r="VBK17" s="400"/>
      <c r="VBL17" s="400"/>
      <c r="VBM17" s="400"/>
      <c r="VBN17" s="400"/>
      <c r="VBO17" s="400"/>
      <c r="VBP17" s="400"/>
      <c r="VBQ17" s="400"/>
      <c r="VBR17" s="400"/>
      <c r="VBS17" s="400"/>
      <c r="VBT17" s="400"/>
      <c r="VBU17" s="400"/>
      <c r="VBV17" s="400"/>
      <c r="VBW17" s="400"/>
      <c r="VBX17" s="400"/>
      <c r="VBY17" s="400"/>
      <c r="VBZ17" s="400"/>
      <c r="VCA17" s="400"/>
      <c r="VCB17" s="400"/>
      <c r="VCC17" s="400"/>
      <c r="VCD17" s="400"/>
      <c r="VCE17" s="400"/>
      <c r="VCF17" s="400"/>
      <c r="VCG17" s="400"/>
      <c r="VCH17" s="400"/>
      <c r="VCI17" s="400"/>
      <c r="VCJ17" s="400"/>
      <c r="VCK17" s="400"/>
      <c r="VCL17" s="400"/>
      <c r="VCM17" s="400"/>
      <c r="VCN17" s="400"/>
      <c r="VCO17" s="400"/>
      <c r="VCP17" s="400"/>
      <c r="VCQ17" s="400"/>
      <c r="VCR17" s="400"/>
      <c r="VCS17" s="400"/>
      <c r="VCT17" s="400"/>
      <c r="VCU17" s="400"/>
      <c r="VCV17" s="400"/>
      <c r="VCW17" s="400"/>
      <c r="VCX17" s="400"/>
      <c r="VCY17" s="400"/>
      <c r="VCZ17" s="400"/>
      <c r="VDA17" s="400"/>
      <c r="VDB17" s="400"/>
      <c r="VDC17" s="400"/>
      <c r="VDD17" s="400"/>
      <c r="VDE17" s="400"/>
      <c r="VDF17" s="400"/>
      <c r="VDG17" s="400"/>
      <c r="VDH17" s="400"/>
      <c r="VDI17" s="400"/>
      <c r="VDJ17" s="400"/>
      <c r="VDK17" s="400"/>
      <c r="VDL17" s="400"/>
      <c r="VDM17" s="400"/>
      <c r="VDN17" s="400"/>
      <c r="VDO17" s="400"/>
      <c r="VDP17" s="400"/>
      <c r="VDQ17" s="400"/>
      <c r="VDR17" s="400"/>
      <c r="VDS17" s="400"/>
      <c r="VDT17" s="400"/>
      <c r="VDU17" s="400"/>
      <c r="VDV17" s="400"/>
      <c r="VDW17" s="400"/>
      <c r="VDX17" s="400"/>
      <c r="VDY17" s="400"/>
      <c r="VDZ17" s="400"/>
      <c r="VEA17" s="400"/>
      <c r="VEB17" s="400"/>
      <c r="VEC17" s="400"/>
      <c r="VED17" s="400"/>
      <c r="VEE17" s="400"/>
      <c r="VEF17" s="400"/>
      <c r="VEG17" s="400"/>
      <c r="VEH17" s="400"/>
      <c r="VEI17" s="400"/>
      <c r="VEJ17" s="400"/>
      <c r="VEK17" s="400"/>
      <c r="VEL17" s="400"/>
      <c r="VEM17" s="400"/>
      <c r="VEN17" s="400"/>
      <c r="VEO17" s="400"/>
      <c r="VEP17" s="400"/>
      <c r="VEQ17" s="400"/>
      <c r="VER17" s="400"/>
      <c r="VES17" s="400"/>
      <c r="VET17" s="400"/>
      <c r="VEU17" s="400"/>
      <c r="VEV17" s="400"/>
      <c r="VEW17" s="400"/>
      <c r="VEX17" s="400"/>
      <c r="VEY17" s="400"/>
      <c r="VEZ17" s="400"/>
      <c r="VFA17" s="400"/>
      <c r="VFB17" s="400"/>
      <c r="VFC17" s="400"/>
      <c r="VFD17" s="400"/>
      <c r="VFE17" s="400"/>
      <c r="VFF17" s="400"/>
      <c r="VFG17" s="400"/>
      <c r="VFH17" s="400"/>
      <c r="VFI17" s="400"/>
      <c r="VFJ17" s="400"/>
      <c r="VFK17" s="400"/>
      <c r="VFL17" s="400"/>
      <c r="VFM17" s="400"/>
      <c r="VFN17" s="400"/>
      <c r="VFO17" s="400"/>
      <c r="VFP17" s="400"/>
      <c r="VFQ17" s="400"/>
      <c r="VFR17" s="400"/>
      <c r="VFS17" s="400"/>
      <c r="VFT17" s="400"/>
      <c r="VFU17" s="400"/>
      <c r="VFV17" s="400"/>
      <c r="VFW17" s="400"/>
      <c r="VFX17" s="400"/>
      <c r="VFY17" s="400"/>
      <c r="VFZ17" s="400"/>
      <c r="VGA17" s="400"/>
      <c r="VGB17" s="400"/>
      <c r="VGC17" s="400"/>
      <c r="VGD17" s="400"/>
      <c r="VGE17" s="400"/>
      <c r="VGF17" s="400"/>
      <c r="VGG17" s="400"/>
      <c r="VGH17" s="400"/>
      <c r="VGI17" s="400"/>
      <c r="VGJ17" s="400"/>
      <c r="VGK17" s="400"/>
      <c r="VGL17" s="400"/>
      <c r="VGM17" s="400"/>
      <c r="VGN17" s="400"/>
      <c r="VGO17" s="400"/>
      <c r="VGP17" s="400"/>
      <c r="VGQ17" s="400"/>
      <c r="VGR17" s="400"/>
      <c r="VGS17" s="400"/>
      <c r="VGT17" s="400"/>
      <c r="VGU17" s="400"/>
      <c r="VGV17" s="400"/>
      <c r="VGW17" s="400"/>
      <c r="VGX17" s="400"/>
      <c r="VGY17" s="400"/>
      <c r="VGZ17" s="400"/>
      <c r="VHA17" s="400"/>
      <c r="VHB17" s="400"/>
      <c r="VHC17" s="400"/>
      <c r="VHD17" s="400"/>
      <c r="VHE17" s="400"/>
      <c r="VHF17" s="400"/>
      <c r="VHG17" s="400"/>
      <c r="VHH17" s="400"/>
      <c r="VHI17" s="400"/>
      <c r="VHJ17" s="400"/>
      <c r="VHK17" s="400"/>
      <c r="VHL17" s="400"/>
      <c r="VHM17" s="400"/>
      <c r="VHN17" s="400"/>
      <c r="VHO17" s="400"/>
      <c r="VHP17" s="400"/>
      <c r="VHQ17" s="400"/>
      <c r="VHR17" s="400"/>
      <c r="VHS17" s="400"/>
      <c r="VHT17" s="400"/>
      <c r="VHU17" s="400"/>
      <c r="VHV17" s="400"/>
      <c r="VHW17" s="400"/>
      <c r="VHX17" s="400"/>
      <c r="VHY17" s="400"/>
      <c r="VHZ17" s="400"/>
      <c r="VIA17" s="400"/>
      <c r="VIB17" s="400"/>
      <c r="VIC17" s="400"/>
      <c r="VID17" s="400"/>
      <c r="VIE17" s="400"/>
      <c r="VIF17" s="400"/>
      <c r="VIG17" s="400"/>
      <c r="VIH17" s="400"/>
      <c r="VII17" s="400"/>
      <c r="VIJ17" s="400"/>
      <c r="VIK17" s="400"/>
      <c r="VIL17" s="400"/>
      <c r="VIM17" s="400"/>
      <c r="VIN17" s="400"/>
      <c r="VIO17" s="400"/>
      <c r="VIP17" s="400"/>
      <c r="VIQ17" s="400"/>
      <c r="VIR17" s="400"/>
      <c r="VIS17" s="400"/>
      <c r="VIT17" s="400"/>
      <c r="VIU17" s="400"/>
      <c r="VIV17" s="400"/>
      <c r="VIW17" s="400"/>
      <c r="VIX17" s="400"/>
      <c r="VIY17" s="400"/>
      <c r="VIZ17" s="400"/>
      <c r="VJA17" s="400"/>
      <c r="VJB17" s="400"/>
      <c r="VJC17" s="400"/>
      <c r="VJD17" s="400"/>
      <c r="VJE17" s="400"/>
      <c r="VJF17" s="400"/>
      <c r="VJG17" s="400"/>
      <c r="VJH17" s="400"/>
      <c r="VJI17" s="400"/>
      <c r="VJJ17" s="400"/>
      <c r="VJK17" s="400"/>
      <c r="VJL17" s="400"/>
      <c r="VJM17" s="400"/>
      <c r="VJN17" s="400"/>
      <c r="VJO17" s="400"/>
      <c r="VJP17" s="400"/>
      <c r="VJQ17" s="400"/>
      <c r="VJR17" s="400"/>
      <c r="VJS17" s="400"/>
      <c r="VJT17" s="400"/>
      <c r="VJU17" s="400"/>
      <c r="VJV17" s="400"/>
      <c r="VJW17" s="400"/>
      <c r="VJX17" s="400"/>
      <c r="VJY17" s="400"/>
      <c r="VJZ17" s="400"/>
      <c r="VKA17" s="400"/>
      <c r="VKB17" s="400"/>
      <c r="VKC17" s="400"/>
      <c r="VKD17" s="400"/>
      <c r="VKE17" s="400"/>
      <c r="VKF17" s="400"/>
      <c r="VKG17" s="400"/>
      <c r="VKH17" s="400"/>
      <c r="VKI17" s="400"/>
      <c r="VKJ17" s="400"/>
      <c r="VKK17" s="400"/>
      <c r="VKL17" s="400"/>
      <c r="VKM17" s="400"/>
      <c r="VKN17" s="400"/>
      <c r="VKO17" s="400"/>
      <c r="VKP17" s="400"/>
      <c r="VKQ17" s="400"/>
      <c r="VKR17" s="400"/>
      <c r="VKS17" s="400"/>
      <c r="VKT17" s="400"/>
      <c r="VKU17" s="400"/>
      <c r="VKV17" s="400"/>
      <c r="VKW17" s="400"/>
      <c r="VKX17" s="400"/>
      <c r="VKY17" s="400"/>
      <c r="VKZ17" s="400"/>
      <c r="VLA17" s="400"/>
      <c r="VLB17" s="400"/>
      <c r="VLC17" s="400"/>
      <c r="VLD17" s="400"/>
      <c r="VLE17" s="400"/>
      <c r="VLF17" s="400"/>
      <c r="VLG17" s="400"/>
      <c r="VLH17" s="400"/>
      <c r="VLI17" s="400"/>
      <c r="VLJ17" s="400"/>
      <c r="VLK17" s="400"/>
      <c r="VLL17" s="400"/>
      <c r="VLM17" s="400"/>
      <c r="VLN17" s="400"/>
      <c r="VLO17" s="400"/>
      <c r="VLP17" s="400"/>
      <c r="VLQ17" s="400"/>
      <c r="VLR17" s="400"/>
      <c r="VLS17" s="400"/>
      <c r="VLT17" s="400"/>
      <c r="VLU17" s="400"/>
      <c r="VLV17" s="400"/>
      <c r="VLW17" s="400"/>
      <c r="VLX17" s="400"/>
      <c r="VLY17" s="400"/>
      <c r="VLZ17" s="400"/>
      <c r="VMA17" s="400"/>
      <c r="VMB17" s="400"/>
      <c r="VMC17" s="400"/>
      <c r="VMD17" s="400"/>
      <c r="VME17" s="400"/>
      <c r="VMF17" s="400"/>
      <c r="VMG17" s="400"/>
      <c r="VMH17" s="400"/>
      <c r="VMI17" s="400"/>
      <c r="VMJ17" s="400"/>
      <c r="VMK17" s="400"/>
      <c r="VML17" s="400"/>
      <c r="VMM17" s="400"/>
      <c r="VMN17" s="400"/>
      <c r="VMO17" s="400"/>
      <c r="VMP17" s="400"/>
      <c r="VMQ17" s="400"/>
      <c r="VMR17" s="400"/>
      <c r="VMS17" s="400"/>
      <c r="VMT17" s="400"/>
      <c r="VMU17" s="400"/>
      <c r="VMV17" s="400"/>
      <c r="VMW17" s="400"/>
      <c r="VMX17" s="400"/>
      <c r="VMY17" s="400"/>
      <c r="VMZ17" s="400"/>
      <c r="VNA17" s="400"/>
      <c r="VNB17" s="400"/>
      <c r="VNC17" s="400"/>
      <c r="VND17" s="400"/>
      <c r="VNE17" s="400"/>
      <c r="VNF17" s="400"/>
      <c r="VNG17" s="400"/>
      <c r="VNH17" s="400"/>
      <c r="VNI17" s="400"/>
      <c r="VNJ17" s="400"/>
      <c r="VNK17" s="400"/>
      <c r="VNL17" s="400"/>
      <c r="VNM17" s="400"/>
      <c r="VNN17" s="400"/>
      <c r="VNO17" s="400"/>
      <c r="VNP17" s="400"/>
      <c r="VNQ17" s="400"/>
      <c r="VNR17" s="400"/>
      <c r="VNS17" s="400"/>
      <c r="VNT17" s="400"/>
      <c r="VNU17" s="400"/>
      <c r="VNV17" s="400"/>
      <c r="VNW17" s="400"/>
      <c r="VNX17" s="400"/>
      <c r="VNY17" s="400"/>
      <c r="VNZ17" s="400"/>
      <c r="VOA17" s="400"/>
      <c r="VOB17" s="400"/>
      <c r="VOC17" s="400"/>
      <c r="VOD17" s="400"/>
      <c r="VOE17" s="400"/>
      <c r="VOF17" s="400"/>
      <c r="VOG17" s="400"/>
      <c r="VOH17" s="400"/>
      <c r="VOI17" s="400"/>
      <c r="VOJ17" s="400"/>
      <c r="VOK17" s="400"/>
      <c r="VOL17" s="400"/>
      <c r="VOM17" s="400"/>
      <c r="VON17" s="400"/>
      <c r="VOO17" s="400"/>
      <c r="VOP17" s="400"/>
      <c r="VOQ17" s="400"/>
      <c r="VOR17" s="400"/>
      <c r="VOS17" s="400"/>
      <c r="VOT17" s="400"/>
      <c r="VOU17" s="400"/>
      <c r="VOV17" s="400"/>
      <c r="VOW17" s="400"/>
      <c r="VOX17" s="400"/>
      <c r="VOY17" s="400"/>
      <c r="VOZ17" s="400"/>
      <c r="VPA17" s="400"/>
      <c r="VPB17" s="400"/>
      <c r="VPC17" s="400"/>
      <c r="VPD17" s="400"/>
      <c r="VPE17" s="400"/>
      <c r="VPF17" s="400"/>
      <c r="VPG17" s="400"/>
      <c r="VPH17" s="400"/>
      <c r="VPI17" s="400"/>
      <c r="VPJ17" s="400"/>
      <c r="VPK17" s="400"/>
      <c r="VPL17" s="400"/>
      <c r="VPM17" s="400"/>
      <c r="VPN17" s="400"/>
      <c r="VPO17" s="400"/>
      <c r="VPP17" s="400"/>
      <c r="VPQ17" s="400"/>
      <c r="VPR17" s="400"/>
      <c r="VPS17" s="400"/>
      <c r="VPT17" s="400"/>
      <c r="VPU17" s="400"/>
      <c r="VPV17" s="400"/>
      <c r="VPW17" s="400"/>
      <c r="VPX17" s="400"/>
      <c r="VPY17" s="400"/>
      <c r="VPZ17" s="400"/>
      <c r="VQA17" s="400"/>
      <c r="VQB17" s="400"/>
      <c r="VQC17" s="400"/>
      <c r="VQD17" s="400"/>
      <c r="VQE17" s="400"/>
      <c r="VQF17" s="400"/>
      <c r="VQG17" s="400"/>
      <c r="VQH17" s="400"/>
      <c r="VQI17" s="400"/>
      <c r="VQJ17" s="400"/>
      <c r="VQK17" s="400"/>
      <c r="VQL17" s="400"/>
      <c r="VQM17" s="400"/>
      <c r="VQN17" s="400"/>
      <c r="VQO17" s="400"/>
      <c r="VQP17" s="400"/>
      <c r="VQQ17" s="400"/>
      <c r="VQR17" s="400"/>
      <c r="VQS17" s="400"/>
      <c r="VQT17" s="400"/>
      <c r="VQU17" s="400"/>
      <c r="VQV17" s="400"/>
      <c r="VQW17" s="400"/>
      <c r="VQX17" s="400"/>
      <c r="VQY17" s="400"/>
      <c r="VQZ17" s="400"/>
      <c r="VRA17" s="400"/>
      <c r="VRB17" s="400"/>
      <c r="VRC17" s="400"/>
      <c r="VRD17" s="400"/>
      <c r="VRE17" s="400"/>
      <c r="VRF17" s="400"/>
      <c r="VRG17" s="400"/>
      <c r="VRH17" s="400"/>
      <c r="VRI17" s="400"/>
      <c r="VRJ17" s="400"/>
      <c r="VRK17" s="400"/>
      <c r="VRL17" s="400"/>
      <c r="VRM17" s="400"/>
      <c r="VRN17" s="400"/>
      <c r="VRO17" s="400"/>
      <c r="VRP17" s="400"/>
      <c r="VRQ17" s="400"/>
      <c r="VRR17" s="400"/>
      <c r="VRS17" s="400"/>
      <c r="VRT17" s="400"/>
      <c r="VRU17" s="400"/>
      <c r="VRV17" s="400"/>
      <c r="VRW17" s="400"/>
      <c r="VRX17" s="400"/>
      <c r="VRY17" s="400"/>
      <c r="VRZ17" s="400"/>
      <c r="VSA17" s="400"/>
      <c r="VSB17" s="400"/>
      <c r="VSC17" s="400"/>
      <c r="VSD17" s="400"/>
      <c r="VSE17" s="400"/>
      <c r="VSF17" s="400"/>
      <c r="VSG17" s="400"/>
      <c r="VSH17" s="400"/>
      <c r="VSI17" s="400"/>
      <c r="VSJ17" s="400"/>
      <c r="VSK17" s="400"/>
      <c r="VSL17" s="400"/>
      <c r="VSM17" s="400"/>
      <c r="VSN17" s="400"/>
      <c r="VSO17" s="400"/>
      <c r="VSP17" s="400"/>
      <c r="VSQ17" s="400"/>
      <c r="VSR17" s="400"/>
      <c r="VSS17" s="400"/>
      <c r="VST17" s="400"/>
      <c r="VSU17" s="400"/>
      <c r="VSV17" s="400"/>
      <c r="VSW17" s="400"/>
      <c r="VSX17" s="400"/>
      <c r="VSY17" s="400"/>
      <c r="VSZ17" s="400"/>
      <c r="VTA17" s="400"/>
      <c r="VTB17" s="400"/>
      <c r="VTC17" s="400"/>
      <c r="VTD17" s="400"/>
      <c r="VTE17" s="400"/>
      <c r="VTF17" s="400"/>
      <c r="VTG17" s="400"/>
      <c r="VTH17" s="400"/>
      <c r="VTI17" s="400"/>
      <c r="VTJ17" s="400"/>
      <c r="VTK17" s="400"/>
      <c r="VTL17" s="400"/>
      <c r="VTM17" s="400"/>
      <c r="VTN17" s="400"/>
      <c r="VTO17" s="400"/>
      <c r="VTP17" s="400"/>
      <c r="VTQ17" s="400"/>
      <c r="VTR17" s="400"/>
      <c r="VTS17" s="400"/>
      <c r="VTT17" s="400"/>
      <c r="VTU17" s="400"/>
      <c r="VTV17" s="400"/>
      <c r="VTW17" s="400"/>
      <c r="VTX17" s="400"/>
      <c r="VTY17" s="400"/>
      <c r="VTZ17" s="400"/>
      <c r="VUA17" s="400"/>
      <c r="VUB17" s="400"/>
      <c r="VUC17" s="400"/>
      <c r="VUD17" s="400"/>
      <c r="VUE17" s="400"/>
      <c r="VUF17" s="400"/>
      <c r="VUG17" s="400"/>
      <c r="VUH17" s="400"/>
      <c r="VUI17" s="400"/>
      <c r="VUJ17" s="400"/>
      <c r="VUK17" s="400"/>
      <c r="VUL17" s="400"/>
      <c r="VUM17" s="400"/>
      <c r="VUN17" s="400"/>
      <c r="VUO17" s="400"/>
      <c r="VUP17" s="400"/>
      <c r="VUQ17" s="400"/>
      <c r="VUR17" s="400"/>
      <c r="VUS17" s="400"/>
      <c r="VUT17" s="400"/>
      <c r="VUU17" s="400"/>
      <c r="VUV17" s="400"/>
      <c r="VUW17" s="400"/>
      <c r="VUX17" s="400"/>
      <c r="VUY17" s="400"/>
      <c r="VUZ17" s="400"/>
      <c r="VVA17" s="400"/>
      <c r="VVB17" s="400"/>
      <c r="VVC17" s="400"/>
      <c r="VVD17" s="400"/>
      <c r="VVE17" s="400"/>
      <c r="VVF17" s="400"/>
      <c r="VVG17" s="400"/>
      <c r="VVH17" s="400"/>
      <c r="VVI17" s="400"/>
      <c r="VVJ17" s="400"/>
      <c r="VVK17" s="400"/>
      <c r="VVL17" s="400"/>
      <c r="VVM17" s="400"/>
      <c r="VVN17" s="400"/>
      <c r="VVO17" s="400"/>
      <c r="VVP17" s="400"/>
      <c r="VVQ17" s="400"/>
      <c r="VVR17" s="400"/>
      <c r="VVS17" s="400"/>
      <c r="VVT17" s="400"/>
      <c r="VVU17" s="400"/>
      <c r="VVV17" s="400"/>
      <c r="VVW17" s="400"/>
      <c r="VVX17" s="400"/>
      <c r="VVY17" s="400"/>
      <c r="VVZ17" s="400"/>
      <c r="VWA17" s="400"/>
      <c r="VWB17" s="400"/>
      <c r="VWC17" s="400"/>
      <c r="VWD17" s="400"/>
      <c r="VWE17" s="400"/>
      <c r="VWF17" s="400"/>
      <c r="VWG17" s="400"/>
      <c r="VWH17" s="400"/>
      <c r="VWI17" s="400"/>
      <c r="VWJ17" s="400"/>
      <c r="VWK17" s="400"/>
      <c r="VWL17" s="400"/>
      <c r="VWM17" s="400"/>
      <c r="VWN17" s="400"/>
      <c r="VWO17" s="400"/>
      <c r="VWP17" s="400"/>
      <c r="VWQ17" s="400"/>
      <c r="VWR17" s="400"/>
      <c r="VWS17" s="400"/>
      <c r="VWT17" s="400"/>
      <c r="VWU17" s="400"/>
      <c r="VWV17" s="400"/>
      <c r="VWW17" s="400"/>
      <c r="VWX17" s="400"/>
      <c r="VWY17" s="400"/>
      <c r="VWZ17" s="400"/>
      <c r="VXA17" s="400"/>
      <c r="VXB17" s="400"/>
      <c r="VXC17" s="400"/>
      <c r="VXD17" s="400"/>
      <c r="VXE17" s="400"/>
      <c r="VXF17" s="400"/>
      <c r="VXG17" s="400"/>
      <c r="VXH17" s="400"/>
      <c r="VXI17" s="400"/>
      <c r="VXJ17" s="400"/>
      <c r="VXK17" s="400"/>
      <c r="VXL17" s="400"/>
      <c r="VXM17" s="400"/>
      <c r="VXN17" s="400"/>
      <c r="VXO17" s="400"/>
      <c r="VXP17" s="400"/>
      <c r="VXQ17" s="400"/>
      <c r="VXR17" s="400"/>
      <c r="VXS17" s="400"/>
      <c r="VXT17" s="400"/>
      <c r="VXU17" s="400"/>
      <c r="VXV17" s="400"/>
      <c r="VXW17" s="400"/>
      <c r="VXX17" s="400"/>
      <c r="VXY17" s="400"/>
      <c r="VXZ17" s="400"/>
      <c r="VYA17" s="400"/>
      <c r="VYB17" s="400"/>
      <c r="VYC17" s="400"/>
      <c r="VYD17" s="400"/>
      <c r="VYE17" s="400"/>
      <c r="VYF17" s="400"/>
      <c r="VYG17" s="400"/>
      <c r="VYH17" s="400"/>
      <c r="VYI17" s="400"/>
      <c r="VYJ17" s="400"/>
      <c r="VYK17" s="400"/>
      <c r="VYL17" s="400"/>
      <c r="VYM17" s="400"/>
      <c r="VYN17" s="400"/>
      <c r="VYO17" s="400"/>
      <c r="VYP17" s="400"/>
      <c r="VYQ17" s="400"/>
      <c r="VYR17" s="400"/>
      <c r="VYS17" s="400"/>
      <c r="VYT17" s="400"/>
      <c r="VYU17" s="400"/>
      <c r="VYV17" s="400"/>
      <c r="VYW17" s="400"/>
      <c r="VYX17" s="400"/>
      <c r="VYY17" s="400"/>
      <c r="VYZ17" s="400"/>
      <c r="VZA17" s="400"/>
      <c r="VZB17" s="400"/>
      <c r="VZC17" s="400"/>
      <c r="VZD17" s="400"/>
      <c r="VZE17" s="400"/>
      <c r="VZF17" s="400"/>
      <c r="VZG17" s="400"/>
      <c r="VZH17" s="400"/>
      <c r="VZI17" s="400"/>
      <c r="VZJ17" s="400"/>
      <c r="VZK17" s="400"/>
      <c r="VZL17" s="400"/>
      <c r="VZM17" s="400"/>
      <c r="VZN17" s="400"/>
      <c r="VZO17" s="400"/>
      <c r="VZP17" s="400"/>
      <c r="VZQ17" s="400"/>
      <c r="VZR17" s="400"/>
      <c r="VZS17" s="400"/>
      <c r="VZT17" s="400"/>
      <c r="VZU17" s="400"/>
      <c r="VZV17" s="400"/>
      <c r="VZW17" s="400"/>
      <c r="VZX17" s="400"/>
      <c r="VZY17" s="400"/>
      <c r="VZZ17" s="400"/>
      <c r="WAA17" s="400"/>
      <c r="WAB17" s="400"/>
      <c r="WAC17" s="400"/>
      <c r="WAD17" s="400"/>
      <c r="WAE17" s="400"/>
      <c r="WAF17" s="400"/>
      <c r="WAG17" s="400"/>
      <c r="WAH17" s="400"/>
      <c r="WAI17" s="400"/>
      <c r="WAJ17" s="400"/>
      <c r="WAK17" s="400"/>
      <c r="WAL17" s="400"/>
      <c r="WAM17" s="400"/>
      <c r="WAN17" s="400"/>
      <c r="WAO17" s="400"/>
      <c r="WAP17" s="400"/>
      <c r="WAQ17" s="400"/>
      <c r="WAR17" s="400"/>
      <c r="WAS17" s="400"/>
      <c r="WAT17" s="400"/>
      <c r="WAU17" s="400"/>
      <c r="WAV17" s="400"/>
      <c r="WAW17" s="400"/>
      <c r="WAX17" s="400"/>
      <c r="WAY17" s="400"/>
      <c r="WAZ17" s="400"/>
      <c r="WBA17" s="400"/>
      <c r="WBB17" s="400"/>
      <c r="WBC17" s="400"/>
      <c r="WBD17" s="400"/>
      <c r="WBE17" s="400"/>
      <c r="WBF17" s="400"/>
      <c r="WBG17" s="400"/>
      <c r="WBH17" s="400"/>
      <c r="WBI17" s="400"/>
      <c r="WBJ17" s="400"/>
      <c r="WBK17" s="400"/>
      <c r="WBL17" s="400"/>
      <c r="WBM17" s="400"/>
      <c r="WBN17" s="400"/>
      <c r="WBO17" s="400"/>
      <c r="WBP17" s="400"/>
      <c r="WBQ17" s="400"/>
      <c r="WBR17" s="400"/>
      <c r="WBS17" s="400"/>
      <c r="WBT17" s="400"/>
      <c r="WBU17" s="400"/>
      <c r="WBV17" s="400"/>
      <c r="WBW17" s="400"/>
      <c r="WBX17" s="400"/>
      <c r="WBY17" s="400"/>
      <c r="WBZ17" s="400"/>
      <c r="WCA17" s="400"/>
      <c r="WCB17" s="400"/>
      <c r="WCC17" s="400"/>
      <c r="WCD17" s="400"/>
      <c r="WCE17" s="400"/>
      <c r="WCF17" s="400"/>
      <c r="WCG17" s="400"/>
      <c r="WCH17" s="400"/>
      <c r="WCI17" s="400"/>
      <c r="WCJ17" s="400"/>
      <c r="WCK17" s="400"/>
      <c r="WCL17" s="400"/>
      <c r="WCM17" s="400"/>
      <c r="WCN17" s="400"/>
      <c r="WCO17" s="400"/>
      <c r="WCP17" s="400"/>
      <c r="WCQ17" s="400"/>
      <c r="WCR17" s="400"/>
      <c r="WCS17" s="400"/>
      <c r="WCT17" s="400"/>
      <c r="WCU17" s="400"/>
      <c r="WCV17" s="400"/>
      <c r="WCW17" s="400"/>
      <c r="WCX17" s="400"/>
      <c r="WCY17" s="400"/>
      <c r="WCZ17" s="400"/>
      <c r="WDA17" s="400"/>
      <c r="WDB17" s="400"/>
      <c r="WDC17" s="400"/>
      <c r="WDD17" s="400"/>
      <c r="WDE17" s="400"/>
      <c r="WDF17" s="400"/>
      <c r="WDG17" s="400"/>
      <c r="WDH17" s="400"/>
      <c r="WDI17" s="400"/>
      <c r="WDJ17" s="400"/>
      <c r="WDK17" s="400"/>
      <c r="WDL17" s="400"/>
      <c r="WDM17" s="400"/>
      <c r="WDN17" s="400"/>
      <c r="WDO17" s="400"/>
      <c r="WDP17" s="400"/>
      <c r="WDQ17" s="400"/>
      <c r="WDR17" s="400"/>
      <c r="WDS17" s="400"/>
      <c r="WDT17" s="400"/>
      <c r="WDU17" s="400"/>
      <c r="WDV17" s="400"/>
      <c r="WDW17" s="400"/>
      <c r="WDX17" s="400"/>
      <c r="WDY17" s="400"/>
      <c r="WDZ17" s="400"/>
      <c r="WEA17" s="400"/>
      <c r="WEB17" s="400"/>
      <c r="WEC17" s="400"/>
      <c r="WED17" s="400"/>
      <c r="WEE17" s="400"/>
      <c r="WEF17" s="400"/>
      <c r="WEG17" s="400"/>
      <c r="WEH17" s="400"/>
      <c r="WEI17" s="400"/>
      <c r="WEJ17" s="400"/>
      <c r="WEK17" s="400"/>
      <c r="WEL17" s="400"/>
      <c r="WEM17" s="400"/>
      <c r="WEN17" s="400"/>
      <c r="WEO17" s="400"/>
      <c r="WEP17" s="400"/>
      <c r="WEQ17" s="400"/>
      <c r="WER17" s="400"/>
      <c r="WES17" s="400"/>
      <c r="WET17" s="400"/>
      <c r="WEU17" s="400"/>
      <c r="WEV17" s="400"/>
      <c r="WEW17" s="400"/>
      <c r="WEX17" s="400"/>
      <c r="WEY17" s="400"/>
      <c r="WEZ17" s="400"/>
      <c r="WFA17" s="400"/>
      <c r="WFB17" s="400"/>
      <c r="WFC17" s="400"/>
      <c r="WFD17" s="400"/>
      <c r="WFE17" s="400"/>
      <c r="WFF17" s="400"/>
      <c r="WFG17" s="400"/>
      <c r="WFH17" s="400"/>
      <c r="WFI17" s="400"/>
      <c r="WFJ17" s="400"/>
      <c r="WFK17" s="400"/>
      <c r="WFL17" s="400"/>
      <c r="WFM17" s="400"/>
      <c r="WFN17" s="400"/>
      <c r="WFO17" s="400"/>
      <c r="WFP17" s="400"/>
      <c r="WFQ17" s="400"/>
      <c r="WFR17" s="400"/>
      <c r="WFS17" s="400"/>
      <c r="WFT17" s="400"/>
      <c r="WFU17" s="400"/>
      <c r="WFV17" s="400"/>
      <c r="WFW17" s="400"/>
      <c r="WFX17" s="400"/>
      <c r="WFY17" s="400"/>
      <c r="WFZ17" s="400"/>
      <c r="WGA17" s="400"/>
      <c r="WGB17" s="400"/>
      <c r="WGC17" s="400"/>
      <c r="WGD17" s="400"/>
      <c r="WGE17" s="400"/>
      <c r="WGF17" s="400"/>
      <c r="WGG17" s="400"/>
      <c r="WGH17" s="400"/>
      <c r="WGI17" s="400"/>
      <c r="WGJ17" s="400"/>
      <c r="WGK17" s="400"/>
      <c r="WGL17" s="400"/>
      <c r="WGM17" s="400"/>
      <c r="WGN17" s="400"/>
      <c r="WGO17" s="400"/>
      <c r="WGP17" s="400"/>
      <c r="WGQ17" s="400"/>
      <c r="WGR17" s="400"/>
      <c r="WGS17" s="400"/>
      <c r="WGT17" s="400"/>
      <c r="WGU17" s="400"/>
      <c r="WGV17" s="400"/>
      <c r="WGW17" s="400"/>
      <c r="WGX17" s="400"/>
      <c r="WGY17" s="400"/>
      <c r="WGZ17" s="400"/>
      <c r="WHA17" s="400"/>
      <c r="WHB17" s="400"/>
      <c r="WHC17" s="400"/>
      <c r="WHD17" s="400"/>
      <c r="WHE17" s="400"/>
      <c r="WHF17" s="400"/>
      <c r="WHG17" s="400"/>
      <c r="WHH17" s="400"/>
      <c r="WHI17" s="400"/>
      <c r="WHJ17" s="400"/>
      <c r="WHK17" s="400"/>
      <c r="WHL17" s="400"/>
      <c r="WHM17" s="400"/>
      <c r="WHN17" s="400"/>
      <c r="WHO17" s="400"/>
      <c r="WHP17" s="400"/>
      <c r="WHQ17" s="400"/>
      <c r="WHR17" s="400"/>
      <c r="WHS17" s="400"/>
      <c r="WHT17" s="400"/>
      <c r="WHU17" s="400"/>
      <c r="WHV17" s="400"/>
      <c r="WHW17" s="400"/>
      <c r="WHX17" s="400"/>
      <c r="WHY17" s="400"/>
      <c r="WHZ17" s="400"/>
      <c r="WIA17" s="400"/>
      <c r="WIB17" s="400"/>
      <c r="WIC17" s="400"/>
      <c r="WID17" s="400"/>
      <c r="WIE17" s="400"/>
      <c r="WIF17" s="400"/>
      <c r="WIG17" s="400"/>
      <c r="WIH17" s="400"/>
      <c r="WII17" s="400"/>
      <c r="WIJ17" s="400"/>
      <c r="WIK17" s="400"/>
      <c r="WIL17" s="400"/>
      <c r="WIM17" s="400"/>
      <c r="WIN17" s="400"/>
      <c r="WIO17" s="400"/>
      <c r="WIP17" s="400"/>
      <c r="WIQ17" s="400"/>
      <c r="WIR17" s="400"/>
      <c r="WIS17" s="400"/>
      <c r="WIT17" s="400"/>
      <c r="WIU17" s="400"/>
      <c r="WIV17" s="400"/>
      <c r="WIW17" s="400"/>
      <c r="WIX17" s="400"/>
      <c r="WIY17" s="400"/>
      <c r="WIZ17" s="400"/>
      <c r="WJA17" s="400"/>
      <c r="WJB17" s="400"/>
      <c r="WJC17" s="400"/>
      <c r="WJD17" s="400"/>
      <c r="WJE17" s="400"/>
      <c r="WJF17" s="400"/>
      <c r="WJG17" s="400"/>
      <c r="WJH17" s="400"/>
      <c r="WJI17" s="400"/>
      <c r="WJJ17" s="400"/>
      <c r="WJK17" s="400"/>
      <c r="WJL17" s="400"/>
      <c r="WJM17" s="400"/>
      <c r="WJN17" s="400"/>
      <c r="WJO17" s="400"/>
      <c r="WJP17" s="400"/>
      <c r="WJQ17" s="400"/>
      <c r="WJR17" s="400"/>
      <c r="WJS17" s="400"/>
      <c r="WJT17" s="400"/>
      <c r="WJU17" s="400"/>
      <c r="WJV17" s="400"/>
      <c r="WJW17" s="400"/>
      <c r="WJX17" s="400"/>
      <c r="WJY17" s="400"/>
      <c r="WJZ17" s="400"/>
      <c r="WKA17" s="400"/>
      <c r="WKB17" s="400"/>
      <c r="WKC17" s="400"/>
      <c r="WKD17" s="400"/>
      <c r="WKE17" s="400"/>
      <c r="WKF17" s="400"/>
      <c r="WKG17" s="400"/>
      <c r="WKH17" s="400"/>
      <c r="WKI17" s="400"/>
      <c r="WKJ17" s="400"/>
      <c r="WKK17" s="400"/>
      <c r="WKL17" s="400"/>
      <c r="WKM17" s="400"/>
      <c r="WKN17" s="400"/>
      <c r="WKO17" s="400"/>
      <c r="WKP17" s="400"/>
      <c r="WKQ17" s="400"/>
      <c r="WKR17" s="400"/>
      <c r="WKS17" s="400"/>
      <c r="WKT17" s="400"/>
      <c r="WKU17" s="400"/>
      <c r="WKV17" s="400"/>
      <c r="WKW17" s="400"/>
      <c r="WKX17" s="400"/>
      <c r="WKY17" s="400"/>
      <c r="WKZ17" s="400"/>
      <c r="WLA17" s="400"/>
      <c r="WLB17" s="400"/>
      <c r="WLC17" s="400"/>
      <c r="WLD17" s="400"/>
      <c r="WLE17" s="400"/>
      <c r="WLF17" s="400"/>
      <c r="WLG17" s="400"/>
      <c r="WLH17" s="400"/>
      <c r="WLI17" s="400"/>
      <c r="WLJ17" s="400"/>
      <c r="WLK17" s="400"/>
      <c r="WLL17" s="400"/>
      <c r="WLM17" s="400"/>
      <c r="WLN17" s="400"/>
      <c r="WLO17" s="400"/>
      <c r="WLP17" s="400"/>
      <c r="WLQ17" s="400"/>
      <c r="WLR17" s="400"/>
      <c r="WLS17" s="400"/>
      <c r="WLT17" s="400"/>
      <c r="WLU17" s="400"/>
      <c r="WLV17" s="400"/>
      <c r="WLW17" s="400"/>
      <c r="WLX17" s="400"/>
      <c r="WLY17" s="400"/>
      <c r="WLZ17" s="400"/>
      <c r="WMA17" s="400"/>
      <c r="WMB17" s="400"/>
      <c r="WMC17" s="400"/>
      <c r="WMD17" s="400"/>
      <c r="WME17" s="400"/>
      <c r="WMF17" s="400"/>
      <c r="WMG17" s="400"/>
      <c r="WMH17" s="400"/>
      <c r="WMI17" s="400"/>
      <c r="WMJ17" s="400"/>
      <c r="WMK17" s="400"/>
      <c r="WML17" s="400"/>
      <c r="WMM17" s="400"/>
      <c r="WMN17" s="400"/>
      <c r="WMO17" s="400"/>
      <c r="WMP17" s="400"/>
      <c r="WMQ17" s="400"/>
      <c r="WMR17" s="400"/>
      <c r="WMS17" s="400"/>
      <c r="WMT17" s="400"/>
      <c r="WMU17" s="400"/>
      <c r="WMV17" s="400"/>
      <c r="WMW17" s="400"/>
      <c r="WMX17" s="400"/>
      <c r="WMY17" s="400"/>
      <c r="WMZ17" s="400"/>
      <c r="WNA17" s="400"/>
      <c r="WNB17" s="400"/>
      <c r="WNC17" s="400"/>
      <c r="WND17" s="400"/>
      <c r="WNE17" s="400"/>
      <c r="WNF17" s="400"/>
      <c r="WNG17" s="400"/>
      <c r="WNH17" s="400"/>
      <c r="WNI17" s="400"/>
      <c r="WNJ17" s="400"/>
      <c r="WNK17" s="400"/>
      <c r="WNL17" s="400"/>
      <c r="WNM17" s="400"/>
      <c r="WNN17" s="400"/>
      <c r="WNO17" s="400"/>
      <c r="WNP17" s="400"/>
      <c r="WNQ17" s="400"/>
      <c r="WNR17" s="400"/>
      <c r="WNS17" s="400"/>
      <c r="WNT17" s="400"/>
      <c r="WNU17" s="400"/>
      <c r="WNV17" s="400"/>
      <c r="WNW17" s="400"/>
      <c r="WNX17" s="400"/>
      <c r="WNY17" s="400"/>
      <c r="WNZ17" s="400"/>
      <c r="WOA17" s="400"/>
      <c r="WOB17" s="400"/>
      <c r="WOC17" s="400"/>
      <c r="WOD17" s="400"/>
      <c r="WOE17" s="400"/>
      <c r="WOF17" s="400"/>
      <c r="WOG17" s="400"/>
      <c r="WOH17" s="400"/>
      <c r="WOI17" s="400"/>
      <c r="WOJ17" s="400"/>
      <c r="WOK17" s="400"/>
      <c r="WOL17" s="400"/>
      <c r="WOM17" s="400"/>
      <c r="WON17" s="400"/>
      <c r="WOO17" s="400"/>
      <c r="WOP17" s="400"/>
      <c r="WOQ17" s="400"/>
      <c r="WOR17" s="400"/>
      <c r="WOS17" s="400"/>
      <c r="WOT17" s="400"/>
      <c r="WOU17" s="400"/>
      <c r="WOV17" s="400"/>
      <c r="WOW17" s="400"/>
      <c r="WOX17" s="400"/>
      <c r="WOY17" s="400"/>
      <c r="WOZ17" s="400"/>
      <c r="WPA17" s="400"/>
      <c r="WPB17" s="400"/>
      <c r="WPC17" s="400"/>
      <c r="WPD17" s="400"/>
      <c r="WPE17" s="400"/>
      <c r="WPF17" s="400"/>
      <c r="WPG17" s="400"/>
      <c r="WPH17" s="400"/>
      <c r="WPI17" s="400"/>
      <c r="WPJ17" s="400"/>
      <c r="WPK17" s="400"/>
      <c r="WPL17" s="400"/>
      <c r="WPM17" s="400"/>
      <c r="WPN17" s="400"/>
      <c r="WPO17" s="400"/>
      <c r="WPP17" s="400"/>
      <c r="WPQ17" s="400"/>
      <c r="WPR17" s="400"/>
      <c r="WPS17" s="400"/>
      <c r="WPT17" s="400"/>
      <c r="WPU17" s="400"/>
      <c r="WPV17" s="400"/>
      <c r="WPW17" s="400"/>
      <c r="WPX17" s="400"/>
      <c r="WPY17" s="400"/>
      <c r="WPZ17" s="400"/>
      <c r="WQA17" s="400"/>
      <c r="WQB17" s="400"/>
      <c r="WQC17" s="400"/>
      <c r="WQD17" s="400"/>
      <c r="WQE17" s="400"/>
      <c r="WQF17" s="400"/>
      <c r="WQG17" s="400"/>
      <c r="WQH17" s="400"/>
      <c r="WQI17" s="400"/>
      <c r="WQJ17" s="400"/>
      <c r="WQK17" s="400"/>
      <c r="WQL17" s="400"/>
      <c r="WQM17" s="400"/>
      <c r="WQN17" s="400"/>
      <c r="WQO17" s="400"/>
      <c r="WQP17" s="400"/>
      <c r="WQQ17" s="400"/>
      <c r="WQR17" s="400"/>
      <c r="WQS17" s="400"/>
      <c r="WQT17" s="400"/>
      <c r="WQU17" s="400"/>
      <c r="WQV17" s="400"/>
      <c r="WQW17" s="400"/>
      <c r="WQX17" s="400"/>
      <c r="WQY17" s="400"/>
      <c r="WQZ17" s="400"/>
      <c r="WRA17" s="400"/>
      <c r="WRB17" s="400"/>
      <c r="WRC17" s="400"/>
      <c r="WRD17" s="400"/>
      <c r="WRE17" s="400"/>
      <c r="WRF17" s="400"/>
      <c r="WRG17" s="400"/>
      <c r="WRH17" s="400"/>
      <c r="WRI17" s="400"/>
      <c r="WRJ17" s="400"/>
      <c r="WRK17" s="400"/>
      <c r="WRL17" s="400"/>
      <c r="WRM17" s="400"/>
      <c r="WRN17" s="400"/>
      <c r="WRO17" s="400"/>
      <c r="WRP17" s="400"/>
      <c r="WRQ17" s="400"/>
      <c r="WRR17" s="400"/>
      <c r="WRS17" s="400"/>
      <c r="WRT17" s="400"/>
      <c r="WRU17" s="400"/>
      <c r="WRV17" s="400"/>
      <c r="WRW17" s="400"/>
      <c r="WRX17" s="400"/>
      <c r="WRY17" s="400"/>
      <c r="WRZ17" s="400"/>
      <c r="WSA17" s="400"/>
      <c r="WSB17" s="400"/>
      <c r="WSC17" s="400"/>
      <c r="WSD17" s="400"/>
      <c r="WSE17" s="400"/>
      <c r="WSF17" s="400"/>
      <c r="WSG17" s="400"/>
      <c r="WSH17" s="400"/>
      <c r="WSI17" s="400"/>
      <c r="WSJ17" s="400"/>
      <c r="WSK17" s="400"/>
      <c r="WSL17" s="400"/>
      <c r="WSM17" s="400"/>
      <c r="WSN17" s="400"/>
      <c r="WSO17" s="400"/>
      <c r="WSP17" s="400"/>
      <c r="WSQ17" s="400"/>
      <c r="WSR17" s="400"/>
      <c r="WSS17" s="400"/>
      <c r="WST17" s="400"/>
      <c r="WSU17" s="400"/>
      <c r="WSV17" s="400"/>
      <c r="WSW17" s="400"/>
      <c r="WSX17" s="400"/>
      <c r="WSY17" s="400"/>
      <c r="WSZ17" s="400"/>
      <c r="WTA17" s="400"/>
      <c r="WTB17" s="400"/>
      <c r="WTC17" s="400"/>
      <c r="WTD17" s="400"/>
      <c r="WTE17" s="400"/>
      <c r="WTF17" s="400"/>
      <c r="WTG17" s="400"/>
      <c r="WTH17" s="400"/>
      <c r="WTI17" s="400"/>
      <c r="WTJ17" s="400"/>
      <c r="WTK17" s="400"/>
      <c r="WTL17" s="400"/>
      <c r="WTM17" s="400"/>
      <c r="WTN17" s="400"/>
      <c r="WTO17" s="400"/>
      <c r="WTP17" s="400"/>
      <c r="WTQ17" s="400"/>
      <c r="WTR17" s="400"/>
      <c r="WTS17" s="400"/>
      <c r="WTT17" s="400"/>
      <c r="WTU17" s="400"/>
      <c r="WTV17" s="400"/>
      <c r="WTW17" s="400"/>
      <c r="WTX17" s="400"/>
      <c r="WTY17" s="400"/>
      <c r="WTZ17" s="400"/>
      <c r="WUA17" s="400"/>
      <c r="WUB17" s="400"/>
      <c r="WUC17" s="400"/>
      <c r="WUD17" s="400"/>
      <c r="WUE17" s="400"/>
      <c r="WUF17" s="400"/>
      <c r="WUG17" s="400"/>
      <c r="WUH17" s="400"/>
      <c r="WUI17" s="400"/>
      <c r="WUJ17" s="400"/>
      <c r="WUK17" s="400"/>
      <c r="WUL17" s="400"/>
      <c r="WUM17" s="400"/>
      <c r="WUN17" s="400"/>
      <c r="WUO17" s="400"/>
      <c r="WUP17" s="400"/>
      <c r="WUQ17" s="400"/>
      <c r="WUR17" s="400"/>
      <c r="WUS17" s="400"/>
      <c r="WUT17" s="400"/>
      <c r="WUU17" s="400"/>
      <c r="WUV17" s="400"/>
      <c r="WUW17" s="400"/>
      <c r="WUX17" s="400"/>
      <c r="WUY17" s="400"/>
      <c r="WUZ17" s="400"/>
      <c r="WVA17" s="400"/>
      <c r="WVB17" s="400"/>
      <c r="WVC17" s="400"/>
      <c r="WVD17" s="400"/>
      <c r="WVE17" s="400"/>
      <c r="WVF17" s="400"/>
      <c r="WVG17" s="400"/>
      <c r="WVH17" s="400"/>
      <c r="WVI17" s="400"/>
      <c r="WVJ17" s="400"/>
      <c r="WVK17" s="400"/>
      <c r="WVL17" s="400"/>
      <c r="WVM17" s="400"/>
      <c r="WVN17" s="400"/>
      <c r="WVO17" s="400"/>
      <c r="WVP17" s="400"/>
      <c r="WVQ17" s="400"/>
      <c r="WVR17" s="400"/>
      <c r="WVS17" s="400"/>
      <c r="WVT17" s="400"/>
      <c r="WVU17" s="400"/>
      <c r="WVV17" s="400"/>
      <c r="WVW17" s="400"/>
      <c r="WVX17" s="400"/>
      <c r="WVY17" s="400"/>
      <c r="WVZ17" s="400"/>
      <c r="WWA17" s="400"/>
      <c r="WWB17" s="400"/>
      <c r="WWC17" s="400"/>
      <c r="WWD17" s="400"/>
      <c r="WWE17" s="400"/>
      <c r="WWF17" s="400"/>
      <c r="WWG17" s="400"/>
      <c r="WWH17" s="400"/>
      <c r="WWI17" s="400"/>
      <c r="WWJ17" s="400"/>
      <c r="WWK17" s="400"/>
      <c r="WWL17" s="400"/>
      <c r="WWM17" s="400"/>
      <c r="WWN17" s="400"/>
      <c r="WWO17" s="400"/>
      <c r="WWP17" s="400"/>
      <c r="WWQ17" s="400"/>
      <c r="WWR17" s="400"/>
      <c r="WWS17" s="400"/>
      <c r="WWT17" s="400"/>
      <c r="WWU17" s="400"/>
      <c r="WWV17" s="400"/>
      <c r="WWW17" s="400"/>
      <c r="WWX17" s="400"/>
      <c r="WWY17" s="400"/>
      <c r="WWZ17" s="400"/>
      <c r="WXA17" s="400"/>
      <c r="WXB17" s="400"/>
      <c r="WXC17" s="400"/>
      <c r="WXD17" s="400"/>
      <c r="WXE17" s="400"/>
      <c r="WXF17" s="400"/>
      <c r="WXG17" s="400"/>
      <c r="WXH17" s="400"/>
      <c r="WXI17" s="400"/>
      <c r="WXJ17" s="400"/>
      <c r="WXK17" s="400"/>
      <c r="WXL17" s="400"/>
      <c r="WXM17" s="400"/>
      <c r="WXN17" s="400"/>
      <c r="WXO17" s="400"/>
      <c r="WXP17" s="400"/>
      <c r="WXQ17" s="400"/>
      <c r="WXR17" s="400"/>
      <c r="WXS17" s="400"/>
      <c r="WXT17" s="400"/>
      <c r="WXU17" s="400"/>
      <c r="WXV17" s="400"/>
      <c r="WXW17" s="400"/>
      <c r="WXX17" s="400"/>
      <c r="WXY17" s="400"/>
      <c r="WXZ17" s="400"/>
      <c r="WYA17" s="400"/>
      <c r="WYB17" s="400"/>
      <c r="WYC17" s="400"/>
      <c r="WYD17" s="400"/>
      <c r="WYE17" s="400"/>
      <c r="WYF17" s="400"/>
      <c r="WYG17" s="400"/>
      <c r="WYH17" s="400"/>
      <c r="WYI17" s="400"/>
      <c r="WYJ17" s="400"/>
      <c r="WYK17" s="400"/>
      <c r="WYL17" s="400"/>
      <c r="WYM17" s="400"/>
      <c r="WYN17" s="400"/>
      <c r="WYO17" s="400"/>
      <c r="WYP17" s="400"/>
      <c r="WYQ17" s="400"/>
      <c r="WYR17" s="400"/>
      <c r="WYS17" s="400"/>
      <c r="WYT17" s="400"/>
      <c r="WYU17" s="400"/>
      <c r="WYV17" s="400"/>
      <c r="WYW17" s="400"/>
      <c r="WYX17" s="400"/>
      <c r="WYY17" s="400"/>
      <c r="WYZ17" s="400"/>
      <c r="WZA17" s="400"/>
      <c r="WZB17" s="400"/>
      <c r="WZC17" s="400"/>
      <c r="WZD17" s="400"/>
      <c r="WZE17" s="400"/>
      <c r="WZF17" s="400"/>
      <c r="WZG17" s="400"/>
      <c r="WZH17" s="400"/>
      <c r="WZI17" s="400"/>
      <c r="WZJ17" s="400"/>
      <c r="WZK17" s="400"/>
      <c r="WZL17" s="400"/>
      <c r="WZM17" s="400"/>
      <c r="WZN17" s="400"/>
      <c r="WZO17" s="400"/>
      <c r="WZP17" s="400"/>
      <c r="WZQ17" s="400"/>
      <c r="WZR17" s="400"/>
      <c r="WZS17" s="400"/>
      <c r="WZT17" s="400"/>
      <c r="WZU17" s="400"/>
      <c r="WZV17" s="400"/>
      <c r="WZW17" s="400"/>
      <c r="WZX17" s="400"/>
      <c r="WZY17" s="400"/>
      <c r="WZZ17" s="400"/>
      <c r="XAA17" s="400"/>
      <c r="XAB17" s="400"/>
      <c r="XAC17" s="400"/>
      <c r="XAD17" s="400"/>
      <c r="XAE17" s="400"/>
      <c r="XAF17" s="400"/>
      <c r="XAG17" s="400"/>
      <c r="XAH17" s="400"/>
      <c r="XAI17" s="400"/>
      <c r="XAJ17" s="400"/>
      <c r="XAK17" s="400"/>
      <c r="XAL17" s="400"/>
      <c r="XAM17" s="400"/>
      <c r="XAN17" s="400"/>
      <c r="XAO17" s="400"/>
      <c r="XAP17" s="400"/>
      <c r="XAQ17" s="400"/>
      <c r="XAR17" s="400"/>
      <c r="XAS17" s="400"/>
      <c r="XAT17" s="400"/>
      <c r="XAU17" s="400"/>
      <c r="XAV17" s="400"/>
      <c r="XAW17" s="400"/>
      <c r="XAX17" s="400"/>
      <c r="XAY17" s="400"/>
      <c r="XAZ17" s="400"/>
      <c r="XBA17" s="400"/>
      <c r="XBB17" s="400"/>
      <c r="XBC17" s="400"/>
      <c r="XBD17" s="400"/>
      <c r="XBE17" s="400"/>
      <c r="XBF17" s="400"/>
      <c r="XBG17" s="400"/>
      <c r="XBH17" s="400"/>
      <c r="XBI17" s="400"/>
      <c r="XBJ17" s="400"/>
      <c r="XBK17" s="400"/>
      <c r="XBL17" s="400"/>
      <c r="XBM17" s="400"/>
      <c r="XBN17" s="400"/>
      <c r="XBO17" s="400"/>
      <c r="XBP17" s="400"/>
      <c r="XBQ17" s="400"/>
      <c r="XBR17" s="400"/>
      <c r="XBS17" s="400"/>
      <c r="XBT17" s="400"/>
      <c r="XBU17" s="400"/>
      <c r="XBV17" s="400"/>
      <c r="XBW17" s="400"/>
      <c r="XBX17" s="400"/>
      <c r="XBY17" s="400"/>
      <c r="XBZ17" s="400"/>
      <c r="XCA17" s="400"/>
      <c r="XCB17" s="400"/>
      <c r="XCC17" s="400"/>
      <c r="XCD17" s="400"/>
      <c r="XCE17" s="400"/>
      <c r="XCF17" s="400"/>
      <c r="XCG17" s="400"/>
      <c r="XCH17" s="400"/>
      <c r="XCI17" s="400"/>
      <c r="XCJ17" s="400"/>
      <c r="XCK17" s="400"/>
      <c r="XCL17" s="400"/>
      <c r="XCM17" s="400"/>
      <c r="XCN17" s="400"/>
      <c r="XCO17" s="400"/>
      <c r="XCP17" s="400"/>
      <c r="XCQ17" s="400"/>
      <c r="XCR17" s="400"/>
      <c r="XCS17" s="400"/>
      <c r="XCT17" s="400"/>
      <c r="XCU17" s="400"/>
      <c r="XCV17" s="400"/>
      <c r="XCW17" s="400"/>
      <c r="XCX17" s="400"/>
      <c r="XCY17" s="400"/>
      <c r="XCZ17" s="400"/>
      <c r="XDA17" s="400"/>
      <c r="XDB17" s="400"/>
      <c r="XDC17" s="400"/>
      <c r="XDD17" s="400"/>
      <c r="XDE17" s="400"/>
      <c r="XDF17" s="400"/>
      <c r="XDG17" s="400"/>
      <c r="XDH17" s="400"/>
      <c r="XDI17" s="400"/>
      <c r="XDJ17" s="400"/>
      <c r="XDK17" s="400"/>
      <c r="XDL17" s="400"/>
      <c r="XDM17" s="400"/>
      <c r="XDN17" s="400"/>
      <c r="XDO17" s="400"/>
      <c r="XDP17" s="400"/>
      <c r="XDQ17" s="400"/>
      <c r="XDR17" s="400"/>
      <c r="XDS17" s="400"/>
      <c r="XDT17" s="400"/>
      <c r="XDU17" s="400"/>
      <c r="XDV17" s="400"/>
      <c r="XDW17" s="400"/>
      <c r="XDX17" s="400"/>
      <c r="XDY17" s="400"/>
      <c r="XDZ17" s="400"/>
      <c r="XEA17" s="400"/>
      <c r="XEB17" s="400"/>
      <c r="XEC17" s="400"/>
      <c r="XED17" s="400"/>
      <c r="XEE17" s="400"/>
      <c r="XEF17" s="400"/>
      <c r="XEG17" s="400"/>
      <c r="XEH17" s="400"/>
      <c r="XEI17" s="400"/>
      <c r="XEJ17" s="400"/>
      <c r="XEK17" s="400"/>
      <c r="XEL17" s="400"/>
      <c r="XEM17" s="400"/>
      <c r="XEN17" s="400"/>
      <c r="XEO17" s="400"/>
      <c r="XEP17" s="400"/>
      <c r="XEQ17" s="400"/>
      <c r="XER17" s="400"/>
      <c r="XES17" s="400"/>
      <c r="XET17" s="400"/>
      <c r="XEU17" s="400"/>
      <c r="XEV17" s="400"/>
      <c r="XEW17" s="400"/>
      <c r="XEX17" s="400"/>
      <c r="XEY17" s="400"/>
    </row>
    <row r="18" spans="1:16379" s="239" customFormat="1" ht="33" customHeight="1">
      <c r="A18" s="2761">
        <v>433</v>
      </c>
      <c r="B18" s="1982"/>
      <c r="C18" s="2754"/>
      <c r="D18" s="2754"/>
      <c r="E18" s="2762" t="s">
        <v>2706</v>
      </c>
      <c r="F18" s="2762"/>
      <c r="G18" s="2762"/>
      <c r="H18" s="2762"/>
      <c r="I18" s="2762"/>
      <c r="J18" s="2762"/>
      <c r="K18" s="2762"/>
      <c r="L18" s="398"/>
      <c r="M18" s="398"/>
      <c r="N18" s="2763"/>
      <c r="O18" s="2764"/>
      <c r="P18" s="2763"/>
      <c r="Q18" s="2763">
        <f>SUMIF('1402'!$B$6:$B$590,$A18,'1402'!$W$6:$W$590)</f>
        <v>77714</v>
      </c>
      <c r="R18" s="2765"/>
      <c r="S18" s="2763">
        <v>0</v>
      </c>
      <c r="T18" s="779"/>
      <c r="U18" s="779"/>
      <c r="V18" s="400"/>
      <c r="W18" s="400"/>
      <c r="X18" s="400"/>
      <c r="Y18" s="400"/>
      <c r="Z18" s="400"/>
      <c r="AA18" s="400"/>
      <c r="AB18" s="400"/>
      <c r="AC18" s="400"/>
      <c r="AD18" s="400"/>
      <c r="AE18" s="400"/>
      <c r="AF18" s="400"/>
      <c r="AG18" s="400"/>
      <c r="AH18" s="400"/>
      <c r="AI18" s="400"/>
      <c r="AJ18" s="400"/>
      <c r="AK18" s="400"/>
      <c r="AL18" s="400"/>
      <c r="AM18" s="400"/>
      <c r="AN18" s="400"/>
      <c r="AO18" s="400"/>
      <c r="AP18" s="400"/>
      <c r="AQ18" s="400"/>
      <c r="AR18" s="400"/>
      <c r="AS18" s="400"/>
      <c r="AT18" s="400"/>
      <c r="AU18" s="400"/>
      <c r="AV18" s="400"/>
      <c r="AW18" s="400"/>
      <c r="AX18" s="400"/>
      <c r="AY18" s="400"/>
      <c r="AZ18" s="400"/>
      <c r="BA18" s="400"/>
      <c r="BB18" s="400"/>
      <c r="BC18" s="400"/>
      <c r="BD18" s="400"/>
      <c r="BE18" s="400"/>
      <c r="BF18" s="400"/>
      <c r="BG18" s="400"/>
      <c r="BH18" s="400"/>
      <c r="BI18" s="400"/>
      <c r="BJ18" s="400"/>
      <c r="BK18" s="400"/>
      <c r="BL18" s="400"/>
      <c r="BM18" s="400"/>
      <c r="BN18" s="400"/>
      <c r="BO18" s="400"/>
      <c r="BP18" s="400"/>
      <c r="BQ18" s="400"/>
      <c r="BR18" s="400"/>
      <c r="BS18" s="400"/>
      <c r="BT18" s="400"/>
      <c r="BU18" s="400"/>
      <c r="BV18" s="400"/>
      <c r="BW18" s="400"/>
      <c r="BX18" s="400"/>
      <c r="BY18" s="400"/>
      <c r="BZ18" s="400"/>
      <c r="CA18" s="400"/>
      <c r="CB18" s="400"/>
      <c r="CC18" s="400"/>
      <c r="CD18" s="400"/>
      <c r="CE18" s="400"/>
      <c r="CF18" s="400"/>
      <c r="CG18" s="400"/>
      <c r="CH18" s="400"/>
      <c r="CI18" s="400"/>
      <c r="CJ18" s="400"/>
      <c r="CK18" s="400"/>
      <c r="CL18" s="400"/>
      <c r="CM18" s="400"/>
      <c r="CN18" s="400"/>
      <c r="CO18" s="400"/>
      <c r="CP18" s="400"/>
      <c r="CQ18" s="400"/>
      <c r="CR18" s="400"/>
      <c r="CS18" s="400"/>
      <c r="CT18" s="400"/>
      <c r="CU18" s="400"/>
      <c r="CV18" s="400"/>
      <c r="CW18" s="400"/>
      <c r="CX18" s="400"/>
      <c r="CY18" s="400"/>
      <c r="CZ18" s="400"/>
      <c r="DA18" s="400"/>
      <c r="DB18" s="400"/>
      <c r="DC18" s="400"/>
      <c r="DD18" s="400"/>
      <c r="DE18" s="400"/>
      <c r="DF18" s="400"/>
      <c r="DG18" s="400"/>
      <c r="DH18" s="400"/>
      <c r="DI18" s="400"/>
      <c r="DJ18" s="400"/>
      <c r="DK18" s="400"/>
      <c r="DL18" s="400"/>
      <c r="DM18" s="400"/>
      <c r="DN18" s="400"/>
      <c r="DO18" s="400"/>
      <c r="DP18" s="400"/>
      <c r="DQ18" s="400"/>
      <c r="DR18" s="400"/>
      <c r="DS18" s="400"/>
      <c r="DT18" s="400"/>
      <c r="DU18" s="400"/>
      <c r="DV18" s="400"/>
      <c r="DW18" s="400"/>
      <c r="DX18" s="400"/>
      <c r="DY18" s="400"/>
      <c r="DZ18" s="400"/>
      <c r="EA18" s="400"/>
      <c r="EB18" s="400"/>
      <c r="EC18" s="400"/>
      <c r="ED18" s="400"/>
      <c r="EE18" s="400"/>
      <c r="EF18" s="400"/>
      <c r="EG18" s="400"/>
      <c r="EH18" s="400"/>
      <c r="EI18" s="400"/>
      <c r="EJ18" s="400"/>
      <c r="EK18" s="400"/>
      <c r="EL18" s="400"/>
      <c r="EM18" s="400"/>
      <c r="EN18" s="400"/>
      <c r="EO18" s="400"/>
      <c r="EP18" s="400"/>
      <c r="EQ18" s="400"/>
      <c r="ER18" s="400"/>
      <c r="ES18" s="400"/>
      <c r="ET18" s="400"/>
      <c r="EU18" s="400"/>
      <c r="EV18" s="400"/>
      <c r="EW18" s="400"/>
      <c r="EX18" s="400"/>
      <c r="EY18" s="400"/>
      <c r="EZ18" s="400"/>
      <c r="FA18" s="400"/>
      <c r="FB18" s="400"/>
      <c r="FC18" s="400"/>
      <c r="FD18" s="400"/>
      <c r="FE18" s="400"/>
      <c r="FF18" s="400"/>
      <c r="FG18" s="400"/>
      <c r="FH18" s="400"/>
      <c r="FI18" s="400"/>
      <c r="FJ18" s="400"/>
      <c r="FK18" s="400"/>
      <c r="FL18" s="400"/>
      <c r="FM18" s="400"/>
      <c r="FN18" s="400"/>
      <c r="FO18" s="400"/>
      <c r="FP18" s="400"/>
      <c r="FQ18" s="400"/>
      <c r="FR18" s="400"/>
      <c r="FS18" s="400"/>
      <c r="FT18" s="400"/>
      <c r="FU18" s="400"/>
      <c r="FV18" s="400"/>
      <c r="FW18" s="400"/>
      <c r="FX18" s="400"/>
      <c r="FY18" s="400"/>
      <c r="FZ18" s="400"/>
      <c r="GA18" s="400"/>
      <c r="GB18" s="400"/>
      <c r="GC18" s="400"/>
      <c r="GD18" s="400"/>
      <c r="GE18" s="400"/>
      <c r="GF18" s="400"/>
      <c r="GG18" s="400"/>
      <c r="GH18" s="400"/>
      <c r="GI18" s="400"/>
      <c r="GJ18" s="400"/>
      <c r="GK18" s="400"/>
      <c r="GL18" s="400"/>
      <c r="GM18" s="400"/>
      <c r="GN18" s="400"/>
      <c r="GO18" s="400"/>
      <c r="GP18" s="400"/>
      <c r="GQ18" s="400"/>
      <c r="GR18" s="400"/>
      <c r="GS18" s="400"/>
      <c r="GT18" s="400"/>
      <c r="GU18" s="400"/>
      <c r="GV18" s="400"/>
      <c r="GW18" s="400"/>
      <c r="GX18" s="400"/>
      <c r="GY18" s="400"/>
      <c r="GZ18" s="400"/>
      <c r="HA18" s="400"/>
      <c r="HB18" s="400"/>
      <c r="HC18" s="400"/>
      <c r="HD18" s="400"/>
      <c r="HE18" s="400"/>
      <c r="HF18" s="400"/>
      <c r="HG18" s="400"/>
      <c r="HH18" s="400"/>
      <c r="HI18" s="400"/>
      <c r="HJ18" s="400"/>
      <c r="HK18" s="400"/>
      <c r="HL18" s="400"/>
      <c r="HM18" s="400"/>
      <c r="HN18" s="400"/>
      <c r="HO18" s="400"/>
      <c r="HP18" s="400"/>
      <c r="HQ18" s="400"/>
      <c r="HR18" s="400"/>
      <c r="HS18" s="400"/>
      <c r="HT18" s="400"/>
      <c r="HU18" s="400"/>
      <c r="HV18" s="400"/>
      <c r="HW18" s="400"/>
      <c r="HX18" s="400"/>
      <c r="HY18" s="400"/>
      <c r="HZ18" s="400"/>
      <c r="IA18" s="400"/>
      <c r="IB18" s="400"/>
      <c r="IC18" s="400"/>
      <c r="ID18" s="400"/>
      <c r="IE18" s="400"/>
      <c r="IF18" s="400"/>
      <c r="IG18" s="400"/>
      <c r="IH18" s="400"/>
      <c r="II18" s="400"/>
      <c r="IJ18" s="400"/>
      <c r="IK18" s="400"/>
      <c r="IL18" s="400"/>
      <c r="IM18" s="400"/>
      <c r="IN18" s="400"/>
      <c r="IO18" s="400"/>
      <c r="IP18" s="400"/>
      <c r="IQ18" s="400"/>
      <c r="IR18" s="400"/>
      <c r="IS18" s="400"/>
      <c r="IT18" s="400"/>
      <c r="IU18" s="400"/>
      <c r="IV18" s="400"/>
      <c r="IW18" s="400"/>
      <c r="IX18" s="400"/>
      <c r="IY18" s="400"/>
      <c r="IZ18" s="400"/>
      <c r="JA18" s="400"/>
      <c r="JB18" s="400"/>
      <c r="JC18" s="400"/>
      <c r="JD18" s="400"/>
      <c r="JE18" s="400"/>
      <c r="JF18" s="400"/>
      <c r="JG18" s="400"/>
      <c r="JH18" s="400"/>
      <c r="JI18" s="400"/>
      <c r="JJ18" s="400"/>
      <c r="JK18" s="400"/>
      <c r="JL18" s="400"/>
      <c r="JM18" s="400"/>
      <c r="JN18" s="400"/>
      <c r="JO18" s="400"/>
      <c r="JP18" s="400"/>
      <c r="JQ18" s="400"/>
      <c r="JR18" s="400"/>
      <c r="JS18" s="400"/>
      <c r="JT18" s="400"/>
      <c r="JU18" s="400"/>
      <c r="JV18" s="400"/>
      <c r="JW18" s="400"/>
      <c r="JX18" s="400"/>
      <c r="JY18" s="400"/>
      <c r="JZ18" s="400"/>
      <c r="KA18" s="400"/>
      <c r="KB18" s="400"/>
      <c r="KC18" s="400"/>
      <c r="KD18" s="400"/>
      <c r="KE18" s="400"/>
      <c r="KF18" s="400"/>
      <c r="KG18" s="400"/>
      <c r="KH18" s="400"/>
      <c r="KI18" s="400"/>
      <c r="KJ18" s="400"/>
      <c r="KK18" s="400"/>
      <c r="KL18" s="400"/>
      <c r="KM18" s="400"/>
      <c r="KN18" s="400"/>
      <c r="KO18" s="400"/>
      <c r="KP18" s="400"/>
      <c r="KQ18" s="400"/>
      <c r="KR18" s="400"/>
      <c r="KS18" s="400"/>
      <c r="KT18" s="400"/>
      <c r="KU18" s="400"/>
      <c r="KV18" s="400"/>
      <c r="KW18" s="400"/>
      <c r="KX18" s="400"/>
      <c r="KY18" s="400"/>
      <c r="KZ18" s="400"/>
      <c r="LA18" s="400"/>
      <c r="LB18" s="400"/>
      <c r="LC18" s="400"/>
      <c r="LD18" s="400"/>
      <c r="LE18" s="400"/>
      <c r="LF18" s="400"/>
      <c r="LG18" s="400"/>
      <c r="LH18" s="400"/>
      <c r="LI18" s="400"/>
      <c r="LJ18" s="400"/>
      <c r="LK18" s="400"/>
      <c r="LL18" s="400"/>
      <c r="LM18" s="400"/>
      <c r="LN18" s="400"/>
      <c r="LO18" s="400"/>
      <c r="LP18" s="400"/>
      <c r="LQ18" s="400"/>
      <c r="LR18" s="400"/>
      <c r="LS18" s="400"/>
      <c r="LT18" s="400"/>
      <c r="LU18" s="400"/>
      <c r="LV18" s="400"/>
      <c r="LW18" s="400"/>
      <c r="LX18" s="400"/>
      <c r="LY18" s="400"/>
      <c r="LZ18" s="400"/>
      <c r="MA18" s="400"/>
      <c r="MB18" s="400"/>
      <c r="MC18" s="400"/>
      <c r="MD18" s="400"/>
      <c r="ME18" s="400"/>
      <c r="MF18" s="400"/>
      <c r="MG18" s="400"/>
      <c r="MH18" s="400"/>
      <c r="MI18" s="400"/>
      <c r="MJ18" s="400"/>
      <c r="MK18" s="400"/>
      <c r="ML18" s="400"/>
      <c r="MM18" s="400"/>
      <c r="MN18" s="400"/>
      <c r="MO18" s="400"/>
      <c r="MP18" s="400"/>
      <c r="MQ18" s="400"/>
      <c r="MR18" s="400"/>
      <c r="MS18" s="400"/>
      <c r="MT18" s="400"/>
      <c r="MU18" s="400"/>
      <c r="MV18" s="400"/>
      <c r="MW18" s="400"/>
      <c r="MX18" s="400"/>
      <c r="MY18" s="400"/>
      <c r="MZ18" s="400"/>
      <c r="NA18" s="400"/>
      <c r="NB18" s="400"/>
      <c r="NC18" s="400"/>
      <c r="ND18" s="400"/>
      <c r="NE18" s="400"/>
      <c r="NF18" s="400"/>
      <c r="NG18" s="400"/>
      <c r="NH18" s="400"/>
      <c r="NI18" s="400"/>
      <c r="NJ18" s="400"/>
      <c r="NK18" s="400"/>
      <c r="NL18" s="400"/>
      <c r="NM18" s="400"/>
      <c r="NN18" s="400"/>
      <c r="NO18" s="400"/>
      <c r="NP18" s="400"/>
      <c r="NQ18" s="400"/>
      <c r="NR18" s="400"/>
      <c r="NS18" s="400"/>
      <c r="NT18" s="400"/>
      <c r="NU18" s="400"/>
      <c r="NV18" s="400"/>
      <c r="NW18" s="400"/>
      <c r="NX18" s="400"/>
      <c r="NY18" s="400"/>
      <c r="NZ18" s="400"/>
      <c r="OA18" s="400"/>
      <c r="OB18" s="400"/>
      <c r="OC18" s="400"/>
      <c r="OD18" s="400"/>
      <c r="OE18" s="400"/>
      <c r="OF18" s="400"/>
      <c r="OG18" s="400"/>
      <c r="OH18" s="400"/>
      <c r="OI18" s="400"/>
      <c r="OJ18" s="400"/>
      <c r="OK18" s="400"/>
      <c r="OL18" s="400"/>
      <c r="OM18" s="400"/>
      <c r="ON18" s="400"/>
      <c r="OO18" s="400"/>
      <c r="OP18" s="400"/>
      <c r="OQ18" s="400"/>
      <c r="OR18" s="400"/>
      <c r="OS18" s="400"/>
      <c r="OT18" s="400"/>
      <c r="OU18" s="400"/>
      <c r="OV18" s="400"/>
      <c r="OW18" s="400"/>
      <c r="OX18" s="400"/>
      <c r="OY18" s="400"/>
      <c r="OZ18" s="400"/>
      <c r="PA18" s="400"/>
      <c r="PB18" s="400"/>
      <c r="PC18" s="400"/>
      <c r="PD18" s="400"/>
      <c r="PE18" s="400"/>
      <c r="PF18" s="400"/>
      <c r="PG18" s="400"/>
      <c r="PH18" s="400"/>
      <c r="PI18" s="400"/>
      <c r="PJ18" s="400"/>
      <c r="PK18" s="400"/>
      <c r="PL18" s="400"/>
      <c r="PM18" s="400"/>
      <c r="PN18" s="400"/>
      <c r="PO18" s="400"/>
      <c r="PP18" s="400"/>
      <c r="PQ18" s="400"/>
      <c r="PR18" s="400"/>
      <c r="PS18" s="400"/>
      <c r="PT18" s="400"/>
      <c r="PU18" s="400"/>
      <c r="PV18" s="400"/>
      <c r="PW18" s="400"/>
      <c r="PX18" s="400"/>
      <c r="PY18" s="400"/>
      <c r="PZ18" s="400"/>
      <c r="QA18" s="400"/>
      <c r="QB18" s="400"/>
      <c r="QC18" s="400"/>
      <c r="QD18" s="400"/>
      <c r="QE18" s="400"/>
      <c r="QF18" s="400"/>
      <c r="QG18" s="400"/>
      <c r="QH18" s="400"/>
      <c r="QI18" s="400"/>
      <c r="QJ18" s="400"/>
      <c r="QK18" s="400"/>
      <c r="QL18" s="400"/>
      <c r="QM18" s="400"/>
      <c r="QN18" s="400"/>
      <c r="QO18" s="400"/>
      <c r="QP18" s="400"/>
      <c r="QQ18" s="400"/>
      <c r="QR18" s="400"/>
      <c r="QS18" s="400"/>
      <c r="QT18" s="400"/>
      <c r="QU18" s="400"/>
      <c r="QV18" s="400"/>
      <c r="QW18" s="400"/>
      <c r="QX18" s="400"/>
      <c r="QY18" s="400"/>
      <c r="QZ18" s="400"/>
      <c r="RA18" s="400"/>
      <c r="RB18" s="400"/>
      <c r="RC18" s="400"/>
      <c r="RD18" s="400"/>
      <c r="RE18" s="400"/>
      <c r="RF18" s="400"/>
      <c r="RG18" s="400"/>
      <c r="RH18" s="400"/>
      <c r="RI18" s="400"/>
      <c r="RJ18" s="400"/>
      <c r="RK18" s="400"/>
      <c r="RL18" s="400"/>
      <c r="RM18" s="400"/>
      <c r="RN18" s="400"/>
      <c r="RO18" s="400"/>
      <c r="RP18" s="400"/>
      <c r="RQ18" s="400"/>
      <c r="RR18" s="400"/>
      <c r="RS18" s="400"/>
      <c r="RT18" s="400"/>
      <c r="RU18" s="400"/>
      <c r="RV18" s="400"/>
      <c r="RW18" s="400"/>
      <c r="RX18" s="400"/>
      <c r="RY18" s="400"/>
      <c r="RZ18" s="400"/>
      <c r="SA18" s="400"/>
      <c r="SB18" s="400"/>
      <c r="SC18" s="400"/>
      <c r="SD18" s="400"/>
      <c r="SE18" s="400"/>
      <c r="SF18" s="400"/>
      <c r="SG18" s="400"/>
      <c r="SH18" s="400"/>
      <c r="SI18" s="400"/>
      <c r="SJ18" s="400"/>
      <c r="SK18" s="400"/>
      <c r="SL18" s="400"/>
      <c r="SM18" s="400"/>
      <c r="SN18" s="400"/>
      <c r="SO18" s="400"/>
      <c r="SP18" s="400"/>
      <c r="SQ18" s="400"/>
      <c r="SR18" s="400"/>
      <c r="SS18" s="400"/>
      <c r="ST18" s="400"/>
      <c r="SU18" s="400"/>
      <c r="SV18" s="400"/>
      <c r="SW18" s="400"/>
      <c r="SX18" s="400"/>
      <c r="SY18" s="400"/>
      <c r="SZ18" s="400"/>
      <c r="TA18" s="400"/>
      <c r="TB18" s="400"/>
      <c r="TC18" s="400"/>
      <c r="TD18" s="400"/>
      <c r="TE18" s="400"/>
      <c r="TF18" s="400"/>
      <c r="TG18" s="400"/>
      <c r="TH18" s="400"/>
      <c r="TI18" s="400"/>
      <c r="TJ18" s="400"/>
      <c r="TK18" s="400"/>
      <c r="TL18" s="400"/>
      <c r="TM18" s="400"/>
      <c r="TN18" s="400"/>
      <c r="TO18" s="400"/>
      <c r="TP18" s="400"/>
      <c r="TQ18" s="400"/>
      <c r="TR18" s="400"/>
      <c r="TS18" s="400"/>
      <c r="TT18" s="400"/>
      <c r="TU18" s="400"/>
      <c r="TV18" s="400"/>
      <c r="TW18" s="400"/>
      <c r="TX18" s="400"/>
      <c r="TY18" s="400"/>
      <c r="TZ18" s="400"/>
      <c r="UA18" s="400"/>
      <c r="UB18" s="400"/>
      <c r="UC18" s="400"/>
      <c r="UD18" s="400"/>
      <c r="UE18" s="400"/>
      <c r="UF18" s="400"/>
      <c r="UG18" s="400"/>
      <c r="UH18" s="400"/>
      <c r="UI18" s="400"/>
      <c r="UJ18" s="400"/>
      <c r="UK18" s="400"/>
      <c r="UL18" s="400"/>
      <c r="UM18" s="400"/>
      <c r="UN18" s="400"/>
      <c r="UO18" s="400"/>
      <c r="UP18" s="400"/>
      <c r="UQ18" s="400"/>
      <c r="UR18" s="400"/>
      <c r="US18" s="400"/>
      <c r="UT18" s="400"/>
      <c r="UU18" s="400"/>
      <c r="UV18" s="400"/>
      <c r="UW18" s="400"/>
      <c r="UX18" s="400"/>
      <c r="UY18" s="400"/>
      <c r="UZ18" s="400"/>
      <c r="VA18" s="400"/>
      <c r="VB18" s="400"/>
      <c r="VC18" s="400"/>
      <c r="VD18" s="400"/>
      <c r="VE18" s="400"/>
      <c r="VF18" s="400"/>
      <c r="VG18" s="400"/>
      <c r="VH18" s="400"/>
      <c r="VI18" s="400"/>
      <c r="VJ18" s="400"/>
      <c r="VK18" s="400"/>
      <c r="VL18" s="400"/>
      <c r="VM18" s="400"/>
      <c r="VN18" s="400"/>
      <c r="VO18" s="400"/>
      <c r="VP18" s="400"/>
      <c r="VQ18" s="400"/>
      <c r="VR18" s="400"/>
      <c r="VS18" s="400"/>
      <c r="VT18" s="400"/>
      <c r="VU18" s="400"/>
      <c r="VV18" s="400"/>
      <c r="VW18" s="400"/>
      <c r="VX18" s="400"/>
      <c r="VY18" s="400"/>
      <c r="VZ18" s="400"/>
      <c r="WA18" s="400"/>
      <c r="WB18" s="400"/>
      <c r="WC18" s="400"/>
      <c r="WD18" s="400"/>
      <c r="WE18" s="400"/>
      <c r="WF18" s="400"/>
      <c r="WG18" s="400"/>
      <c r="WH18" s="400"/>
      <c r="WI18" s="400"/>
      <c r="WJ18" s="400"/>
      <c r="WK18" s="400"/>
      <c r="WL18" s="400"/>
      <c r="WM18" s="400"/>
      <c r="WN18" s="400"/>
      <c r="WO18" s="400"/>
      <c r="WP18" s="400"/>
      <c r="WQ18" s="400"/>
      <c r="WR18" s="400"/>
      <c r="WS18" s="400"/>
      <c r="WT18" s="400"/>
      <c r="WU18" s="400"/>
      <c r="WV18" s="400"/>
      <c r="WW18" s="400"/>
      <c r="WX18" s="400"/>
      <c r="WY18" s="400"/>
      <c r="WZ18" s="400"/>
      <c r="XA18" s="400"/>
      <c r="XB18" s="400"/>
      <c r="XC18" s="400"/>
      <c r="XD18" s="400"/>
      <c r="XE18" s="400"/>
      <c r="XF18" s="400"/>
      <c r="XG18" s="400"/>
      <c r="XH18" s="400"/>
      <c r="XI18" s="400"/>
      <c r="XJ18" s="400"/>
      <c r="XK18" s="400"/>
      <c r="XL18" s="400"/>
      <c r="XM18" s="400"/>
      <c r="XN18" s="400"/>
      <c r="XO18" s="400"/>
      <c r="XP18" s="400"/>
      <c r="XQ18" s="400"/>
      <c r="XR18" s="400"/>
      <c r="XS18" s="400"/>
      <c r="XT18" s="400"/>
      <c r="XU18" s="400"/>
      <c r="XV18" s="400"/>
      <c r="XW18" s="400"/>
      <c r="XX18" s="400"/>
      <c r="XY18" s="400"/>
      <c r="XZ18" s="400"/>
      <c r="YA18" s="400"/>
      <c r="YB18" s="400"/>
      <c r="YC18" s="400"/>
      <c r="YD18" s="400"/>
      <c r="YE18" s="400"/>
      <c r="YF18" s="400"/>
      <c r="YG18" s="400"/>
      <c r="YH18" s="400"/>
      <c r="YI18" s="400"/>
      <c r="YJ18" s="400"/>
      <c r="YK18" s="400"/>
      <c r="YL18" s="400"/>
      <c r="YM18" s="400"/>
      <c r="YN18" s="400"/>
      <c r="YO18" s="400"/>
      <c r="YP18" s="400"/>
      <c r="YQ18" s="400"/>
      <c r="YR18" s="400"/>
      <c r="YS18" s="400"/>
      <c r="YT18" s="400"/>
      <c r="YU18" s="400"/>
      <c r="YV18" s="400"/>
      <c r="YW18" s="400"/>
      <c r="YX18" s="400"/>
      <c r="YY18" s="400"/>
      <c r="YZ18" s="400"/>
      <c r="ZA18" s="400"/>
      <c r="ZB18" s="400"/>
      <c r="ZC18" s="400"/>
      <c r="ZD18" s="400"/>
      <c r="ZE18" s="400"/>
      <c r="ZF18" s="400"/>
      <c r="ZG18" s="400"/>
      <c r="ZH18" s="400"/>
      <c r="ZI18" s="400"/>
      <c r="ZJ18" s="400"/>
      <c r="ZK18" s="400"/>
      <c r="ZL18" s="400"/>
      <c r="ZM18" s="400"/>
      <c r="ZN18" s="400"/>
      <c r="ZO18" s="400"/>
      <c r="ZP18" s="400"/>
      <c r="ZQ18" s="400"/>
      <c r="ZR18" s="400"/>
      <c r="ZS18" s="400"/>
      <c r="ZT18" s="400"/>
      <c r="ZU18" s="400"/>
      <c r="ZV18" s="400"/>
      <c r="ZW18" s="400"/>
      <c r="ZX18" s="400"/>
      <c r="ZY18" s="400"/>
      <c r="ZZ18" s="400"/>
      <c r="AAA18" s="400"/>
      <c r="AAB18" s="400"/>
      <c r="AAC18" s="400"/>
      <c r="AAD18" s="400"/>
      <c r="AAE18" s="400"/>
      <c r="AAF18" s="400"/>
      <c r="AAG18" s="400"/>
      <c r="AAH18" s="400"/>
      <c r="AAI18" s="400"/>
      <c r="AAJ18" s="400"/>
      <c r="AAK18" s="400"/>
      <c r="AAL18" s="400"/>
      <c r="AAM18" s="400"/>
      <c r="AAN18" s="400"/>
      <c r="AAO18" s="400"/>
      <c r="AAP18" s="400"/>
      <c r="AAQ18" s="400"/>
      <c r="AAR18" s="400"/>
      <c r="AAS18" s="400"/>
      <c r="AAT18" s="400"/>
      <c r="AAU18" s="400"/>
      <c r="AAV18" s="400"/>
      <c r="AAW18" s="400"/>
      <c r="AAX18" s="400"/>
      <c r="AAY18" s="400"/>
      <c r="AAZ18" s="400"/>
      <c r="ABA18" s="400"/>
      <c r="ABB18" s="400"/>
      <c r="ABC18" s="400"/>
      <c r="ABD18" s="400"/>
      <c r="ABE18" s="400"/>
      <c r="ABF18" s="400"/>
      <c r="ABG18" s="400"/>
      <c r="ABH18" s="400"/>
      <c r="ABI18" s="400"/>
      <c r="ABJ18" s="400"/>
      <c r="ABK18" s="400"/>
      <c r="ABL18" s="400"/>
      <c r="ABM18" s="400"/>
      <c r="ABN18" s="400"/>
      <c r="ABO18" s="400"/>
      <c r="ABP18" s="400"/>
      <c r="ABQ18" s="400"/>
      <c r="ABR18" s="400"/>
      <c r="ABS18" s="400"/>
      <c r="ABT18" s="400"/>
      <c r="ABU18" s="400"/>
      <c r="ABV18" s="400"/>
      <c r="ABW18" s="400"/>
      <c r="ABX18" s="400"/>
      <c r="ABY18" s="400"/>
      <c r="ABZ18" s="400"/>
      <c r="ACA18" s="400"/>
      <c r="ACB18" s="400"/>
      <c r="ACC18" s="400"/>
      <c r="ACD18" s="400"/>
      <c r="ACE18" s="400"/>
      <c r="ACF18" s="400"/>
      <c r="ACG18" s="400"/>
      <c r="ACH18" s="400"/>
      <c r="ACI18" s="400"/>
      <c r="ACJ18" s="400"/>
      <c r="ACK18" s="400"/>
      <c r="ACL18" s="400"/>
      <c r="ACM18" s="400"/>
      <c r="ACN18" s="400"/>
      <c r="ACO18" s="400"/>
      <c r="ACP18" s="400"/>
      <c r="ACQ18" s="400"/>
      <c r="ACR18" s="400"/>
      <c r="ACS18" s="400"/>
      <c r="ACT18" s="400"/>
      <c r="ACU18" s="400"/>
      <c r="ACV18" s="400"/>
      <c r="ACW18" s="400"/>
      <c r="ACX18" s="400"/>
      <c r="ACY18" s="400"/>
      <c r="ACZ18" s="400"/>
      <c r="ADA18" s="400"/>
      <c r="ADB18" s="400"/>
      <c r="ADC18" s="400"/>
      <c r="ADD18" s="400"/>
      <c r="ADE18" s="400"/>
      <c r="ADF18" s="400"/>
      <c r="ADG18" s="400"/>
      <c r="ADH18" s="400"/>
      <c r="ADI18" s="400"/>
      <c r="ADJ18" s="400"/>
      <c r="ADK18" s="400"/>
      <c r="ADL18" s="400"/>
      <c r="ADM18" s="400"/>
      <c r="ADN18" s="400"/>
      <c r="ADO18" s="400"/>
      <c r="ADP18" s="400"/>
      <c r="ADQ18" s="400"/>
      <c r="ADR18" s="400"/>
      <c r="ADS18" s="400"/>
      <c r="ADT18" s="400"/>
      <c r="ADU18" s="400"/>
      <c r="ADV18" s="400"/>
      <c r="ADW18" s="400"/>
      <c r="ADX18" s="400"/>
      <c r="ADY18" s="400"/>
      <c r="ADZ18" s="400"/>
      <c r="AEA18" s="400"/>
      <c r="AEB18" s="400"/>
      <c r="AEC18" s="400"/>
      <c r="AED18" s="400"/>
      <c r="AEE18" s="400"/>
      <c r="AEF18" s="400"/>
      <c r="AEG18" s="400"/>
      <c r="AEH18" s="400"/>
      <c r="AEI18" s="400"/>
      <c r="AEJ18" s="400"/>
      <c r="AEK18" s="400"/>
      <c r="AEL18" s="400"/>
      <c r="AEM18" s="400"/>
      <c r="AEN18" s="400"/>
      <c r="AEO18" s="400"/>
      <c r="AEP18" s="400"/>
      <c r="AEQ18" s="400"/>
      <c r="AER18" s="400"/>
      <c r="AES18" s="400"/>
      <c r="AET18" s="400"/>
      <c r="AEU18" s="400"/>
      <c r="AEV18" s="400"/>
      <c r="AEW18" s="400"/>
      <c r="AEX18" s="400"/>
      <c r="AEY18" s="400"/>
      <c r="AEZ18" s="400"/>
      <c r="AFA18" s="400"/>
      <c r="AFB18" s="400"/>
      <c r="AFC18" s="400"/>
      <c r="AFD18" s="400"/>
      <c r="AFE18" s="400"/>
      <c r="AFF18" s="400"/>
      <c r="AFG18" s="400"/>
      <c r="AFH18" s="400"/>
      <c r="AFI18" s="400"/>
      <c r="AFJ18" s="400"/>
      <c r="AFK18" s="400"/>
      <c r="AFL18" s="400"/>
      <c r="AFM18" s="400"/>
      <c r="AFN18" s="400"/>
      <c r="AFO18" s="400"/>
      <c r="AFP18" s="400"/>
      <c r="AFQ18" s="400"/>
      <c r="AFR18" s="400"/>
      <c r="AFS18" s="400"/>
      <c r="AFT18" s="400"/>
      <c r="AFU18" s="400"/>
      <c r="AFV18" s="400"/>
      <c r="AFW18" s="400"/>
      <c r="AFX18" s="400"/>
      <c r="AFY18" s="400"/>
      <c r="AFZ18" s="400"/>
      <c r="AGA18" s="400"/>
      <c r="AGB18" s="400"/>
      <c r="AGC18" s="400"/>
      <c r="AGD18" s="400"/>
      <c r="AGE18" s="400"/>
      <c r="AGF18" s="400"/>
      <c r="AGG18" s="400"/>
      <c r="AGH18" s="400"/>
      <c r="AGI18" s="400"/>
      <c r="AGJ18" s="400"/>
      <c r="AGK18" s="400"/>
      <c r="AGL18" s="400"/>
      <c r="AGM18" s="400"/>
      <c r="AGN18" s="400"/>
      <c r="AGO18" s="400"/>
      <c r="AGP18" s="400"/>
      <c r="AGQ18" s="400"/>
      <c r="AGR18" s="400"/>
      <c r="AGS18" s="400"/>
      <c r="AGT18" s="400"/>
      <c r="AGU18" s="400"/>
      <c r="AGV18" s="400"/>
      <c r="AGW18" s="400"/>
      <c r="AGX18" s="400"/>
      <c r="AGY18" s="400"/>
      <c r="AGZ18" s="400"/>
      <c r="AHA18" s="400"/>
      <c r="AHB18" s="400"/>
      <c r="AHC18" s="400"/>
      <c r="AHD18" s="400"/>
      <c r="AHE18" s="400"/>
      <c r="AHF18" s="400"/>
      <c r="AHG18" s="400"/>
      <c r="AHH18" s="400"/>
      <c r="AHI18" s="400"/>
      <c r="AHJ18" s="400"/>
      <c r="AHK18" s="400"/>
      <c r="AHL18" s="400"/>
      <c r="AHM18" s="400"/>
      <c r="AHN18" s="400"/>
      <c r="AHO18" s="400"/>
      <c r="AHP18" s="400"/>
      <c r="AHQ18" s="400"/>
      <c r="AHR18" s="400"/>
      <c r="AHS18" s="400"/>
      <c r="AHT18" s="400"/>
      <c r="AHU18" s="400"/>
      <c r="AHV18" s="400"/>
      <c r="AHW18" s="400"/>
      <c r="AHX18" s="400"/>
      <c r="AHY18" s="400"/>
      <c r="AHZ18" s="400"/>
      <c r="AIA18" s="400"/>
      <c r="AIB18" s="400"/>
      <c r="AIC18" s="400"/>
      <c r="AID18" s="400"/>
      <c r="AIE18" s="400"/>
      <c r="AIF18" s="400"/>
      <c r="AIG18" s="400"/>
      <c r="AIH18" s="400"/>
      <c r="AII18" s="400"/>
      <c r="AIJ18" s="400"/>
      <c r="AIK18" s="400"/>
      <c r="AIL18" s="400"/>
      <c r="AIM18" s="400"/>
      <c r="AIN18" s="400"/>
      <c r="AIO18" s="400"/>
      <c r="AIP18" s="400"/>
      <c r="AIQ18" s="400"/>
      <c r="AIR18" s="400"/>
      <c r="AIS18" s="400"/>
      <c r="AIT18" s="400"/>
      <c r="AIU18" s="400"/>
      <c r="AIV18" s="400"/>
      <c r="AIW18" s="400"/>
      <c r="AIX18" s="400"/>
      <c r="AIY18" s="400"/>
      <c r="AIZ18" s="400"/>
      <c r="AJA18" s="400"/>
      <c r="AJB18" s="400"/>
      <c r="AJC18" s="400"/>
      <c r="AJD18" s="400"/>
      <c r="AJE18" s="400"/>
      <c r="AJF18" s="400"/>
      <c r="AJG18" s="400"/>
      <c r="AJH18" s="400"/>
      <c r="AJI18" s="400"/>
      <c r="AJJ18" s="400"/>
      <c r="AJK18" s="400"/>
      <c r="AJL18" s="400"/>
      <c r="AJM18" s="400"/>
      <c r="AJN18" s="400"/>
      <c r="AJO18" s="400"/>
      <c r="AJP18" s="400"/>
      <c r="AJQ18" s="400"/>
      <c r="AJR18" s="400"/>
      <c r="AJS18" s="400"/>
      <c r="AJT18" s="400"/>
      <c r="AJU18" s="400"/>
      <c r="AJV18" s="400"/>
      <c r="AJW18" s="400"/>
      <c r="AJX18" s="400"/>
      <c r="AJY18" s="400"/>
      <c r="AJZ18" s="400"/>
      <c r="AKA18" s="400"/>
      <c r="AKB18" s="400"/>
      <c r="AKC18" s="400"/>
      <c r="AKD18" s="400"/>
      <c r="AKE18" s="400"/>
      <c r="AKF18" s="400"/>
      <c r="AKG18" s="400"/>
      <c r="AKH18" s="400"/>
      <c r="AKI18" s="400"/>
      <c r="AKJ18" s="400"/>
      <c r="AKK18" s="400"/>
      <c r="AKL18" s="400"/>
      <c r="AKM18" s="400"/>
      <c r="AKN18" s="400"/>
      <c r="AKO18" s="400"/>
      <c r="AKP18" s="400"/>
      <c r="AKQ18" s="400"/>
      <c r="AKR18" s="400"/>
      <c r="AKS18" s="400"/>
      <c r="AKT18" s="400"/>
      <c r="AKU18" s="400"/>
      <c r="AKV18" s="400"/>
      <c r="AKW18" s="400"/>
      <c r="AKX18" s="400"/>
      <c r="AKY18" s="400"/>
      <c r="AKZ18" s="400"/>
      <c r="ALA18" s="400"/>
      <c r="ALB18" s="400"/>
      <c r="ALC18" s="400"/>
      <c r="ALD18" s="400"/>
      <c r="ALE18" s="400"/>
      <c r="ALF18" s="400"/>
      <c r="ALG18" s="400"/>
      <c r="ALH18" s="400"/>
      <c r="ALI18" s="400"/>
      <c r="ALJ18" s="400"/>
      <c r="ALK18" s="400"/>
      <c r="ALL18" s="400"/>
      <c r="ALM18" s="400"/>
      <c r="ALN18" s="400"/>
      <c r="ALO18" s="400"/>
      <c r="ALP18" s="400"/>
      <c r="ALQ18" s="400"/>
      <c r="ALR18" s="400"/>
      <c r="ALS18" s="400"/>
      <c r="ALT18" s="400"/>
      <c r="ALU18" s="400"/>
      <c r="ALV18" s="400"/>
      <c r="ALW18" s="400"/>
      <c r="ALX18" s="400"/>
      <c r="ALY18" s="400"/>
      <c r="ALZ18" s="400"/>
      <c r="AMA18" s="400"/>
      <c r="AMB18" s="400"/>
      <c r="AMC18" s="400"/>
      <c r="AMD18" s="400"/>
      <c r="AME18" s="400"/>
      <c r="AMF18" s="400"/>
      <c r="AMG18" s="400"/>
      <c r="AMH18" s="400"/>
      <c r="AMI18" s="400"/>
      <c r="AMJ18" s="400"/>
      <c r="AMK18" s="400"/>
      <c r="AML18" s="400"/>
      <c r="AMM18" s="400"/>
      <c r="AMN18" s="400"/>
      <c r="AMO18" s="400"/>
      <c r="AMP18" s="400"/>
      <c r="AMQ18" s="400"/>
      <c r="AMR18" s="400"/>
      <c r="AMS18" s="400"/>
      <c r="AMT18" s="400"/>
      <c r="AMU18" s="400"/>
      <c r="AMV18" s="400"/>
      <c r="AMW18" s="400"/>
      <c r="AMX18" s="400"/>
      <c r="AMY18" s="400"/>
      <c r="AMZ18" s="400"/>
      <c r="ANA18" s="400"/>
      <c r="ANB18" s="400"/>
      <c r="ANC18" s="400"/>
      <c r="AND18" s="400"/>
      <c r="ANE18" s="400"/>
      <c r="ANF18" s="400"/>
      <c r="ANG18" s="400"/>
      <c r="ANH18" s="400"/>
      <c r="ANI18" s="400"/>
      <c r="ANJ18" s="400"/>
      <c r="ANK18" s="400"/>
      <c r="ANL18" s="400"/>
      <c r="ANM18" s="400"/>
      <c r="ANN18" s="400"/>
      <c r="ANO18" s="400"/>
      <c r="ANP18" s="400"/>
      <c r="ANQ18" s="400"/>
      <c r="ANR18" s="400"/>
      <c r="ANS18" s="400"/>
      <c r="ANT18" s="400"/>
      <c r="ANU18" s="400"/>
      <c r="ANV18" s="400"/>
      <c r="ANW18" s="400"/>
      <c r="ANX18" s="400"/>
      <c r="ANY18" s="400"/>
      <c r="ANZ18" s="400"/>
      <c r="AOA18" s="400"/>
      <c r="AOB18" s="400"/>
      <c r="AOC18" s="400"/>
      <c r="AOD18" s="400"/>
      <c r="AOE18" s="400"/>
      <c r="AOF18" s="400"/>
      <c r="AOG18" s="400"/>
      <c r="AOH18" s="400"/>
      <c r="AOI18" s="400"/>
      <c r="AOJ18" s="400"/>
      <c r="AOK18" s="400"/>
      <c r="AOL18" s="400"/>
      <c r="AOM18" s="400"/>
      <c r="AON18" s="400"/>
      <c r="AOO18" s="400"/>
      <c r="AOP18" s="400"/>
      <c r="AOQ18" s="400"/>
      <c r="AOR18" s="400"/>
      <c r="AOS18" s="400"/>
      <c r="AOT18" s="400"/>
      <c r="AOU18" s="400"/>
      <c r="AOV18" s="400"/>
      <c r="AOW18" s="400"/>
      <c r="AOX18" s="400"/>
      <c r="AOY18" s="400"/>
      <c r="AOZ18" s="400"/>
      <c r="APA18" s="400"/>
      <c r="APB18" s="400"/>
      <c r="APC18" s="400"/>
      <c r="APD18" s="400"/>
      <c r="APE18" s="400"/>
      <c r="APF18" s="400"/>
      <c r="APG18" s="400"/>
      <c r="APH18" s="400"/>
      <c r="API18" s="400"/>
      <c r="APJ18" s="400"/>
      <c r="APK18" s="400"/>
      <c r="APL18" s="400"/>
      <c r="APM18" s="400"/>
      <c r="APN18" s="400"/>
      <c r="APO18" s="400"/>
      <c r="APP18" s="400"/>
      <c r="APQ18" s="400"/>
      <c r="APR18" s="400"/>
      <c r="APS18" s="400"/>
      <c r="APT18" s="400"/>
      <c r="APU18" s="400"/>
      <c r="APV18" s="400"/>
      <c r="APW18" s="400"/>
      <c r="APX18" s="400"/>
      <c r="APY18" s="400"/>
      <c r="APZ18" s="400"/>
      <c r="AQA18" s="400"/>
      <c r="AQB18" s="400"/>
      <c r="AQC18" s="400"/>
      <c r="AQD18" s="400"/>
      <c r="AQE18" s="400"/>
      <c r="AQF18" s="400"/>
      <c r="AQG18" s="400"/>
      <c r="AQH18" s="400"/>
      <c r="AQI18" s="400"/>
      <c r="AQJ18" s="400"/>
      <c r="AQK18" s="400"/>
      <c r="AQL18" s="400"/>
      <c r="AQM18" s="400"/>
      <c r="AQN18" s="400"/>
      <c r="AQO18" s="400"/>
      <c r="AQP18" s="400"/>
      <c r="AQQ18" s="400"/>
      <c r="AQR18" s="400"/>
      <c r="AQS18" s="400"/>
      <c r="AQT18" s="400"/>
      <c r="AQU18" s="400"/>
      <c r="AQV18" s="400"/>
      <c r="AQW18" s="400"/>
      <c r="AQX18" s="400"/>
      <c r="AQY18" s="400"/>
      <c r="AQZ18" s="400"/>
      <c r="ARA18" s="400"/>
      <c r="ARB18" s="400"/>
      <c r="ARC18" s="400"/>
      <c r="ARD18" s="400"/>
      <c r="ARE18" s="400"/>
      <c r="ARF18" s="400"/>
      <c r="ARG18" s="400"/>
      <c r="ARH18" s="400"/>
      <c r="ARI18" s="400"/>
      <c r="ARJ18" s="400"/>
      <c r="ARK18" s="400"/>
      <c r="ARL18" s="400"/>
      <c r="ARM18" s="400"/>
      <c r="ARN18" s="400"/>
      <c r="ARO18" s="400"/>
      <c r="ARP18" s="400"/>
      <c r="ARQ18" s="400"/>
      <c r="ARR18" s="400"/>
      <c r="ARS18" s="400"/>
      <c r="ART18" s="400"/>
      <c r="ARU18" s="400"/>
      <c r="ARV18" s="400"/>
      <c r="ARW18" s="400"/>
      <c r="ARX18" s="400"/>
      <c r="ARY18" s="400"/>
      <c r="ARZ18" s="400"/>
      <c r="ASA18" s="400"/>
      <c r="ASB18" s="400"/>
      <c r="ASC18" s="400"/>
      <c r="ASD18" s="400"/>
      <c r="ASE18" s="400"/>
      <c r="ASF18" s="400"/>
      <c r="ASG18" s="400"/>
      <c r="ASH18" s="400"/>
      <c r="ASI18" s="400"/>
      <c r="ASJ18" s="400"/>
      <c r="ASK18" s="400"/>
      <c r="ASL18" s="400"/>
      <c r="ASM18" s="400"/>
      <c r="ASN18" s="400"/>
      <c r="ASO18" s="400"/>
      <c r="ASP18" s="400"/>
      <c r="ASQ18" s="400"/>
      <c r="ASR18" s="400"/>
      <c r="ASS18" s="400"/>
      <c r="AST18" s="400"/>
      <c r="ASU18" s="400"/>
      <c r="ASV18" s="400"/>
      <c r="ASW18" s="400"/>
      <c r="ASX18" s="400"/>
      <c r="ASY18" s="400"/>
      <c r="ASZ18" s="400"/>
      <c r="ATA18" s="400"/>
      <c r="ATB18" s="400"/>
      <c r="ATC18" s="400"/>
      <c r="ATD18" s="400"/>
      <c r="ATE18" s="400"/>
      <c r="ATF18" s="400"/>
      <c r="ATG18" s="400"/>
      <c r="ATH18" s="400"/>
      <c r="ATI18" s="400"/>
      <c r="ATJ18" s="400"/>
      <c r="ATK18" s="400"/>
      <c r="ATL18" s="400"/>
      <c r="ATM18" s="400"/>
      <c r="ATN18" s="400"/>
      <c r="ATO18" s="400"/>
      <c r="ATP18" s="400"/>
      <c r="ATQ18" s="400"/>
      <c r="ATR18" s="400"/>
      <c r="ATS18" s="400"/>
      <c r="ATT18" s="400"/>
      <c r="ATU18" s="400"/>
      <c r="ATV18" s="400"/>
      <c r="ATW18" s="400"/>
      <c r="ATX18" s="400"/>
      <c r="ATY18" s="400"/>
      <c r="ATZ18" s="400"/>
      <c r="AUA18" s="400"/>
      <c r="AUB18" s="400"/>
      <c r="AUC18" s="400"/>
      <c r="AUD18" s="400"/>
      <c r="AUE18" s="400"/>
      <c r="AUF18" s="400"/>
      <c r="AUG18" s="400"/>
      <c r="AUH18" s="400"/>
      <c r="AUI18" s="400"/>
      <c r="AUJ18" s="400"/>
      <c r="AUK18" s="400"/>
      <c r="AUL18" s="400"/>
      <c r="AUM18" s="400"/>
      <c r="AUN18" s="400"/>
      <c r="AUO18" s="400"/>
      <c r="AUP18" s="400"/>
      <c r="AUQ18" s="400"/>
      <c r="AUR18" s="400"/>
      <c r="AUS18" s="400"/>
      <c r="AUT18" s="400"/>
      <c r="AUU18" s="400"/>
      <c r="AUV18" s="400"/>
      <c r="AUW18" s="400"/>
      <c r="AUX18" s="400"/>
      <c r="AUY18" s="400"/>
      <c r="AUZ18" s="400"/>
      <c r="AVA18" s="400"/>
      <c r="AVB18" s="400"/>
      <c r="AVC18" s="400"/>
      <c r="AVD18" s="400"/>
      <c r="AVE18" s="400"/>
      <c r="AVF18" s="400"/>
      <c r="AVG18" s="400"/>
      <c r="AVH18" s="400"/>
      <c r="AVI18" s="400"/>
      <c r="AVJ18" s="400"/>
      <c r="AVK18" s="400"/>
      <c r="AVL18" s="400"/>
      <c r="AVM18" s="400"/>
      <c r="AVN18" s="400"/>
      <c r="AVO18" s="400"/>
      <c r="AVP18" s="400"/>
      <c r="AVQ18" s="400"/>
      <c r="AVR18" s="400"/>
      <c r="AVS18" s="400"/>
      <c r="AVT18" s="400"/>
      <c r="AVU18" s="400"/>
      <c r="AVV18" s="400"/>
      <c r="AVW18" s="400"/>
      <c r="AVX18" s="400"/>
      <c r="AVY18" s="400"/>
      <c r="AVZ18" s="400"/>
      <c r="AWA18" s="400"/>
      <c r="AWB18" s="400"/>
      <c r="AWC18" s="400"/>
      <c r="AWD18" s="400"/>
      <c r="AWE18" s="400"/>
      <c r="AWF18" s="400"/>
      <c r="AWG18" s="400"/>
      <c r="AWH18" s="400"/>
      <c r="AWI18" s="400"/>
      <c r="AWJ18" s="400"/>
      <c r="AWK18" s="400"/>
      <c r="AWL18" s="400"/>
      <c r="AWM18" s="400"/>
      <c r="AWN18" s="400"/>
      <c r="AWO18" s="400"/>
      <c r="AWP18" s="400"/>
      <c r="AWQ18" s="400"/>
      <c r="AWR18" s="400"/>
      <c r="AWS18" s="400"/>
      <c r="AWT18" s="400"/>
      <c r="AWU18" s="400"/>
      <c r="AWV18" s="400"/>
      <c r="AWW18" s="400"/>
      <c r="AWX18" s="400"/>
      <c r="AWY18" s="400"/>
      <c r="AWZ18" s="400"/>
      <c r="AXA18" s="400"/>
      <c r="AXB18" s="400"/>
      <c r="AXC18" s="400"/>
      <c r="AXD18" s="400"/>
      <c r="AXE18" s="400"/>
      <c r="AXF18" s="400"/>
      <c r="AXG18" s="400"/>
      <c r="AXH18" s="400"/>
      <c r="AXI18" s="400"/>
      <c r="AXJ18" s="400"/>
      <c r="AXK18" s="400"/>
      <c r="AXL18" s="400"/>
      <c r="AXM18" s="400"/>
      <c r="AXN18" s="400"/>
      <c r="AXO18" s="400"/>
      <c r="AXP18" s="400"/>
      <c r="AXQ18" s="400"/>
      <c r="AXR18" s="400"/>
      <c r="AXS18" s="400"/>
      <c r="AXT18" s="400"/>
      <c r="AXU18" s="400"/>
      <c r="AXV18" s="400"/>
      <c r="AXW18" s="400"/>
      <c r="AXX18" s="400"/>
      <c r="AXY18" s="400"/>
      <c r="AXZ18" s="400"/>
      <c r="AYA18" s="400"/>
      <c r="AYB18" s="400"/>
      <c r="AYC18" s="400"/>
      <c r="AYD18" s="400"/>
      <c r="AYE18" s="400"/>
      <c r="AYF18" s="400"/>
      <c r="AYG18" s="400"/>
      <c r="AYH18" s="400"/>
      <c r="AYI18" s="400"/>
      <c r="AYJ18" s="400"/>
      <c r="AYK18" s="400"/>
      <c r="AYL18" s="400"/>
      <c r="AYM18" s="400"/>
      <c r="AYN18" s="400"/>
      <c r="AYO18" s="400"/>
      <c r="AYP18" s="400"/>
      <c r="AYQ18" s="400"/>
      <c r="AYR18" s="400"/>
      <c r="AYS18" s="400"/>
      <c r="AYT18" s="400"/>
      <c r="AYU18" s="400"/>
      <c r="AYV18" s="400"/>
      <c r="AYW18" s="400"/>
      <c r="AYX18" s="400"/>
      <c r="AYY18" s="400"/>
      <c r="AYZ18" s="400"/>
      <c r="AZA18" s="400"/>
      <c r="AZB18" s="400"/>
      <c r="AZC18" s="400"/>
      <c r="AZD18" s="400"/>
      <c r="AZE18" s="400"/>
      <c r="AZF18" s="400"/>
      <c r="AZG18" s="400"/>
      <c r="AZH18" s="400"/>
      <c r="AZI18" s="400"/>
      <c r="AZJ18" s="400"/>
      <c r="AZK18" s="400"/>
      <c r="AZL18" s="400"/>
      <c r="AZM18" s="400"/>
      <c r="AZN18" s="400"/>
      <c r="AZO18" s="400"/>
      <c r="AZP18" s="400"/>
      <c r="AZQ18" s="400"/>
      <c r="AZR18" s="400"/>
      <c r="AZS18" s="400"/>
      <c r="AZT18" s="400"/>
      <c r="AZU18" s="400"/>
      <c r="AZV18" s="400"/>
      <c r="AZW18" s="400"/>
      <c r="AZX18" s="400"/>
      <c r="AZY18" s="400"/>
      <c r="AZZ18" s="400"/>
      <c r="BAA18" s="400"/>
      <c r="BAB18" s="400"/>
      <c r="BAC18" s="400"/>
      <c r="BAD18" s="400"/>
      <c r="BAE18" s="400"/>
      <c r="BAF18" s="400"/>
      <c r="BAG18" s="400"/>
      <c r="BAH18" s="400"/>
      <c r="BAI18" s="400"/>
      <c r="BAJ18" s="400"/>
      <c r="BAK18" s="400"/>
      <c r="BAL18" s="400"/>
      <c r="BAM18" s="400"/>
      <c r="BAN18" s="400"/>
      <c r="BAO18" s="400"/>
      <c r="BAP18" s="400"/>
      <c r="BAQ18" s="400"/>
      <c r="BAR18" s="400"/>
      <c r="BAS18" s="400"/>
      <c r="BAT18" s="400"/>
      <c r="BAU18" s="400"/>
      <c r="BAV18" s="400"/>
      <c r="BAW18" s="400"/>
      <c r="BAX18" s="400"/>
      <c r="BAY18" s="400"/>
      <c r="BAZ18" s="400"/>
      <c r="BBA18" s="400"/>
      <c r="BBB18" s="400"/>
      <c r="BBC18" s="400"/>
      <c r="BBD18" s="400"/>
      <c r="BBE18" s="400"/>
      <c r="BBF18" s="400"/>
      <c r="BBG18" s="400"/>
      <c r="BBH18" s="400"/>
      <c r="BBI18" s="400"/>
      <c r="BBJ18" s="400"/>
      <c r="BBK18" s="400"/>
      <c r="BBL18" s="400"/>
      <c r="BBM18" s="400"/>
      <c r="BBN18" s="400"/>
      <c r="BBO18" s="400"/>
      <c r="BBP18" s="400"/>
      <c r="BBQ18" s="400"/>
      <c r="BBR18" s="400"/>
      <c r="BBS18" s="400"/>
      <c r="BBT18" s="400"/>
      <c r="BBU18" s="400"/>
      <c r="BBV18" s="400"/>
      <c r="BBW18" s="400"/>
      <c r="BBX18" s="400"/>
      <c r="BBY18" s="400"/>
      <c r="BBZ18" s="400"/>
      <c r="BCA18" s="400"/>
      <c r="BCB18" s="400"/>
      <c r="BCC18" s="400"/>
      <c r="BCD18" s="400"/>
      <c r="BCE18" s="400"/>
      <c r="BCF18" s="400"/>
      <c r="BCG18" s="400"/>
      <c r="BCH18" s="400"/>
      <c r="BCI18" s="400"/>
      <c r="BCJ18" s="400"/>
      <c r="BCK18" s="400"/>
      <c r="BCL18" s="400"/>
      <c r="BCM18" s="400"/>
      <c r="BCN18" s="400"/>
      <c r="BCO18" s="400"/>
      <c r="BCP18" s="400"/>
      <c r="BCQ18" s="400"/>
      <c r="BCR18" s="400"/>
      <c r="BCS18" s="400"/>
      <c r="BCT18" s="400"/>
      <c r="BCU18" s="400"/>
      <c r="BCV18" s="400"/>
      <c r="BCW18" s="400"/>
      <c r="BCX18" s="400"/>
      <c r="BCY18" s="400"/>
      <c r="BCZ18" s="400"/>
      <c r="BDA18" s="400"/>
      <c r="BDB18" s="400"/>
      <c r="BDC18" s="400"/>
      <c r="BDD18" s="400"/>
      <c r="BDE18" s="400"/>
      <c r="BDF18" s="400"/>
      <c r="BDG18" s="400"/>
      <c r="BDH18" s="400"/>
      <c r="BDI18" s="400"/>
      <c r="BDJ18" s="400"/>
      <c r="BDK18" s="400"/>
      <c r="BDL18" s="400"/>
      <c r="BDM18" s="400"/>
      <c r="BDN18" s="400"/>
      <c r="BDO18" s="400"/>
      <c r="BDP18" s="400"/>
      <c r="BDQ18" s="400"/>
      <c r="BDR18" s="400"/>
      <c r="BDS18" s="400"/>
      <c r="BDT18" s="400"/>
      <c r="BDU18" s="400"/>
      <c r="BDV18" s="400"/>
      <c r="BDW18" s="400"/>
      <c r="BDX18" s="400"/>
      <c r="BDY18" s="400"/>
      <c r="BDZ18" s="400"/>
      <c r="BEA18" s="400"/>
      <c r="BEB18" s="400"/>
      <c r="BEC18" s="400"/>
      <c r="BED18" s="400"/>
      <c r="BEE18" s="400"/>
      <c r="BEF18" s="400"/>
      <c r="BEG18" s="400"/>
      <c r="BEH18" s="400"/>
      <c r="BEI18" s="400"/>
      <c r="BEJ18" s="400"/>
      <c r="BEK18" s="400"/>
      <c r="BEL18" s="400"/>
      <c r="BEM18" s="400"/>
      <c r="BEN18" s="400"/>
      <c r="BEO18" s="400"/>
      <c r="BEP18" s="400"/>
      <c r="BEQ18" s="400"/>
      <c r="BER18" s="400"/>
      <c r="BES18" s="400"/>
      <c r="BET18" s="400"/>
      <c r="BEU18" s="400"/>
      <c r="BEV18" s="400"/>
      <c r="BEW18" s="400"/>
      <c r="BEX18" s="400"/>
      <c r="BEY18" s="400"/>
      <c r="BEZ18" s="400"/>
      <c r="BFA18" s="400"/>
      <c r="BFB18" s="400"/>
      <c r="BFC18" s="400"/>
      <c r="BFD18" s="400"/>
      <c r="BFE18" s="400"/>
      <c r="BFF18" s="400"/>
      <c r="BFG18" s="400"/>
      <c r="BFH18" s="400"/>
      <c r="BFI18" s="400"/>
      <c r="BFJ18" s="400"/>
      <c r="BFK18" s="400"/>
      <c r="BFL18" s="400"/>
      <c r="BFM18" s="400"/>
      <c r="BFN18" s="400"/>
      <c r="BFO18" s="400"/>
      <c r="BFP18" s="400"/>
      <c r="BFQ18" s="400"/>
      <c r="BFR18" s="400"/>
      <c r="BFS18" s="400"/>
      <c r="BFT18" s="400"/>
      <c r="BFU18" s="400"/>
      <c r="BFV18" s="400"/>
      <c r="BFW18" s="400"/>
      <c r="BFX18" s="400"/>
      <c r="BFY18" s="400"/>
      <c r="BFZ18" s="400"/>
      <c r="BGA18" s="400"/>
      <c r="BGB18" s="400"/>
      <c r="BGC18" s="400"/>
      <c r="BGD18" s="400"/>
      <c r="BGE18" s="400"/>
      <c r="BGF18" s="400"/>
      <c r="BGG18" s="400"/>
      <c r="BGH18" s="400"/>
      <c r="BGI18" s="400"/>
      <c r="BGJ18" s="400"/>
      <c r="BGK18" s="400"/>
      <c r="BGL18" s="400"/>
      <c r="BGM18" s="400"/>
      <c r="BGN18" s="400"/>
      <c r="BGO18" s="400"/>
      <c r="BGP18" s="400"/>
      <c r="BGQ18" s="400"/>
      <c r="BGR18" s="400"/>
      <c r="BGS18" s="400"/>
      <c r="BGT18" s="400"/>
      <c r="BGU18" s="400"/>
      <c r="BGV18" s="400"/>
      <c r="BGW18" s="400"/>
      <c r="BGX18" s="400"/>
      <c r="BGY18" s="400"/>
      <c r="BGZ18" s="400"/>
      <c r="BHA18" s="400"/>
      <c r="BHB18" s="400"/>
      <c r="BHC18" s="400"/>
      <c r="BHD18" s="400"/>
      <c r="BHE18" s="400"/>
      <c r="BHF18" s="400"/>
      <c r="BHG18" s="400"/>
      <c r="BHH18" s="400"/>
      <c r="BHI18" s="400"/>
      <c r="BHJ18" s="400"/>
      <c r="BHK18" s="400"/>
      <c r="BHL18" s="400"/>
      <c r="BHM18" s="400"/>
      <c r="BHN18" s="400"/>
      <c r="BHO18" s="400"/>
      <c r="BHP18" s="400"/>
      <c r="BHQ18" s="400"/>
      <c r="BHR18" s="400"/>
      <c r="BHS18" s="400"/>
      <c r="BHT18" s="400"/>
      <c r="BHU18" s="400"/>
      <c r="BHV18" s="400"/>
      <c r="BHW18" s="400"/>
      <c r="BHX18" s="400"/>
      <c r="BHY18" s="400"/>
      <c r="BHZ18" s="400"/>
      <c r="BIA18" s="400"/>
      <c r="BIB18" s="400"/>
      <c r="BIC18" s="400"/>
      <c r="BID18" s="400"/>
      <c r="BIE18" s="400"/>
      <c r="BIF18" s="400"/>
      <c r="BIG18" s="400"/>
      <c r="BIH18" s="400"/>
      <c r="BII18" s="400"/>
      <c r="BIJ18" s="400"/>
      <c r="BIK18" s="400"/>
      <c r="BIL18" s="400"/>
      <c r="BIM18" s="400"/>
      <c r="BIN18" s="400"/>
      <c r="BIO18" s="400"/>
      <c r="BIP18" s="400"/>
      <c r="BIQ18" s="400"/>
      <c r="BIR18" s="400"/>
      <c r="BIS18" s="400"/>
      <c r="BIT18" s="400"/>
      <c r="BIU18" s="400"/>
      <c r="BIV18" s="400"/>
      <c r="BIW18" s="400"/>
      <c r="BIX18" s="400"/>
      <c r="BIY18" s="400"/>
      <c r="BIZ18" s="400"/>
      <c r="BJA18" s="400"/>
      <c r="BJB18" s="400"/>
      <c r="BJC18" s="400"/>
      <c r="BJD18" s="400"/>
      <c r="BJE18" s="400"/>
      <c r="BJF18" s="400"/>
      <c r="BJG18" s="400"/>
      <c r="BJH18" s="400"/>
      <c r="BJI18" s="400"/>
      <c r="BJJ18" s="400"/>
      <c r="BJK18" s="400"/>
      <c r="BJL18" s="400"/>
      <c r="BJM18" s="400"/>
      <c r="BJN18" s="400"/>
      <c r="BJO18" s="400"/>
      <c r="BJP18" s="400"/>
      <c r="BJQ18" s="400"/>
      <c r="BJR18" s="400"/>
      <c r="BJS18" s="400"/>
      <c r="BJT18" s="400"/>
      <c r="BJU18" s="400"/>
      <c r="BJV18" s="400"/>
      <c r="BJW18" s="400"/>
      <c r="BJX18" s="400"/>
      <c r="BJY18" s="400"/>
      <c r="BJZ18" s="400"/>
      <c r="BKA18" s="400"/>
      <c r="BKB18" s="400"/>
      <c r="BKC18" s="400"/>
      <c r="BKD18" s="400"/>
      <c r="BKE18" s="400"/>
      <c r="BKF18" s="400"/>
      <c r="BKG18" s="400"/>
      <c r="BKH18" s="400"/>
      <c r="BKI18" s="400"/>
      <c r="BKJ18" s="400"/>
      <c r="BKK18" s="400"/>
      <c r="BKL18" s="400"/>
      <c r="BKM18" s="400"/>
      <c r="BKN18" s="400"/>
      <c r="BKO18" s="400"/>
      <c r="BKP18" s="400"/>
      <c r="BKQ18" s="400"/>
      <c r="BKR18" s="400"/>
      <c r="BKS18" s="400"/>
      <c r="BKT18" s="400"/>
      <c r="BKU18" s="400"/>
      <c r="BKV18" s="400"/>
      <c r="BKW18" s="400"/>
      <c r="BKX18" s="400"/>
      <c r="BKY18" s="400"/>
      <c r="BKZ18" s="400"/>
      <c r="BLA18" s="400"/>
      <c r="BLB18" s="400"/>
      <c r="BLC18" s="400"/>
      <c r="BLD18" s="400"/>
      <c r="BLE18" s="400"/>
      <c r="BLF18" s="400"/>
      <c r="BLG18" s="400"/>
      <c r="BLH18" s="400"/>
      <c r="BLI18" s="400"/>
      <c r="BLJ18" s="400"/>
      <c r="BLK18" s="400"/>
      <c r="BLL18" s="400"/>
      <c r="BLM18" s="400"/>
      <c r="BLN18" s="400"/>
      <c r="BLO18" s="400"/>
      <c r="BLP18" s="400"/>
      <c r="BLQ18" s="400"/>
      <c r="BLR18" s="400"/>
      <c r="BLS18" s="400"/>
      <c r="BLT18" s="400"/>
      <c r="BLU18" s="400"/>
      <c r="BLV18" s="400"/>
      <c r="BLW18" s="400"/>
      <c r="BLX18" s="400"/>
      <c r="BLY18" s="400"/>
      <c r="BLZ18" s="400"/>
      <c r="BMA18" s="400"/>
      <c r="BMB18" s="400"/>
      <c r="BMC18" s="400"/>
      <c r="BMD18" s="400"/>
      <c r="BME18" s="400"/>
      <c r="BMF18" s="400"/>
      <c r="BMG18" s="400"/>
      <c r="BMH18" s="400"/>
      <c r="BMI18" s="400"/>
      <c r="BMJ18" s="400"/>
      <c r="BMK18" s="400"/>
      <c r="BML18" s="400"/>
      <c r="BMM18" s="400"/>
      <c r="BMN18" s="400"/>
      <c r="BMO18" s="400"/>
      <c r="BMP18" s="400"/>
      <c r="BMQ18" s="400"/>
      <c r="BMR18" s="400"/>
      <c r="BMS18" s="400"/>
      <c r="BMT18" s="400"/>
      <c r="BMU18" s="400"/>
      <c r="BMV18" s="400"/>
      <c r="BMW18" s="400"/>
      <c r="BMX18" s="400"/>
      <c r="BMY18" s="400"/>
      <c r="BMZ18" s="400"/>
      <c r="BNA18" s="400"/>
      <c r="BNB18" s="400"/>
      <c r="BNC18" s="400"/>
      <c r="BND18" s="400"/>
      <c r="BNE18" s="400"/>
      <c r="BNF18" s="400"/>
      <c r="BNG18" s="400"/>
      <c r="BNH18" s="400"/>
      <c r="BNI18" s="400"/>
      <c r="BNJ18" s="400"/>
      <c r="BNK18" s="400"/>
      <c r="BNL18" s="400"/>
      <c r="BNM18" s="400"/>
      <c r="BNN18" s="400"/>
      <c r="BNO18" s="400"/>
      <c r="BNP18" s="400"/>
      <c r="BNQ18" s="400"/>
      <c r="BNR18" s="400"/>
      <c r="BNS18" s="400"/>
      <c r="BNT18" s="400"/>
      <c r="BNU18" s="400"/>
      <c r="BNV18" s="400"/>
      <c r="BNW18" s="400"/>
      <c r="BNX18" s="400"/>
      <c r="BNY18" s="400"/>
      <c r="BNZ18" s="400"/>
      <c r="BOA18" s="400"/>
      <c r="BOB18" s="400"/>
      <c r="BOC18" s="400"/>
      <c r="BOD18" s="400"/>
      <c r="BOE18" s="400"/>
      <c r="BOF18" s="400"/>
      <c r="BOG18" s="400"/>
      <c r="BOH18" s="400"/>
      <c r="BOI18" s="400"/>
      <c r="BOJ18" s="400"/>
      <c r="BOK18" s="400"/>
      <c r="BOL18" s="400"/>
      <c r="BOM18" s="400"/>
      <c r="BON18" s="400"/>
      <c r="BOO18" s="400"/>
      <c r="BOP18" s="400"/>
      <c r="BOQ18" s="400"/>
      <c r="BOR18" s="400"/>
      <c r="BOS18" s="400"/>
      <c r="BOT18" s="400"/>
      <c r="BOU18" s="400"/>
      <c r="BOV18" s="400"/>
      <c r="BOW18" s="400"/>
      <c r="BOX18" s="400"/>
      <c r="BOY18" s="400"/>
      <c r="BOZ18" s="400"/>
      <c r="BPA18" s="400"/>
      <c r="BPB18" s="400"/>
      <c r="BPC18" s="400"/>
      <c r="BPD18" s="400"/>
      <c r="BPE18" s="400"/>
      <c r="BPF18" s="400"/>
      <c r="BPG18" s="400"/>
      <c r="BPH18" s="400"/>
      <c r="BPI18" s="400"/>
      <c r="BPJ18" s="400"/>
      <c r="BPK18" s="400"/>
      <c r="BPL18" s="400"/>
      <c r="BPM18" s="400"/>
      <c r="BPN18" s="400"/>
      <c r="BPO18" s="400"/>
      <c r="BPP18" s="400"/>
      <c r="BPQ18" s="400"/>
      <c r="BPR18" s="400"/>
      <c r="BPS18" s="400"/>
      <c r="BPT18" s="400"/>
      <c r="BPU18" s="400"/>
      <c r="BPV18" s="400"/>
      <c r="BPW18" s="400"/>
      <c r="BPX18" s="400"/>
      <c r="BPY18" s="400"/>
      <c r="BPZ18" s="400"/>
      <c r="BQA18" s="400"/>
      <c r="BQB18" s="400"/>
      <c r="BQC18" s="400"/>
      <c r="BQD18" s="400"/>
      <c r="BQE18" s="400"/>
      <c r="BQF18" s="400"/>
      <c r="BQG18" s="400"/>
      <c r="BQH18" s="400"/>
      <c r="BQI18" s="400"/>
      <c r="BQJ18" s="400"/>
      <c r="BQK18" s="400"/>
      <c r="BQL18" s="400"/>
      <c r="BQM18" s="400"/>
      <c r="BQN18" s="400"/>
      <c r="BQO18" s="400"/>
      <c r="BQP18" s="400"/>
      <c r="BQQ18" s="400"/>
      <c r="BQR18" s="400"/>
      <c r="BQS18" s="400"/>
      <c r="BQT18" s="400"/>
      <c r="BQU18" s="400"/>
      <c r="BQV18" s="400"/>
      <c r="BQW18" s="400"/>
      <c r="BQX18" s="400"/>
      <c r="BQY18" s="400"/>
      <c r="BQZ18" s="400"/>
      <c r="BRA18" s="400"/>
      <c r="BRB18" s="400"/>
      <c r="BRC18" s="400"/>
      <c r="BRD18" s="400"/>
      <c r="BRE18" s="400"/>
      <c r="BRF18" s="400"/>
      <c r="BRG18" s="400"/>
      <c r="BRH18" s="400"/>
      <c r="BRI18" s="400"/>
      <c r="BRJ18" s="400"/>
      <c r="BRK18" s="400"/>
      <c r="BRL18" s="400"/>
      <c r="BRM18" s="400"/>
      <c r="BRN18" s="400"/>
      <c r="BRO18" s="400"/>
      <c r="BRP18" s="400"/>
      <c r="BRQ18" s="400"/>
      <c r="BRR18" s="400"/>
      <c r="BRS18" s="400"/>
      <c r="BRT18" s="400"/>
      <c r="BRU18" s="400"/>
      <c r="BRV18" s="400"/>
      <c r="BRW18" s="400"/>
      <c r="BRX18" s="400"/>
      <c r="BRY18" s="400"/>
      <c r="BRZ18" s="400"/>
      <c r="BSA18" s="400"/>
      <c r="BSB18" s="400"/>
      <c r="BSC18" s="400"/>
      <c r="BSD18" s="400"/>
      <c r="BSE18" s="400"/>
      <c r="BSF18" s="400"/>
      <c r="BSG18" s="400"/>
      <c r="BSH18" s="400"/>
      <c r="BSI18" s="400"/>
      <c r="BSJ18" s="400"/>
      <c r="BSK18" s="400"/>
      <c r="BSL18" s="400"/>
      <c r="BSM18" s="400"/>
      <c r="BSN18" s="400"/>
      <c r="BSO18" s="400"/>
      <c r="BSP18" s="400"/>
      <c r="BSQ18" s="400"/>
      <c r="BSR18" s="400"/>
      <c r="BSS18" s="400"/>
      <c r="BST18" s="400"/>
      <c r="BSU18" s="400"/>
      <c r="BSV18" s="400"/>
      <c r="BSW18" s="400"/>
      <c r="BSX18" s="400"/>
      <c r="BSY18" s="400"/>
      <c r="BSZ18" s="400"/>
      <c r="BTA18" s="400"/>
      <c r="BTB18" s="400"/>
      <c r="BTC18" s="400"/>
      <c r="BTD18" s="400"/>
      <c r="BTE18" s="400"/>
      <c r="BTF18" s="400"/>
      <c r="BTG18" s="400"/>
      <c r="BTH18" s="400"/>
      <c r="BTI18" s="400"/>
      <c r="BTJ18" s="400"/>
      <c r="BTK18" s="400"/>
      <c r="BTL18" s="400"/>
      <c r="BTM18" s="400"/>
      <c r="BTN18" s="400"/>
      <c r="BTO18" s="400"/>
      <c r="BTP18" s="400"/>
      <c r="BTQ18" s="400"/>
      <c r="BTR18" s="400"/>
      <c r="BTS18" s="400"/>
      <c r="BTT18" s="400"/>
      <c r="BTU18" s="400"/>
      <c r="BTV18" s="400"/>
      <c r="BTW18" s="400"/>
      <c r="BTX18" s="400"/>
      <c r="BTY18" s="400"/>
      <c r="BTZ18" s="400"/>
      <c r="BUA18" s="400"/>
      <c r="BUB18" s="400"/>
      <c r="BUC18" s="400"/>
      <c r="BUD18" s="400"/>
      <c r="BUE18" s="400"/>
      <c r="BUF18" s="400"/>
      <c r="BUG18" s="400"/>
      <c r="BUH18" s="400"/>
      <c r="BUI18" s="400"/>
      <c r="BUJ18" s="400"/>
      <c r="BUK18" s="400"/>
      <c r="BUL18" s="400"/>
      <c r="BUM18" s="400"/>
      <c r="BUN18" s="400"/>
      <c r="BUO18" s="400"/>
      <c r="BUP18" s="400"/>
      <c r="BUQ18" s="400"/>
      <c r="BUR18" s="400"/>
      <c r="BUS18" s="400"/>
      <c r="BUT18" s="400"/>
      <c r="BUU18" s="400"/>
      <c r="BUV18" s="400"/>
      <c r="BUW18" s="400"/>
      <c r="BUX18" s="400"/>
      <c r="BUY18" s="400"/>
      <c r="BUZ18" s="400"/>
      <c r="BVA18" s="400"/>
      <c r="BVB18" s="400"/>
      <c r="BVC18" s="400"/>
      <c r="BVD18" s="400"/>
      <c r="BVE18" s="400"/>
      <c r="BVF18" s="400"/>
      <c r="BVG18" s="400"/>
      <c r="BVH18" s="400"/>
      <c r="BVI18" s="400"/>
      <c r="BVJ18" s="400"/>
      <c r="BVK18" s="400"/>
      <c r="BVL18" s="400"/>
      <c r="BVM18" s="400"/>
      <c r="BVN18" s="400"/>
      <c r="BVO18" s="400"/>
      <c r="BVP18" s="400"/>
      <c r="BVQ18" s="400"/>
      <c r="BVR18" s="400"/>
      <c r="BVS18" s="400"/>
      <c r="BVT18" s="400"/>
      <c r="BVU18" s="400"/>
      <c r="BVV18" s="400"/>
      <c r="BVW18" s="400"/>
      <c r="BVX18" s="400"/>
      <c r="BVY18" s="400"/>
      <c r="BVZ18" s="400"/>
      <c r="BWA18" s="400"/>
      <c r="BWB18" s="400"/>
      <c r="BWC18" s="400"/>
      <c r="BWD18" s="400"/>
      <c r="BWE18" s="400"/>
      <c r="BWF18" s="400"/>
      <c r="BWG18" s="400"/>
      <c r="BWH18" s="400"/>
      <c r="BWI18" s="400"/>
      <c r="BWJ18" s="400"/>
      <c r="BWK18" s="400"/>
      <c r="BWL18" s="400"/>
      <c r="BWM18" s="400"/>
      <c r="BWN18" s="400"/>
      <c r="BWO18" s="400"/>
      <c r="BWP18" s="400"/>
      <c r="BWQ18" s="400"/>
      <c r="BWR18" s="400"/>
      <c r="BWS18" s="400"/>
      <c r="BWT18" s="400"/>
      <c r="BWU18" s="400"/>
      <c r="BWV18" s="400"/>
      <c r="BWW18" s="400"/>
      <c r="BWX18" s="400"/>
      <c r="BWY18" s="400"/>
      <c r="BWZ18" s="400"/>
      <c r="BXA18" s="400"/>
      <c r="BXB18" s="400"/>
      <c r="BXC18" s="400"/>
      <c r="BXD18" s="400"/>
      <c r="BXE18" s="400"/>
      <c r="BXF18" s="400"/>
      <c r="BXG18" s="400"/>
      <c r="BXH18" s="400"/>
      <c r="BXI18" s="400"/>
      <c r="BXJ18" s="400"/>
      <c r="BXK18" s="400"/>
      <c r="BXL18" s="400"/>
      <c r="BXM18" s="400"/>
      <c r="BXN18" s="400"/>
      <c r="BXO18" s="400"/>
      <c r="BXP18" s="400"/>
      <c r="BXQ18" s="400"/>
      <c r="BXR18" s="400"/>
      <c r="BXS18" s="400"/>
      <c r="BXT18" s="400"/>
      <c r="BXU18" s="400"/>
      <c r="BXV18" s="400"/>
      <c r="BXW18" s="400"/>
      <c r="BXX18" s="400"/>
      <c r="BXY18" s="400"/>
      <c r="BXZ18" s="400"/>
      <c r="BYA18" s="400"/>
      <c r="BYB18" s="400"/>
      <c r="BYC18" s="400"/>
      <c r="BYD18" s="400"/>
      <c r="BYE18" s="400"/>
      <c r="BYF18" s="400"/>
      <c r="BYG18" s="400"/>
      <c r="BYH18" s="400"/>
      <c r="BYI18" s="400"/>
      <c r="BYJ18" s="400"/>
      <c r="BYK18" s="400"/>
      <c r="BYL18" s="400"/>
      <c r="BYM18" s="400"/>
      <c r="BYN18" s="400"/>
      <c r="BYO18" s="400"/>
      <c r="BYP18" s="400"/>
      <c r="BYQ18" s="400"/>
      <c r="BYR18" s="400"/>
      <c r="BYS18" s="400"/>
      <c r="BYT18" s="400"/>
      <c r="BYU18" s="400"/>
      <c r="BYV18" s="400"/>
      <c r="BYW18" s="400"/>
      <c r="BYX18" s="400"/>
      <c r="BYY18" s="400"/>
      <c r="BYZ18" s="400"/>
      <c r="BZA18" s="400"/>
      <c r="BZB18" s="400"/>
      <c r="BZC18" s="400"/>
      <c r="BZD18" s="400"/>
      <c r="BZE18" s="400"/>
      <c r="BZF18" s="400"/>
      <c r="BZG18" s="400"/>
      <c r="BZH18" s="400"/>
      <c r="BZI18" s="400"/>
      <c r="BZJ18" s="400"/>
      <c r="BZK18" s="400"/>
      <c r="BZL18" s="400"/>
      <c r="BZM18" s="400"/>
      <c r="BZN18" s="400"/>
      <c r="BZO18" s="400"/>
      <c r="BZP18" s="400"/>
      <c r="BZQ18" s="400"/>
      <c r="BZR18" s="400"/>
      <c r="BZS18" s="400"/>
      <c r="BZT18" s="400"/>
      <c r="BZU18" s="400"/>
      <c r="BZV18" s="400"/>
      <c r="BZW18" s="400"/>
      <c r="BZX18" s="400"/>
      <c r="BZY18" s="400"/>
      <c r="BZZ18" s="400"/>
      <c r="CAA18" s="400"/>
      <c r="CAB18" s="400"/>
      <c r="CAC18" s="400"/>
      <c r="CAD18" s="400"/>
      <c r="CAE18" s="400"/>
      <c r="CAF18" s="400"/>
      <c r="CAG18" s="400"/>
      <c r="CAH18" s="400"/>
      <c r="CAI18" s="400"/>
      <c r="CAJ18" s="400"/>
      <c r="CAK18" s="400"/>
      <c r="CAL18" s="400"/>
      <c r="CAM18" s="400"/>
      <c r="CAN18" s="400"/>
      <c r="CAO18" s="400"/>
      <c r="CAP18" s="400"/>
      <c r="CAQ18" s="400"/>
      <c r="CAR18" s="400"/>
      <c r="CAS18" s="400"/>
      <c r="CAT18" s="400"/>
      <c r="CAU18" s="400"/>
      <c r="CAV18" s="400"/>
      <c r="CAW18" s="400"/>
      <c r="CAX18" s="400"/>
      <c r="CAY18" s="400"/>
      <c r="CAZ18" s="400"/>
      <c r="CBA18" s="400"/>
      <c r="CBB18" s="400"/>
      <c r="CBC18" s="400"/>
      <c r="CBD18" s="400"/>
      <c r="CBE18" s="400"/>
      <c r="CBF18" s="400"/>
      <c r="CBG18" s="400"/>
      <c r="CBH18" s="400"/>
      <c r="CBI18" s="400"/>
      <c r="CBJ18" s="400"/>
      <c r="CBK18" s="400"/>
      <c r="CBL18" s="400"/>
      <c r="CBM18" s="400"/>
      <c r="CBN18" s="400"/>
      <c r="CBO18" s="400"/>
      <c r="CBP18" s="400"/>
      <c r="CBQ18" s="400"/>
      <c r="CBR18" s="400"/>
      <c r="CBS18" s="400"/>
      <c r="CBT18" s="400"/>
      <c r="CBU18" s="400"/>
      <c r="CBV18" s="400"/>
      <c r="CBW18" s="400"/>
      <c r="CBX18" s="400"/>
      <c r="CBY18" s="400"/>
      <c r="CBZ18" s="400"/>
      <c r="CCA18" s="400"/>
      <c r="CCB18" s="400"/>
      <c r="CCC18" s="400"/>
      <c r="CCD18" s="400"/>
      <c r="CCE18" s="400"/>
      <c r="CCF18" s="400"/>
      <c r="CCG18" s="400"/>
      <c r="CCH18" s="400"/>
      <c r="CCI18" s="400"/>
      <c r="CCJ18" s="400"/>
      <c r="CCK18" s="400"/>
      <c r="CCL18" s="400"/>
      <c r="CCM18" s="400"/>
      <c r="CCN18" s="400"/>
      <c r="CCO18" s="400"/>
      <c r="CCP18" s="400"/>
      <c r="CCQ18" s="400"/>
      <c r="CCR18" s="400"/>
      <c r="CCS18" s="400"/>
      <c r="CCT18" s="400"/>
      <c r="CCU18" s="400"/>
      <c r="CCV18" s="400"/>
      <c r="CCW18" s="400"/>
      <c r="CCX18" s="400"/>
      <c r="CCY18" s="400"/>
      <c r="CCZ18" s="400"/>
      <c r="CDA18" s="400"/>
      <c r="CDB18" s="400"/>
      <c r="CDC18" s="400"/>
      <c r="CDD18" s="400"/>
      <c r="CDE18" s="400"/>
      <c r="CDF18" s="400"/>
      <c r="CDG18" s="400"/>
      <c r="CDH18" s="400"/>
      <c r="CDI18" s="400"/>
      <c r="CDJ18" s="400"/>
      <c r="CDK18" s="400"/>
      <c r="CDL18" s="400"/>
      <c r="CDM18" s="400"/>
      <c r="CDN18" s="400"/>
      <c r="CDO18" s="400"/>
      <c r="CDP18" s="400"/>
      <c r="CDQ18" s="400"/>
      <c r="CDR18" s="400"/>
      <c r="CDS18" s="400"/>
      <c r="CDT18" s="400"/>
      <c r="CDU18" s="400"/>
      <c r="CDV18" s="400"/>
      <c r="CDW18" s="400"/>
      <c r="CDX18" s="400"/>
      <c r="CDY18" s="400"/>
      <c r="CDZ18" s="400"/>
      <c r="CEA18" s="400"/>
      <c r="CEB18" s="400"/>
      <c r="CEC18" s="400"/>
      <c r="CED18" s="400"/>
      <c r="CEE18" s="400"/>
      <c r="CEF18" s="400"/>
      <c r="CEG18" s="400"/>
      <c r="CEH18" s="400"/>
      <c r="CEI18" s="400"/>
      <c r="CEJ18" s="400"/>
      <c r="CEK18" s="400"/>
      <c r="CEL18" s="400"/>
      <c r="CEM18" s="400"/>
      <c r="CEN18" s="400"/>
      <c r="CEO18" s="400"/>
      <c r="CEP18" s="400"/>
      <c r="CEQ18" s="400"/>
      <c r="CER18" s="400"/>
      <c r="CES18" s="400"/>
      <c r="CET18" s="400"/>
      <c r="CEU18" s="400"/>
      <c r="CEV18" s="400"/>
      <c r="CEW18" s="400"/>
      <c r="CEX18" s="400"/>
      <c r="CEY18" s="400"/>
      <c r="CEZ18" s="400"/>
      <c r="CFA18" s="400"/>
      <c r="CFB18" s="400"/>
      <c r="CFC18" s="400"/>
      <c r="CFD18" s="400"/>
      <c r="CFE18" s="400"/>
      <c r="CFF18" s="400"/>
      <c r="CFG18" s="400"/>
      <c r="CFH18" s="400"/>
      <c r="CFI18" s="400"/>
      <c r="CFJ18" s="400"/>
      <c r="CFK18" s="400"/>
      <c r="CFL18" s="400"/>
      <c r="CFM18" s="400"/>
      <c r="CFN18" s="400"/>
      <c r="CFO18" s="400"/>
      <c r="CFP18" s="400"/>
      <c r="CFQ18" s="400"/>
      <c r="CFR18" s="400"/>
      <c r="CFS18" s="400"/>
      <c r="CFT18" s="400"/>
      <c r="CFU18" s="400"/>
      <c r="CFV18" s="400"/>
      <c r="CFW18" s="400"/>
      <c r="CFX18" s="400"/>
      <c r="CFY18" s="400"/>
      <c r="CFZ18" s="400"/>
      <c r="CGA18" s="400"/>
      <c r="CGB18" s="400"/>
      <c r="CGC18" s="400"/>
      <c r="CGD18" s="400"/>
      <c r="CGE18" s="400"/>
      <c r="CGF18" s="400"/>
      <c r="CGG18" s="400"/>
      <c r="CGH18" s="400"/>
      <c r="CGI18" s="400"/>
      <c r="CGJ18" s="400"/>
      <c r="CGK18" s="400"/>
      <c r="CGL18" s="400"/>
      <c r="CGM18" s="400"/>
      <c r="CGN18" s="400"/>
      <c r="CGO18" s="400"/>
      <c r="CGP18" s="400"/>
      <c r="CGQ18" s="400"/>
      <c r="CGR18" s="400"/>
      <c r="CGS18" s="400"/>
      <c r="CGT18" s="400"/>
      <c r="CGU18" s="400"/>
      <c r="CGV18" s="400"/>
      <c r="CGW18" s="400"/>
      <c r="CGX18" s="400"/>
      <c r="CGY18" s="400"/>
      <c r="CGZ18" s="400"/>
      <c r="CHA18" s="400"/>
      <c r="CHB18" s="400"/>
      <c r="CHC18" s="400"/>
      <c r="CHD18" s="400"/>
      <c r="CHE18" s="400"/>
      <c r="CHF18" s="400"/>
      <c r="CHG18" s="400"/>
      <c r="CHH18" s="400"/>
      <c r="CHI18" s="400"/>
      <c r="CHJ18" s="400"/>
      <c r="CHK18" s="400"/>
      <c r="CHL18" s="400"/>
      <c r="CHM18" s="400"/>
      <c r="CHN18" s="400"/>
      <c r="CHO18" s="400"/>
      <c r="CHP18" s="400"/>
      <c r="CHQ18" s="400"/>
      <c r="CHR18" s="400"/>
      <c r="CHS18" s="400"/>
      <c r="CHT18" s="400"/>
      <c r="CHU18" s="400"/>
      <c r="CHV18" s="400"/>
      <c r="CHW18" s="400"/>
      <c r="CHX18" s="400"/>
      <c r="CHY18" s="400"/>
      <c r="CHZ18" s="400"/>
      <c r="CIA18" s="400"/>
      <c r="CIB18" s="400"/>
      <c r="CIC18" s="400"/>
      <c r="CID18" s="400"/>
      <c r="CIE18" s="400"/>
      <c r="CIF18" s="400"/>
      <c r="CIG18" s="400"/>
      <c r="CIH18" s="400"/>
      <c r="CII18" s="400"/>
      <c r="CIJ18" s="400"/>
      <c r="CIK18" s="400"/>
      <c r="CIL18" s="400"/>
      <c r="CIM18" s="400"/>
      <c r="CIN18" s="400"/>
      <c r="CIO18" s="400"/>
      <c r="CIP18" s="400"/>
      <c r="CIQ18" s="400"/>
      <c r="CIR18" s="400"/>
      <c r="CIS18" s="400"/>
      <c r="CIT18" s="400"/>
      <c r="CIU18" s="400"/>
      <c r="CIV18" s="400"/>
      <c r="CIW18" s="400"/>
      <c r="CIX18" s="400"/>
      <c r="CIY18" s="400"/>
      <c r="CIZ18" s="400"/>
      <c r="CJA18" s="400"/>
      <c r="CJB18" s="400"/>
      <c r="CJC18" s="400"/>
      <c r="CJD18" s="400"/>
      <c r="CJE18" s="400"/>
      <c r="CJF18" s="400"/>
      <c r="CJG18" s="400"/>
      <c r="CJH18" s="400"/>
      <c r="CJI18" s="400"/>
      <c r="CJJ18" s="400"/>
      <c r="CJK18" s="400"/>
      <c r="CJL18" s="400"/>
      <c r="CJM18" s="400"/>
      <c r="CJN18" s="400"/>
      <c r="CJO18" s="400"/>
      <c r="CJP18" s="400"/>
      <c r="CJQ18" s="400"/>
      <c r="CJR18" s="400"/>
      <c r="CJS18" s="400"/>
      <c r="CJT18" s="400"/>
      <c r="CJU18" s="400"/>
      <c r="CJV18" s="400"/>
      <c r="CJW18" s="400"/>
      <c r="CJX18" s="400"/>
      <c r="CJY18" s="400"/>
      <c r="CJZ18" s="400"/>
      <c r="CKA18" s="400"/>
      <c r="CKB18" s="400"/>
      <c r="CKC18" s="400"/>
      <c r="CKD18" s="400"/>
      <c r="CKE18" s="400"/>
      <c r="CKF18" s="400"/>
      <c r="CKG18" s="400"/>
      <c r="CKH18" s="400"/>
      <c r="CKI18" s="400"/>
      <c r="CKJ18" s="400"/>
      <c r="CKK18" s="400"/>
      <c r="CKL18" s="400"/>
      <c r="CKM18" s="400"/>
      <c r="CKN18" s="400"/>
      <c r="CKO18" s="400"/>
      <c r="CKP18" s="400"/>
      <c r="CKQ18" s="400"/>
      <c r="CKR18" s="400"/>
      <c r="CKS18" s="400"/>
      <c r="CKT18" s="400"/>
      <c r="CKU18" s="400"/>
      <c r="CKV18" s="400"/>
      <c r="CKW18" s="400"/>
      <c r="CKX18" s="400"/>
      <c r="CKY18" s="400"/>
      <c r="CKZ18" s="400"/>
      <c r="CLA18" s="400"/>
      <c r="CLB18" s="400"/>
      <c r="CLC18" s="400"/>
      <c r="CLD18" s="400"/>
      <c r="CLE18" s="400"/>
      <c r="CLF18" s="400"/>
      <c r="CLG18" s="400"/>
      <c r="CLH18" s="400"/>
      <c r="CLI18" s="400"/>
      <c r="CLJ18" s="400"/>
      <c r="CLK18" s="400"/>
      <c r="CLL18" s="400"/>
      <c r="CLM18" s="400"/>
      <c r="CLN18" s="400"/>
      <c r="CLO18" s="400"/>
      <c r="CLP18" s="400"/>
      <c r="CLQ18" s="400"/>
      <c r="CLR18" s="400"/>
      <c r="CLS18" s="400"/>
      <c r="CLT18" s="400"/>
      <c r="CLU18" s="400"/>
      <c r="CLV18" s="400"/>
      <c r="CLW18" s="400"/>
      <c r="CLX18" s="400"/>
      <c r="CLY18" s="400"/>
      <c r="CLZ18" s="400"/>
      <c r="CMA18" s="400"/>
      <c r="CMB18" s="400"/>
      <c r="CMC18" s="400"/>
      <c r="CMD18" s="400"/>
      <c r="CME18" s="400"/>
      <c r="CMF18" s="400"/>
      <c r="CMG18" s="400"/>
      <c r="CMH18" s="400"/>
      <c r="CMI18" s="400"/>
      <c r="CMJ18" s="400"/>
      <c r="CMK18" s="400"/>
      <c r="CML18" s="400"/>
      <c r="CMM18" s="400"/>
      <c r="CMN18" s="400"/>
      <c r="CMO18" s="400"/>
      <c r="CMP18" s="400"/>
      <c r="CMQ18" s="400"/>
      <c r="CMR18" s="400"/>
      <c r="CMS18" s="400"/>
      <c r="CMT18" s="400"/>
      <c r="CMU18" s="400"/>
      <c r="CMV18" s="400"/>
      <c r="CMW18" s="400"/>
      <c r="CMX18" s="400"/>
      <c r="CMY18" s="400"/>
      <c r="CMZ18" s="400"/>
      <c r="CNA18" s="400"/>
      <c r="CNB18" s="400"/>
      <c r="CNC18" s="400"/>
      <c r="CND18" s="400"/>
      <c r="CNE18" s="400"/>
      <c r="CNF18" s="400"/>
      <c r="CNG18" s="400"/>
      <c r="CNH18" s="400"/>
      <c r="CNI18" s="400"/>
      <c r="CNJ18" s="400"/>
      <c r="CNK18" s="400"/>
      <c r="CNL18" s="400"/>
      <c r="CNM18" s="400"/>
      <c r="CNN18" s="400"/>
      <c r="CNO18" s="400"/>
      <c r="CNP18" s="400"/>
      <c r="CNQ18" s="400"/>
      <c r="CNR18" s="400"/>
      <c r="CNS18" s="400"/>
      <c r="CNT18" s="400"/>
      <c r="CNU18" s="400"/>
      <c r="CNV18" s="400"/>
      <c r="CNW18" s="400"/>
      <c r="CNX18" s="400"/>
      <c r="CNY18" s="400"/>
      <c r="CNZ18" s="400"/>
      <c r="COA18" s="400"/>
      <c r="COB18" s="400"/>
      <c r="COC18" s="400"/>
      <c r="COD18" s="400"/>
      <c r="COE18" s="400"/>
      <c r="COF18" s="400"/>
      <c r="COG18" s="400"/>
      <c r="COH18" s="400"/>
      <c r="COI18" s="400"/>
      <c r="COJ18" s="400"/>
      <c r="COK18" s="400"/>
      <c r="COL18" s="400"/>
      <c r="COM18" s="400"/>
      <c r="CON18" s="400"/>
      <c r="COO18" s="400"/>
      <c r="COP18" s="400"/>
      <c r="COQ18" s="400"/>
      <c r="COR18" s="400"/>
      <c r="COS18" s="400"/>
      <c r="COT18" s="400"/>
      <c r="COU18" s="400"/>
      <c r="COV18" s="400"/>
      <c r="COW18" s="400"/>
      <c r="COX18" s="400"/>
      <c r="COY18" s="400"/>
      <c r="COZ18" s="400"/>
      <c r="CPA18" s="400"/>
      <c r="CPB18" s="400"/>
      <c r="CPC18" s="400"/>
      <c r="CPD18" s="400"/>
      <c r="CPE18" s="400"/>
      <c r="CPF18" s="400"/>
      <c r="CPG18" s="400"/>
      <c r="CPH18" s="400"/>
      <c r="CPI18" s="400"/>
      <c r="CPJ18" s="400"/>
      <c r="CPK18" s="400"/>
      <c r="CPL18" s="400"/>
      <c r="CPM18" s="400"/>
      <c r="CPN18" s="400"/>
      <c r="CPO18" s="400"/>
      <c r="CPP18" s="400"/>
      <c r="CPQ18" s="400"/>
      <c r="CPR18" s="400"/>
      <c r="CPS18" s="400"/>
      <c r="CPT18" s="400"/>
      <c r="CPU18" s="400"/>
      <c r="CPV18" s="400"/>
      <c r="CPW18" s="400"/>
      <c r="CPX18" s="400"/>
      <c r="CPY18" s="400"/>
      <c r="CPZ18" s="400"/>
      <c r="CQA18" s="400"/>
      <c r="CQB18" s="400"/>
      <c r="CQC18" s="400"/>
      <c r="CQD18" s="400"/>
      <c r="CQE18" s="400"/>
      <c r="CQF18" s="400"/>
      <c r="CQG18" s="400"/>
      <c r="CQH18" s="400"/>
      <c r="CQI18" s="400"/>
      <c r="CQJ18" s="400"/>
      <c r="CQK18" s="400"/>
      <c r="CQL18" s="400"/>
      <c r="CQM18" s="400"/>
      <c r="CQN18" s="400"/>
      <c r="CQO18" s="400"/>
      <c r="CQP18" s="400"/>
      <c r="CQQ18" s="400"/>
      <c r="CQR18" s="400"/>
      <c r="CQS18" s="400"/>
      <c r="CQT18" s="400"/>
      <c r="CQU18" s="400"/>
      <c r="CQV18" s="400"/>
      <c r="CQW18" s="400"/>
      <c r="CQX18" s="400"/>
      <c r="CQY18" s="400"/>
      <c r="CQZ18" s="400"/>
      <c r="CRA18" s="400"/>
      <c r="CRB18" s="400"/>
      <c r="CRC18" s="400"/>
      <c r="CRD18" s="400"/>
      <c r="CRE18" s="400"/>
      <c r="CRF18" s="400"/>
      <c r="CRG18" s="400"/>
      <c r="CRH18" s="400"/>
      <c r="CRI18" s="400"/>
      <c r="CRJ18" s="400"/>
      <c r="CRK18" s="400"/>
      <c r="CRL18" s="400"/>
      <c r="CRM18" s="400"/>
      <c r="CRN18" s="400"/>
      <c r="CRO18" s="400"/>
      <c r="CRP18" s="400"/>
      <c r="CRQ18" s="400"/>
      <c r="CRR18" s="400"/>
      <c r="CRS18" s="400"/>
      <c r="CRT18" s="400"/>
      <c r="CRU18" s="400"/>
      <c r="CRV18" s="400"/>
      <c r="CRW18" s="400"/>
      <c r="CRX18" s="400"/>
      <c r="CRY18" s="400"/>
      <c r="CRZ18" s="400"/>
      <c r="CSA18" s="400"/>
      <c r="CSB18" s="400"/>
      <c r="CSC18" s="400"/>
      <c r="CSD18" s="400"/>
      <c r="CSE18" s="400"/>
      <c r="CSF18" s="400"/>
      <c r="CSG18" s="400"/>
      <c r="CSH18" s="400"/>
      <c r="CSI18" s="400"/>
      <c r="CSJ18" s="400"/>
      <c r="CSK18" s="400"/>
      <c r="CSL18" s="400"/>
      <c r="CSM18" s="400"/>
      <c r="CSN18" s="400"/>
      <c r="CSO18" s="400"/>
      <c r="CSP18" s="400"/>
      <c r="CSQ18" s="400"/>
      <c r="CSR18" s="400"/>
      <c r="CSS18" s="400"/>
      <c r="CST18" s="400"/>
      <c r="CSU18" s="400"/>
      <c r="CSV18" s="400"/>
      <c r="CSW18" s="400"/>
      <c r="CSX18" s="400"/>
      <c r="CSY18" s="400"/>
      <c r="CSZ18" s="400"/>
      <c r="CTA18" s="400"/>
      <c r="CTB18" s="400"/>
      <c r="CTC18" s="400"/>
      <c r="CTD18" s="400"/>
      <c r="CTE18" s="400"/>
      <c r="CTF18" s="400"/>
      <c r="CTG18" s="400"/>
      <c r="CTH18" s="400"/>
      <c r="CTI18" s="400"/>
      <c r="CTJ18" s="400"/>
      <c r="CTK18" s="400"/>
      <c r="CTL18" s="400"/>
      <c r="CTM18" s="400"/>
      <c r="CTN18" s="400"/>
      <c r="CTO18" s="400"/>
      <c r="CTP18" s="400"/>
      <c r="CTQ18" s="400"/>
      <c r="CTR18" s="400"/>
      <c r="CTS18" s="400"/>
      <c r="CTT18" s="400"/>
      <c r="CTU18" s="400"/>
      <c r="CTV18" s="400"/>
      <c r="CTW18" s="400"/>
      <c r="CTX18" s="400"/>
      <c r="CTY18" s="400"/>
      <c r="CTZ18" s="400"/>
      <c r="CUA18" s="400"/>
      <c r="CUB18" s="400"/>
      <c r="CUC18" s="400"/>
      <c r="CUD18" s="400"/>
      <c r="CUE18" s="400"/>
      <c r="CUF18" s="400"/>
      <c r="CUG18" s="400"/>
      <c r="CUH18" s="400"/>
      <c r="CUI18" s="400"/>
      <c r="CUJ18" s="400"/>
      <c r="CUK18" s="400"/>
      <c r="CUL18" s="400"/>
      <c r="CUM18" s="400"/>
      <c r="CUN18" s="400"/>
      <c r="CUO18" s="400"/>
      <c r="CUP18" s="400"/>
      <c r="CUQ18" s="400"/>
      <c r="CUR18" s="400"/>
      <c r="CUS18" s="400"/>
      <c r="CUT18" s="400"/>
      <c r="CUU18" s="400"/>
      <c r="CUV18" s="400"/>
      <c r="CUW18" s="400"/>
      <c r="CUX18" s="400"/>
      <c r="CUY18" s="400"/>
      <c r="CUZ18" s="400"/>
      <c r="CVA18" s="400"/>
      <c r="CVB18" s="400"/>
      <c r="CVC18" s="400"/>
      <c r="CVD18" s="400"/>
      <c r="CVE18" s="400"/>
      <c r="CVF18" s="400"/>
      <c r="CVG18" s="400"/>
      <c r="CVH18" s="400"/>
      <c r="CVI18" s="400"/>
      <c r="CVJ18" s="400"/>
      <c r="CVK18" s="400"/>
      <c r="CVL18" s="400"/>
      <c r="CVM18" s="400"/>
      <c r="CVN18" s="400"/>
      <c r="CVO18" s="400"/>
      <c r="CVP18" s="400"/>
      <c r="CVQ18" s="400"/>
      <c r="CVR18" s="400"/>
      <c r="CVS18" s="400"/>
      <c r="CVT18" s="400"/>
      <c r="CVU18" s="400"/>
      <c r="CVV18" s="400"/>
      <c r="CVW18" s="400"/>
      <c r="CVX18" s="400"/>
      <c r="CVY18" s="400"/>
      <c r="CVZ18" s="400"/>
      <c r="CWA18" s="400"/>
      <c r="CWB18" s="400"/>
      <c r="CWC18" s="400"/>
      <c r="CWD18" s="400"/>
      <c r="CWE18" s="400"/>
      <c r="CWF18" s="400"/>
      <c r="CWG18" s="400"/>
      <c r="CWH18" s="400"/>
      <c r="CWI18" s="400"/>
      <c r="CWJ18" s="400"/>
      <c r="CWK18" s="400"/>
      <c r="CWL18" s="400"/>
      <c r="CWM18" s="400"/>
      <c r="CWN18" s="400"/>
      <c r="CWO18" s="400"/>
      <c r="CWP18" s="400"/>
      <c r="CWQ18" s="400"/>
      <c r="CWR18" s="400"/>
      <c r="CWS18" s="400"/>
      <c r="CWT18" s="400"/>
      <c r="CWU18" s="400"/>
      <c r="CWV18" s="400"/>
      <c r="CWW18" s="400"/>
      <c r="CWX18" s="400"/>
      <c r="CWY18" s="400"/>
      <c r="CWZ18" s="400"/>
      <c r="CXA18" s="400"/>
      <c r="CXB18" s="400"/>
      <c r="CXC18" s="400"/>
      <c r="CXD18" s="400"/>
      <c r="CXE18" s="400"/>
      <c r="CXF18" s="400"/>
      <c r="CXG18" s="400"/>
      <c r="CXH18" s="400"/>
      <c r="CXI18" s="400"/>
      <c r="CXJ18" s="400"/>
      <c r="CXK18" s="400"/>
      <c r="CXL18" s="400"/>
      <c r="CXM18" s="400"/>
      <c r="CXN18" s="400"/>
      <c r="CXO18" s="400"/>
      <c r="CXP18" s="400"/>
      <c r="CXQ18" s="400"/>
      <c r="CXR18" s="400"/>
      <c r="CXS18" s="400"/>
      <c r="CXT18" s="400"/>
      <c r="CXU18" s="400"/>
      <c r="CXV18" s="400"/>
      <c r="CXW18" s="400"/>
      <c r="CXX18" s="400"/>
      <c r="CXY18" s="400"/>
      <c r="CXZ18" s="400"/>
      <c r="CYA18" s="400"/>
      <c r="CYB18" s="400"/>
      <c r="CYC18" s="400"/>
      <c r="CYD18" s="400"/>
      <c r="CYE18" s="400"/>
      <c r="CYF18" s="400"/>
      <c r="CYG18" s="400"/>
      <c r="CYH18" s="400"/>
      <c r="CYI18" s="400"/>
      <c r="CYJ18" s="400"/>
      <c r="CYK18" s="400"/>
      <c r="CYL18" s="400"/>
      <c r="CYM18" s="400"/>
      <c r="CYN18" s="400"/>
      <c r="CYO18" s="400"/>
      <c r="CYP18" s="400"/>
      <c r="CYQ18" s="400"/>
      <c r="CYR18" s="400"/>
      <c r="CYS18" s="400"/>
      <c r="CYT18" s="400"/>
      <c r="CYU18" s="400"/>
      <c r="CYV18" s="400"/>
      <c r="CYW18" s="400"/>
      <c r="CYX18" s="400"/>
      <c r="CYY18" s="400"/>
      <c r="CYZ18" s="400"/>
      <c r="CZA18" s="400"/>
      <c r="CZB18" s="400"/>
      <c r="CZC18" s="400"/>
      <c r="CZD18" s="400"/>
      <c r="CZE18" s="400"/>
      <c r="CZF18" s="400"/>
      <c r="CZG18" s="400"/>
      <c r="CZH18" s="400"/>
      <c r="CZI18" s="400"/>
      <c r="CZJ18" s="400"/>
      <c r="CZK18" s="400"/>
      <c r="CZL18" s="400"/>
      <c r="CZM18" s="400"/>
      <c r="CZN18" s="400"/>
      <c r="CZO18" s="400"/>
      <c r="CZP18" s="400"/>
      <c r="CZQ18" s="400"/>
      <c r="CZR18" s="400"/>
      <c r="CZS18" s="400"/>
      <c r="CZT18" s="400"/>
      <c r="CZU18" s="400"/>
      <c r="CZV18" s="400"/>
      <c r="CZW18" s="400"/>
      <c r="CZX18" s="400"/>
      <c r="CZY18" s="400"/>
      <c r="CZZ18" s="400"/>
      <c r="DAA18" s="400"/>
      <c r="DAB18" s="400"/>
      <c r="DAC18" s="400"/>
      <c r="DAD18" s="400"/>
      <c r="DAE18" s="400"/>
      <c r="DAF18" s="400"/>
      <c r="DAG18" s="400"/>
      <c r="DAH18" s="400"/>
      <c r="DAI18" s="400"/>
      <c r="DAJ18" s="400"/>
      <c r="DAK18" s="400"/>
      <c r="DAL18" s="400"/>
      <c r="DAM18" s="400"/>
      <c r="DAN18" s="400"/>
      <c r="DAO18" s="400"/>
      <c r="DAP18" s="400"/>
      <c r="DAQ18" s="400"/>
      <c r="DAR18" s="400"/>
      <c r="DAS18" s="400"/>
      <c r="DAT18" s="400"/>
      <c r="DAU18" s="400"/>
      <c r="DAV18" s="400"/>
      <c r="DAW18" s="400"/>
      <c r="DAX18" s="400"/>
      <c r="DAY18" s="400"/>
      <c r="DAZ18" s="400"/>
      <c r="DBA18" s="400"/>
      <c r="DBB18" s="400"/>
      <c r="DBC18" s="400"/>
      <c r="DBD18" s="400"/>
      <c r="DBE18" s="400"/>
      <c r="DBF18" s="400"/>
      <c r="DBG18" s="400"/>
      <c r="DBH18" s="400"/>
      <c r="DBI18" s="400"/>
      <c r="DBJ18" s="400"/>
      <c r="DBK18" s="400"/>
      <c r="DBL18" s="400"/>
      <c r="DBM18" s="400"/>
      <c r="DBN18" s="400"/>
      <c r="DBO18" s="400"/>
      <c r="DBP18" s="400"/>
      <c r="DBQ18" s="400"/>
      <c r="DBR18" s="400"/>
      <c r="DBS18" s="400"/>
      <c r="DBT18" s="400"/>
      <c r="DBU18" s="400"/>
      <c r="DBV18" s="400"/>
      <c r="DBW18" s="400"/>
      <c r="DBX18" s="400"/>
      <c r="DBY18" s="400"/>
      <c r="DBZ18" s="400"/>
      <c r="DCA18" s="400"/>
      <c r="DCB18" s="400"/>
      <c r="DCC18" s="400"/>
      <c r="DCD18" s="400"/>
      <c r="DCE18" s="400"/>
      <c r="DCF18" s="400"/>
      <c r="DCG18" s="400"/>
      <c r="DCH18" s="400"/>
      <c r="DCI18" s="400"/>
      <c r="DCJ18" s="400"/>
      <c r="DCK18" s="400"/>
      <c r="DCL18" s="400"/>
      <c r="DCM18" s="400"/>
      <c r="DCN18" s="400"/>
      <c r="DCO18" s="400"/>
      <c r="DCP18" s="400"/>
      <c r="DCQ18" s="400"/>
      <c r="DCR18" s="400"/>
      <c r="DCS18" s="400"/>
      <c r="DCT18" s="400"/>
      <c r="DCU18" s="400"/>
      <c r="DCV18" s="400"/>
      <c r="DCW18" s="400"/>
      <c r="DCX18" s="400"/>
      <c r="DCY18" s="400"/>
      <c r="DCZ18" s="400"/>
      <c r="DDA18" s="400"/>
      <c r="DDB18" s="400"/>
      <c r="DDC18" s="400"/>
      <c r="DDD18" s="400"/>
      <c r="DDE18" s="400"/>
      <c r="DDF18" s="400"/>
      <c r="DDG18" s="400"/>
      <c r="DDH18" s="400"/>
      <c r="DDI18" s="400"/>
      <c r="DDJ18" s="400"/>
      <c r="DDK18" s="400"/>
      <c r="DDL18" s="400"/>
      <c r="DDM18" s="400"/>
      <c r="DDN18" s="400"/>
      <c r="DDO18" s="400"/>
      <c r="DDP18" s="400"/>
      <c r="DDQ18" s="400"/>
      <c r="DDR18" s="400"/>
      <c r="DDS18" s="400"/>
      <c r="DDT18" s="400"/>
      <c r="DDU18" s="400"/>
      <c r="DDV18" s="400"/>
      <c r="DDW18" s="400"/>
      <c r="DDX18" s="400"/>
      <c r="DDY18" s="400"/>
      <c r="DDZ18" s="400"/>
      <c r="DEA18" s="400"/>
      <c r="DEB18" s="400"/>
      <c r="DEC18" s="400"/>
      <c r="DED18" s="400"/>
      <c r="DEE18" s="400"/>
      <c r="DEF18" s="400"/>
      <c r="DEG18" s="400"/>
      <c r="DEH18" s="400"/>
      <c r="DEI18" s="400"/>
      <c r="DEJ18" s="400"/>
      <c r="DEK18" s="400"/>
      <c r="DEL18" s="400"/>
      <c r="DEM18" s="400"/>
      <c r="DEN18" s="400"/>
      <c r="DEO18" s="400"/>
      <c r="DEP18" s="400"/>
      <c r="DEQ18" s="400"/>
      <c r="DER18" s="400"/>
      <c r="DES18" s="400"/>
      <c r="DET18" s="400"/>
      <c r="DEU18" s="400"/>
      <c r="DEV18" s="400"/>
      <c r="DEW18" s="400"/>
      <c r="DEX18" s="400"/>
      <c r="DEY18" s="400"/>
      <c r="DEZ18" s="400"/>
      <c r="DFA18" s="400"/>
      <c r="DFB18" s="400"/>
      <c r="DFC18" s="400"/>
      <c r="DFD18" s="400"/>
      <c r="DFE18" s="400"/>
      <c r="DFF18" s="400"/>
      <c r="DFG18" s="400"/>
      <c r="DFH18" s="400"/>
      <c r="DFI18" s="400"/>
      <c r="DFJ18" s="400"/>
      <c r="DFK18" s="400"/>
      <c r="DFL18" s="400"/>
      <c r="DFM18" s="400"/>
      <c r="DFN18" s="400"/>
      <c r="DFO18" s="400"/>
      <c r="DFP18" s="400"/>
      <c r="DFQ18" s="400"/>
      <c r="DFR18" s="400"/>
      <c r="DFS18" s="400"/>
      <c r="DFT18" s="400"/>
      <c r="DFU18" s="400"/>
      <c r="DFV18" s="400"/>
      <c r="DFW18" s="400"/>
      <c r="DFX18" s="400"/>
      <c r="DFY18" s="400"/>
      <c r="DFZ18" s="400"/>
      <c r="DGA18" s="400"/>
      <c r="DGB18" s="400"/>
      <c r="DGC18" s="400"/>
      <c r="DGD18" s="400"/>
      <c r="DGE18" s="400"/>
      <c r="DGF18" s="400"/>
      <c r="DGG18" s="400"/>
      <c r="DGH18" s="400"/>
      <c r="DGI18" s="400"/>
      <c r="DGJ18" s="400"/>
      <c r="DGK18" s="400"/>
      <c r="DGL18" s="400"/>
      <c r="DGM18" s="400"/>
      <c r="DGN18" s="400"/>
      <c r="DGO18" s="400"/>
      <c r="DGP18" s="400"/>
      <c r="DGQ18" s="400"/>
      <c r="DGR18" s="400"/>
      <c r="DGS18" s="400"/>
      <c r="DGT18" s="400"/>
      <c r="DGU18" s="400"/>
      <c r="DGV18" s="400"/>
      <c r="DGW18" s="400"/>
      <c r="DGX18" s="400"/>
      <c r="DGY18" s="400"/>
      <c r="DGZ18" s="400"/>
      <c r="DHA18" s="400"/>
      <c r="DHB18" s="400"/>
      <c r="DHC18" s="400"/>
      <c r="DHD18" s="400"/>
      <c r="DHE18" s="400"/>
      <c r="DHF18" s="400"/>
      <c r="DHG18" s="400"/>
      <c r="DHH18" s="400"/>
      <c r="DHI18" s="400"/>
      <c r="DHJ18" s="400"/>
      <c r="DHK18" s="400"/>
      <c r="DHL18" s="400"/>
      <c r="DHM18" s="400"/>
      <c r="DHN18" s="400"/>
      <c r="DHO18" s="400"/>
      <c r="DHP18" s="400"/>
      <c r="DHQ18" s="400"/>
      <c r="DHR18" s="400"/>
      <c r="DHS18" s="400"/>
      <c r="DHT18" s="400"/>
      <c r="DHU18" s="400"/>
      <c r="DHV18" s="400"/>
      <c r="DHW18" s="400"/>
      <c r="DHX18" s="400"/>
      <c r="DHY18" s="400"/>
      <c r="DHZ18" s="400"/>
      <c r="DIA18" s="400"/>
      <c r="DIB18" s="400"/>
      <c r="DIC18" s="400"/>
      <c r="DID18" s="400"/>
      <c r="DIE18" s="400"/>
      <c r="DIF18" s="400"/>
      <c r="DIG18" s="400"/>
      <c r="DIH18" s="400"/>
      <c r="DII18" s="400"/>
      <c r="DIJ18" s="400"/>
      <c r="DIK18" s="400"/>
      <c r="DIL18" s="400"/>
      <c r="DIM18" s="400"/>
      <c r="DIN18" s="400"/>
      <c r="DIO18" s="400"/>
      <c r="DIP18" s="400"/>
      <c r="DIQ18" s="400"/>
      <c r="DIR18" s="400"/>
      <c r="DIS18" s="400"/>
      <c r="DIT18" s="400"/>
      <c r="DIU18" s="400"/>
      <c r="DIV18" s="400"/>
      <c r="DIW18" s="400"/>
      <c r="DIX18" s="400"/>
      <c r="DIY18" s="400"/>
      <c r="DIZ18" s="400"/>
      <c r="DJA18" s="400"/>
      <c r="DJB18" s="400"/>
      <c r="DJC18" s="400"/>
      <c r="DJD18" s="400"/>
      <c r="DJE18" s="400"/>
      <c r="DJF18" s="400"/>
      <c r="DJG18" s="400"/>
      <c r="DJH18" s="400"/>
      <c r="DJI18" s="400"/>
      <c r="DJJ18" s="400"/>
      <c r="DJK18" s="400"/>
      <c r="DJL18" s="400"/>
      <c r="DJM18" s="400"/>
      <c r="DJN18" s="400"/>
      <c r="DJO18" s="400"/>
      <c r="DJP18" s="400"/>
      <c r="DJQ18" s="400"/>
      <c r="DJR18" s="400"/>
      <c r="DJS18" s="400"/>
      <c r="DJT18" s="400"/>
      <c r="DJU18" s="400"/>
      <c r="DJV18" s="400"/>
      <c r="DJW18" s="400"/>
      <c r="DJX18" s="400"/>
      <c r="DJY18" s="400"/>
      <c r="DJZ18" s="400"/>
      <c r="DKA18" s="400"/>
      <c r="DKB18" s="400"/>
      <c r="DKC18" s="400"/>
      <c r="DKD18" s="400"/>
      <c r="DKE18" s="400"/>
      <c r="DKF18" s="400"/>
      <c r="DKG18" s="400"/>
      <c r="DKH18" s="400"/>
      <c r="DKI18" s="400"/>
      <c r="DKJ18" s="400"/>
      <c r="DKK18" s="400"/>
      <c r="DKL18" s="400"/>
      <c r="DKM18" s="400"/>
      <c r="DKN18" s="400"/>
      <c r="DKO18" s="400"/>
      <c r="DKP18" s="400"/>
      <c r="DKQ18" s="400"/>
      <c r="DKR18" s="400"/>
      <c r="DKS18" s="400"/>
      <c r="DKT18" s="400"/>
      <c r="DKU18" s="400"/>
      <c r="DKV18" s="400"/>
      <c r="DKW18" s="400"/>
      <c r="DKX18" s="400"/>
      <c r="DKY18" s="400"/>
      <c r="DKZ18" s="400"/>
      <c r="DLA18" s="400"/>
      <c r="DLB18" s="400"/>
      <c r="DLC18" s="400"/>
      <c r="DLD18" s="400"/>
      <c r="DLE18" s="400"/>
      <c r="DLF18" s="400"/>
      <c r="DLG18" s="400"/>
      <c r="DLH18" s="400"/>
      <c r="DLI18" s="400"/>
      <c r="DLJ18" s="400"/>
      <c r="DLK18" s="400"/>
      <c r="DLL18" s="400"/>
      <c r="DLM18" s="400"/>
      <c r="DLN18" s="400"/>
      <c r="DLO18" s="400"/>
      <c r="DLP18" s="400"/>
      <c r="DLQ18" s="400"/>
      <c r="DLR18" s="400"/>
      <c r="DLS18" s="400"/>
      <c r="DLT18" s="400"/>
      <c r="DLU18" s="400"/>
      <c r="DLV18" s="400"/>
      <c r="DLW18" s="400"/>
      <c r="DLX18" s="400"/>
      <c r="DLY18" s="400"/>
      <c r="DLZ18" s="400"/>
      <c r="DMA18" s="400"/>
      <c r="DMB18" s="400"/>
      <c r="DMC18" s="400"/>
      <c r="DMD18" s="400"/>
      <c r="DME18" s="400"/>
      <c r="DMF18" s="400"/>
      <c r="DMG18" s="400"/>
      <c r="DMH18" s="400"/>
      <c r="DMI18" s="400"/>
      <c r="DMJ18" s="400"/>
      <c r="DMK18" s="400"/>
      <c r="DML18" s="400"/>
      <c r="DMM18" s="400"/>
      <c r="DMN18" s="400"/>
      <c r="DMO18" s="400"/>
      <c r="DMP18" s="400"/>
      <c r="DMQ18" s="400"/>
      <c r="DMR18" s="400"/>
      <c r="DMS18" s="400"/>
      <c r="DMT18" s="400"/>
      <c r="DMU18" s="400"/>
      <c r="DMV18" s="400"/>
      <c r="DMW18" s="400"/>
      <c r="DMX18" s="400"/>
      <c r="DMY18" s="400"/>
      <c r="DMZ18" s="400"/>
      <c r="DNA18" s="400"/>
      <c r="DNB18" s="400"/>
      <c r="DNC18" s="400"/>
      <c r="DND18" s="400"/>
      <c r="DNE18" s="400"/>
      <c r="DNF18" s="400"/>
      <c r="DNG18" s="400"/>
      <c r="DNH18" s="400"/>
      <c r="DNI18" s="400"/>
      <c r="DNJ18" s="400"/>
      <c r="DNK18" s="400"/>
      <c r="DNL18" s="400"/>
      <c r="DNM18" s="400"/>
      <c r="DNN18" s="400"/>
      <c r="DNO18" s="400"/>
      <c r="DNP18" s="400"/>
      <c r="DNQ18" s="400"/>
      <c r="DNR18" s="400"/>
      <c r="DNS18" s="400"/>
      <c r="DNT18" s="400"/>
      <c r="DNU18" s="400"/>
      <c r="DNV18" s="400"/>
      <c r="DNW18" s="400"/>
      <c r="DNX18" s="400"/>
      <c r="DNY18" s="400"/>
      <c r="DNZ18" s="400"/>
      <c r="DOA18" s="400"/>
      <c r="DOB18" s="400"/>
      <c r="DOC18" s="400"/>
      <c r="DOD18" s="400"/>
      <c r="DOE18" s="400"/>
      <c r="DOF18" s="400"/>
      <c r="DOG18" s="400"/>
      <c r="DOH18" s="400"/>
      <c r="DOI18" s="400"/>
      <c r="DOJ18" s="400"/>
      <c r="DOK18" s="400"/>
      <c r="DOL18" s="400"/>
      <c r="DOM18" s="400"/>
      <c r="DON18" s="400"/>
      <c r="DOO18" s="400"/>
      <c r="DOP18" s="400"/>
      <c r="DOQ18" s="400"/>
      <c r="DOR18" s="400"/>
      <c r="DOS18" s="400"/>
      <c r="DOT18" s="400"/>
      <c r="DOU18" s="400"/>
      <c r="DOV18" s="400"/>
      <c r="DOW18" s="400"/>
      <c r="DOX18" s="400"/>
      <c r="DOY18" s="400"/>
      <c r="DOZ18" s="400"/>
      <c r="DPA18" s="400"/>
      <c r="DPB18" s="400"/>
      <c r="DPC18" s="400"/>
      <c r="DPD18" s="400"/>
      <c r="DPE18" s="400"/>
      <c r="DPF18" s="400"/>
      <c r="DPG18" s="400"/>
      <c r="DPH18" s="400"/>
      <c r="DPI18" s="400"/>
      <c r="DPJ18" s="400"/>
      <c r="DPK18" s="400"/>
      <c r="DPL18" s="400"/>
      <c r="DPM18" s="400"/>
      <c r="DPN18" s="400"/>
      <c r="DPO18" s="400"/>
      <c r="DPP18" s="400"/>
      <c r="DPQ18" s="400"/>
      <c r="DPR18" s="400"/>
      <c r="DPS18" s="400"/>
      <c r="DPT18" s="400"/>
      <c r="DPU18" s="400"/>
      <c r="DPV18" s="400"/>
      <c r="DPW18" s="400"/>
      <c r="DPX18" s="400"/>
      <c r="DPY18" s="400"/>
      <c r="DPZ18" s="400"/>
      <c r="DQA18" s="400"/>
      <c r="DQB18" s="400"/>
      <c r="DQC18" s="400"/>
      <c r="DQD18" s="400"/>
      <c r="DQE18" s="400"/>
      <c r="DQF18" s="400"/>
      <c r="DQG18" s="400"/>
      <c r="DQH18" s="400"/>
      <c r="DQI18" s="400"/>
      <c r="DQJ18" s="400"/>
      <c r="DQK18" s="400"/>
      <c r="DQL18" s="400"/>
      <c r="DQM18" s="400"/>
      <c r="DQN18" s="400"/>
      <c r="DQO18" s="400"/>
      <c r="DQP18" s="400"/>
      <c r="DQQ18" s="400"/>
      <c r="DQR18" s="400"/>
      <c r="DQS18" s="400"/>
      <c r="DQT18" s="400"/>
      <c r="DQU18" s="400"/>
      <c r="DQV18" s="400"/>
      <c r="DQW18" s="400"/>
      <c r="DQX18" s="400"/>
      <c r="DQY18" s="400"/>
      <c r="DQZ18" s="400"/>
      <c r="DRA18" s="400"/>
      <c r="DRB18" s="400"/>
      <c r="DRC18" s="400"/>
      <c r="DRD18" s="400"/>
      <c r="DRE18" s="400"/>
      <c r="DRF18" s="400"/>
      <c r="DRG18" s="400"/>
      <c r="DRH18" s="400"/>
      <c r="DRI18" s="400"/>
      <c r="DRJ18" s="400"/>
      <c r="DRK18" s="400"/>
      <c r="DRL18" s="400"/>
      <c r="DRM18" s="400"/>
      <c r="DRN18" s="400"/>
      <c r="DRO18" s="400"/>
      <c r="DRP18" s="400"/>
      <c r="DRQ18" s="400"/>
      <c r="DRR18" s="400"/>
      <c r="DRS18" s="400"/>
      <c r="DRT18" s="400"/>
      <c r="DRU18" s="400"/>
      <c r="DRV18" s="400"/>
      <c r="DRW18" s="400"/>
      <c r="DRX18" s="400"/>
      <c r="DRY18" s="400"/>
      <c r="DRZ18" s="400"/>
      <c r="DSA18" s="400"/>
      <c r="DSB18" s="400"/>
      <c r="DSC18" s="400"/>
      <c r="DSD18" s="400"/>
      <c r="DSE18" s="400"/>
      <c r="DSF18" s="400"/>
      <c r="DSG18" s="400"/>
      <c r="DSH18" s="400"/>
      <c r="DSI18" s="400"/>
      <c r="DSJ18" s="400"/>
      <c r="DSK18" s="400"/>
      <c r="DSL18" s="400"/>
      <c r="DSM18" s="400"/>
      <c r="DSN18" s="400"/>
      <c r="DSO18" s="400"/>
      <c r="DSP18" s="400"/>
      <c r="DSQ18" s="400"/>
      <c r="DSR18" s="400"/>
      <c r="DSS18" s="400"/>
      <c r="DST18" s="400"/>
      <c r="DSU18" s="400"/>
      <c r="DSV18" s="400"/>
      <c r="DSW18" s="400"/>
      <c r="DSX18" s="400"/>
      <c r="DSY18" s="400"/>
      <c r="DSZ18" s="400"/>
      <c r="DTA18" s="400"/>
      <c r="DTB18" s="400"/>
      <c r="DTC18" s="400"/>
      <c r="DTD18" s="400"/>
      <c r="DTE18" s="400"/>
      <c r="DTF18" s="400"/>
      <c r="DTG18" s="400"/>
      <c r="DTH18" s="400"/>
      <c r="DTI18" s="400"/>
      <c r="DTJ18" s="400"/>
      <c r="DTK18" s="400"/>
      <c r="DTL18" s="400"/>
      <c r="DTM18" s="400"/>
      <c r="DTN18" s="400"/>
      <c r="DTO18" s="400"/>
      <c r="DTP18" s="400"/>
      <c r="DTQ18" s="400"/>
      <c r="DTR18" s="400"/>
      <c r="DTS18" s="400"/>
      <c r="DTT18" s="400"/>
      <c r="DTU18" s="400"/>
      <c r="DTV18" s="400"/>
      <c r="DTW18" s="400"/>
      <c r="DTX18" s="400"/>
      <c r="DTY18" s="400"/>
      <c r="DTZ18" s="400"/>
      <c r="DUA18" s="400"/>
      <c r="DUB18" s="400"/>
      <c r="DUC18" s="400"/>
      <c r="DUD18" s="400"/>
      <c r="DUE18" s="400"/>
      <c r="DUF18" s="400"/>
      <c r="DUG18" s="400"/>
      <c r="DUH18" s="400"/>
      <c r="DUI18" s="400"/>
      <c r="DUJ18" s="400"/>
      <c r="DUK18" s="400"/>
      <c r="DUL18" s="400"/>
      <c r="DUM18" s="400"/>
      <c r="DUN18" s="400"/>
      <c r="DUO18" s="400"/>
      <c r="DUP18" s="400"/>
      <c r="DUQ18" s="400"/>
      <c r="DUR18" s="400"/>
      <c r="DUS18" s="400"/>
      <c r="DUT18" s="400"/>
      <c r="DUU18" s="400"/>
      <c r="DUV18" s="400"/>
      <c r="DUW18" s="400"/>
      <c r="DUX18" s="400"/>
      <c r="DUY18" s="400"/>
      <c r="DUZ18" s="400"/>
      <c r="DVA18" s="400"/>
      <c r="DVB18" s="400"/>
      <c r="DVC18" s="400"/>
      <c r="DVD18" s="400"/>
      <c r="DVE18" s="400"/>
      <c r="DVF18" s="400"/>
      <c r="DVG18" s="400"/>
      <c r="DVH18" s="400"/>
      <c r="DVI18" s="400"/>
      <c r="DVJ18" s="400"/>
      <c r="DVK18" s="400"/>
      <c r="DVL18" s="400"/>
      <c r="DVM18" s="400"/>
      <c r="DVN18" s="400"/>
      <c r="DVO18" s="400"/>
      <c r="DVP18" s="400"/>
      <c r="DVQ18" s="400"/>
      <c r="DVR18" s="400"/>
      <c r="DVS18" s="400"/>
      <c r="DVT18" s="400"/>
      <c r="DVU18" s="400"/>
      <c r="DVV18" s="400"/>
      <c r="DVW18" s="400"/>
      <c r="DVX18" s="400"/>
      <c r="DVY18" s="400"/>
      <c r="DVZ18" s="400"/>
      <c r="DWA18" s="400"/>
      <c r="DWB18" s="400"/>
      <c r="DWC18" s="400"/>
      <c r="DWD18" s="400"/>
      <c r="DWE18" s="400"/>
      <c r="DWF18" s="400"/>
      <c r="DWG18" s="400"/>
      <c r="DWH18" s="400"/>
      <c r="DWI18" s="400"/>
      <c r="DWJ18" s="400"/>
      <c r="DWK18" s="400"/>
      <c r="DWL18" s="400"/>
      <c r="DWM18" s="400"/>
      <c r="DWN18" s="400"/>
      <c r="DWO18" s="400"/>
      <c r="DWP18" s="400"/>
      <c r="DWQ18" s="400"/>
      <c r="DWR18" s="400"/>
      <c r="DWS18" s="400"/>
      <c r="DWT18" s="400"/>
      <c r="DWU18" s="400"/>
      <c r="DWV18" s="400"/>
      <c r="DWW18" s="400"/>
      <c r="DWX18" s="400"/>
      <c r="DWY18" s="400"/>
      <c r="DWZ18" s="400"/>
      <c r="DXA18" s="400"/>
      <c r="DXB18" s="400"/>
      <c r="DXC18" s="400"/>
      <c r="DXD18" s="400"/>
      <c r="DXE18" s="400"/>
      <c r="DXF18" s="400"/>
      <c r="DXG18" s="400"/>
      <c r="DXH18" s="400"/>
      <c r="DXI18" s="400"/>
      <c r="DXJ18" s="400"/>
      <c r="DXK18" s="400"/>
      <c r="DXL18" s="400"/>
      <c r="DXM18" s="400"/>
      <c r="DXN18" s="400"/>
      <c r="DXO18" s="400"/>
      <c r="DXP18" s="400"/>
      <c r="DXQ18" s="400"/>
      <c r="DXR18" s="400"/>
      <c r="DXS18" s="400"/>
      <c r="DXT18" s="400"/>
      <c r="DXU18" s="400"/>
      <c r="DXV18" s="400"/>
      <c r="DXW18" s="400"/>
      <c r="DXX18" s="400"/>
      <c r="DXY18" s="400"/>
      <c r="DXZ18" s="400"/>
      <c r="DYA18" s="400"/>
      <c r="DYB18" s="400"/>
      <c r="DYC18" s="400"/>
      <c r="DYD18" s="400"/>
      <c r="DYE18" s="400"/>
      <c r="DYF18" s="400"/>
      <c r="DYG18" s="400"/>
      <c r="DYH18" s="400"/>
      <c r="DYI18" s="400"/>
      <c r="DYJ18" s="400"/>
      <c r="DYK18" s="400"/>
      <c r="DYL18" s="400"/>
      <c r="DYM18" s="400"/>
      <c r="DYN18" s="400"/>
      <c r="DYO18" s="400"/>
      <c r="DYP18" s="400"/>
      <c r="DYQ18" s="400"/>
      <c r="DYR18" s="400"/>
      <c r="DYS18" s="400"/>
      <c r="DYT18" s="400"/>
      <c r="DYU18" s="400"/>
      <c r="DYV18" s="400"/>
      <c r="DYW18" s="400"/>
      <c r="DYX18" s="400"/>
      <c r="DYY18" s="400"/>
      <c r="DYZ18" s="400"/>
      <c r="DZA18" s="400"/>
      <c r="DZB18" s="400"/>
      <c r="DZC18" s="400"/>
      <c r="DZD18" s="400"/>
      <c r="DZE18" s="400"/>
      <c r="DZF18" s="400"/>
      <c r="DZG18" s="400"/>
      <c r="DZH18" s="400"/>
      <c r="DZI18" s="400"/>
      <c r="DZJ18" s="400"/>
      <c r="DZK18" s="400"/>
      <c r="DZL18" s="400"/>
      <c r="DZM18" s="400"/>
      <c r="DZN18" s="400"/>
      <c r="DZO18" s="400"/>
      <c r="DZP18" s="400"/>
      <c r="DZQ18" s="400"/>
      <c r="DZR18" s="400"/>
      <c r="DZS18" s="400"/>
      <c r="DZT18" s="400"/>
      <c r="DZU18" s="400"/>
      <c r="DZV18" s="400"/>
      <c r="DZW18" s="400"/>
      <c r="DZX18" s="400"/>
      <c r="DZY18" s="400"/>
      <c r="DZZ18" s="400"/>
      <c r="EAA18" s="400"/>
      <c r="EAB18" s="400"/>
      <c r="EAC18" s="400"/>
      <c r="EAD18" s="400"/>
      <c r="EAE18" s="400"/>
      <c r="EAF18" s="400"/>
      <c r="EAG18" s="400"/>
      <c r="EAH18" s="400"/>
      <c r="EAI18" s="400"/>
      <c r="EAJ18" s="400"/>
      <c r="EAK18" s="400"/>
      <c r="EAL18" s="400"/>
      <c r="EAM18" s="400"/>
      <c r="EAN18" s="400"/>
      <c r="EAO18" s="400"/>
      <c r="EAP18" s="400"/>
      <c r="EAQ18" s="400"/>
      <c r="EAR18" s="400"/>
      <c r="EAS18" s="400"/>
      <c r="EAT18" s="400"/>
      <c r="EAU18" s="400"/>
      <c r="EAV18" s="400"/>
      <c r="EAW18" s="400"/>
      <c r="EAX18" s="400"/>
      <c r="EAY18" s="400"/>
      <c r="EAZ18" s="400"/>
      <c r="EBA18" s="400"/>
      <c r="EBB18" s="400"/>
      <c r="EBC18" s="400"/>
      <c r="EBD18" s="400"/>
      <c r="EBE18" s="400"/>
      <c r="EBF18" s="400"/>
      <c r="EBG18" s="400"/>
      <c r="EBH18" s="400"/>
      <c r="EBI18" s="400"/>
      <c r="EBJ18" s="400"/>
      <c r="EBK18" s="400"/>
      <c r="EBL18" s="400"/>
      <c r="EBM18" s="400"/>
      <c r="EBN18" s="400"/>
      <c r="EBO18" s="400"/>
      <c r="EBP18" s="400"/>
      <c r="EBQ18" s="400"/>
      <c r="EBR18" s="400"/>
      <c r="EBS18" s="400"/>
      <c r="EBT18" s="400"/>
      <c r="EBU18" s="400"/>
      <c r="EBV18" s="400"/>
      <c r="EBW18" s="400"/>
      <c r="EBX18" s="400"/>
      <c r="EBY18" s="400"/>
      <c r="EBZ18" s="400"/>
      <c r="ECA18" s="400"/>
      <c r="ECB18" s="400"/>
      <c r="ECC18" s="400"/>
      <c r="ECD18" s="400"/>
      <c r="ECE18" s="400"/>
      <c r="ECF18" s="400"/>
      <c r="ECG18" s="400"/>
      <c r="ECH18" s="400"/>
      <c r="ECI18" s="400"/>
      <c r="ECJ18" s="400"/>
      <c r="ECK18" s="400"/>
      <c r="ECL18" s="400"/>
      <c r="ECM18" s="400"/>
      <c r="ECN18" s="400"/>
      <c r="ECO18" s="400"/>
      <c r="ECP18" s="400"/>
      <c r="ECQ18" s="400"/>
      <c r="ECR18" s="400"/>
      <c r="ECS18" s="400"/>
      <c r="ECT18" s="400"/>
      <c r="ECU18" s="400"/>
      <c r="ECV18" s="400"/>
      <c r="ECW18" s="400"/>
      <c r="ECX18" s="400"/>
      <c r="ECY18" s="400"/>
      <c r="ECZ18" s="400"/>
      <c r="EDA18" s="400"/>
      <c r="EDB18" s="400"/>
      <c r="EDC18" s="400"/>
      <c r="EDD18" s="400"/>
      <c r="EDE18" s="400"/>
      <c r="EDF18" s="400"/>
      <c r="EDG18" s="400"/>
      <c r="EDH18" s="400"/>
      <c r="EDI18" s="400"/>
      <c r="EDJ18" s="400"/>
      <c r="EDK18" s="400"/>
      <c r="EDL18" s="400"/>
      <c r="EDM18" s="400"/>
      <c r="EDN18" s="400"/>
      <c r="EDO18" s="400"/>
      <c r="EDP18" s="400"/>
      <c r="EDQ18" s="400"/>
      <c r="EDR18" s="400"/>
      <c r="EDS18" s="400"/>
      <c r="EDT18" s="400"/>
      <c r="EDU18" s="400"/>
      <c r="EDV18" s="400"/>
      <c r="EDW18" s="400"/>
      <c r="EDX18" s="400"/>
      <c r="EDY18" s="400"/>
      <c r="EDZ18" s="400"/>
      <c r="EEA18" s="400"/>
      <c r="EEB18" s="400"/>
      <c r="EEC18" s="400"/>
      <c r="EED18" s="400"/>
      <c r="EEE18" s="400"/>
      <c r="EEF18" s="400"/>
      <c r="EEG18" s="400"/>
      <c r="EEH18" s="400"/>
      <c r="EEI18" s="400"/>
      <c r="EEJ18" s="400"/>
      <c r="EEK18" s="400"/>
      <c r="EEL18" s="400"/>
      <c r="EEM18" s="400"/>
      <c r="EEN18" s="400"/>
      <c r="EEO18" s="400"/>
      <c r="EEP18" s="400"/>
      <c r="EEQ18" s="400"/>
      <c r="EER18" s="400"/>
      <c r="EES18" s="400"/>
      <c r="EET18" s="400"/>
      <c r="EEU18" s="400"/>
      <c r="EEV18" s="400"/>
      <c r="EEW18" s="400"/>
      <c r="EEX18" s="400"/>
      <c r="EEY18" s="400"/>
      <c r="EEZ18" s="400"/>
      <c r="EFA18" s="400"/>
      <c r="EFB18" s="400"/>
      <c r="EFC18" s="400"/>
      <c r="EFD18" s="400"/>
      <c r="EFE18" s="400"/>
      <c r="EFF18" s="400"/>
      <c r="EFG18" s="400"/>
      <c r="EFH18" s="400"/>
      <c r="EFI18" s="400"/>
      <c r="EFJ18" s="400"/>
      <c r="EFK18" s="400"/>
      <c r="EFL18" s="400"/>
      <c r="EFM18" s="400"/>
      <c r="EFN18" s="400"/>
      <c r="EFO18" s="400"/>
      <c r="EFP18" s="400"/>
      <c r="EFQ18" s="400"/>
      <c r="EFR18" s="400"/>
      <c r="EFS18" s="400"/>
      <c r="EFT18" s="400"/>
      <c r="EFU18" s="400"/>
      <c r="EFV18" s="400"/>
      <c r="EFW18" s="400"/>
      <c r="EFX18" s="400"/>
      <c r="EFY18" s="400"/>
      <c r="EFZ18" s="400"/>
      <c r="EGA18" s="400"/>
      <c r="EGB18" s="400"/>
      <c r="EGC18" s="400"/>
      <c r="EGD18" s="400"/>
      <c r="EGE18" s="400"/>
      <c r="EGF18" s="400"/>
      <c r="EGG18" s="400"/>
      <c r="EGH18" s="400"/>
      <c r="EGI18" s="400"/>
      <c r="EGJ18" s="400"/>
      <c r="EGK18" s="400"/>
      <c r="EGL18" s="400"/>
      <c r="EGM18" s="400"/>
      <c r="EGN18" s="400"/>
      <c r="EGO18" s="400"/>
      <c r="EGP18" s="400"/>
      <c r="EGQ18" s="400"/>
      <c r="EGR18" s="400"/>
      <c r="EGS18" s="400"/>
      <c r="EGT18" s="400"/>
      <c r="EGU18" s="400"/>
      <c r="EGV18" s="400"/>
      <c r="EGW18" s="400"/>
      <c r="EGX18" s="400"/>
      <c r="EGY18" s="400"/>
      <c r="EGZ18" s="400"/>
      <c r="EHA18" s="400"/>
      <c r="EHB18" s="400"/>
      <c r="EHC18" s="400"/>
      <c r="EHD18" s="400"/>
      <c r="EHE18" s="400"/>
      <c r="EHF18" s="400"/>
      <c r="EHG18" s="400"/>
      <c r="EHH18" s="400"/>
      <c r="EHI18" s="400"/>
      <c r="EHJ18" s="400"/>
      <c r="EHK18" s="400"/>
      <c r="EHL18" s="400"/>
      <c r="EHM18" s="400"/>
      <c r="EHN18" s="400"/>
      <c r="EHO18" s="400"/>
      <c r="EHP18" s="400"/>
      <c r="EHQ18" s="400"/>
      <c r="EHR18" s="400"/>
      <c r="EHS18" s="400"/>
      <c r="EHT18" s="400"/>
      <c r="EHU18" s="400"/>
      <c r="EHV18" s="400"/>
      <c r="EHW18" s="400"/>
      <c r="EHX18" s="400"/>
      <c r="EHY18" s="400"/>
      <c r="EHZ18" s="400"/>
      <c r="EIA18" s="400"/>
      <c r="EIB18" s="400"/>
      <c r="EIC18" s="400"/>
      <c r="EID18" s="400"/>
      <c r="EIE18" s="400"/>
      <c r="EIF18" s="400"/>
      <c r="EIG18" s="400"/>
      <c r="EIH18" s="400"/>
      <c r="EII18" s="400"/>
      <c r="EIJ18" s="400"/>
      <c r="EIK18" s="400"/>
      <c r="EIL18" s="400"/>
      <c r="EIM18" s="400"/>
      <c r="EIN18" s="400"/>
      <c r="EIO18" s="400"/>
      <c r="EIP18" s="400"/>
      <c r="EIQ18" s="400"/>
      <c r="EIR18" s="400"/>
      <c r="EIS18" s="400"/>
      <c r="EIT18" s="400"/>
      <c r="EIU18" s="400"/>
      <c r="EIV18" s="400"/>
      <c r="EIW18" s="400"/>
      <c r="EIX18" s="400"/>
      <c r="EIY18" s="400"/>
      <c r="EIZ18" s="400"/>
      <c r="EJA18" s="400"/>
      <c r="EJB18" s="400"/>
      <c r="EJC18" s="400"/>
      <c r="EJD18" s="400"/>
      <c r="EJE18" s="400"/>
      <c r="EJF18" s="400"/>
      <c r="EJG18" s="400"/>
      <c r="EJH18" s="400"/>
      <c r="EJI18" s="400"/>
      <c r="EJJ18" s="400"/>
      <c r="EJK18" s="400"/>
      <c r="EJL18" s="400"/>
      <c r="EJM18" s="400"/>
      <c r="EJN18" s="400"/>
      <c r="EJO18" s="400"/>
      <c r="EJP18" s="400"/>
      <c r="EJQ18" s="400"/>
      <c r="EJR18" s="400"/>
      <c r="EJS18" s="400"/>
      <c r="EJT18" s="400"/>
      <c r="EJU18" s="400"/>
      <c r="EJV18" s="400"/>
      <c r="EJW18" s="400"/>
      <c r="EJX18" s="400"/>
      <c r="EJY18" s="400"/>
      <c r="EJZ18" s="400"/>
      <c r="EKA18" s="400"/>
      <c r="EKB18" s="400"/>
      <c r="EKC18" s="400"/>
      <c r="EKD18" s="400"/>
      <c r="EKE18" s="400"/>
      <c r="EKF18" s="400"/>
      <c r="EKG18" s="400"/>
      <c r="EKH18" s="400"/>
      <c r="EKI18" s="400"/>
      <c r="EKJ18" s="400"/>
      <c r="EKK18" s="400"/>
      <c r="EKL18" s="400"/>
      <c r="EKM18" s="400"/>
      <c r="EKN18" s="400"/>
      <c r="EKO18" s="400"/>
      <c r="EKP18" s="400"/>
      <c r="EKQ18" s="400"/>
      <c r="EKR18" s="400"/>
      <c r="EKS18" s="400"/>
      <c r="EKT18" s="400"/>
      <c r="EKU18" s="400"/>
      <c r="EKV18" s="400"/>
      <c r="EKW18" s="400"/>
      <c r="EKX18" s="400"/>
      <c r="EKY18" s="400"/>
      <c r="EKZ18" s="400"/>
      <c r="ELA18" s="400"/>
      <c r="ELB18" s="400"/>
      <c r="ELC18" s="400"/>
      <c r="ELD18" s="400"/>
      <c r="ELE18" s="400"/>
      <c r="ELF18" s="400"/>
      <c r="ELG18" s="400"/>
      <c r="ELH18" s="400"/>
      <c r="ELI18" s="400"/>
      <c r="ELJ18" s="400"/>
      <c r="ELK18" s="400"/>
      <c r="ELL18" s="400"/>
      <c r="ELM18" s="400"/>
      <c r="ELN18" s="400"/>
      <c r="ELO18" s="400"/>
      <c r="ELP18" s="400"/>
      <c r="ELQ18" s="400"/>
      <c r="ELR18" s="400"/>
      <c r="ELS18" s="400"/>
      <c r="ELT18" s="400"/>
      <c r="ELU18" s="400"/>
      <c r="ELV18" s="400"/>
      <c r="ELW18" s="400"/>
      <c r="ELX18" s="400"/>
      <c r="ELY18" s="400"/>
      <c r="ELZ18" s="400"/>
      <c r="EMA18" s="400"/>
      <c r="EMB18" s="400"/>
      <c r="EMC18" s="400"/>
      <c r="EMD18" s="400"/>
      <c r="EME18" s="400"/>
      <c r="EMF18" s="400"/>
      <c r="EMG18" s="400"/>
      <c r="EMH18" s="400"/>
      <c r="EMI18" s="400"/>
      <c r="EMJ18" s="400"/>
      <c r="EMK18" s="400"/>
      <c r="EML18" s="400"/>
      <c r="EMM18" s="400"/>
      <c r="EMN18" s="400"/>
      <c r="EMO18" s="400"/>
      <c r="EMP18" s="400"/>
      <c r="EMQ18" s="400"/>
      <c r="EMR18" s="400"/>
      <c r="EMS18" s="400"/>
      <c r="EMT18" s="400"/>
      <c r="EMU18" s="400"/>
      <c r="EMV18" s="400"/>
      <c r="EMW18" s="400"/>
      <c r="EMX18" s="400"/>
      <c r="EMY18" s="400"/>
      <c r="EMZ18" s="400"/>
      <c r="ENA18" s="400"/>
      <c r="ENB18" s="400"/>
      <c r="ENC18" s="400"/>
      <c r="END18" s="400"/>
      <c r="ENE18" s="400"/>
      <c r="ENF18" s="400"/>
      <c r="ENG18" s="400"/>
      <c r="ENH18" s="400"/>
      <c r="ENI18" s="400"/>
      <c r="ENJ18" s="400"/>
      <c r="ENK18" s="400"/>
      <c r="ENL18" s="400"/>
      <c r="ENM18" s="400"/>
      <c r="ENN18" s="400"/>
      <c r="ENO18" s="400"/>
      <c r="ENP18" s="400"/>
      <c r="ENQ18" s="400"/>
      <c r="ENR18" s="400"/>
      <c r="ENS18" s="400"/>
      <c r="ENT18" s="400"/>
      <c r="ENU18" s="400"/>
      <c r="ENV18" s="400"/>
      <c r="ENW18" s="400"/>
      <c r="ENX18" s="400"/>
      <c r="ENY18" s="400"/>
      <c r="ENZ18" s="400"/>
      <c r="EOA18" s="400"/>
      <c r="EOB18" s="400"/>
      <c r="EOC18" s="400"/>
      <c r="EOD18" s="400"/>
      <c r="EOE18" s="400"/>
      <c r="EOF18" s="400"/>
      <c r="EOG18" s="400"/>
      <c r="EOH18" s="400"/>
      <c r="EOI18" s="400"/>
      <c r="EOJ18" s="400"/>
      <c r="EOK18" s="400"/>
      <c r="EOL18" s="400"/>
      <c r="EOM18" s="400"/>
      <c r="EON18" s="400"/>
      <c r="EOO18" s="400"/>
      <c r="EOP18" s="400"/>
      <c r="EOQ18" s="400"/>
      <c r="EOR18" s="400"/>
      <c r="EOS18" s="400"/>
      <c r="EOT18" s="400"/>
      <c r="EOU18" s="400"/>
      <c r="EOV18" s="400"/>
      <c r="EOW18" s="400"/>
      <c r="EOX18" s="400"/>
      <c r="EOY18" s="400"/>
      <c r="EOZ18" s="400"/>
      <c r="EPA18" s="400"/>
      <c r="EPB18" s="400"/>
      <c r="EPC18" s="400"/>
      <c r="EPD18" s="400"/>
      <c r="EPE18" s="400"/>
      <c r="EPF18" s="400"/>
      <c r="EPG18" s="400"/>
      <c r="EPH18" s="400"/>
      <c r="EPI18" s="400"/>
      <c r="EPJ18" s="400"/>
      <c r="EPK18" s="400"/>
      <c r="EPL18" s="400"/>
      <c r="EPM18" s="400"/>
      <c r="EPN18" s="400"/>
      <c r="EPO18" s="400"/>
      <c r="EPP18" s="400"/>
      <c r="EPQ18" s="400"/>
      <c r="EPR18" s="400"/>
      <c r="EPS18" s="400"/>
      <c r="EPT18" s="400"/>
      <c r="EPU18" s="400"/>
      <c r="EPV18" s="400"/>
      <c r="EPW18" s="400"/>
      <c r="EPX18" s="400"/>
      <c r="EPY18" s="400"/>
      <c r="EPZ18" s="400"/>
      <c r="EQA18" s="400"/>
      <c r="EQB18" s="400"/>
      <c r="EQC18" s="400"/>
      <c r="EQD18" s="400"/>
      <c r="EQE18" s="400"/>
      <c r="EQF18" s="400"/>
      <c r="EQG18" s="400"/>
      <c r="EQH18" s="400"/>
      <c r="EQI18" s="400"/>
      <c r="EQJ18" s="400"/>
      <c r="EQK18" s="400"/>
      <c r="EQL18" s="400"/>
      <c r="EQM18" s="400"/>
      <c r="EQN18" s="400"/>
      <c r="EQO18" s="400"/>
      <c r="EQP18" s="400"/>
      <c r="EQQ18" s="400"/>
      <c r="EQR18" s="400"/>
      <c r="EQS18" s="400"/>
      <c r="EQT18" s="400"/>
      <c r="EQU18" s="400"/>
      <c r="EQV18" s="400"/>
      <c r="EQW18" s="400"/>
      <c r="EQX18" s="400"/>
      <c r="EQY18" s="400"/>
      <c r="EQZ18" s="400"/>
      <c r="ERA18" s="400"/>
      <c r="ERB18" s="400"/>
      <c r="ERC18" s="400"/>
      <c r="ERD18" s="400"/>
      <c r="ERE18" s="400"/>
      <c r="ERF18" s="400"/>
      <c r="ERG18" s="400"/>
      <c r="ERH18" s="400"/>
      <c r="ERI18" s="400"/>
      <c r="ERJ18" s="400"/>
      <c r="ERK18" s="400"/>
      <c r="ERL18" s="400"/>
      <c r="ERM18" s="400"/>
      <c r="ERN18" s="400"/>
      <c r="ERO18" s="400"/>
      <c r="ERP18" s="400"/>
      <c r="ERQ18" s="400"/>
      <c r="ERR18" s="400"/>
      <c r="ERS18" s="400"/>
      <c r="ERT18" s="400"/>
      <c r="ERU18" s="400"/>
      <c r="ERV18" s="400"/>
      <c r="ERW18" s="400"/>
      <c r="ERX18" s="400"/>
      <c r="ERY18" s="400"/>
      <c r="ERZ18" s="400"/>
      <c r="ESA18" s="400"/>
      <c r="ESB18" s="400"/>
      <c r="ESC18" s="400"/>
      <c r="ESD18" s="400"/>
      <c r="ESE18" s="400"/>
      <c r="ESF18" s="400"/>
      <c r="ESG18" s="400"/>
      <c r="ESH18" s="400"/>
      <c r="ESI18" s="400"/>
      <c r="ESJ18" s="400"/>
      <c r="ESK18" s="400"/>
      <c r="ESL18" s="400"/>
      <c r="ESM18" s="400"/>
      <c r="ESN18" s="400"/>
      <c r="ESO18" s="400"/>
      <c r="ESP18" s="400"/>
      <c r="ESQ18" s="400"/>
      <c r="ESR18" s="400"/>
      <c r="ESS18" s="400"/>
      <c r="EST18" s="400"/>
      <c r="ESU18" s="400"/>
      <c r="ESV18" s="400"/>
      <c r="ESW18" s="400"/>
      <c r="ESX18" s="400"/>
      <c r="ESY18" s="400"/>
      <c r="ESZ18" s="400"/>
      <c r="ETA18" s="400"/>
      <c r="ETB18" s="400"/>
      <c r="ETC18" s="400"/>
      <c r="ETD18" s="400"/>
      <c r="ETE18" s="400"/>
      <c r="ETF18" s="400"/>
      <c r="ETG18" s="400"/>
      <c r="ETH18" s="400"/>
      <c r="ETI18" s="400"/>
      <c r="ETJ18" s="400"/>
      <c r="ETK18" s="400"/>
      <c r="ETL18" s="400"/>
      <c r="ETM18" s="400"/>
      <c r="ETN18" s="400"/>
      <c r="ETO18" s="400"/>
      <c r="ETP18" s="400"/>
      <c r="ETQ18" s="400"/>
      <c r="ETR18" s="400"/>
      <c r="ETS18" s="400"/>
      <c r="ETT18" s="400"/>
      <c r="ETU18" s="400"/>
      <c r="ETV18" s="400"/>
      <c r="ETW18" s="400"/>
      <c r="ETX18" s="400"/>
      <c r="ETY18" s="400"/>
      <c r="ETZ18" s="400"/>
      <c r="EUA18" s="400"/>
      <c r="EUB18" s="400"/>
      <c r="EUC18" s="400"/>
      <c r="EUD18" s="400"/>
      <c r="EUE18" s="400"/>
      <c r="EUF18" s="400"/>
      <c r="EUG18" s="400"/>
      <c r="EUH18" s="400"/>
      <c r="EUI18" s="400"/>
      <c r="EUJ18" s="400"/>
      <c r="EUK18" s="400"/>
      <c r="EUL18" s="400"/>
      <c r="EUM18" s="400"/>
      <c r="EUN18" s="400"/>
      <c r="EUO18" s="400"/>
      <c r="EUP18" s="400"/>
      <c r="EUQ18" s="400"/>
      <c r="EUR18" s="400"/>
      <c r="EUS18" s="400"/>
      <c r="EUT18" s="400"/>
      <c r="EUU18" s="400"/>
      <c r="EUV18" s="400"/>
      <c r="EUW18" s="400"/>
      <c r="EUX18" s="400"/>
      <c r="EUY18" s="400"/>
      <c r="EUZ18" s="400"/>
      <c r="EVA18" s="400"/>
      <c r="EVB18" s="400"/>
      <c r="EVC18" s="400"/>
      <c r="EVD18" s="400"/>
      <c r="EVE18" s="400"/>
      <c r="EVF18" s="400"/>
      <c r="EVG18" s="400"/>
      <c r="EVH18" s="400"/>
      <c r="EVI18" s="400"/>
      <c r="EVJ18" s="400"/>
      <c r="EVK18" s="400"/>
      <c r="EVL18" s="400"/>
      <c r="EVM18" s="400"/>
      <c r="EVN18" s="400"/>
      <c r="EVO18" s="400"/>
      <c r="EVP18" s="400"/>
      <c r="EVQ18" s="400"/>
      <c r="EVR18" s="400"/>
      <c r="EVS18" s="400"/>
      <c r="EVT18" s="400"/>
      <c r="EVU18" s="400"/>
      <c r="EVV18" s="400"/>
      <c r="EVW18" s="400"/>
      <c r="EVX18" s="400"/>
      <c r="EVY18" s="400"/>
      <c r="EVZ18" s="400"/>
      <c r="EWA18" s="400"/>
      <c r="EWB18" s="400"/>
      <c r="EWC18" s="400"/>
      <c r="EWD18" s="400"/>
      <c r="EWE18" s="400"/>
      <c r="EWF18" s="400"/>
      <c r="EWG18" s="400"/>
      <c r="EWH18" s="400"/>
      <c r="EWI18" s="400"/>
      <c r="EWJ18" s="400"/>
      <c r="EWK18" s="400"/>
      <c r="EWL18" s="400"/>
      <c r="EWM18" s="400"/>
      <c r="EWN18" s="400"/>
      <c r="EWO18" s="400"/>
      <c r="EWP18" s="400"/>
      <c r="EWQ18" s="400"/>
      <c r="EWR18" s="400"/>
      <c r="EWS18" s="400"/>
      <c r="EWT18" s="400"/>
      <c r="EWU18" s="400"/>
      <c r="EWV18" s="400"/>
      <c r="EWW18" s="400"/>
      <c r="EWX18" s="400"/>
      <c r="EWY18" s="400"/>
      <c r="EWZ18" s="400"/>
      <c r="EXA18" s="400"/>
      <c r="EXB18" s="400"/>
      <c r="EXC18" s="400"/>
      <c r="EXD18" s="400"/>
      <c r="EXE18" s="400"/>
      <c r="EXF18" s="400"/>
      <c r="EXG18" s="400"/>
      <c r="EXH18" s="400"/>
      <c r="EXI18" s="400"/>
      <c r="EXJ18" s="400"/>
      <c r="EXK18" s="400"/>
      <c r="EXL18" s="400"/>
      <c r="EXM18" s="400"/>
      <c r="EXN18" s="400"/>
      <c r="EXO18" s="400"/>
      <c r="EXP18" s="400"/>
      <c r="EXQ18" s="400"/>
      <c r="EXR18" s="400"/>
      <c r="EXS18" s="400"/>
      <c r="EXT18" s="400"/>
      <c r="EXU18" s="400"/>
      <c r="EXV18" s="400"/>
      <c r="EXW18" s="400"/>
      <c r="EXX18" s="400"/>
      <c r="EXY18" s="400"/>
      <c r="EXZ18" s="400"/>
      <c r="EYA18" s="400"/>
      <c r="EYB18" s="400"/>
      <c r="EYC18" s="400"/>
      <c r="EYD18" s="400"/>
      <c r="EYE18" s="400"/>
      <c r="EYF18" s="400"/>
      <c r="EYG18" s="400"/>
      <c r="EYH18" s="400"/>
      <c r="EYI18" s="400"/>
      <c r="EYJ18" s="400"/>
      <c r="EYK18" s="400"/>
      <c r="EYL18" s="400"/>
      <c r="EYM18" s="400"/>
      <c r="EYN18" s="400"/>
      <c r="EYO18" s="400"/>
      <c r="EYP18" s="400"/>
      <c r="EYQ18" s="400"/>
      <c r="EYR18" s="400"/>
      <c r="EYS18" s="400"/>
      <c r="EYT18" s="400"/>
      <c r="EYU18" s="400"/>
      <c r="EYV18" s="400"/>
      <c r="EYW18" s="400"/>
      <c r="EYX18" s="400"/>
      <c r="EYY18" s="400"/>
      <c r="EYZ18" s="400"/>
      <c r="EZA18" s="400"/>
      <c r="EZB18" s="400"/>
      <c r="EZC18" s="400"/>
      <c r="EZD18" s="400"/>
      <c r="EZE18" s="400"/>
      <c r="EZF18" s="400"/>
      <c r="EZG18" s="400"/>
      <c r="EZH18" s="400"/>
      <c r="EZI18" s="400"/>
      <c r="EZJ18" s="400"/>
      <c r="EZK18" s="400"/>
      <c r="EZL18" s="400"/>
      <c r="EZM18" s="400"/>
      <c r="EZN18" s="400"/>
      <c r="EZO18" s="400"/>
      <c r="EZP18" s="400"/>
      <c r="EZQ18" s="400"/>
      <c r="EZR18" s="400"/>
      <c r="EZS18" s="400"/>
      <c r="EZT18" s="400"/>
      <c r="EZU18" s="400"/>
      <c r="EZV18" s="400"/>
      <c r="EZW18" s="400"/>
      <c r="EZX18" s="400"/>
      <c r="EZY18" s="400"/>
      <c r="EZZ18" s="400"/>
      <c r="FAA18" s="400"/>
      <c r="FAB18" s="400"/>
      <c r="FAC18" s="400"/>
      <c r="FAD18" s="400"/>
      <c r="FAE18" s="400"/>
      <c r="FAF18" s="400"/>
      <c r="FAG18" s="400"/>
      <c r="FAH18" s="400"/>
      <c r="FAI18" s="400"/>
      <c r="FAJ18" s="400"/>
      <c r="FAK18" s="400"/>
      <c r="FAL18" s="400"/>
      <c r="FAM18" s="400"/>
      <c r="FAN18" s="400"/>
      <c r="FAO18" s="400"/>
      <c r="FAP18" s="400"/>
      <c r="FAQ18" s="400"/>
      <c r="FAR18" s="400"/>
      <c r="FAS18" s="400"/>
      <c r="FAT18" s="400"/>
      <c r="FAU18" s="400"/>
      <c r="FAV18" s="400"/>
      <c r="FAW18" s="400"/>
      <c r="FAX18" s="400"/>
      <c r="FAY18" s="400"/>
      <c r="FAZ18" s="400"/>
      <c r="FBA18" s="400"/>
      <c r="FBB18" s="400"/>
      <c r="FBC18" s="400"/>
      <c r="FBD18" s="400"/>
      <c r="FBE18" s="400"/>
      <c r="FBF18" s="400"/>
      <c r="FBG18" s="400"/>
      <c r="FBH18" s="400"/>
      <c r="FBI18" s="400"/>
      <c r="FBJ18" s="400"/>
      <c r="FBK18" s="400"/>
      <c r="FBL18" s="400"/>
      <c r="FBM18" s="400"/>
      <c r="FBN18" s="400"/>
      <c r="FBO18" s="400"/>
      <c r="FBP18" s="400"/>
      <c r="FBQ18" s="400"/>
      <c r="FBR18" s="400"/>
      <c r="FBS18" s="400"/>
      <c r="FBT18" s="400"/>
      <c r="FBU18" s="400"/>
      <c r="FBV18" s="400"/>
      <c r="FBW18" s="400"/>
      <c r="FBX18" s="400"/>
      <c r="FBY18" s="400"/>
      <c r="FBZ18" s="400"/>
      <c r="FCA18" s="400"/>
      <c r="FCB18" s="400"/>
      <c r="FCC18" s="400"/>
      <c r="FCD18" s="400"/>
      <c r="FCE18" s="400"/>
      <c r="FCF18" s="400"/>
      <c r="FCG18" s="400"/>
      <c r="FCH18" s="400"/>
      <c r="FCI18" s="400"/>
      <c r="FCJ18" s="400"/>
      <c r="FCK18" s="400"/>
      <c r="FCL18" s="400"/>
      <c r="FCM18" s="400"/>
      <c r="FCN18" s="400"/>
      <c r="FCO18" s="400"/>
      <c r="FCP18" s="400"/>
      <c r="FCQ18" s="400"/>
      <c r="FCR18" s="400"/>
      <c r="FCS18" s="400"/>
      <c r="FCT18" s="400"/>
      <c r="FCU18" s="400"/>
      <c r="FCV18" s="400"/>
      <c r="FCW18" s="400"/>
      <c r="FCX18" s="400"/>
      <c r="FCY18" s="400"/>
      <c r="FCZ18" s="400"/>
      <c r="FDA18" s="400"/>
      <c r="FDB18" s="400"/>
      <c r="FDC18" s="400"/>
      <c r="FDD18" s="400"/>
      <c r="FDE18" s="400"/>
      <c r="FDF18" s="400"/>
      <c r="FDG18" s="400"/>
      <c r="FDH18" s="400"/>
      <c r="FDI18" s="400"/>
      <c r="FDJ18" s="400"/>
      <c r="FDK18" s="400"/>
      <c r="FDL18" s="400"/>
      <c r="FDM18" s="400"/>
      <c r="FDN18" s="400"/>
      <c r="FDO18" s="400"/>
      <c r="FDP18" s="400"/>
      <c r="FDQ18" s="400"/>
      <c r="FDR18" s="400"/>
      <c r="FDS18" s="400"/>
      <c r="FDT18" s="400"/>
      <c r="FDU18" s="400"/>
      <c r="FDV18" s="400"/>
      <c r="FDW18" s="400"/>
      <c r="FDX18" s="400"/>
      <c r="FDY18" s="400"/>
      <c r="FDZ18" s="400"/>
      <c r="FEA18" s="400"/>
      <c r="FEB18" s="400"/>
      <c r="FEC18" s="400"/>
      <c r="FED18" s="400"/>
      <c r="FEE18" s="400"/>
      <c r="FEF18" s="400"/>
      <c r="FEG18" s="400"/>
      <c r="FEH18" s="400"/>
      <c r="FEI18" s="400"/>
      <c r="FEJ18" s="400"/>
      <c r="FEK18" s="400"/>
      <c r="FEL18" s="400"/>
      <c r="FEM18" s="400"/>
      <c r="FEN18" s="400"/>
      <c r="FEO18" s="400"/>
      <c r="FEP18" s="400"/>
      <c r="FEQ18" s="400"/>
      <c r="FER18" s="400"/>
      <c r="FES18" s="400"/>
      <c r="FET18" s="400"/>
      <c r="FEU18" s="400"/>
      <c r="FEV18" s="400"/>
      <c r="FEW18" s="400"/>
      <c r="FEX18" s="400"/>
      <c r="FEY18" s="400"/>
      <c r="FEZ18" s="400"/>
      <c r="FFA18" s="400"/>
      <c r="FFB18" s="400"/>
      <c r="FFC18" s="400"/>
      <c r="FFD18" s="400"/>
      <c r="FFE18" s="400"/>
      <c r="FFF18" s="400"/>
      <c r="FFG18" s="400"/>
      <c r="FFH18" s="400"/>
      <c r="FFI18" s="400"/>
      <c r="FFJ18" s="400"/>
      <c r="FFK18" s="400"/>
      <c r="FFL18" s="400"/>
      <c r="FFM18" s="400"/>
      <c r="FFN18" s="400"/>
      <c r="FFO18" s="400"/>
      <c r="FFP18" s="400"/>
      <c r="FFQ18" s="400"/>
      <c r="FFR18" s="400"/>
      <c r="FFS18" s="400"/>
      <c r="FFT18" s="400"/>
      <c r="FFU18" s="400"/>
      <c r="FFV18" s="400"/>
      <c r="FFW18" s="400"/>
      <c r="FFX18" s="400"/>
      <c r="FFY18" s="400"/>
      <c r="FFZ18" s="400"/>
      <c r="FGA18" s="400"/>
      <c r="FGB18" s="400"/>
      <c r="FGC18" s="400"/>
      <c r="FGD18" s="400"/>
      <c r="FGE18" s="400"/>
      <c r="FGF18" s="400"/>
      <c r="FGG18" s="400"/>
      <c r="FGH18" s="400"/>
      <c r="FGI18" s="400"/>
      <c r="FGJ18" s="400"/>
      <c r="FGK18" s="400"/>
      <c r="FGL18" s="400"/>
      <c r="FGM18" s="400"/>
      <c r="FGN18" s="400"/>
      <c r="FGO18" s="400"/>
      <c r="FGP18" s="400"/>
      <c r="FGQ18" s="400"/>
      <c r="FGR18" s="400"/>
      <c r="FGS18" s="400"/>
      <c r="FGT18" s="400"/>
      <c r="FGU18" s="400"/>
      <c r="FGV18" s="400"/>
      <c r="FGW18" s="400"/>
      <c r="FGX18" s="400"/>
      <c r="FGY18" s="400"/>
      <c r="FGZ18" s="400"/>
      <c r="FHA18" s="400"/>
      <c r="FHB18" s="400"/>
      <c r="FHC18" s="400"/>
      <c r="FHD18" s="400"/>
      <c r="FHE18" s="400"/>
      <c r="FHF18" s="400"/>
      <c r="FHG18" s="400"/>
      <c r="FHH18" s="400"/>
      <c r="FHI18" s="400"/>
      <c r="FHJ18" s="400"/>
      <c r="FHK18" s="400"/>
      <c r="FHL18" s="400"/>
      <c r="FHM18" s="400"/>
      <c r="FHN18" s="400"/>
      <c r="FHO18" s="400"/>
      <c r="FHP18" s="400"/>
      <c r="FHQ18" s="400"/>
      <c r="FHR18" s="400"/>
      <c r="FHS18" s="400"/>
      <c r="FHT18" s="400"/>
      <c r="FHU18" s="400"/>
      <c r="FHV18" s="400"/>
      <c r="FHW18" s="400"/>
      <c r="FHX18" s="400"/>
      <c r="FHY18" s="400"/>
      <c r="FHZ18" s="400"/>
      <c r="FIA18" s="400"/>
      <c r="FIB18" s="400"/>
      <c r="FIC18" s="400"/>
      <c r="FID18" s="400"/>
      <c r="FIE18" s="400"/>
      <c r="FIF18" s="400"/>
      <c r="FIG18" s="400"/>
      <c r="FIH18" s="400"/>
      <c r="FII18" s="400"/>
      <c r="FIJ18" s="400"/>
      <c r="FIK18" s="400"/>
      <c r="FIL18" s="400"/>
      <c r="FIM18" s="400"/>
      <c r="FIN18" s="400"/>
      <c r="FIO18" s="400"/>
      <c r="FIP18" s="400"/>
      <c r="FIQ18" s="400"/>
      <c r="FIR18" s="400"/>
      <c r="FIS18" s="400"/>
      <c r="FIT18" s="400"/>
      <c r="FIU18" s="400"/>
      <c r="FIV18" s="400"/>
      <c r="FIW18" s="400"/>
      <c r="FIX18" s="400"/>
      <c r="FIY18" s="400"/>
      <c r="FIZ18" s="400"/>
      <c r="FJA18" s="400"/>
      <c r="FJB18" s="400"/>
      <c r="FJC18" s="400"/>
      <c r="FJD18" s="400"/>
      <c r="FJE18" s="400"/>
      <c r="FJF18" s="400"/>
      <c r="FJG18" s="400"/>
      <c r="FJH18" s="400"/>
      <c r="FJI18" s="400"/>
      <c r="FJJ18" s="400"/>
      <c r="FJK18" s="400"/>
      <c r="FJL18" s="400"/>
      <c r="FJM18" s="400"/>
      <c r="FJN18" s="400"/>
      <c r="FJO18" s="400"/>
      <c r="FJP18" s="400"/>
      <c r="FJQ18" s="400"/>
      <c r="FJR18" s="400"/>
      <c r="FJS18" s="400"/>
      <c r="FJT18" s="400"/>
      <c r="FJU18" s="400"/>
      <c r="FJV18" s="400"/>
      <c r="FJW18" s="400"/>
      <c r="FJX18" s="400"/>
      <c r="FJY18" s="400"/>
      <c r="FJZ18" s="400"/>
      <c r="FKA18" s="400"/>
      <c r="FKB18" s="400"/>
      <c r="FKC18" s="400"/>
      <c r="FKD18" s="400"/>
      <c r="FKE18" s="400"/>
      <c r="FKF18" s="400"/>
      <c r="FKG18" s="400"/>
      <c r="FKH18" s="400"/>
      <c r="FKI18" s="400"/>
      <c r="FKJ18" s="400"/>
      <c r="FKK18" s="400"/>
      <c r="FKL18" s="400"/>
      <c r="FKM18" s="400"/>
      <c r="FKN18" s="400"/>
      <c r="FKO18" s="400"/>
      <c r="FKP18" s="400"/>
      <c r="FKQ18" s="400"/>
      <c r="FKR18" s="400"/>
      <c r="FKS18" s="400"/>
      <c r="FKT18" s="400"/>
      <c r="FKU18" s="400"/>
      <c r="FKV18" s="400"/>
      <c r="FKW18" s="400"/>
      <c r="FKX18" s="400"/>
      <c r="FKY18" s="400"/>
      <c r="FKZ18" s="400"/>
      <c r="FLA18" s="400"/>
      <c r="FLB18" s="400"/>
      <c r="FLC18" s="400"/>
      <c r="FLD18" s="400"/>
      <c r="FLE18" s="400"/>
      <c r="FLF18" s="400"/>
      <c r="FLG18" s="400"/>
      <c r="FLH18" s="400"/>
      <c r="FLI18" s="400"/>
      <c r="FLJ18" s="400"/>
      <c r="FLK18" s="400"/>
      <c r="FLL18" s="400"/>
      <c r="FLM18" s="400"/>
      <c r="FLN18" s="400"/>
      <c r="FLO18" s="400"/>
      <c r="FLP18" s="400"/>
      <c r="FLQ18" s="400"/>
      <c r="FLR18" s="400"/>
      <c r="FLS18" s="400"/>
      <c r="FLT18" s="400"/>
      <c r="FLU18" s="400"/>
      <c r="FLV18" s="400"/>
      <c r="FLW18" s="400"/>
      <c r="FLX18" s="400"/>
      <c r="FLY18" s="400"/>
      <c r="FLZ18" s="400"/>
      <c r="FMA18" s="400"/>
      <c r="FMB18" s="400"/>
      <c r="FMC18" s="400"/>
      <c r="FMD18" s="400"/>
      <c r="FME18" s="400"/>
      <c r="FMF18" s="400"/>
      <c r="FMG18" s="400"/>
      <c r="FMH18" s="400"/>
      <c r="FMI18" s="400"/>
      <c r="FMJ18" s="400"/>
      <c r="FMK18" s="400"/>
      <c r="FML18" s="400"/>
      <c r="FMM18" s="400"/>
      <c r="FMN18" s="400"/>
      <c r="FMO18" s="400"/>
      <c r="FMP18" s="400"/>
      <c r="FMQ18" s="400"/>
      <c r="FMR18" s="400"/>
      <c r="FMS18" s="400"/>
      <c r="FMT18" s="400"/>
      <c r="FMU18" s="400"/>
      <c r="FMV18" s="400"/>
      <c r="FMW18" s="400"/>
      <c r="FMX18" s="400"/>
      <c r="FMY18" s="400"/>
      <c r="FMZ18" s="400"/>
      <c r="FNA18" s="400"/>
      <c r="FNB18" s="400"/>
      <c r="FNC18" s="400"/>
      <c r="FND18" s="400"/>
      <c r="FNE18" s="400"/>
      <c r="FNF18" s="400"/>
      <c r="FNG18" s="400"/>
      <c r="FNH18" s="400"/>
      <c r="FNI18" s="400"/>
      <c r="FNJ18" s="400"/>
      <c r="FNK18" s="400"/>
      <c r="FNL18" s="400"/>
      <c r="FNM18" s="400"/>
      <c r="FNN18" s="400"/>
      <c r="FNO18" s="400"/>
      <c r="FNP18" s="400"/>
      <c r="FNQ18" s="400"/>
      <c r="FNR18" s="400"/>
      <c r="FNS18" s="400"/>
      <c r="FNT18" s="400"/>
      <c r="FNU18" s="400"/>
      <c r="FNV18" s="400"/>
      <c r="FNW18" s="400"/>
      <c r="FNX18" s="400"/>
      <c r="FNY18" s="400"/>
      <c r="FNZ18" s="400"/>
      <c r="FOA18" s="400"/>
      <c r="FOB18" s="400"/>
      <c r="FOC18" s="400"/>
      <c r="FOD18" s="400"/>
      <c r="FOE18" s="400"/>
      <c r="FOF18" s="400"/>
      <c r="FOG18" s="400"/>
      <c r="FOH18" s="400"/>
      <c r="FOI18" s="400"/>
      <c r="FOJ18" s="400"/>
      <c r="FOK18" s="400"/>
      <c r="FOL18" s="400"/>
      <c r="FOM18" s="400"/>
      <c r="FON18" s="400"/>
      <c r="FOO18" s="400"/>
      <c r="FOP18" s="400"/>
      <c r="FOQ18" s="400"/>
      <c r="FOR18" s="400"/>
      <c r="FOS18" s="400"/>
      <c r="FOT18" s="400"/>
      <c r="FOU18" s="400"/>
      <c r="FOV18" s="400"/>
      <c r="FOW18" s="400"/>
      <c r="FOX18" s="400"/>
      <c r="FOY18" s="400"/>
      <c r="FOZ18" s="400"/>
      <c r="FPA18" s="400"/>
      <c r="FPB18" s="400"/>
      <c r="FPC18" s="400"/>
      <c r="FPD18" s="400"/>
      <c r="FPE18" s="400"/>
      <c r="FPF18" s="400"/>
      <c r="FPG18" s="400"/>
      <c r="FPH18" s="400"/>
      <c r="FPI18" s="400"/>
      <c r="FPJ18" s="400"/>
      <c r="FPK18" s="400"/>
      <c r="FPL18" s="400"/>
      <c r="FPM18" s="400"/>
      <c r="FPN18" s="400"/>
      <c r="FPO18" s="400"/>
      <c r="FPP18" s="400"/>
      <c r="FPQ18" s="400"/>
      <c r="FPR18" s="400"/>
      <c r="FPS18" s="400"/>
      <c r="FPT18" s="400"/>
      <c r="FPU18" s="400"/>
      <c r="FPV18" s="400"/>
      <c r="FPW18" s="400"/>
      <c r="FPX18" s="400"/>
      <c r="FPY18" s="400"/>
      <c r="FPZ18" s="400"/>
      <c r="FQA18" s="400"/>
      <c r="FQB18" s="400"/>
      <c r="FQC18" s="400"/>
      <c r="FQD18" s="400"/>
      <c r="FQE18" s="400"/>
      <c r="FQF18" s="400"/>
      <c r="FQG18" s="400"/>
      <c r="FQH18" s="400"/>
      <c r="FQI18" s="400"/>
      <c r="FQJ18" s="400"/>
      <c r="FQK18" s="400"/>
      <c r="FQL18" s="400"/>
      <c r="FQM18" s="400"/>
      <c r="FQN18" s="400"/>
      <c r="FQO18" s="400"/>
      <c r="FQP18" s="400"/>
      <c r="FQQ18" s="400"/>
      <c r="FQR18" s="400"/>
      <c r="FQS18" s="400"/>
      <c r="FQT18" s="400"/>
      <c r="FQU18" s="400"/>
      <c r="FQV18" s="400"/>
      <c r="FQW18" s="400"/>
      <c r="FQX18" s="400"/>
      <c r="FQY18" s="400"/>
      <c r="FQZ18" s="400"/>
      <c r="FRA18" s="400"/>
      <c r="FRB18" s="400"/>
      <c r="FRC18" s="400"/>
      <c r="FRD18" s="400"/>
      <c r="FRE18" s="400"/>
      <c r="FRF18" s="400"/>
      <c r="FRG18" s="400"/>
      <c r="FRH18" s="400"/>
      <c r="FRI18" s="400"/>
      <c r="FRJ18" s="400"/>
      <c r="FRK18" s="400"/>
      <c r="FRL18" s="400"/>
      <c r="FRM18" s="400"/>
      <c r="FRN18" s="400"/>
      <c r="FRO18" s="400"/>
      <c r="FRP18" s="400"/>
      <c r="FRQ18" s="400"/>
      <c r="FRR18" s="400"/>
      <c r="FRS18" s="400"/>
      <c r="FRT18" s="400"/>
      <c r="FRU18" s="400"/>
      <c r="FRV18" s="400"/>
      <c r="FRW18" s="400"/>
      <c r="FRX18" s="400"/>
      <c r="FRY18" s="400"/>
      <c r="FRZ18" s="400"/>
      <c r="FSA18" s="400"/>
      <c r="FSB18" s="400"/>
      <c r="FSC18" s="400"/>
      <c r="FSD18" s="400"/>
      <c r="FSE18" s="400"/>
      <c r="FSF18" s="400"/>
      <c r="FSG18" s="400"/>
      <c r="FSH18" s="400"/>
      <c r="FSI18" s="400"/>
      <c r="FSJ18" s="400"/>
      <c r="FSK18" s="400"/>
      <c r="FSL18" s="400"/>
      <c r="FSM18" s="400"/>
      <c r="FSN18" s="400"/>
      <c r="FSO18" s="400"/>
      <c r="FSP18" s="400"/>
      <c r="FSQ18" s="400"/>
      <c r="FSR18" s="400"/>
      <c r="FSS18" s="400"/>
      <c r="FST18" s="400"/>
      <c r="FSU18" s="400"/>
      <c r="FSV18" s="400"/>
      <c r="FSW18" s="400"/>
      <c r="FSX18" s="400"/>
      <c r="FSY18" s="400"/>
      <c r="FSZ18" s="400"/>
      <c r="FTA18" s="400"/>
      <c r="FTB18" s="400"/>
      <c r="FTC18" s="400"/>
      <c r="FTD18" s="400"/>
      <c r="FTE18" s="400"/>
      <c r="FTF18" s="400"/>
      <c r="FTG18" s="400"/>
      <c r="FTH18" s="400"/>
      <c r="FTI18" s="400"/>
      <c r="FTJ18" s="400"/>
      <c r="FTK18" s="400"/>
      <c r="FTL18" s="400"/>
      <c r="FTM18" s="400"/>
      <c r="FTN18" s="400"/>
      <c r="FTO18" s="400"/>
      <c r="FTP18" s="400"/>
      <c r="FTQ18" s="400"/>
      <c r="FTR18" s="400"/>
      <c r="FTS18" s="400"/>
      <c r="FTT18" s="400"/>
      <c r="FTU18" s="400"/>
      <c r="FTV18" s="400"/>
      <c r="FTW18" s="400"/>
      <c r="FTX18" s="400"/>
      <c r="FTY18" s="400"/>
      <c r="FTZ18" s="400"/>
      <c r="FUA18" s="400"/>
      <c r="FUB18" s="400"/>
      <c r="FUC18" s="400"/>
      <c r="FUD18" s="400"/>
      <c r="FUE18" s="400"/>
      <c r="FUF18" s="400"/>
      <c r="FUG18" s="400"/>
      <c r="FUH18" s="400"/>
      <c r="FUI18" s="400"/>
      <c r="FUJ18" s="400"/>
      <c r="FUK18" s="400"/>
      <c r="FUL18" s="400"/>
      <c r="FUM18" s="400"/>
      <c r="FUN18" s="400"/>
      <c r="FUO18" s="400"/>
      <c r="FUP18" s="400"/>
      <c r="FUQ18" s="400"/>
      <c r="FUR18" s="400"/>
      <c r="FUS18" s="400"/>
      <c r="FUT18" s="400"/>
      <c r="FUU18" s="400"/>
      <c r="FUV18" s="400"/>
      <c r="FUW18" s="400"/>
      <c r="FUX18" s="400"/>
      <c r="FUY18" s="400"/>
      <c r="FUZ18" s="400"/>
      <c r="FVA18" s="400"/>
      <c r="FVB18" s="400"/>
      <c r="FVC18" s="400"/>
      <c r="FVD18" s="400"/>
      <c r="FVE18" s="400"/>
      <c r="FVF18" s="400"/>
      <c r="FVG18" s="400"/>
      <c r="FVH18" s="400"/>
      <c r="FVI18" s="400"/>
      <c r="FVJ18" s="400"/>
      <c r="FVK18" s="400"/>
      <c r="FVL18" s="400"/>
      <c r="FVM18" s="400"/>
      <c r="FVN18" s="400"/>
      <c r="FVO18" s="400"/>
      <c r="FVP18" s="400"/>
      <c r="FVQ18" s="400"/>
      <c r="FVR18" s="400"/>
      <c r="FVS18" s="400"/>
      <c r="FVT18" s="400"/>
      <c r="FVU18" s="400"/>
      <c r="FVV18" s="400"/>
      <c r="FVW18" s="400"/>
      <c r="FVX18" s="400"/>
      <c r="FVY18" s="400"/>
      <c r="FVZ18" s="400"/>
      <c r="FWA18" s="400"/>
      <c r="FWB18" s="400"/>
      <c r="FWC18" s="400"/>
      <c r="FWD18" s="400"/>
      <c r="FWE18" s="400"/>
      <c r="FWF18" s="400"/>
      <c r="FWG18" s="400"/>
      <c r="FWH18" s="400"/>
      <c r="FWI18" s="400"/>
      <c r="FWJ18" s="400"/>
      <c r="FWK18" s="400"/>
      <c r="FWL18" s="400"/>
      <c r="FWM18" s="400"/>
      <c r="FWN18" s="400"/>
      <c r="FWO18" s="400"/>
      <c r="FWP18" s="400"/>
      <c r="FWQ18" s="400"/>
      <c r="FWR18" s="400"/>
      <c r="FWS18" s="400"/>
      <c r="FWT18" s="400"/>
      <c r="FWU18" s="400"/>
      <c r="FWV18" s="400"/>
      <c r="FWW18" s="400"/>
      <c r="FWX18" s="400"/>
      <c r="FWY18" s="400"/>
      <c r="FWZ18" s="400"/>
      <c r="FXA18" s="400"/>
      <c r="FXB18" s="400"/>
      <c r="FXC18" s="400"/>
      <c r="FXD18" s="400"/>
      <c r="FXE18" s="400"/>
      <c r="FXF18" s="400"/>
      <c r="FXG18" s="400"/>
      <c r="FXH18" s="400"/>
      <c r="FXI18" s="400"/>
      <c r="FXJ18" s="400"/>
      <c r="FXK18" s="400"/>
      <c r="FXL18" s="400"/>
      <c r="FXM18" s="400"/>
      <c r="FXN18" s="400"/>
      <c r="FXO18" s="400"/>
      <c r="FXP18" s="400"/>
      <c r="FXQ18" s="400"/>
      <c r="FXR18" s="400"/>
      <c r="FXS18" s="400"/>
      <c r="FXT18" s="400"/>
      <c r="FXU18" s="400"/>
      <c r="FXV18" s="400"/>
      <c r="FXW18" s="400"/>
      <c r="FXX18" s="400"/>
      <c r="FXY18" s="400"/>
      <c r="FXZ18" s="400"/>
      <c r="FYA18" s="400"/>
      <c r="FYB18" s="400"/>
      <c r="FYC18" s="400"/>
      <c r="FYD18" s="400"/>
      <c r="FYE18" s="400"/>
      <c r="FYF18" s="400"/>
      <c r="FYG18" s="400"/>
      <c r="FYH18" s="400"/>
      <c r="FYI18" s="400"/>
      <c r="FYJ18" s="400"/>
      <c r="FYK18" s="400"/>
      <c r="FYL18" s="400"/>
      <c r="FYM18" s="400"/>
      <c r="FYN18" s="400"/>
      <c r="FYO18" s="400"/>
      <c r="FYP18" s="400"/>
      <c r="FYQ18" s="400"/>
      <c r="FYR18" s="400"/>
      <c r="FYS18" s="400"/>
      <c r="FYT18" s="400"/>
      <c r="FYU18" s="400"/>
      <c r="FYV18" s="400"/>
      <c r="FYW18" s="400"/>
      <c r="FYX18" s="400"/>
      <c r="FYY18" s="400"/>
      <c r="FYZ18" s="400"/>
      <c r="FZA18" s="400"/>
      <c r="FZB18" s="400"/>
      <c r="FZC18" s="400"/>
      <c r="FZD18" s="400"/>
      <c r="FZE18" s="400"/>
      <c r="FZF18" s="400"/>
      <c r="FZG18" s="400"/>
      <c r="FZH18" s="400"/>
      <c r="FZI18" s="400"/>
      <c r="FZJ18" s="400"/>
      <c r="FZK18" s="400"/>
      <c r="FZL18" s="400"/>
      <c r="FZM18" s="400"/>
      <c r="FZN18" s="400"/>
      <c r="FZO18" s="400"/>
      <c r="FZP18" s="400"/>
      <c r="FZQ18" s="400"/>
      <c r="FZR18" s="400"/>
      <c r="FZS18" s="400"/>
      <c r="FZT18" s="400"/>
      <c r="FZU18" s="400"/>
      <c r="FZV18" s="400"/>
      <c r="FZW18" s="400"/>
      <c r="FZX18" s="400"/>
      <c r="FZY18" s="400"/>
      <c r="FZZ18" s="400"/>
      <c r="GAA18" s="400"/>
      <c r="GAB18" s="400"/>
      <c r="GAC18" s="400"/>
      <c r="GAD18" s="400"/>
      <c r="GAE18" s="400"/>
      <c r="GAF18" s="400"/>
      <c r="GAG18" s="400"/>
      <c r="GAH18" s="400"/>
      <c r="GAI18" s="400"/>
      <c r="GAJ18" s="400"/>
      <c r="GAK18" s="400"/>
      <c r="GAL18" s="400"/>
      <c r="GAM18" s="400"/>
      <c r="GAN18" s="400"/>
      <c r="GAO18" s="400"/>
      <c r="GAP18" s="400"/>
      <c r="GAQ18" s="400"/>
      <c r="GAR18" s="400"/>
      <c r="GAS18" s="400"/>
      <c r="GAT18" s="400"/>
      <c r="GAU18" s="400"/>
      <c r="GAV18" s="400"/>
      <c r="GAW18" s="400"/>
      <c r="GAX18" s="400"/>
      <c r="GAY18" s="400"/>
      <c r="GAZ18" s="400"/>
      <c r="GBA18" s="400"/>
      <c r="GBB18" s="400"/>
      <c r="GBC18" s="400"/>
      <c r="GBD18" s="400"/>
      <c r="GBE18" s="400"/>
      <c r="GBF18" s="400"/>
      <c r="GBG18" s="400"/>
      <c r="GBH18" s="400"/>
      <c r="GBI18" s="400"/>
      <c r="GBJ18" s="400"/>
      <c r="GBK18" s="400"/>
      <c r="GBL18" s="400"/>
      <c r="GBM18" s="400"/>
      <c r="GBN18" s="400"/>
      <c r="GBO18" s="400"/>
      <c r="GBP18" s="400"/>
      <c r="GBQ18" s="400"/>
      <c r="GBR18" s="400"/>
      <c r="GBS18" s="400"/>
      <c r="GBT18" s="400"/>
      <c r="GBU18" s="400"/>
      <c r="GBV18" s="400"/>
      <c r="GBW18" s="400"/>
      <c r="GBX18" s="400"/>
      <c r="GBY18" s="400"/>
      <c r="GBZ18" s="400"/>
      <c r="GCA18" s="400"/>
      <c r="GCB18" s="400"/>
      <c r="GCC18" s="400"/>
      <c r="GCD18" s="400"/>
      <c r="GCE18" s="400"/>
      <c r="GCF18" s="400"/>
      <c r="GCG18" s="400"/>
      <c r="GCH18" s="400"/>
      <c r="GCI18" s="400"/>
      <c r="GCJ18" s="400"/>
      <c r="GCK18" s="400"/>
      <c r="GCL18" s="400"/>
      <c r="GCM18" s="400"/>
      <c r="GCN18" s="400"/>
      <c r="GCO18" s="400"/>
      <c r="GCP18" s="400"/>
      <c r="GCQ18" s="400"/>
      <c r="GCR18" s="400"/>
      <c r="GCS18" s="400"/>
      <c r="GCT18" s="400"/>
      <c r="GCU18" s="400"/>
      <c r="GCV18" s="400"/>
      <c r="GCW18" s="400"/>
      <c r="GCX18" s="400"/>
      <c r="GCY18" s="400"/>
      <c r="GCZ18" s="400"/>
      <c r="GDA18" s="400"/>
      <c r="GDB18" s="400"/>
      <c r="GDC18" s="400"/>
      <c r="GDD18" s="400"/>
      <c r="GDE18" s="400"/>
      <c r="GDF18" s="400"/>
      <c r="GDG18" s="400"/>
      <c r="GDH18" s="400"/>
      <c r="GDI18" s="400"/>
      <c r="GDJ18" s="400"/>
      <c r="GDK18" s="400"/>
      <c r="GDL18" s="400"/>
      <c r="GDM18" s="400"/>
      <c r="GDN18" s="400"/>
      <c r="GDO18" s="400"/>
      <c r="GDP18" s="400"/>
      <c r="GDQ18" s="400"/>
      <c r="GDR18" s="400"/>
      <c r="GDS18" s="400"/>
      <c r="GDT18" s="400"/>
      <c r="GDU18" s="400"/>
      <c r="GDV18" s="400"/>
      <c r="GDW18" s="400"/>
      <c r="GDX18" s="400"/>
      <c r="GDY18" s="400"/>
      <c r="GDZ18" s="400"/>
      <c r="GEA18" s="400"/>
      <c r="GEB18" s="400"/>
      <c r="GEC18" s="400"/>
      <c r="GED18" s="400"/>
      <c r="GEE18" s="400"/>
      <c r="GEF18" s="400"/>
      <c r="GEG18" s="400"/>
      <c r="GEH18" s="400"/>
      <c r="GEI18" s="400"/>
      <c r="GEJ18" s="400"/>
      <c r="GEK18" s="400"/>
      <c r="GEL18" s="400"/>
      <c r="GEM18" s="400"/>
      <c r="GEN18" s="400"/>
      <c r="GEO18" s="400"/>
      <c r="GEP18" s="400"/>
      <c r="GEQ18" s="400"/>
      <c r="GER18" s="400"/>
      <c r="GES18" s="400"/>
      <c r="GET18" s="400"/>
      <c r="GEU18" s="400"/>
      <c r="GEV18" s="400"/>
      <c r="GEW18" s="400"/>
      <c r="GEX18" s="400"/>
      <c r="GEY18" s="400"/>
      <c r="GEZ18" s="400"/>
      <c r="GFA18" s="400"/>
      <c r="GFB18" s="400"/>
      <c r="GFC18" s="400"/>
      <c r="GFD18" s="400"/>
      <c r="GFE18" s="400"/>
      <c r="GFF18" s="400"/>
      <c r="GFG18" s="400"/>
      <c r="GFH18" s="400"/>
      <c r="GFI18" s="400"/>
      <c r="GFJ18" s="400"/>
      <c r="GFK18" s="400"/>
      <c r="GFL18" s="400"/>
      <c r="GFM18" s="400"/>
      <c r="GFN18" s="400"/>
      <c r="GFO18" s="400"/>
      <c r="GFP18" s="400"/>
      <c r="GFQ18" s="400"/>
      <c r="GFR18" s="400"/>
      <c r="GFS18" s="400"/>
      <c r="GFT18" s="400"/>
      <c r="GFU18" s="400"/>
      <c r="GFV18" s="400"/>
      <c r="GFW18" s="400"/>
      <c r="GFX18" s="400"/>
      <c r="GFY18" s="400"/>
      <c r="GFZ18" s="400"/>
      <c r="GGA18" s="400"/>
      <c r="GGB18" s="400"/>
      <c r="GGC18" s="400"/>
      <c r="GGD18" s="400"/>
      <c r="GGE18" s="400"/>
      <c r="GGF18" s="400"/>
      <c r="GGG18" s="400"/>
      <c r="GGH18" s="400"/>
      <c r="GGI18" s="400"/>
      <c r="GGJ18" s="400"/>
      <c r="GGK18" s="400"/>
      <c r="GGL18" s="400"/>
      <c r="GGM18" s="400"/>
      <c r="GGN18" s="400"/>
      <c r="GGO18" s="400"/>
      <c r="GGP18" s="400"/>
      <c r="GGQ18" s="400"/>
      <c r="GGR18" s="400"/>
      <c r="GGS18" s="400"/>
      <c r="GGT18" s="400"/>
      <c r="GGU18" s="400"/>
      <c r="GGV18" s="400"/>
      <c r="GGW18" s="400"/>
      <c r="GGX18" s="400"/>
      <c r="GGY18" s="400"/>
      <c r="GGZ18" s="400"/>
      <c r="GHA18" s="400"/>
      <c r="GHB18" s="400"/>
      <c r="GHC18" s="400"/>
      <c r="GHD18" s="400"/>
      <c r="GHE18" s="400"/>
      <c r="GHF18" s="400"/>
      <c r="GHG18" s="400"/>
      <c r="GHH18" s="400"/>
      <c r="GHI18" s="400"/>
      <c r="GHJ18" s="400"/>
      <c r="GHK18" s="400"/>
      <c r="GHL18" s="400"/>
      <c r="GHM18" s="400"/>
      <c r="GHN18" s="400"/>
      <c r="GHO18" s="400"/>
      <c r="GHP18" s="400"/>
      <c r="GHQ18" s="400"/>
      <c r="GHR18" s="400"/>
      <c r="GHS18" s="400"/>
      <c r="GHT18" s="400"/>
      <c r="GHU18" s="400"/>
      <c r="GHV18" s="400"/>
      <c r="GHW18" s="400"/>
      <c r="GHX18" s="400"/>
      <c r="GHY18" s="400"/>
      <c r="GHZ18" s="400"/>
      <c r="GIA18" s="400"/>
      <c r="GIB18" s="400"/>
      <c r="GIC18" s="400"/>
      <c r="GID18" s="400"/>
      <c r="GIE18" s="400"/>
      <c r="GIF18" s="400"/>
      <c r="GIG18" s="400"/>
      <c r="GIH18" s="400"/>
      <c r="GII18" s="400"/>
      <c r="GIJ18" s="400"/>
      <c r="GIK18" s="400"/>
      <c r="GIL18" s="400"/>
      <c r="GIM18" s="400"/>
      <c r="GIN18" s="400"/>
      <c r="GIO18" s="400"/>
      <c r="GIP18" s="400"/>
      <c r="GIQ18" s="400"/>
      <c r="GIR18" s="400"/>
      <c r="GIS18" s="400"/>
      <c r="GIT18" s="400"/>
      <c r="GIU18" s="400"/>
      <c r="GIV18" s="400"/>
      <c r="GIW18" s="400"/>
      <c r="GIX18" s="400"/>
      <c r="GIY18" s="400"/>
      <c r="GIZ18" s="400"/>
      <c r="GJA18" s="400"/>
      <c r="GJB18" s="400"/>
      <c r="GJC18" s="400"/>
      <c r="GJD18" s="400"/>
      <c r="GJE18" s="400"/>
      <c r="GJF18" s="400"/>
      <c r="GJG18" s="400"/>
      <c r="GJH18" s="400"/>
      <c r="GJI18" s="400"/>
      <c r="GJJ18" s="400"/>
      <c r="GJK18" s="400"/>
      <c r="GJL18" s="400"/>
      <c r="GJM18" s="400"/>
      <c r="GJN18" s="400"/>
      <c r="GJO18" s="400"/>
      <c r="GJP18" s="400"/>
      <c r="GJQ18" s="400"/>
      <c r="GJR18" s="400"/>
      <c r="GJS18" s="400"/>
      <c r="GJT18" s="400"/>
      <c r="GJU18" s="400"/>
      <c r="GJV18" s="400"/>
      <c r="GJW18" s="400"/>
      <c r="GJX18" s="400"/>
      <c r="GJY18" s="400"/>
      <c r="GJZ18" s="400"/>
      <c r="GKA18" s="400"/>
      <c r="GKB18" s="400"/>
      <c r="GKC18" s="400"/>
      <c r="GKD18" s="400"/>
      <c r="GKE18" s="400"/>
      <c r="GKF18" s="400"/>
      <c r="GKG18" s="400"/>
      <c r="GKH18" s="400"/>
      <c r="GKI18" s="400"/>
      <c r="GKJ18" s="400"/>
      <c r="GKK18" s="400"/>
      <c r="GKL18" s="400"/>
      <c r="GKM18" s="400"/>
      <c r="GKN18" s="400"/>
      <c r="GKO18" s="400"/>
      <c r="GKP18" s="400"/>
      <c r="GKQ18" s="400"/>
      <c r="GKR18" s="400"/>
      <c r="GKS18" s="400"/>
      <c r="GKT18" s="400"/>
      <c r="GKU18" s="400"/>
      <c r="GKV18" s="400"/>
      <c r="GKW18" s="400"/>
      <c r="GKX18" s="400"/>
      <c r="GKY18" s="400"/>
      <c r="GKZ18" s="400"/>
      <c r="GLA18" s="400"/>
      <c r="GLB18" s="400"/>
      <c r="GLC18" s="400"/>
      <c r="GLD18" s="400"/>
      <c r="GLE18" s="400"/>
      <c r="GLF18" s="400"/>
      <c r="GLG18" s="400"/>
      <c r="GLH18" s="400"/>
      <c r="GLI18" s="400"/>
      <c r="GLJ18" s="400"/>
      <c r="GLK18" s="400"/>
      <c r="GLL18" s="400"/>
      <c r="GLM18" s="400"/>
      <c r="GLN18" s="400"/>
      <c r="GLO18" s="400"/>
      <c r="GLP18" s="400"/>
      <c r="GLQ18" s="400"/>
      <c r="GLR18" s="400"/>
      <c r="GLS18" s="400"/>
      <c r="GLT18" s="400"/>
      <c r="GLU18" s="400"/>
      <c r="GLV18" s="400"/>
      <c r="GLW18" s="400"/>
      <c r="GLX18" s="400"/>
      <c r="GLY18" s="400"/>
      <c r="GLZ18" s="400"/>
      <c r="GMA18" s="400"/>
      <c r="GMB18" s="400"/>
      <c r="GMC18" s="400"/>
      <c r="GMD18" s="400"/>
      <c r="GME18" s="400"/>
      <c r="GMF18" s="400"/>
      <c r="GMG18" s="400"/>
      <c r="GMH18" s="400"/>
      <c r="GMI18" s="400"/>
      <c r="GMJ18" s="400"/>
      <c r="GMK18" s="400"/>
      <c r="GML18" s="400"/>
      <c r="GMM18" s="400"/>
      <c r="GMN18" s="400"/>
      <c r="GMO18" s="400"/>
      <c r="GMP18" s="400"/>
      <c r="GMQ18" s="400"/>
      <c r="GMR18" s="400"/>
      <c r="GMS18" s="400"/>
      <c r="GMT18" s="400"/>
      <c r="GMU18" s="400"/>
      <c r="GMV18" s="400"/>
      <c r="GMW18" s="400"/>
      <c r="GMX18" s="400"/>
      <c r="GMY18" s="400"/>
      <c r="GMZ18" s="400"/>
      <c r="GNA18" s="400"/>
      <c r="GNB18" s="400"/>
      <c r="GNC18" s="400"/>
      <c r="GND18" s="400"/>
      <c r="GNE18" s="400"/>
      <c r="GNF18" s="400"/>
      <c r="GNG18" s="400"/>
      <c r="GNH18" s="400"/>
      <c r="GNI18" s="400"/>
      <c r="GNJ18" s="400"/>
      <c r="GNK18" s="400"/>
      <c r="GNL18" s="400"/>
      <c r="GNM18" s="400"/>
      <c r="GNN18" s="400"/>
      <c r="GNO18" s="400"/>
      <c r="GNP18" s="400"/>
      <c r="GNQ18" s="400"/>
      <c r="GNR18" s="400"/>
      <c r="GNS18" s="400"/>
      <c r="GNT18" s="400"/>
      <c r="GNU18" s="400"/>
      <c r="GNV18" s="400"/>
      <c r="GNW18" s="400"/>
      <c r="GNX18" s="400"/>
      <c r="GNY18" s="400"/>
      <c r="GNZ18" s="400"/>
      <c r="GOA18" s="400"/>
      <c r="GOB18" s="400"/>
      <c r="GOC18" s="400"/>
      <c r="GOD18" s="400"/>
      <c r="GOE18" s="400"/>
      <c r="GOF18" s="400"/>
      <c r="GOG18" s="400"/>
      <c r="GOH18" s="400"/>
      <c r="GOI18" s="400"/>
      <c r="GOJ18" s="400"/>
      <c r="GOK18" s="400"/>
      <c r="GOL18" s="400"/>
      <c r="GOM18" s="400"/>
      <c r="GON18" s="400"/>
      <c r="GOO18" s="400"/>
      <c r="GOP18" s="400"/>
      <c r="GOQ18" s="400"/>
      <c r="GOR18" s="400"/>
      <c r="GOS18" s="400"/>
      <c r="GOT18" s="400"/>
      <c r="GOU18" s="400"/>
      <c r="GOV18" s="400"/>
      <c r="GOW18" s="400"/>
      <c r="GOX18" s="400"/>
      <c r="GOY18" s="400"/>
      <c r="GOZ18" s="400"/>
      <c r="GPA18" s="400"/>
      <c r="GPB18" s="400"/>
      <c r="GPC18" s="400"/>
      <c r="GPD18" s="400"/>
      <c r="GPE18" s="400"/>
      <c r="GPF18" s="400"/>
      <c r="GPG18" s="400"/>
      <c r="GPH18" s="400"/>
      <c r="GPI18" s="400"/>
      <c r="GPJ18" s="400"/>
      <c r="GPK18" s="400"/>
      <c r="GPL18" s="400"/>
      <c r="GPM18" s="400"/>
      <c r="GPN18" s="400"/>
      <c r="GPO18" s="400"/>
      <c r="GPP18" s="400"/>
      <c r="GPQ18" s="400"/>
      <c r="GPR18" s="400"/>
      <c r="GPS18" s="400"/>
      <c r="GPT18" s="400"/>
      <c r="GPU18" s="400"/>
      <c r="GPV18" s="400"/>
      <c r="GPW18" s="400"/>
      <c r="GPX18" s="400"/>
      <c r="GPY18" s="400"/>
      <c r="GPZ18" s="400"/>
      <c r="GQA18" s="400"/>
      <c r="GQB18" s="400"/>
      <c r="GQC18" s="400"/>
      <c r="GQD18" s="400"/>
      <c r="GQE18" s="400"/>
      <c r="GQF18" s="400"/>
      <c r="GQG18" s="400"/>
      <c r="GQH18" s="400"/>
      <c r="GQI18" s="400"/>
      <c r="GQJ18" s="400"/>
      <c r="GQK18" s="400"/>
      <c r="GQL18" s="400"/>
      <c r="GQM18" s="400"/>
      <c r="GQN18" s="400"/>
      <c r="GQO18" s="400"/>
      <c r="GQP18" s="400"/>
      <c r="GQQ18" s="400"/>
      <c r="GQR18" s="400"/>
      <c r="GQS18" s="400"/>
      <c r="GQT18" s="400"/>
      <c r="GQU18" s="400"/>
      <c r="GQV18" s="400"/>
      <c r="GQW18" s="400"/>
      <c r="GQX18" s="400"/>
      <c r="GQY18" s="400"/>
      <c r="GQZ18" s="400"/>
      <c r="GRA18" s="400"/>
      <c r="GRB18" s="400"/>
      <c r="GRC18" s="400"/>
      <c r="GRD18" s="400"/>
      <c r="GRE18" s="400"/>
      <c r="GRF18" s="400"/>
      <c r="GRG18" s="400"/>
      <c r="GRH18" s="400"/>
      <c r="GRI18" s="400"/>
      <c r="GRJ18" s="400"/>
      <c r="GRK18" s="400"/>
      <c r="GRL18" s="400"/>
      <c r="GRM18" s="400"/>
      <c r="GRN18" s="400"/>
      <c r="GRO18" s="400"/>
      <c r="GRP18" s="400"/>
      <c r="GRQ18" s="400"/>
      <c r="GRR18" s="400"/>
      <c r="GRS18" s="400"/>
      <c r="GRT18" s="400"/>
      <c r="GRU18" s="400"/>
      <c r="GRV18" s="400"/>
      <c r="GRW18" s="400"/>
      <c r="GRX18" s="400"/>
      <c r="GRY18" s="400"/>
      <c r="GRZ18" s="400"/>
      <c r="GSA18" s="400"/>
      <c r="GSB18" s="400"/>
      <c r="GSC18" s="400"/>
      <c r="GSD18" s="400"/>
      <c r="GSE18" s="400"/>
      <c r="GSF18" s="400"/>
      <c r="GSG18" s="400"/>
      <c r="GSH18" s="400"/>
      <c r="GSI18" s="400"/>
      <c r="GSJ18" s="400"/>
      <c r="GSK18" s="400"/>
      <c r="GSL18" s="400"/>
      <c r="GSM18" s="400"/>
      <c r="GSN18" s="400"/>
      <c r="GSO18" s="400"/>
      <c r="GSP18" s="400"/>
      <c r="GSQ18" s="400"/>
      <c r="GSR18" s="400"/>
      <c r="GSS18" s="400"/>
      <c r="GST18" s="400"/>
      <c r="GSU18" s="400"/>
      <c r="GSV18" s="400"/>
      <c r="GSW18" s="400"/>
      <c r="GSX18" s="400"/>
      <c r="GSY18" s="400"/>
      <c r="GSZ18" s="400"/>
      <c r="GTA18" s="400"/>
      <c r="GTB18" s="400"/>
      <c r="GTC18" s="400"/>
      <c r="GTD18" s="400"/>
      <c r="GTE18" s="400"/>
      <c r="GTF18" s="400"/>
      <c r="GTG18" s="400"/>
      <c r="GTH18" s="400"/>
      <c r="GTI18" s="400"/>
      <c r="GTJ18" s="400"/>
      <c r="GTK18" s="400"/>
      <c r="GTL18" s="400"/>
      <c r="GTM18" s="400"/>
      <c r="GTN18" s="400"/>
      <c r="GTO18" s="400"/>
      <c r="GTP18" s="400"/>
      <c r="GTQ18" s="400"/>
      <c r="GTR18" s="400"/>
      <c r="GTS18" s="400"/>
      <c r="GTT18" s="400"/>
      <c r="GTU18" s="400"/>
      <c r="GTV18" s="400"/>
      <c r="GTW18" s="400"/>
      <c r="GTX18" s="400"/>
      <c r="GTY18" s="400"/>
      <c r="GTZ18" s="400"/>
      <c r="GUA18" s="400"/>
      <c r="GUB18" s="400"/>
      <c r="GUC18" s="400"/>
      <c r="GUD18" s="400"/>
      <c r="GUE18" s="400"/>
      <c r="GUF18" s="400"/>
      <c r="GUG18" s="400"/>
      <c r="GUH18" s="400"/>
      <c r="GUI18" s="400"/>
      <c r="GUJ18" s="400"/>
      <c r="GUK18" s="400"/>
      <c r="GUL18" s="400"/>
      <c r="GUM18" s="400"/>
      <c r="GUN18" s="400"/>
      <c r="GUO18" s="400"/>
      <c r="GUP18" s="400"/>
      <c r="GUQ18" s="400"/>
      <c r="GUR18" s="400"/>
      <c r="GUS18" s="400"/>
      <c r="GUT18" s="400"/>
      <c r="GUU18" s="400"/>
      <c r="GUV18" s="400"/>
      <c r="GUW18" s="400"/>
      <c r="GUX18" s="400"/>
      <c r="GUY18" s="400"/>
      <c r="GUZ18" s="400"/>
      <c r="GVA18" s="400"/>
      <c r="GVB18" s="400"/>
      <c r="GVC18" s="400"/>
      <c r="GVD18" s="400"/>
      <c r="GVE18" s="400"/>
      <c r="GVF18" s="400"/>
      <c r="GVG18" s="400"/>
      <c r="GVH18" s="400"/>
      <c r="GVI18" s="400"/>
      <c r="GVJ18" s="400"/>
      <c r="GVK18" s="400"/>
      <c r="GVL18" s="400"/>
      <c r="GVM18" s="400"/>
      <c r="GVN18" s="400"/>
      <c r="GVO18" s="400"/>
      <c r="GVP18" s="400"/>
      <c r="GVQ18" s="400"/>
      <c r="GVR18" s="400"/>
      <c r="GVS18" s="400"/>
      <c r="GVT18" s="400"/>
      <c r="GVU18" s="400"/>
      <c r="GVV18" s="400"/>
      <c r="GVW18" s="400"/>
      <c r="GVX18" s="400"/>
      <c r="GVY18" s="400"/>
      <c r="GVZ18" s="400"/>
      <c r="GWA18" s="400"/>
      <c r="GWB18" s="400"/>
      <c r="GWC18" s="400"/>
      <c r="GWD18" s="400"/>
      <c r="GWE18" s="400"/>
      <c r="GWF18" s="400"/>
      <c r="GWG18" s="400"/>
      <c r="GWH18" s="400"/>
      <c r="GWI18" s="400"/>
      <c r="GWJ18" s="400"/>
      <c r="GWK18" s="400"/>
      <c r="GWL18" s="400"/>
      <c r="GWM18" s="400"/>
      <c r="GWN18" s="400"/>
      <c r="GWO18" s="400"/>
      <c r="GWP18" s="400"/>
      <c r="GWQ18" s="400"/>
      <c r="GWR18" s="400"/>
      <c r="GWS18" s="400"/>
      <c r="GWT18" s="400"/>
      <c r="GWU18" s="400"/>
      <c r="GWV18" s="400"/>
      <c r="GWW18" s="400"/>
      <c r="GWX18" s="400"/>
      <c r="GWY18" s="400"/>
      <c r="GWZ18" s="400"/>
      <c r="GXA18" s="400"/>
      <c r="GXB18" s="400"/>
      <c r="GXC18" s="400"/>
      <c r="GXD18" s="400"/>
      <c r="GXE18" s="400"/>
      <c r="GXF18" s="400"/>
      <c r="GXG18" s="400"/>
      <c r="GXH18" s="400"/>
      <c r="GXI18" s="400"/>
      <c r="GXJ18" s="400"/>
      <c r="GXK18" s="400"/>
      <c r="GXL18" s="400"/>
      <c r="GXM18" s="400"/>
      <c r="GXN18" s="400"/>
      <c r="GXO18" s="400"/>
      <c r="GXP18" s="400"/>
      <c r="GXQ18" s="400"/>
      <c r="GXR18" s="400"/>
      <c r="GXS18" s="400"/>
      <c r="GXT18" s="400"/>
      <c r="GXU18" s="400"/>
      <c r="GXV18" s="400"/>
      <c r="GXW18" s="400"/>
      <c r="GXX18" s="400"/>
      <c r="GXY18" s="400"/>
      <c r="GXZ18" s="400"/>
      <c r="GYA18" s="400"/>
      <c r="GYB18" s="400"/>
      <c r="GYC18" s="400"/>
      <c r="GYD18" s="400"/>
      <c r="GYE18" s="400"/>
      <c r="GYF18" s="400"/>
      <c r="GYG18" s="400"/>
      <c r="GYH18" s="400"/>
      <c r="GYI18" s="400"/>
      <c r="GYJ18" s="400"/>
      <c r="GYK18" s="400"/>
      <c r="GYL18" s="400"/>
      <c r="GYM18" s="400"/>
      <c r="GYN18" s="400"/>
      <c r="GYO18" s="400"/>
      <c r="GYP18" s="400"/>
      <c r="GYQ18" s="400"/>
      <c r="GYR18" s="400"/>
      <c r="GYS18" s="400"/>
      <c r="GYT18" s="400"/>
      <c r="GYU18" s="400"/>
      <c r="GYV18" s="400"/>
      <c r="GYW18" s="400"/>
      <c r="GYX18" s="400"/>
      <c r="GYY18" s="400"/>
      <c r="GYZ18" s="400"/>
      <c r="GZA18" s="400"/>
      <c r="GZB18" s="400"/>
      <c r="GZC18" s="400"/>
      <c r="GZD18" s="400"/>
      <c r="GZE18" s="400"/>
      <c r="GZF18" s="400"/>
      <c r="GZG18" s="400"/>
      <c r="GZH18" s="400"/>
      <c r="GZI18" s="400"/>
      <c r="GZJ18" s="400"/>
      <c r="GZK18" s="400"/>
      <c r="GZL18" s="400"/>
      <c r="GZM18" s="400"/>
      <c r="GZN18" s="400"/>
      <c r="GZO18" s="400"/>
      <c r="GZP18" s="400"/>
      <c r="GZQ18" s="400"/>
      <c r="GZR18" s="400"/>
      <c r="GZS18" s="400"/>
      <c r="GZT18" s="400"/>
      <c r="GZU18" s="400"/>
      <c r="GZV18" s="400"/>
      <c r="GZW18" s="400"/>
      <c r="GZX18" s="400"/>
      <c r="GZY18" s="400"/>
      <c r="GZZ18" s="400"/>
      <c r="HAA18" s="400"/>
      <c r="HAB18" s="400"/>
      <c r="HAC18" s="400"/>
      <c r="HAD18" s="400"/>
      <c r="HAE18" s="400"/>
      <c r="HAF18" s="400"/>
      <c r="HAG18" s="400"/>
      <c r="HAH18" s="400"/>
      <c r="HAI18" s="400"/>
      <c r="HAJ18" s="400"/>
      <c r="HAK18" s="400"/>
      <c r="HAL18" s="400"/>
      <c r="HAM18" s="400"/>
      <c r="HAN18" s="400"/>
      <c r="HAO18" s="400"/>
      <c r="HAP18" s="400"/>
      <c r="HAQ18" s="400"/>
      <c r="HAR18" s="400"/>
      <c r="HAS18" s="400"/>
      <c r="HAT18" s="400"/>
      <c r="HAU18" s="400"/>
      <c r="HAV18" s="400"/>
      <c r="HAW18" s="400"/>
      <c r="HAX18" s="400"/>
      <c r="HAY18" s="400"/>
      <c r="HAZ18" s="400"/>
      <c r="HBA18" s="400"/>
      <c r="HBB18" s="400"/>
      <c r="HBC18" s="400"/>
      <c r="HBD18" s="400"/>
      <c r="HBE18" s="400"/>
      <c r="HBF18" s="400"/>
      <c r="HBG18" s="400"/>
      <c r="HBH18" s="400"/>
      <c r="HBI18" s="400"/>
      <c r="HBJ18" s="400"/>
      <c r="HBK18" s="400"/>
      <c r="HBL18" s="400"/>
      <c r="HBM18" s="400"/>
      <c r="HBN18" s="400"/>
      <c r="HBO18" s="400"/>
      <c r="HBP18" s="400"/>
      <c r="HBQ18" s="400"/>
      <c r="HBR18" s="400"/>
      <c r="HBS18" s="400"/>
      <c r="HBT18" s="400"/>
      <c r="HBU18" s="400"/>
      <c r="HBV18" s="400"/>
      <c r="HBW18" s="400"/>
      <c r="HBX18" s="400"/>
      <c r="HBY18" s="400"/>
      <c r="HBZ18" s="400"/>
      <c r="HCA18" s="400"/>
      <c r="HCB18" s="400"/>
      <c r="HCC18" s="400"/>
      <c r="HCD18" s="400"/>
      <c r="HCE18" s="400"/>
      <c r="HCF18" s="400"/>
      <c r="HCG18" s="400"/>
      <c r="HCH18" s="400"/>
      <c r="HCI18" s="400"/>
      <c r="HCJ18" s="400"/>
      <c r="HCK18" s="400"/>
      <c r="HCL18" s="400"/>
      <c r="HCM18" s="400"/>
      <c r="HCN18" s="400"/>
      <c r="HCO18" s="400"/>
      <c r="HCP18" s="400"/>
      <c r="HCQ18" s="400"/>
      <c r="HCR18" s="400"/>
      <c r="HCS18" s="400"/>
      <c r="HCT18" s="400"/>
      <c r="HCU18" s="400"/>
      <c r="HCV18" s="400"/>
      <c r="HCW18" s="400"/>
      <c r="HCX18" s="400"/>
      <c r="HCY18" s="400"/>
      <c r="HCZ18" s="400"/>
      <c r="HDA18" s="400"/>
      <c r="HDB18" s="400"/>
      <c r="HDC18" s="400"/>
      <c r="HDD18" s="400"/>
      <c r="HDE18" s="400"/>
      <c r="HDF18" s="400"/>
      <c r="HDG18" s="400"/>
      <c r="HDH18" s="400"/>
      <c r="HDI18" s="400"/>
      <c r="HDJ18" s="400"/>
      <c r="HDK18" s="400"/>
      <c r="HDL18" s="400"/>
      <c r="HDM18" s="400"/>
      <c r="HDN18" s="400"/>
      <c r="HDO18" s="400"/>
      <c r="HDP18" s="400"/>
      <c r="HDQ18" s="400"/>
      <c r="HDR18" s="400"/>
      <c r="HDS18" s="400"/>
      <c r="HDT18" s="400"/>
      <c r="HDU18" s="400"/>
      <c r="HDV18" s="400"/>
      <c r="HDW18" s="400"/>
      <c r="HDX18" s="400"/>
      <c r="HDY18" s="400"/>
      <c r="HDZ18" s="400"/>
      <c r="HEA18" s="400"/>
      <c r="HEB18" s="400"/>
      <c r="HEC18" s="400"/>
      <c r="HED18" s="400"/>
      <c r="HEE18" s="400"/>
      <c r="HEF18" s="400"/>
      <c r="HEG18" s="400"/>
      <c r="HEH18" s="400"/>
      <c r="HEI18" s="400"/>
      <c r="HEJ18" s="400"/>
      <c r="HEK18" s="400"/>
      <c r="HEL18" s="400"/>
      <c r="HEM18" s="400"/>
      <c r="HEN18" s="400"/>
      <c r="HEO18" s="400"/>
      <c r="HEP18" s="400"/>
      <c r="HEQ18" s="400"/>
      <c r="HER18" s="400"/>
      <c r="HES18" s="400"/>
      <c r="HET18" s="400"/>
      <c r="HEU18" s="400"/>
      <c r="HEV18" s="400"/>
      <c r="HEW18" s="400"/>
      <c r="HEX18" s="400"/>
      <c r="HEY18" s="400"/>
      <c r="HEZ18" s="400"/>
      <c r="HFA18" s="400"/>
      <c r="HFB18" s="400"/>
      <c r="HFC18" s="400"/>
      <c r="HFD18" s="400"/>
      <c r="HFE18" s="400"/>
      <c r="HFF18" s="400"/>
      <c r="HFG18" s="400"/>
      <c r="HFH18" s="400"/>
      <c r="HFI18" s="400"/>
      <c r="HFJ18" s="400"/>
      <c r="HFK18" s="400"/>
      <c r="HFL18" s="400"/>
      <c r="HFM18" s="400"/>
      <c r="HFN18" s="400"/>
      <c r="HFO18" s="400"/>
      <c r="HFP18" s="400"/>
      <c r="HFQ18" s="400"/>
      <c r="HFR18" s="400"/>
      <c r="HFS18" s="400"/>
      <c r="HFT18" s="400"/>
      <c r="HFU18" s="400"/>
      <c r="HFV18" s="400"/>
      <c r="HFW18" s="400"/>
      <c r="HFX18" s="400"/>
      <c r="HFY18" s="400"/>
      <c r="HFZ18" s="400"/>
      <c r="HGA18" s="400"/>
      <c r="HGB18" s="400"/>
      <c r="HGC18" s="400"/>
      <c r="HGD18" s="400"/>
      <c r="HGE18" s="400"/>
      <c r="HGF18" s="400"/>
      <c r="HGG18" s="400"/>
      <c r="HGH18" s="400"/>
      <c r="HGI18" s="400"/>
      <c r="HGJ18" s="400"/>
      <c r="HGK18" s="400"/>
      <c r="HGL18" s="400"/>
      <c r="HGM18" s="400"/>
      <c r="HGN18" s="400"/>
      <c r="HGO18" s="400"/>
      <c r="HGP18" s="400"/>
      <c r="HGQ18" s="400"/>
      <c r="HGR18" s="400"/>
      <c r="HGS18" s="400"/>
      <c r="HGT18" s="400"/>
      <c r="HGU18" s="400"/>
      <c r="HGV18" s="400"/>
      <c r="HGW18" s="400"/>
      <c r="HGX18" s="400"/>
      <c r="HGY18" s="400"/>
      <c r="HGZ18" s="400"/>
      <c r="HHA18" s="400"/>
      <c r="HHB18" s="400"/>
      <c r="HHC18" s="400"/>
      <c r="HHD18" s="400"/>
      <c r="HHE18" s="400"/>
      <c r="HHF18" s="400"/>
      <c r="HHG18" s="400"/>
      <c r="HHH18" s="400"/>
      <c r="HHI18" s="400"/>
      <c r="HHJ18" s="400"/>
      <c r="HHK18" s="400"/>
      <c r="HHL18" s="400"/>
      <c r="HHM18" s="400"/>
      <c r="HHN18" s="400"/>
      <c r="HHO18" s="400"/>
      <c r="HHP18" s="400"/>
      <c r="HHQ18" s="400"/>
      <c r="HHR18" s="400"/>
      <c r="HHS18" s="400"/>
      <c r="HHT18" s="400"/>
      <c r="HHU18" s="400"/>
      <c r="HHV18" s="400"/>
      <c r="HHW18" s="400"/>
      <c r="HHX18" s="400"/>
      <c r="HHY18" s="400"/>
      <c r="HHZ18" s="400"/>
      <c r="HIA18" s="400"/>
      <c r="HIB18" s="400"/>
      <c r="HIC18" s="400"/>
      <c r="HID18" s="400"/>
      <c r="HIE18" s="400"/>
      <c r="HIF18" s="400"/>
      <c r="HIG18" s="400"/>
      <c r="HIH18" s="400"/>
      <c r="HII18" s="400"/>
      <c r="HIJ18" s="400"/>
      <c r="HIK18" s="400"/>
      <c r="HIL18" s="400"/>
      <c r="HIM18" s="400"/>
      <c r="HIN18" s="400"/>
      <c r="HIO18" s="400"/>
      <c r="HIP18" s="400"/>
      <c r="HIQ18" s="400"/>
      <c r="HIR18" s="400"/>
      <c r="HIS18" s="400"/>
      <c r="HIT18" s="400"/>
      <c r="HIU18" s="400"/>
      <c r="HIV18" s="400"/>
      <c r="HIW18" s="400"/>
      <c r="HIX18" s="400"/>
      <c r="HIY18" s="400"/>
      <c r="HIZ18" s="400"/>
      <c r="HJA18" s="400"/>
      <c r="HJB18" s="400"/>
      <c r="HJC18" s="400"/>
      <c r="HJD18" s="400"/>
      <c r="HJE18" s="400"/>
      <c r="HJF18" s="400"/>
      <c r="HJG18" s="400"/>
      <c r="HJH18" s="400"/>
      <c r="HJI18" s="400"/>
      <c r="HJJ18" s="400"/>
      <c r="HJK18" s="400"/>
      <c r="HJL18" s="400"/>
      <c r="HJM18" s="400"/>
      <c r="HJN18" s="400"/>
      <c r="HJO18" s="400"/>
      <c r="HJP18" s="400"/>
      <c r="HJQ18" s="400"/>
      <c r="HJR18" s="400"/>
      <c r="HJS18" s="400"/>
      <c r="HJT18" s="400"/>
      <c r="HJU18" s="400"/>
      <c r="HJV18" s="400"/>
      <c r="HJW18" s="400"/>
      <c r="HJX18" s="400"/>
      <c r="HJY18" s="400"/>
      <c r="HJZ18" s="400"/>
      <c r="HKA18" s="400"/>
      <c r="HKB18" s="400"/>
      <c r="HKC18" s="400"/>
      <c r="HKD18" s="400"/>
      <c r="HKE18" s="400"/>
      <c r="HKF18" s="400"/>
      <c r="HKG18" s="400"/>
      <c r="HKH18" s="400"/>
      <c r="HKI18" s="400"/>
      <c r="HKJ18" s="400"/>
      <c r="HKK18" s="400"/>
      <c r="HKL18" s="400"/>
      <c r="HKM18" s="400"/>
      <c r="HKN18" s="400"/>
      <c r="HKO18" s="400"/>
      <c r="HKP18" s="400"/>
      <c r="HKQ18" s="400"/>
      <c r="HKR18" s="400"/>
      <c r="HKS18" s="400"/>
      <c r="HKT18" s="400"/>
      <c r="HKU18" s="400"/>
      <c r="HKV18" s="400"/>
      <c r="HKW18" s="400"/>
      <c r="HKX18" s="400"/>
      <c r="HKY18" s="400"/>
      <c r="HKZ18" s="400"/>
      <c r="HLA18" s="400"/>
      <c r="HLB18" s="400"/>
      <c r="HLC18" s="400"/>
      <c r="HLD18" s="400"/>
      <c r="HLE18" s="400"/>
      <c r="HLF18" s="400"/>
      <c r="HLG18" s="400"/>
      <c r="HLH18" s="400"/>
      <c r="HLI18" s="400"/>
      <c r="HLJ18" s="400"/>
      <c r="HLK18" s="400"/>
      <c r="HLL18" s="400"/>
      <c r="HLM18" s="400"/>
      <c r="HLN18" s="400"/>
      <c r="HLO18" s="400"/>
      <c r="HLP18" s="400"/>
      <c r="HLQ18" s="400"/>
      <c r="HLR18" s="400"/>
      <c r="HLS18" s="400"/>
      <c r="HLT18" s="400"/>
      <c r="HLU18" s="400"/>
      <c r="HLV18" s="400"/>
      <c r="HLW18" s="400"/>
      <c r="HLX18" s="400"/>
      <c r="HLY18" s="400"/>
      <c r="HLZ18" s="400"/>
      <c r="HMA18" s="400"/>
      <c r="HMB18" s="400"/>
      <c r="HMC18" s="400"/>
      <c r="HMD18" s="400"/>
      <c r="HME18" s="400"/>
      <c r="HMF18" s="400"/>
      <c r="HMG18" s="400"/>
      <c r="HMH18" s="400"/>
      <c r="HMI18" s="400"/>
      <c r="HMJ18" s="400"/>
      <c r="HMK18" s="400"/>
      <c r="HML18" s="400"/>
      <c r="HMM18" s="400"/>
      <c r="HMN18" s="400"/>
      <c r="HMO18" s="400"/>
      <c r="HMP18" s="400"/>
      <c r="HMQ18" s="400"/>
      <c r="HMR18" s="400"/>
      <c r="HMS18" s="400"/>
      <c r="HMT18" s="400"/>
      <c r="HMU18" s="400"/>
      <c r="HMV18" s="400"/>
      <c r="HMW18" s="400"/>
      <c r="HMX18" s="400"/>
      <c r="HMY18" s="400"/>
      <c r="HMZ18" s="400"/>
      <c r="HNA18" s="400"/>
      <c r="HNB18" s="400"/>
      <c r="HNC18" s="400"/>
      <c r="HND18" s="400"/>
      <c r="HNE18" s="400"/>
      <c r="HNF18" s="400"/>
      <c r="HNG18" s="400"/>
      <c r="HNH18" s="400"/>
      <c r="HNI18" s="400"/>
      <c r="HNJ18" s="400"/>
      <c r="HNK18" s="400"/>
      <c r="HNL18" s="400"/>
      <c r="HNM18" s="400"/>
      <c r="HNN18" s="400"/>
      <c r="HNO18" s="400"/>
      <c r="HNP18" s="400"/>
      <c r="HNQ18" s="400"/>
      <c r="HNR18" s="400"/>
      <c r="HNS18" s="400"/>
      <c r="HNT18" s="400"/>
      <c r="HNU18" s="400"/>
      <c r="HNV18" s="400"/>
      <c r="HNW18" s="400"/>
      <c r="HNX18" s="400"/>
      <c r="HNY18" s="400"/>
      <c r="HNZ18" s="400"/>
      <c r="HOA18" s="400"/>
      <c r="HOB18" s="400"/>
      <c r="HOC18" s="400"/>
      <c r="HOD18" s="400"/>
      <c r="HOE18" s="400"/>
      <c r="HOF18" s="400"/>
      <c r="HOG18" s="400"/>
      <c r="HOH18" s="400"/>
      <c r="HOI18" s="400"/>
      <c r="HOJ18" s="400"/>
      <c r="HOK18" s="400"/>
      <c r="HOL18" s="400"/>
      <c r="HOM18" s="400"/>
      <c r="HON18" s="400"/>
      <c r="HOO18" s="400"/>
      <c r="HOP18" s="400"/>
      <c r="HOQ18" s="400"/>
      <c r="HOR18" s="400"/>
      <c r="HOS18" s="400"/>
      <c r="HOT18" s="400"/>
      <c r="HOU18" s="400"/>
      <c r="HOV18" s="400"/>
      <c r="HOW18" s="400"/>
      <c r="HOX18" s="400"/>
      <c r="HOY18" s="400"/>
      <c r="HOZ18" s="400"/>
      <c r="HPA18" s="400"/>
      <c r="HPB18" s="400"/>
      <c r="HPC18" s="400"/>
      <c r="HPD18" s="400"/>
      <c r="HPE18" s="400"/>
      <c r="HPF18" s="400"/>
      <c r="HPG18" s="400"/>
      <c r="HPH18" s="400"/>
      <c r="HPI18" s="400"/>
      <c r="HPJ18" s="400"/>
      <c r="HPK18" s="400"/>
      <c r="HPL18" s="400"/>
      <c r="HPM18" s="400"/>
      <c r="HPN18" s="400"/>
      <c r="HPO18" s="400"/>
      <c r="HPP18" s="400"/>
      <c r="HPQ18" s="400"/>
      <c r="HPR18" s="400"/>
      <c r="HPS18" s="400"/>
      <c r="HPT18" s="400"/>
      <c r="HPU18" s="400"/>
      <c r="HPV18" s="400"/>
      <c r="HPW18" s="400"/>
      <c r="HPX18" s="400"/>
      <c r="HPY18" s="400"/>
      <c r="HPZ18" s="400"/>
      <c r="HQA18" s="400"/>
      <c r="HQB18" s="400"/>
      <c r="HQC18" s="400"/>
      <c r="HQD18" s="400"/>
      <c r="HQE18" s="400"/>
      <c r="HQF18" s="400"/>
      <c r="HQG18" s="400"/>
      <c r="HQH18" s="400"/>
      <c r="HQI18" s="400"/>
      <c r="HQJ18" s="400"/>
      <c r="HQK18" s="400"/>
      <c r="HQL18" s="400"/>
      <c r="HQM18" s="400"/>
      <c r="HQN18" s="400"/>
      <c r="HQO18" s="400"/>
      <c r="HQP18" s="400"/>
      <c r="HQQ18" s="400"/>
      <c r="HQR18" s="400"/>
      <c r="HQS18" s="400"/>
      <c r="HQT18" s="400"/>
      <c r="HQU18" s="400"/>
      <c r="HQV18" s="400"/>
      <c r="HQW18" s="400"/>
      <c r="HQX18" s="400"/>
      <c r="HQY18" s="400"/>
      <c r="HQZ18" s="400"/>
      <c r="HRA18" s="400"/>
      <c r="HRB18" s="400"/>
      <c r="HRC18" s="400"/>
      <c r="HRD18" s="400"/>
      <c r="HRE18" s="400"/>
      <c r="HRF18" s="400"/>
      <c r="HRG18" s="400"/>
      <c r="HRH18" s="400"/>
      <c r="HRI18" s="400"/>
      <c r="HRJ18" s="400"/>
      <c r="HRK18" s="400"/>
      <c r="HRL18" s="400"/>
      <c r="HRM18" s="400"/>
      <c r="HRN18" s="400"/>
      <c r="HRO18" s="400"/>
      <c r="HRP18" s="400"/>
      <c r="HRQ18" s="400"/>
      <c r="HRR18" s="400"/>
      <c r="HRS18" s="400"/>
      <c r="HRT18" s="400"/>
      <c r="HRU18" s="400"/>
      <c r="HRV18" s="400"/>
      <c r="HRW18" s="400"/>
      <c r="HRX18" s="400"/>
      <c r="HRY18" s="400"/>
      <c r="HRZ18" s="400"/>
      <c r="HSA18" s="400"/>
      <c r="HSB18" s="400"/>
      <c r="HSC18" s="400"/>
      <c r="HSD18" s="400"/>
      <c r="HSE18" s="400"/>
      <c r="HSF18" s="400"/>
      <c r="HSG18" s="400"/>
      <c r="HSH18" s="400"/>
      <c r="HSI18" s="400"/>
      <c r="HSJ18" s="400"/>
      <c r="HSK18" s="400"/>
      <c r="HSL18" s="400"/>
      <c r="HSM18" s="400"/>
      <c r="HSN18" s="400"/>
      <c r="HSO18" s="400"/>
      <c r="HSP18" s="400"/>
      <c r="HSQ18" s="400"/>
      <c r="HSR18" s="400"/>
      <c r="HSS18" s="400"/>
      <c r="HST18" s="400"/>
      <c r="HSU18" s="400"/>
      <c r="HSV18" s="400"/>
      <c r="HSW18" s="400"/>
      <c r="HSX18" s="400"/>
      <c r="HSY18" s="400"/>
      <c r="HSZ18" s="400"/>
      <c r="HTA18" s="400"/>
      <c r="HTB18" s="400"/>
      <c r="HTC18" s="400"/>
      <c r="HTD18" s="400"/>
      <c r="HTE18" s="400"/>
      <c r="HTF18" s="400"/>
      <c r="HTG18" s="400"/>
      <c r="HTH18" s="400"/>
      <c r="HTI18" s="400"/>
      <c r="HTJ18" s="400"/>
      <c r="HTK18" s="400"/>
      <c r="HTL18" s="400"/>
      <c r="HTM18" s="400"/>
      <c r="HTN18" s="400"/>
      <c r="HTO18" s="400"/>
      <c r="HTP18" s="400"/>
      <c r="HTQ18" s="400"/>
      <c r="HTR18" s="400"/>
      <c r="HTS18" s="400"/>
      <c r="HTT18" s="400"/>
      <c r="HTU18" s="400"/>
      <c r="HTV18" s="400"/>
      <c r="HTW18" s="400"/>
      <c r="HTX18" s="400"/>
      <c r="HTY18" s="400"/>
      <c r="HTZ18" s="400"/>
      <c r="HUA18" s="400"/>
      <c r="HUB18" s="400"/>
      <c r="HUC18" s="400"/>
      <c r="HUD18" s="400"/>
      <c r="HUE18" s="400"/>
      <c r="HUF18" s="400"/>
      <c r="HUG18" s="400"/>
      <c r="HUH18" s="400"/>
      <c r="HUI18" s="400"/>
      <c r="HUJ18" s="400"/>
      <c r="HUK18" s="400"/>
      <c r="HUL18" s="400"/>
      <c r="HUM18" s="400"/>
      <c r="HUN18" s="400"/>
      <c r="HUO18" s="400"/>
      <c r="HUP18" s="400"/>
      <c r="HUQ18" s="400"/>
      <c r="HUR18" s="400"/>
      <c r="HUS18" s="400"/>
      <c r="HUT18" s="400"/>
      <c r="HUU18" s="400"/>
      <c r="HUV18" s="400"/>
      <c r="HUW18" s="400"/>
      <c r="HUX18" s="400"/>
      <c r="HUY18" s="400"/>
      <c r="HUZ18" s="400"/>
      <c r="HVA18" s="400"/>
      <c r="HVB18" s="400"/>
      <c r="HVC18" s="400"/>
      <c r="HVD18" s="400"/>
      <c r="HVE18" s="400"/>
      <c r="HVF18" s="400"/>
      <c r="HVG18" s="400"/>
      <c r="HVH18" s="400"/>
      <c r="HVI18" s="400"/>
      <c r="HVJ18" s="400"/>
      <c r="HVK18" s="400"/>
      <c r="HVL18" s="400"/>
      <c r="HVM18" s="400"/>
      <c r="HVN18" s="400"/>
      <c r="HVO18" s="400"/>
      <c r="HVP18" s="400"/>
      <c r="HVQ18" s="400"/>
      <c r="HVR18" s="400"/>
      <c r="HVS18" s="400"/>
      <c r="HVT18" s="400"/>
      <c r="HVU18" s="400"/>
      <c r="HVV18" s="400"/>
      <c r="HVW18" s="400"/>
      <c r="HVX18" s="400"/>
      <c r="HVY18" s="400"/>
      <c r="HVZ18" s="400"/>
      <c r="HWA18" s="400"/>
      <c r="HWB18" s="400"/>
      <c r="HWC18" s="400"/>
      <c r="HWD18" s="400"/>
      <c r="HWE18" s="400"/>
      <c r="HWF18" s="400"/>
      <c r="HWG18" s="400"/>
      <c r="HWH18" s="400"/>
      <c r="HWI18" s="400"/>
      <c r="HWJ18" s="400"/>
      <c r="HWK18" s="400"/>
      <c r="HWL18" s="400"/>
      <c r="HWM18" s="400"/>
      <c r="HWN18" s="400"/>
      <c r="HWO18" s="400"/>
      <c r="HWP18" s="400"/>
      <c r="HWQ18" s="400"/>
      <c r="HWR18" s="400"/>
      <c r="HWS18" s="400"/>
      <c r="HWT18" s="400"/>
      <c r="HWU18" s="400"/>
      <c r="HWV18" s="400"/>
      <c r="HWW18" s="400"/>
      <c r="HWX18" s="400"/>
      <c r="HWY18" s="400"/>
      <c r="HWZ18" s="400"/>
      <c r="HXA18" s="400"/>
      <c r="HXB18" s="400"/>
      <c r="HXC18" s="400"/>
      <c r="HXD18" s="400"/>
      <c r="HXE18" s="400"/>
      <c r="HXF18" s="400"/>
      <c r="HXG18" s="400"/>
      <c r="HXH18" s="400"/>
      <c r="HXI18" s="400"/>
      <c r="HXJ18" s="400"/>
      <c r="HXK18" s="400"/>
      <c r="HXL18" s="400"/>
      <c r="HXM18" s="400"/>
      <c r="HXN18" s="400"/>
      <c r="HXO18" s="400"/>
      <c r="HXP18" s="400"/>
      <c r="HXQ18" s="400"/>
      <c r="HXR18" s="400"/>
      <c r="HXS18" s="400"/>
      <c r="HXT18" s="400"/>
      <c r="HXU18" s="400"/>
      <c r="HXV18" s="400"/>
      <c r="HXW18" s="400"/>
      <c r="HXX18" s="400"/>
      <c r="HXY18" s="400"/>
      <c r="HXZ18" s="400"/>
      <c r="HYA18" s="400"/>
      <c r="HYB18" s="400"/>
      <c r="HYC18" s="400"/>
      <c r="HYD18" s="400"/>
      <c r="HYE18" s="400"/>
      <c r="HYF18" s="400"/>
      <c r="HYG18" s="400"/>
      <c r="HYH18" s="400"/>
      <c r="HYI18" s="400"/>
      <c r="HYJ18" s="400"/>
      <c r="HYK18" s="400"/>
      <c r="HYL18" s="400"/>
      <c r="HYM18" s="400"/>
      <c r="HYN18" s="400"/>
      <c r="HYO18" s="400"/>
      <c r="HYP18" s="400"/>
      <c r="HYQ18" s="400"/>
      <c r="HYR18" s="400"/>
      <c r="HYS18" s="400"/>
      <c r="HYT18" s="400"/>
      <c r="HYU18" s="400"/>
      <c r="HYV18" s="400"/>
      <c r="HYW18" s="400"/>
      <c r="HYX18" s="400"/>
      <c r="HYY18" s="400"/>
      <c r="HYZ18" s="400"/>
      <c r="HZA18" s="400"/>
      <c r="HZB18" s="400"/>
      <c r="HZC18" s="400"/>
      <c r="HZD18" s="400"/>
      <c r="HZE18" s="400"/>
      <c r="HZF18" s="400"/>
      <c r="HZG18" s="400"/>
      <c r="HZH18" s="400"/>
      <c r="HZI18" s="400"/>
      <c r="HZJ18" s="400"/>
      <c r="HZK18" s="400"/>
      <c r="HZL18" s="400"/>
      <c r="HZM18" s="400"/>
      <c r="HZN18" s="400"/>
      <c r="HZO18" s="400"/>
      <c r="HZP18" s="400"/>
      <c r="HZQ18" s="400"/>
      <c r="HZR18" s="400"/>
      <c r="HZS18" s="400"/>
      <c r="HZT18" s="400"/>
      <c r="HZU18" s="400"/>
      <c r="HZV18" s="400"/>
      <c r="HZW18" s="400"/>
      <c r="HZX18" s="400"/>
      <c r="HZY18" s="400"/>
      <c r="HZZ18" s="400"/>
      <c r="IAA18" s="400"/>
      <c r="IAB18" s="400"/>
      <c r="IAC18" s="400"/>
      <c r="IAD18" s="400"/>
      <c r="IAE18" s="400"/>
      <c r="IAF18" s="400"/>
      <c r="IAG18" s="400"/>
      <c r="IAH18" s="400"/>
      <c r="IAI18" s="400"/>
      <c r="IAJ18" s="400"/>
      <c r="IAK18" s="400"/>
      <c r="IAL18" s="400"/>
      <c r="IAM18" s="400"/>
      <c r="IAN18" s="400"/>
      <c r="IAO18" s="400"/>
      <c r="IAP18" s="400"/>
      <c r="IAQ18" s="400"/>
      <c r="IAR18" s="400"/>
      <c r="IAS18" s="400"/>
      <c r="IAT18" s="400"/>
      <c r="IAU18" s="400"/>
      <c r="IAV18" s="400"/>
      <c r="IAW18" s="400"/>
      <c r="IAX18" s="400"/>
      <c r="IAY18" s="400"/>
      <c r="IAZ18" s="400"/>
      <c r="IBA18" s="400"/>
      <c r="IBB18" s="400"/>
      <c r="IBC18" s="400"/>
      <c r="IBD18" s="400"/>
      <c r="IBE18" s="400"/>
      <c r="IBF18" s="400"/>
      <c r="IBG18" s="400"/>
      <c r="IBH18" s="400"/>
      <c r="IBI18" s="400"/>
      <c r="IBJ18" s="400"/>
      <c r="IBK18" s="400"/>
      <c r="IBL18" s="400"/>
      <c r="IBM18" s="400"/>
      <c r="IBN18" s="400"/>
      <c r="IBO18" s="400"/>
      <c r="IBP18" s="400"/>
      <c r="IBQ18" s="400"/>
      <c r="IBR18" s="400"/>
      <c r="IBS18" s="400"/>
      <c r="IBT18" s="400"/>
      <c r="IBU18" s="400"/>
      <c r="IBV18" s="400"/>
      <c r="IBW18" s="400"/>
      <c r="IBX18" s="400"/>
      <c r="IBY18" s="400"/>
      <c r="IBZ18" s="400"/>
      <c r="ICA18" s="400"/>
      <c r="ICB18" s="400"/>
      <c r="ICC18" s="400"/>
      <c r="ICD18" s="400"/>
      <c r="ICE18" s="400"/>
      <c r="ICF18" s="400"/>
      <c r="ICG18" s="400"/>
      <c r="ICH18" s="400"/>
      <c r="ICI18" s="400"/>
      <c r="ICJ18" s="400"/>
      <c r="ICK18" s="400"/>
      <c r="ICL18" s="400"/>
      <c r="ICM18" s="400"/>
      <c r="ICN18" s="400"/>
      <c r="ICO18" s="400"/>
      <c r="ICP18" s="400"/>
      <c r="ICQ18" s="400"/>
      <c r="ICR18" s="400"/>
      <c r="ICS18" s="400"/>
      <c r="ICT18" s="400"/>
      <c r="ICU18" s="400"/>
      <c r="ICV18" s="400"/>
      <c r="ICW18" s="400"/>
      <c r="ICX18" s="400"/>
      <c r="ICY18" s="400"/>
      <c r="ICZ18" s="400"/>
      <c r="IDA18" s="400"/>
      <c r="IDB18" s="400"/>
      <c r="IDC18" s="400"/>
      <c r="IDD18" s="400"/>
      <c r="IDE18" s="400"/>
      <c r="IDF18" s="400"/>
      <c r="IDG18" s="400"/>
      <c r="IDH18" s="400"/>
      <c r="IDI18" s="400"/>
      <c r="IDJ18" s="400"/>
      <c r="IDK18" s="400"/>
      <c r="IDL18" s="400"/>
      <c r="IDM18" s="400"/>
      <c r="IDN18" s="400"/>
      <c r="IDO18" s="400"/>
      <c r="IDP18" s="400"/>
      <c r="IDQ18" s="400"/>
      <c r="IDR18" s="400"/>
      <c r="IDS18" s="400"/>
      <c r="IDT18" s="400"/>
      <c r="IDU18" s="400"/>
      <c r="IDV18" s="400"/>
      <c r="IDW18" s="400"/>
      <c r="IDX18" s="400"/>
      <c r="IDY18" s="400"/>
      <c r="IDZ18" s="400"/>
      <c r="IEA18" s="400"/>
      <c r="IEB18" s="400"/>
      <c r="IEC18" s="400"/>
      <c r="IED18" s="400"/>
      <c r="IEE18" s="400"/>
      <c r="IEF18" s="400"/>
      <c r="IEG18" s="400"/>
      <c r="IEH18" s="400"/>
      <c r="IEI18" s="400"/>
      <c r="IEJ18" s="400"/>
      <c r="IEK18" s="400"/>
      <c r="IEL18" s="400"/>
      <c r="IEM18" s="400"/>
      <c r="IEN18" s="400"/>
      <c r="IEO18" s="400"/>
      <c r="IEP18" s="400"/>
      <c r="IEQ18" s="400"/>
      <c r="IER18" s="400"/>
      <c r="IES18" s="400"/>
      <c r="IET18" s="400"/>
      <c r="IEU18" s="400"/>
      <c r="IEV18" s="400"/>
      <c r="IEW18" s="400"/>
      <c r="IEX18" s="400"/>
      <c r="IEY18" s="400"/>
      <c r="IEZ18" s="400"/>
      <c r="IFA18" s="400"/>
      <c r="IFB18" s="400"/>
      <c r="IFC18" s="400"/>
      <c r="IFD18" s="400"/>
      <c r="IFE18" s="400"/>
      <c r="IFF18" s="400"/>
      <c r="IFG18" s="400"/>
      <c r="IFH18" s="400"/>
      <c r="IFI18" s="400"/>
      <c r="IFJ18" s="400"/>
      <c r="IFK18" s="400"/>
      <c r="IFL18" s="400"/>
      <c r="IFM18" s="400"/>
      <c r="IFN18" s="400"/>
      <c r="IFO18" s="400"/>
      <c r="IFP18" s="400"/>
      <c r="IFQ18" s="400"/>
      <c r="IFR18" s="400"/>
      <c r="IFS18" s="400"/>
      <c r="IFT18" s="400"/>
      <c r="IFU18" s="400"/>
      <c r="IFV18" s="400"/>
      <c r="IFW18" s="400"/>
      <c r="IFX18" s="400"/>
      <c r="IFY18" s="400"/>
      <c r="IFZ18" s="400"/>
      <c r="IGA18" s="400"/>
      <c r="IGB18" s="400"/>
      <c r="IGC18" s="400"/>
      <c r="IGD18" s="400"/>
      <c r="IGE18" s="400"/>
      <c r="IGF18" s="400"/>
      <c r="IGG18" s="400"/>
      <c r="IGH18" s="400"/>
      <c r="IGI18" s="400"/>
      <c r="IGJ18" s="400"/>
      <c r="IGK18" s="400"/>
      <c r="IGL18" s="400"/>
      <c r="IGM18" s="400"/>
      <c r="IGN18" s="400"/>
      <c r="IGO18" s="400"/>
      <c r="IGP18" s="400"/>
      <c r="IGQ18" s="400"/>
      <c r="IGR18" s="400"/>
      <c r="IGS18" s="400"/>
      <c r="IGT18" s="400"/>
      <c r="IGU18" s="400"/>
      <c r="IGV18" s="400"/>
      <c r="IGW18" s="400"/>
      <c r="IGX18" s="400"/>
      <c r="IGY18" s="400"/>
      <c r="IGZ18" s="400"/>
      <c r="IHA18" s="400"/>
      <c r="IHB18" s="400"/>
      <c r="IHC18" s="400"/>
      <c r="IHD18" s="400"/>
      <c r="IHE18" s="400"/>
      <c r="IHF18" s="400"/>
      <c r="IHG18" s="400"/>
      <c r="IHH18" s="400"/>
      <c r="IHI18" s="400"/>
      <c r="IHJ18" s="400"/>
      <c r="IHK18" s="400"/>
      <c r="IHL18" s="400"/>
      <c r="IHM18" s="400"/>
      <c r="IHN18" s="400"/>
      <c r="IHO18" s="400"/>
      <c r="IHP18" s="400"/>
      <c r="IHQ18" s="400"/>
      <c r="IHR18" s="400"/>
      <c r="IHS18" s="400"/>
      <c r="IHT18" s="400"/>
      <c r="IHU18" s="400"/>
      <c r="IHV18" s="400"/>
      <c r="IHW18" s="400"/>
      <c r="IHX18" s="400"/>
      <c r="IHY18" s="400"/>
      <c r="IHZ18" s="400"/>
      <c r="IIA18" s="400"/>
      <c r="IIB18" s="400"/>
      <c r="IIC18" s="400"/>
      <c r="IID18" s="400"/>
      <c r="IIE18" s="400"/>
      <c r="IIF18" s="400"/>
      <c r="IIG18" s="400"/>
      <c r="IIH18" s="400"/>
      <c r="III18" s="400"/>
      <c r="IIJ18" s="400"/>
      <c r="IIK18" s="400"/>
      <c r="IIL18" s="400"/>
      <c r="IIM18" s="400"/>
      <c r="IIN18" s="400"/>
      <c r="IIO18" s="400"/>
      <c r="IIP18" s="400"/>
      <c r="IIQ18" s="400"/>
      <c r="IIR18" s="400"/>
      <c r="IIS18" s="400"/>
      <c r="IIT18" s="400"/>
      <c r="IIU18" s="400"/>
      <c r="IIV18" s="400"/>
      <c r="IIW18" s="400"/>
      <c r="IIX18" s="400"/>
      <c r="IIY18" s="400"/>
      <c r="IIZ18" s="400"/>
      <c r="IJA18" s="400"/>
      <c r="IJB18" s="400"/>
      <c r="IJC18" s="400"/>
      <c r="IJD18" s="400"/>
      <c r="IJE18" s="400"/>
      <c r="IJF18" s="400"/>
      <c r="IJG18" s="400"/>
      <c r="IJH18" s="400"/>
      <c r="IJI18" s="400"/>
      <c r="IJJ18" s="400"/>
      <c r="IJK18" s="400"/>
      <c r="IJL18" s="400"/>
      <c r="IJM18" s="400"/>
      <c r="IJN18" s="400"/>
      <c r="IJO18" s="400"/>
      <c r="IJP18" s="400"/>
      <c r="IJQ18" s="400"/>
      <c r="IJR18" s="400"/>
      <c r="IJS18" s="400"/>
      <c r="IJT18" s="400"/>
      <c r="IJU18" s="400"/>
      <c r="IJV18" s="400"/>
      <c r="IJW18" s="400"/>
      <c r="IJX18" s="400"/>
      <c r="IJY18" s="400"/>
      <c r="IJZ18" s="400"/>
      <c r="IKA18" s="400"/>
      <c r="IKB18" s="400"/>
      <c r="IKC18" s="400"/>
      <c r="IKD18" s="400"/>
      <c r="IKE18" s="400"/>
      <c r="IKF18" s="400"/>
      <c r="IKG18" s="400"/>
      <c r="IKH18" s="400"/>
      <c r="IKI18" s="400"/>
      <c r="IKJ18" s="400"/>
      <c r="IKK18" s="400"/>
      <c r="IKL18" s="400"/>
      <c r="IKM18" s="400"/>
      <c r="IKN18" s="400"/>
      <c r="IKO18" s="400"/>
      <c r="IKP18" s="400"/>
      <c r="IKQ18" s="400"/>
      <c r="IKR18" s="400"/>
      <c r="IKS18" s="400"/>
      <c r="IKT18" s="400"/>
      <c r="IKU18" s="400"/>
      <c r="IKV18" s="400"/>
      <c r="IKW18" s="400"/>
      <c r="IKX18" s="400"/>
      <c r="IKY18" s="400"/>
      <c r="IKZ18" s="400"/>
      <c r="ILA18" s="400"/>
      <c r="ILB18" s="400"/>
      <c r="ILC18" s="400"/>
      <c r="ILD18" s="400"/>
      <c r="ILE18" s="400"/>
      <c r="ILF18" s="400"/>
      <c r="ILG18" s="400"/>
      <c r="ILH18" s="400"/>
      <c r="ILI18" s="400"/>
      <c r="ILJ18" s="400"/>
      <c r="ILK18" s="400"/>
      <c r="ILL18" s="400"/>
      <c r="ILM18" s="400"/>
      <c r="ILN18" s="400"/>
      <c r="ILO18" s="400"/>
      <c r="ILP18" s="400"/>
      <c r="ILQ18" s="400"/>
      <c r="ILR18" s="400"/>
      <c r="ILS18" s="400"/>
      <c r="ILT18" s="400"/>
      <c r="ILU18" s="400"/>
      <c r="ILV18" s="400"/>
      <c r="ILW18" s="400"/>
      <c r="ILX18" s="400"/>
      <c r="ILY18" s="400"/>
      <c r="ILZ18" s="400"/>
      <c r="IMA18" s="400"/>
      <c r="IMB18" s="400"/>
      <c r="IMC18" s="400"/>
      <c r="IMD18" s="400"/>
      <c r="IME18" s="400"/>
      <c r="IMF18" s="400"/>
      <c r="IMG18" s="400"/>
      <c r="IMH18" s="400"/>
      <c r="IMI18" s="400"/>
      <c r="IMJ18" s="400"/>
      <c r="IMK18" s="400"/>
      <c r="IML18" s="400"/>
      <c r="IMM18" s="400"/>
      <c r="IMN18" s="400"/>
      <c r="IMO18" s="400"/>
      <c r="IMP18" s="400"/>
      <c r="IMQ18" s="400"/>
      <c r="IMR18" s="400"/>
      <c r="IMS18" s="400"/>
      <c r="IMT18" s="400"/>
      <c r="IMU18" s="400"/>
      <c r="IMV18" s="400"/>
      <c r="IMW18" s="400"/>
      <c r="IMX18" s="400"/>
      <c r="IMY18" s="400"/>
      <c r="IMZ18" s="400"/>
      <c r="INA18" s="400"/>
      <c r="INB18" s="400"/>
      <c r="INC18" s="400"/>
      <c r="IND18" s="400"/>
      <c r="INE18" s="400"/>
      <c r="INF18" s="400"/>
      <c r="ING18" s="400"/>
      <c r="INH18" s="400"/>
      <c r="INI18" s="400"/>
      <c r="INJ18" s="400"/>
      <c r="INK18" s="400"/>
      <c r="INL18" s="400"/>
      <c r="INM18" s="400"/>
      <c r="INN18" s="400"/>
      <c r="INO18" s="400"/>
      <c r="INP18" s="400"/>
      <c r="INQ18" s="400"/>
      <c r="INR18" s="400"/>
      <c r="INS18" s="400"/>
      <c r="INT18" s="400"/>
      <c r="INU18" s="400"/>
      <c r="INV18" s="400"/>
      <c r="INW18" s="400"/>
      <c r="INX18" s="400"/>
      <c r="INY18" s="400"/>
      <c r="INZ18" s="400"/>
      <c r="IOA18" s="400"/>
      <c r="IOB18" s="400"/>
      <c r="IOC18" s="400"/>
      <c r="IOD18" s="400"/>
      <c r="IOE18" s="400"/>
      <c r="IOF18" s="400"/>
      <c r="IOG18" s="400"/>
      <c r="IOH18" s="400"/>
      <c r="IOI18" s="400"/>
      <c r="IOJ18" s="400"/>
      <c r="IOK18" s="400"/>
      <c r="IOL18" s="400"/>
      <c r="IOM18" s="400"/>
      <c r="ION18" s="400"/>
      <c r="IOO18" s="400"/>
      <c r="IOP18" s="400"/>
      <c r="IOQ18" s="400"/>
      <c r="IOR18" s="400"/>
      <c r="IOS18" s="400"/>
      <c r="IOT18" s="400"/>
      <c r="IOU18" s="400"/>
      <c r="IOV18" s="400"/>
      <c r="IOW18" s="400"/>
      <c r="IOX18" s="400"/>
      <c r="IOY18" s="400"/>
      <c r="IOZ18" s="400"/>
      <c r="IPA18" s="400"/>
      <c r="IPB18" s="400"/>
      <c r="IPC18" s="400"/>
      <c r="IPD18" s="400"/>
      <c r="IPE18" s="400"/>
      <c r="IPF18" s="400"/>
      <c r="IPG18" s="400"/>
      <c r="IPH18" s="400"/>
      <c r="IPI18" s="400"/>
      <c r="IPJ18" s="400"/>
      <c r="IPK18" s="400"/>
      <c r="IPL18" s="400"/>
      <c r="IPM18" s="400"/>
      <c r="IPN18" s="400"/>
      <c r="IPO18" s="400"/>
      <c r="IPP18" s="400"/>
      <c r="IPQ18" s="400"/>
      <c r="IPR18" s="400"/>
      <c r="IPS18" s="400"/>
      <c r="IPT18" s="400"/>
      <c r="IPU18" s="400"/>
      <c r="IPV18" s="400"/>
      <c r="IPW18" s="400"/>
      <c r="IPX18" s="400"/>
      <c r="IPY18" s="400"/>
      <c r="IPZ18" s="400"/>
      <c r="IQA18" s="400"/>
      <c r="IQB18" s="400"/>
      <c r="IQC18" s="400"/>
      <c r="IQD18" s="400"/>
      <c r="IQE18" s="400"/>
      <c r="IQF18" s="400"/>
      <c r="IQG18" s="400"/>
      <c r="IQH18" s="400"/>
      <c r="IQI18" s="400"/>
      <c r="IQJ18" s="400"/>
      <c r="IQK18" s="400"/>
      <c r="IQL18" s="400"/>
      <c r="IQM18" s="400"/>
      <c r="IQN18" s="400"/>
      <c r="IQO18" s="400"/>
      <c r="IQP18" s="400"/>
      <c r="IQQ18" s="400"/>
      <c r="IQR18" s="400"/>
      <c r="IQS18" s="400"/>
      <c r="IQT18" s="400"/>
      <c r="IQU18" s="400"/>
      <c r="IQV18" s="400"/>
      <c r="IQW18" s="400"/>
      <c r="IQX18" s="400"/>
      <c r="IQY18" s="400"/>
      <c r="IQZ18" s="400"/>
      <c r="IRA18" s="400"/>
      <c r="IRB18" s="400"/>
      <c r="IRC18" s="400"/>
      <c r="IRD18" s="400"/>
      <c r="IRE18" s="400"/>
      <c r="IRF18" s="400"/>
      <c r="IRG18" s="400"/>
      <c r="IRH18" s="400"/>
      <c r="IRI18" s="400"/>
      <c r="IRJ18" s="400"/>
      <c r="IRK18" s="400"/>
      <c r="IRL18" s="400"/>
      <c r="IRM18" s="400"/>
      <c r="IRN18" s="400"/>
      <c r="IRO18" s="400"/>
      <c r="IRP18" s="400"/>
      <c r="IRQ18" s="400"/>
      <c r="IRR18" s="400"/>
      <c r="IRS18" s="400"/>
      <c r="IRT18" s="400"/>
      <c r="IRU18" s="400"/>
      <c r="IRV18" s="400"/>
      <c r="IRW18" s="400"/>
      <c r="IRX18" s="400"/>
      <c r="IRY18" s="400"/>
      <c r="IRZ18" s="400"/>
      <c r="ISA18" s="400"/>
      <c r="ISB18" s="400"/>
      <c r="ISC18" s="400"/>
      <c r="ISD18" s="400"/>
      <c r="ISE18" s="400"/>
      <c r="ISF18" s="400"/>
      <c r="ISG18" s="400"/>
      <c r="ISH18" s="400"/>
      <c r="ISI18" s="400"/>
      <c r="ISJ18" s="400"/>
      <c r="ISK18" s="400"/>
      <c r="ISL18" s="400"/>
      <c r="ISM18" s="400"/>
      <c r="ISN18" s="400"/>
      <c r="ISO18" s="400"/>
      <c r="ISP18" s="400"/>
      <c r="ISQ18" s="400"/>
      <c r="ISR18" s="400"/>
      <c r="ISS18" s="400"/>
      <c r="IST18" s="400"/>
      <c r="ISU18" s="400"/>
      <c r="ISV18" s="400"/>
      <c r="ISW18" s="400"/>
      <c r="ISX18" s="400"/>
      <c r="ISY18" s="400"/>
      <c r="ISZ18" s="400"/>
      <c r="ITA18" s="400"/>
      <c r="ITB18" s="400"/>
      <c r="ITC18" s="400"/>
      <c r="ITD18" s="400"/>
      <c r="ITE18" s="400"/>
      <c r="ITF18" s="400"/>
      <c r="ITG18" s="400"/>
      <c r="ITH18" s="400"/>
      <c r="ITI18" s="400"/>
      <c r="ITJ18" s="400"/>
      <c r="ITK18" s="400"/>
      <c r="ITL18" s="400"/>
      <c r="ITM18" s="400"/>
      <c r="ITN18" s="400"/>
      <c r="ITO18" s="400"/>
      <c r="ITP18" s="400"/>
      <c r="ITQ18" s="400"/>
      <c r="ITR18" s="400"/>
      <c r="ITS18" s="400"/>
      <c r="ITT18" s="400"/>
      <c r="ITU18" s="400"/>
      <c r="ITV18" s="400"/>
      <c r="ITW18" s="400"/>
      <c r="ITX18" s="400"/>
      <c r="ITY18" s="400"/>
      <c r="ITZ18" s="400"/>
      <c r="IUA18" s="400"/>
      <c r="IUB18" s="400"/>
      <c r="IUC18" s="400"/>
      <c r="IUD18" s="400"/>
      <c r="IUE18" s="400"/>
      <c r="IUF18" s="400"/>
      <c r="IUG18" s="400"/>
      <c r="IUH18" s="400"/>
      <c r="IUI18" s="400"/>
      <c r="IUJ18" s="400"/>
      <c r="IUK18" s="400"/>
      <c r="IUL18" s="400"/>
      <c r="IUM18" s="400"/>
      <c r="IUN18" s="400"/>
      <c r="IUO18" s="400"/>
      <c r="IUP18" s="400"/>
      <c r="IUQ18" s="400"/>
      <c r="IUR18" s="400"/>
      <c r="IUS18" s="400"/>
      <c r="IUT18" s="400"/>
      <c r="IUU18" s="400"/>
      <c r="IUV18" s="400"/>
      <c r="IUW18" s="400"/>
      <c r="IUX18" s="400"/>
      <c r="IUY18" s="400"/>
      <c r="IUZ18" s="400"/>
      <c r="IVA18" s="400"/>
      <c r="IVB18" s="400"/>
      <c r="IVC18" s="400"/>
      <c r="IVD18" s="400"/>
      <c r="IVE18" s="400"/>
      <c r="IVF18" s="400"/>
      <c r="IVG18" s="400"/>
      <c r="IVH18" s="400"/>
      <c r="IVI18" s="400"/>
      <c r="IVJ18" s="400"/>
      <c r="IVK18" s="400"/>
      <c r="IVL18" s="400"/>
      <c r="IVM18" s="400"/>
      <c r="IVN18" s="400"/>
      <c r="IVO18" s="400"/>
      <c r="IVP18" s="400"/>
      <c r="IVQ18" s="400"/>
      <c r="IVR18" s="400"/>
      <c r="IVS18" s="400"/>
      <c r="IVT18" s="400"/>
      <c r="IVU18" s="400"/>
      <c r="IVV18" s="400"/>
      <c r="IVW18" s="400"/>
      <c r="IVX18" s="400"/>
      <c r="IVY18" s="400"/>
      <c r="IVZ18" s="400"/>
      <c r="IWA18" s="400"/>
      <c r="IWB18" s="400"/>
      <c r="IWC18" s="400"/>
      <c r="IWD18" s="400"/>
      <c r="IWE18" s="400"/>
      <c r="IWF18" s="400"/>
      <c r="IWG18" s="400"/>
      <c r="IWH18" s="400"/>
      <c r="IWI18" s="400"/>
      <c r="IWJ18" s="400"/>
      <c r="IWK18" s="400"/>
      <c r="IWL18" s="400"/>
      <c r="IWM18" s="400"/>
      <c r="IWN18" s="400"/>
      <c r="IWO18" s="400"/>
      <c r="IWP18" s="400"/>
      <c r="IWQ18" s="400"/>
      <c r="IWR18" s="400"/>
      <c r="IWS18" s="400"/>
      <c r="IWT18" s="400"/>
      <c r="IWU18" s="400"/>
      <c r="IWV18" s="400"/>
      <c r="IWW18" s="400"/>
      <c r="IWX18" s="400"/>
      <c r="IWY18" s="400"/>
      <c r="IWZ18" s="400"/>
      <c r="IXA18" s="400"/>
      <c r="IXB18" s="400"/>
      <c r="IXC18" s="400"/>
      <c r="IXD18" s="400"/>
      <c r="IXE18" s="400"/>
      <c r="IXF18" s="400"/>
      <c r="IXG18" s="400"/>
      <c r="IXH18" s="400"/>
      <c r="IXI18" s="400"/>
      <c r="IXJ18" s="400"/>
      <c r="IXK18" s="400"/>
      <c r="IXL18" s="400"/>
      <c r="IXM18" s="400"/>
      <c r="IXN18" s="400"/>
      <c r="IXO18" s="400"/>
      <c r="IXP18" s="400"/>
      <c r="IXQ18" s="400"/>
      <c r="IXR18" s="400"/>
      <c r="IXS18" s="400"/>
      <c r="IXT18" s="400"/>
      <c r="IXU18" s="400"/>
      <c r="IXV18" s="400"/>
      <c r="IXW18" s="400"/>
      <c r="IXX18" s="400"/>
      <c r="IXY18" s="400"/>
      <c r="IXZ18" s="400"/>
      <c r="IYA18" s="400"/>
      <c r="IYB18" s="400"/>
      <c r="IYC18" s="400"/>
      <c r="IYD18" s="400"/>
      <c r="IYE18" s="400"/>
      <c r="IYF18" s="400"/>
      <c r="IYG18" s="400"/>
      <c r="IYH18" s="400"/>
      <c r="IYI18" s="400"/>
      <c r="IYJ18" s="400"/>
      <c r="IYK18" s="400"/>
      <c r="IYL18" s="400"/>
      <c r="IYM18" s="400"/>
      <c r="IYN18" s="400"/>
      <c r="IYO18" s="400"/>
      <c r="IYP18" s="400"/>
      <c r="IYQ18" s="400"/>
      <c r="IYR18" s="400"/>
      <c r="IYS18" s="400"/>
      <c r="IYT18" s="400"/>
      <c r="IYU18" s="400"/>
      <c r="IYV18" s="400"/>
      <c r="IYW18" s="400"/>
      <c r="IYX18" s="400"/>
      <c r="IYY18" s="400"/>
      <c r="IYZ18" s="400"/>
      <c r="IZA18" s="400"/>
      <c r="IZB18" s="400"/>
      <c r="IZC18" s="400"/>
      <c r="IZD18" s="400"/>
      <c r="IZE18" s="400"/>
      <c r="IZF18" s="400"/>
      <c r="IZG18" s="400"/>
      <c r="IZH18" s="400"/>
      <c r="IZI18" s="400"/>
      <c r="IZJ18" s="400"/>
      <c r="IZK18" s="400"/>
      <c r="IZL18" s="400"/>
      <c r="IZM18" s="400"/>
      <c r="IZN18" s="400"/>
      <c r="IZO18" s="400"/>
      <c r="IZP18" s="400"/>
      <c r="IZQ18" s="400"/>
      <c r="IZR18" s="400"/>
      <c r="IZS18" s="400"/>
      <c r="IZT18" s="400"/>
      <c r="IZU18" s="400"/>
      <c r="IZV18" s="400"/>
      <c r="IZW18" s="400"/>
      <c r="IZX18" s="400"/>
      <c r="IZY18" s="400"/>
      <c r="IZZ18" s="400"/>
      <c r="JAA18" s="400"/>
      <c r="JAB18" s="400"/>
      <c r="JAC18" s="400"/>
      <c r="JAD18" s="400"/>
      <c r="JAE18" s="400"/>
      <c r="JAF18" s="400"/>
      <c r="JAG18" s="400"/>
      <c r="JAH18" s="400"/>
      <c r="JAI18" s="400"/>
      <c r="JAJ18" s="400"/>
      <c r="JAK18" s="400"/>
      <c r="JAL18" s="400"/>
      <c r="JAM18" s="400"/>
      <c r="JAN18" s="400"/>
      <c r="JAO18" s="400"/>
      <c r="JAP18" s="400"/>
      <c r="JAQ18" s="400"/>
      <c r="JAR18" s="400"/>
      <c r="JAS18" s="400"/>
      <c r="JAT18" s="400"/>
      <c r="JAU18" s="400"/>
      <c r="JAV18" s="400"/>
      <c r="JAW18" s="400"/>
      <c r="JAX18" s="400"/>
      <c r="JAY18" s="400"/>
      <c r="JAZ18" s="400"/>
      <c r="JBA18" s="400"/>
      <c r="JBB18" s="400"/>
      <c r="JBC18" s="400"/>
      <c r="JBD18" s="400"/>
      <c r="JBE18" s="400"/>
      <c r="JBF18" s="400"/>
      <c r="JBG18" s="400"/>
      <c r="JBH18" s="400"/>
      <c r="JBI18" s="400"/>
      <c r="JBJ18" s="400"/>
      <c r="JBK18" s="400"/>
      <c r="JBL18" s="400"/>
      <c r="JBM18" s="400"/>
      <c r="JBN18" s="400"/>
      <c r="JBO18" s="400"/>
      <c r="JBP18" s="400"/>
      <c r="JBQ18" s="400"/>
      <c r="JBR18" s="400"/>
      <c r="JBS18" s="400"/>
      <c r="JBT18" s="400"/>
      <c r="JBU18" s="400"/>
      <c r="JBV18" s="400"/>
      <c r="JBW18" s="400"/>
      <c r="JBX18" s="400"/>
      <c r="JBY18" s="400"/>
      <c r="JBZ18" s="400"/>
      <c r="JCA18" s="400"/>
      <c r="JCB18" s="400"/>
      <c r="JCC18" s="400"/>
      <c r="JCD18" s="400"/>
      <c r="JCE18" s="400"/>
      <c r="JCF18" s="400"/>
      <c r="JCG18" s="400"/>
      <c r="JCH18" s="400"/>
      <c r="JCI18" s="400"/>
      <c r="JCJ18" s="400"/>
      <c r="JCK18" s="400"/>
      <c r="JCL18" s="400"/>
      <c r="JCM18" s="400"/>
      <c r="JCN18" s="400"/>
      <c r="JCO18" s="400"/>
      <c r="JCP18" s="400"/>
      <c r="JCQ18" s="400"/>
      <c r="JCR18" s="400"/>
      <c r="JCS18" s="400"/>
      <c r="JCT18" s="400"/>
      <c r="JCU18" s="400"/>
      <c r="JCV18" s="400"/>
      <c r="JCW18" s="400"/>
      <c r="JCX18" s="400"/>
      <c r="JCY18" s="400"/>
      <c r="JCZ18" s="400"/>
      <c r="JDA18" s="400"/>
      <c r="JDB18" s="400"/>
      <c r="JDC18" s="400"/>
      <c r="JDD18" s="400"/>
      <c r="JDE18" s="400"/>
      <c r="JDF18" s="400"/>
      <c r="JDG18" s="400"/>
      <c r="JDH18" s="400"/>
      <c r="JDI18" s="400"/>
      <c r="JDJ18" s="400"/>
      <c r="JDK18" s="400"/>
      <c r="JDL18" s="400"/>
      <c r="JDM18" s="400"/>
      <c r="JDN18" s="400"/>
      <c r="JDO18" s="400"/>
      <c r="JDP18" s="400"/>
      <c r="JDQ18" s="400"/>
      <c r="JDR18" s="400"/>
      <c r="JDS18" s="400"/>
      <c r="JDT18" s="400"/>
      <c r="JDU18" s="400"/>
      <c r="JDV18" s="400"/>
      <c r="JDW18" s="400"/>
      <c r="JDX18" s="400"/>
      <c r="JDY18" s="400"/>
      <c r="JDZ18" s="400"/>
      <c r="JEA18" s="400"/>
      <c r="JEB18" s="400"/>
      <c r="JEC18" s="400"/>
      <c r="JED18" s="400"/>
      <c r="JEE18" s="400"/>
      <c r="JEF18" s="400"/>
      <c r="JEG18" s="400"/>
      <c r="JEH18" s="400"/>
      <c r="JEI18" s="400"/>
      <c r="JEJ18" s="400"/>
      <c r="JEK18" s="400"/>
      <c r="JEL18" s="400"/>
      <c r="JEM18" s="400"/>
      <c r="JEN18" s="400"/>
      <c r="JEO18" s="400"/>
      <c r="JEP18" s="400"/>
      <c r="JEQ18" s="400"/>
      <c r="JER18" s="400"/>
      <c r="JES18" s="400"/>
      <c r="JET18" s="400"/>
      <c r="JEU18" s="400"/>
      <c r="JEV18" s="400"/>
      <c r="JEW18" s="400"/>
      <c r="JEX18" s="400"/>
      <c r="JEY18" s="400"/>
      <c r="JEZ18" s="400"/>
      <c r="JFA18" s="400"/>
      <c r="JFB18" s="400"/>
      <c r="JFC18" s="400"/>
      <c r="JFD18" s="400"/>
      <c r="JFE18" s="400"/>
      <c r="JFF18" s="400"/>
      <c r="JFG18" s="400"/>
      <c r="JFH18" s="400"/>
      <c r="JFI18" s="400"/>
      <c r="JFJ18" s="400"/>
      <c r="JFK18" s="400"/>
      <c r="JFL18" s="400"/>
      <c r="JFM18" s="400"/>
      <c r="JFN18" s="400"/>
      <c r="JFO18" s="400"/>
      <c r="JFP18" s="400"/>
      <c r="JFQ18" s="400"/>
      <c r="JFR18" s="400"/>
      <c r="JFS18" s="400"/>
      <c r="JFT18" s="400"/>
      <c r="JFU18" s="400"/>
      <c r="JFV18" s="400"/>
      <c r="JFW18" s="400"/>
      <c r="JFX18" s="400"/>
      <c r="JFY18" s="400"/>
      <c r="JFZ18" s="400"/>
      <c r="JGA18" s="400"/>
      <c r="JGB18" s="400"/>
      <c r="JGC18" s="400"/>
      <c r="JGD18" s="400"/>
      <c r="JGE18" s="400"/>
      <c r="JGF18" s="400"/>
      <c r="JGG18" s="400"/>
      <c r="JGH18" s="400"/>
      <c r="JGI18" s="400"/>
      <c r="JGJ18" s="400"/>
      <c r="JGK18" s="400"/>
      <c r="JGL18" s="400"/>
      <c r="JGM18" s="400"/>
      <c r="JGN18" s="400"/>
      <c r="JGO18" s="400"/>
      <c r="JGP18" s="400"/>
      <c r="JGQ18" s="400"/>
      <c r="JGR18" s="400"/>
      <c r="JGS18" s="400"/>
      <c r="JGT18" s="400"/>
      <c r="JGU18" s="400"/>
      <c r="JGV18" s="400"/>
      <c r="JGW18" s="400"/>
      <c r="JGX18" s="400"/>
      <c r="JGY18" s="400"/>
      <c r="JGZ18" s="400"/>
      <c r="JHA18" s="400"/>
      <c r="JHB18" s="400"/>
      <c r="JHC18" s="400"/>
      <c r="JHD18" s="400"/>
      <c r="JHE18" s="400"/>
      <c r="JHF18" s="400"/>
      <c r="JHG18" s="400"/>
      <c r="JHH18" s="400"/>
      <c r="JHI18" s="400"/>
      <c r="JHJ18" s="400"/>
      <c r="JHK18" s="400"/>
      <c r="JHL18" s="400"/>
      <c r="JHM18" s="400"/>
      <c r="JHN18" s="400"/>
      <c r="JHO18" s="400"/>
      <c r="JHP18" s="400"/>
      <c r="JHQ18" s="400"/>
      <c r="JHR18" s="400"/>
      <c r="JHS18" s="400"/>
      <c r="JHT18" s="400"/>
      <c r="JHU18" s="400"/>
      <c r="JHV18" s="400"/>
      <c r="JHW18" s="400"/>
      <c r="JHX18" s="400"/>
      <c r="JHY18" s="400"/>
      <c r="JHZ18" s="400"/>
      <c r="JIA18" s="400"/>
      <c r="JIB18" s="400"/>
      <c r="JIC18" s="400"/>
      <c r="JID18" s="400"/>
      <c r="JIE18" s="400"/>
      <c r="JIF18" s="400"/>
      <c r="JIG18" s="400"/>
      <c r="JIH18" s="400"/>
      <c r="JII18" s="400"/>
      <c r="JIJ18" s="400"/>
      <c r="JIK18" s="400"/>
      <c r="JIL18" s="400"/>
      <c r="JIM18" s="400"/>
      <c r="JIN18" s="400"/>
      <c r="JIO18" s="400"/>
      <c r="JIP18" s="400"/>
      <c r="JIQ18" s="400"/>
      <c r="JIR18" s="400"/>
      <c r="JIS18" s="400"/>
      <c r="JIT18" s="400"/>
      <c r="JIU18" s="400"/>
      <c r="JIV18" s="400"/>
      <c r="JIW18" s="400"/>
      <c r="JIX18" s="400"/>
      <c r="JIY18" s="400"/>
      <c r="JIZ18" s="400"/>
      <c r="JJA18" s="400"/>
      <c r="JJB18" s="400"/>
      <c r="JJC18" s="400"/>
      <c r="JJD18" s="400"/>
      <c r="JJE18" s="400"/>
      <c r="JJF18" s="400"/>
      <c r="JJG18" s="400"/>
      <c r="JJH18" s="400"/>
      <c r="JJI18" s="400"/>
      <c r="JJJ18" s="400"/>
      <c r="JJK18" s="400"/>
      <c r="JJL18" s="400"/>
      <c r="JJM18" s="400"/>
      <c r="JJN18" s="400"/>
      <c r="JJO18" s="400"/>
      <c r="JJP18" s="400"/>
      <c r="JJQ18" s="400"/>
      <c r="JJR18" s="400"/>
      <c r="JJS18" s="400"/>
      <c r="JJT18" s="400"/>
      <c r="JJU18" s="400"/>
      <c r="JJV18" s="400"/>
      <c r="JJW18" s="400"/>
      <c r="JJX18" s="400"/>
      <c r="JJY18" s="400"/>
      <c r="JJZ18" s="400"/>
      <c r="JKA18" s="400"/>
      <c r="JKB18" s="400"/>
      <c r="JKC18" s="400"/>
      <c r="JKD18" s="400"/>
      <c r="JKE18" s="400"/>
      <c r="JKF18" s="400"/>
      <c r="JKG18" s="400"/>
      <c r="JKH18" s="400"/>
      <c r="JKI18" s="400"/>
      <c r="JKJ18" s="400"/>
      <c r="JKK18" s="400"/>
      <c r="JKL18" s="400"/>
      <c r="JKM18" s="400"/>
      <c r="JKN18" s="400"/>
      <c r="JKO18" s="400"/>
      <c r="JKP18" s="400"/>
      <c r="JKQ18" s="400"/>
      <c r="JKR18" s="400"/>
      <c r="JKS18" s="400"/>
      <c r="JKT18" s="400"/>
      <c r="JKU18" s="400"/>
      <c r="JKV18" s="400"/>
      <c r="JKW18" s="400"/>
      <c r="JKX18" s="400"/>
      <c r="JKY18" s="400"/>
      <c r="JKZ18" s="400"/>
      <c r="JLA18" s="400"/>
      <c r="JLB18" s="400"/>
      <c r="JLC18" s="400"/>
      <c r="JLD18" s="400"/>
      <c r="JLE18" s="400"/>
      <c r="JLF18" s="400"/>
      <c r="JLG18" s="400"/>
      <c r="JLH18" s="400"/>
      <c r="JLI18" s="400"/>
      <c r="JLJ18" s="400"/>
      <c r="JLK18" s="400"/>
      <c r="JLL18" s="400"/>
      <c r="JLM18" s="400"/>
      <c r="JLN18" s="400"/>
      <c r="JLO18" s="400"/>
      <c r="JLP18" s="400"/>
      <c r="JLQ18" s="400"/>
      <c r="JLR18" s="400"/>
      <c r="JLS18" s="400"/>
      <c r="JLT18" s="400"/>
      <c r="JLU18" s="400"/>
      <c r="JLV18" s="400"/>
      <c r="JLW18" s="400"/>
      <c r="JLX18" s="400"/>
      <c r="JLY18" s="400"/>
      <c r="JLZ18" s="400"/>
      <c r="JMA18" s="400"/>
      <c r="JMB18" s="400"/>
      <c r="JMC18" s="400"/>
      <c r="JMD18" s="400"/>
      <c r="JME18" s="400"/>
      <c r="JMF18" s="400"/>
      <c r="JMG18" s="400"/>
      <c r="JMH18" s="400"/>
      <c r="JMI18" s="400"/>
      <c r="JMJ18" s="400"/>
      <c r="JMK18" s="400"/>
      <c r="JML18" s="400"/>
      <c r="JMM18" s="400"/>
      <c r="JMN18" s="400"/>
      <c r="JMO18" s="400"/>
      <c r="JMP18" s="400"/>
      <c r="JMQ18" s="400"/>
      <c r="JMR18" s="400"/>
      <c r="JMS18" s="400"/>
      <c r="JMT18" s="400"/>
      <c r="JMU18" s="400"/>
      <c r="JMV18" s="400"/>
      <c r="JMW18" s="400"/>
      <c r="JMX18" s="400"/>
      <c r="JMY18" s="400"/>
      <c r="JMZ18" s="400"/>
      <c r="JNA18" s="400"/>
      <c r="JNB18" s="400"/>
      <c r="JNC18" s="400"/>
      <c r="JND18" s="400"/>
      <c r="JNE18" s="400"/>
      <c r="JNF18" s="400"/>
      <c r="JNG18" s="400"/>
      <c r="JNH18" s="400"/>
      <c r="JNI18" s="400"/>
      <c r="JNJ18" s="400"/>
      <c r="JNK18" s="400"/>
      <c r="JNL18" s="400"/>
      <c r="JNM18" s="400"/>
      <c r="JNN18" s="400"/>
      <c r="JNO18" s="400"/>
      <c r="JNP18" s="400"/>
      <c r="JNQ18" s="400"/>
      <c r="JNR18" s="400"/>
      <c r="JNS18" s="400"/>
      <c r="JNT18" s="400"/>
      <c r="JNU18" s="400"/>
      <c r="JNV18" s="400"/>
      <c r="JNW18" s="400"/>
      <c r="JNX18" s="400"/>
      <c r="JNY18" s="400"/>
      <c r="JNZ18" s="400"/>
      <c r="JOA18" s="400"/>
      <c r="JOB18" s="400"/>
      <c r="JOC18" s="400"/>
      <c r="JOD18" s="400"/>
      <c r="JOE18" s="400"/>
      <c r="JOF18" s="400"/>
      <c r="JOG18" s="400"/>
      <c r="JOH18" s="400"/>
      <c r="JOI18" s="400"/>
      <c r="JOJ18" s="400"/>
      <c r="JOK18" s="400"/>
      <c r="JOL18" s="400"/>
      <c r="JOM18" s="400"/>
      <c r="JON18" s="400"/>
      <c r="JOO18" s="400"/>
      <c r="JOP18" s="400"/>
      <c r="JOQ18" s="400"/>
      <c r="JOR18" s="400"/>
      <c r="JOS18" s="400"/>
      <c r="JOT18" s="400"/>
      <c r="JOU18" s="400"/>
      <c r="JOV18" s="400"/>
      <c r="JOW18" s="400"/>
      <c r="JOX18" s="400"/>
      <c r="JOY18" s="400"/>
      <c r="JOZ18" s="400"/>
      <c r="JPA18" s="400"/>
      <c r="JPB18" s="400"/>
      <c r="JPC18" s="400"/>
      <c r="JPD18" s="400"/>
      <c r="JPE18" s="400"/>
      <c r="JPF18" s="400"/>
      <c r="JPG18" s="400"/>
      <c r="JPH18" s="400"/>
      <c r="JPI18" s="400"/>
      <c r="JPJ18" s="400"/>
      <c r="JPK18" s="400"/>
      <c r="JPL18" s="400"/>
      <c r="JPM18" s="400"/>
      <c r="JPN18" s="400"/>
      <c r="JPO18" s="400"/>
      <c r="JPP18" s="400"/>
      <c r="JPQ18" s="400"/>
      <c r="JPR18" s="400"/>
      <c r="JPS18" s="400"/>
      <c r="JPT18" s="400"/>
      <c r="JPU18" s="400"/>
      <c r="JPV18" s="400"/>
      <c r="JPW18" s="400"/>
      <c r="JPX18" s="400"/>
      <c r="JPY18" s="400"/>
      <c r="JPZ18" s="400"/>
      <c r="JQA18" s="400"/>
      <c r="JQB18" s="400"/>
      <c r="JQC18" s="400"/>
      <c r="JQD18" s="400"/>
      <c r="JQE18" s="400"/>
      <c r="JQF18" s="400"/>
      <c r="JQG18" s="400"/>
      <c r="JQH18" s="400"/>
      <c r="JQI18" s="400"/>
      <c r="JQJ18" s="400"/>
      <c r="JQK18" s="400"/>
      <c r="JQL18" s="400"/>
      <c r="JQM18" s="400"/>
      <c r="JQN18" s="400"/>
      <c r="JQO18" s="400"/>
      <c r="JQP18" s="400"/>
      <c r="JQQ18" s="400"/>
      <c r="JQR18" s="400"/>
      <c r="JQS18" s="400"/>
      <c r="JQT18" s="400"/>
      <c r="JQU18" s="400"/>
      <c r="JQV18" s="400"/>
      <c r="JQW18" s="400"/>
      <c r="JQX18" s="400"/>
      <c r="JQY18" s="400"/>
      <c r="JQZ18" s="400"/>
      <c r="JRA18" s="400"/>
      <c r="JRB18" s="400"/>
      <c r="JRC18" s="400"/>
      <c r="JRD18" s="400"/>
      <c r="JRE18" s="400"/>
      <c r="JRF18" s="400"/>
      <c r="JRG18" s="400"/>
      <c r="JRH18" s="400"/>
      <c r="JRI18" s="400"/>
      <c r="JRJ18" s="400"/>
      <c r="JRK18" s="400"/>
      <c r="JRL18" s="400"/>
      <c r="JRM18" s="400"/>
      <c r="JRN18" s="400"/>
      <c r="JRO18" s="400"/>
      <c r="JRP18" s="400"/>
      <c r="JRQ18" s="400"/>
      <c r="JRR18" s="400"/>
      <c r="JRS18" s="400"/>
      <c r="JRT18" s="400"/>
      <c r="JRU18" s="400"/>
      <c r="JRV18" s="400"/>
      <c r="JRW18" s="400"/>
      <c r="JRX18" s="400"/>
      <c r="JRY18" s="400"/>
      <c r="JRZ18" s="400"/>
      <c r="JSA18" s="400"/>
      <c r="JSB18" s="400"/>
      <c r="JSC18" s="400"/>
      <c r="JSD18" s="400"/>
      <c r="JSE18" s="400"/>
      <c r="JSF18" s="400"/>
      <c r="JSG18" s="400"/>
      <c r="JSH18" s="400"/>
      <c r="JSI18" s="400"/>
      <c r="JSJ18" s="400"/>
      <c r="JSK18" s="400"/>
      <c r="JSL18" s="400"/>
      <c r="JSM18" s="400"/>
      <c r="JSN18" s="400"/>
      <c r="JSO18" s="400"/>
      <c r="JSP18" s="400"/>
      <c r="JSQ18" s="400"/>
      <c r="JSR18" s="400"/>
      <c r="JSS18" s="400"/>
      <c r="JST18" s="400"/>
      <c r="JSU18" s="400"/>
      <c r="JSV18" s="400"/>
      <c r="JSW18" s="400"/>
      <c r="JSX18" s="400"/>
      <c r="JSY18" s="400"/>
      <c r="JSZ18" s="400"/>
      <c r="JTA18" s="400"/>
      <c r="JTB18" s="400"/>
      <c r="JTC18" s="400"/>
      <c r="JTD18" s="400"/>
      <c r="JTE18" s="400"/>
      <c r="JTF18" s="400"/>
      <c r="JTG18" s="400"/>
      <c r="JTH18" s="400"/>
      <c r="JTI18" s="400"/>
      <c r="JTJ18" s="400"/>
      <c r="JTK18" s="400"/>
      <c r="JTL18" s="400"/>
      <c r="JTM18" s="400"/>
      <c r="JTN18" s="400"/>
      <c r="JTO18" s="400"/>
      <c r="JTP18" s="400"/>
      <c r="JTQ18" s="400"/>
      <c r="JTR18" s="400"/>
      <c r="JTS18" s="400"/>
      <c r="JTT18" s="400"/>
      <c r="JTU18" s="400"/>
      <c r="JTV18" s="400"/>
      <c r="JTW18" s="400"/>
      <c r="JTX18" s="400"/>
      <c r="JTY18" s="400"/>
      <c r="JTZ18" s="400"/>
      <c r="JUA18" s="400"/>
      <c r="JUB18" s="400"/>
      <c r="JUC18" s="400"/>
      <c r="JUD18" s="400"/>
      <c r="JUE18" s="400"/>
      <c r="JUF18" s="400"/>
      <c r="JUG18" s="400"/>
      <c r="JUH18" s="400"/>
      <c r="JUI18" s="400"/>
      <c r="JUJ18" s="400"/>
      <c r="JUK18" s="400"/>
      <c r="JUL18" s="400"/>
      <c r="JUM18" s="400"/>
      <c r="JUN18" s="400"/>
      <c r="JUO18" s="400"/>
      <c r="JUP18" s="400"/>
      <c r="JUQ18" s="400"/>
      <c r="JUR18" s="400"/>
      <c r="JUS18" s="400"/>
      <c r="JUT18" s="400"/>
      <c r="JUU18" s="400"/>
      <c r="JUV18" s="400"/>
      <c r="JUW18" s="400"/>
      <c r="JUX18" s="400"/>
      <c r="JUY18" s="400"/>
      <c r="JUZ18" s="400"/>
      <c r="JVA18" s="400"/>
      <c r="JVB18" s="400"/>
      <c r="JVC18" s="400"/>
      <c r="JVD18" s="400"/>
      <c r="JVE18" s="400"/>
      <c r="JVF18" s="400"/>
      <c r="JVG18" s="400"/>
      <c r="JVH18" s="400"/>
      <c r="JVI18" s="400"/>
      <c r="JVJ18" s="400"/>
      <c r="JVK18" s="400"/>
      <c r="JVL18" s="400"/>
      <c r="JVM18" s="400"/>
      <c r="JVN18" s="400"/>
      <c r="JVO18" s="400"/>
      <c r="JVP18" s="400"/>
      <c r="JVQ18" s="400"/>
      <c r="JVR18" s="400"/>
      <c r="JVS18" s="400"/>
      <c r="JVT18" s="400"/>
      <c r="JVU18" s="400"/>
      <c r="JVV18" s="400"/>
      <c r="JVW18" s="400"/>
      <c r="JVX18" s="400"/>
      <c r="JVY18" s="400"/>
      <c r="JVZ18" s="400"/>
      <c r="JWA18" s="400"/>
      <c r="JWB18" s="400"/>
      <c r="JWC18" s="400"/>
      <c r="JWD18" s="400"/>
      <c r="JWE18" s="400"/>
      <c r="JWF18" s="400"/>
      <c r="JWG18" s="400"/>
      <c r="JWH18" s="400"/>
      <c r="JWI18" s="400"/>
      <c r="JWJ18" s="400"/>
      <c r="JWK18" s="400"/>
      <c r="JWL18" s="400"/>
      <c r="JWM18" s="400"/>
      <c r="JWN18" s="400"/>
      <c r="JWO18" s="400"/>
      <c r="JWP18" s="400"/>
      <c r="JWQ18" s="400"/>
      <c r="JWR18" s="400"/>
      <c r="JWS18" s="400"/>
      <c r="JWT18" s="400"/>
      <c r="JWU18" s="400"/>
      <c r="JWV18" s="400"/>
      <c r="JWW18" s="400"/>
      <c r="JWX18" s="400"/>
      <c r="JWY18" s="400"/>
      <c r="JWZ18" s="400"/>
      <c r="JXA18" s="400"/>
      <c r="JXB18" s="400"/>
      <c r="JXC18" s="400"/>
      <c r="JXD18" s="400"/>
      <c r="JXE18" s="400"/>
      <c r="JXF18" s="400"/>
      <c r="JXG18" s="400"/>
      <c r="JXH18" s="400"/>
      <c r="JXI18" s="400"/>
      <c r="JXJ18" s="400"/>
      <c r="JXK18" s="400"/>
      <c r="JXL18" s="400"/>
      <c r="JXM18" s="400"/>
      <c r="JXN18" s="400"/>
      <c r="JXO18" s="400"/>
      <c r="JXP18" s="400"/>
      <c r="JXQ18" s="400"/>
      <c r="JXR18" s="400"/>
      <c r="JXS18" s="400"/>
      <c r="JXT18" s="400"/>
      <c r="JXU18" s="400"/>
      <c r="JXV18" s="400"/>
      <c r="JXW18" s="400"/>
      <c r="JXX18" s="400"/>
      <c r="JXY18" s="400"/>
      <c r="JXZ18" s="400"/>
      <c r="JYA18" s="400"/>
      <c r="JYB18" s="400"/>
      <c r="JYC18" s="400"/>
      <c r="JYD18" s="400"/>
      <c r="JYE18" s="400"/>
      <c r="JYF18" s="400"/>
      <c r="JYG18" s="400"/>
      <c r="JYH18" s="400"/>
      <c r="JYI18" s="400"/>
      <c r="JYJ18" s="400"/>
      <c r="JYK18" s="400"/>
      <c r="JYL18" s="400"/>
      <c r="JYM18" s="400"/>
      <c r="JYN18" s="400"/>
      <c r="JYO18" s="400"/>
      <c r="JYP18" s="400"/>
      <c r="JYQ18" s="400"/>
      <c r="JYR18" s="400"/>
      <c r="JYS18" s="400"/>
      <c r="JYT18" s="400"/>
      <c r="JYU18" s="400"/>
      <c r="JYV18" s="400"/>
      <c r="JYW18" s="400"/>
      <c r="JYX18" s="400"/>
      <c r="JYY18" s="400"/>
      <c r="JYZ18" s="400"/>
      <c r="JZA18" s="400"/>
      <c r="JZB18" s="400"/>
      <c r="JZC18" s="400"/>
      <c r="JZD18" s="400"/>
      <c r="JZE18" s="400"/>
      <c r="JZF18" s="400"/>
      <c r="JZG18" s="400"/>
      <c r="JZH18" s="400"/>
      <c r="JZI18" s="400"/>
      <c r="JZJ18" s="400"/>
      <c r="JZK18" s="400"/>
      <c r="JZL18" s="400"/>
      <c r="JZM18" s="400"/>
      <c r="JZN18" s="400"/>
      <c r="JZO18" s="400"/>
      <c r="JZP18" s="400"/>
      <c r="JZQ18" s="400"/>
      <c r="JZR18" s="400"/>
      <c r="JZS18" s="400"/>
      <c r="JZT18" s="400"/>
      <c r="JZU18" s="400"/>
      <c r="JZV18" s="400"/>
      <c r="JZW18" s="400"/>
      <c r="JZX18" s="400"/>
      <c r="JZY18" s="400"/>
      <c r="JZZ18" s="400"/>
      <c r="KAA18" s="400"/>
      <c r="KAB18" s="400"/>
      <c r="KAC18" s="400"/>
      <c r="KAD18" s="400"/>
      <c r="KAE18" s="400"/>
      <c r="KAF18" s="400"/>
      <c r="KAG18" s="400"/>
      <c r="KAH18" s="400"/>
      <c r="KAI18" s="400"/>
      <c r="KAJ18" s="400"/>
      <c r="KAK18" s="400"/>
      <c r="KAL18" s="400"/>
      <c r="KAM18" s="400"/>
      <c r="KAN18" s="400"/>
      <c r="KAO18" s="400"/>
      <c r="KAP18" s="400"/>
      <c r="KAQ18" s="400"/>
      <c r="KAR18" s="400"/>
      <c r="KAS18" s="400"/>
      <c r="KAT18" s="400"/>
      <c r="KAU18" s="400"/>
      <c r="KAV18" s="400"/>
      <c r="KAW18" s="400"/>
      <c r="KAX18" s="400"/>
      <c r="KAY18" s="400"/>
      <c r="KAZ18" s="400"/>
      <c r="KBA18" s="400"/>
      <c r="KBB18" s="400"/>
      <c r="KBC18" s="400"/>
      <c r="KBD18" s="400"/>
      <c r="KBE18" s="400"/>
      <c r="KBF18" s="400"/>
      <c r="KBG18" s="400"/>
      <c r="KBH18" s="400"/>
      <c r="KBI18" s="400"/>
      <c r="KBJ18" s="400"/>
      <c r="KBK18" s="400"/>
      <c r="KBL18" s="400"/>
      <c r="KBM18" s="400"/>
      <c r="KBN18" s="400"/>
      <c r="KBO18" s="400"/>
      <c r="KBP18" s="400"/>
      <c r="KBQ18" s="400"/>
      <c r="KBR18" s="400"/>
      <c r="KBS18" s="400"/>
      <c r="KBT18" s="400"/>
      <c r="KBU18" s="400"/>
      <c r="KBV18" s="400"/>
      <c r="KBW18" s="400"/>
      <c r="KBX18" s="400"/>
      <c r="KBY18" s="400"/>
      <c r="KBZ18" s="400"/>
      <c r="KCA18" s="400"/>
      <c r="KCB18" s="400"/>
      <c r="KCC18" s="400"/>
      <c r="KCD18" s="400"/>
      <c r="KCE18" s="400"/>
      <c r="KCF18" s="400"/>
      <c r="KCG18" s="400"/>
      <c r="KCH18" s="400"/>
      <c r="KCI18" s="400"/>
      <c r="KCJ18" s="400"/>
      <c r="KCK18" s="400"/>
      <c r="KCL18" s="400"/>
      <c r="KCM18" s="400"/>
      <c r="KCN18" s="400"/>
      <c r="KCO18" s="400"/>
      <c r="KCP18" s="400"/>
      <c r="KCQ18" s="400"/>
      <c r="KCR18" s="400"/>
      <c r="KCS18" s="400"/>
      <c r="KCT18" s="400"/>
      <c r="KCU18" s="400"/>
      <c r="KCV18" s="400"/>
      <c r="KCW18" s="400"/>
      <c r="KCX18" s="400"/>
      <c r="KCY18" s="400"/>
      <c r="KCZ18" s="400"/>
      <c r="KDA18" s="400"/>
      <c r="KDB18" s="400"/>
      <c r="KDC18" s="400"/>
      <c r="KDD18" s="400"/>
      <c r="KDE18" s="400"/>
      <c r="KDF18" s="400"/>
      <c r="KDG18" s="400"/>
      <c r="KDH18" s="400"/>
      <c r="KDI18" s="400"/>
      <c r="KDJ18" s="400"/>
      <c r="KDK18" s="400"/>
      <c r="KDL18" s="400"/>
      <c r="KDM18" s="400"/>
      <c r="KDN18" s="400"/>
      <c r="KDO18" s="400"/>
      <c r="KDP18" s="400"/>
      <c r="KDQ18" s="400"/>
      <c r="KDR18" s="400"/>
      <c r="KDS18" s="400"/>
      <c r="KDT18" s="400"/>
      <c r="KDU18" s="400"/>
      <c r="KDV18" s="400"/>
      <c r="KDW18" s="400"/>
      <c r="KDX18" s="400"/>
      <c r="KDY18" s="400"/>
      <c r="KDZ18" s="400"/>
      <c r="KEA18" s="400"/>
      <c r="KEB18" s="400"/>
      <c r="KEC18" s="400"/>
      <c r="KED18" s="400"/>
      <c r="KEE18" s="400"/>
      <c r="KEF18" s="400"/>
      <c r="KEG18" s="400"/>
      <c r="KEH18" s="400"/>
      <c r="KEI18" s="400"/>
      <c r="KEJ18" s="400"/>
      <c r="KEK18" s="400"/>
      <c r="KEL18" s="400"/>
      <c r="KEM18" s="400"/>
      <c r="KEN18" s="400"/>
      <c r="KEO18" s="400"/>
      <c r="KEP18" s="400"/>
      <c r="KEQ18" s="400"/>
      <c r="KER18" s="400"/>
      <c r="KES18" s="400"/>
      <c r="KET18" s="400"/>
      <c r="KEU18" s="400"/>
      <c r="KEV18" s="400"/>
      <c r="KEW18" s="400"/>
      <c r="KEX18" s="400"/>
      <c r="KEY18" s="400"/>
      <c r="KEZ18" s="400"/>
      <c r="KFA18" s="400"/>
      <c r="KFB18" s="400"/>
      <c r="KFC18" s="400"/>
      <c r="KFD18" s="400"/>
      <c r="KFE18" s="400"/>
      <c r="KFF18" s="400"/>
      <c r="KFG18" s="400"/>
      <c r="KFH18" s="400"/>
      <c r="KFI18" s="400"/>
      <c r="KFJ18" s="400"/>
      <c r="KFK18" s="400"/>
      <c r="KFL18" s="400"/>
      <c r="KFM18" s="400"/>
      <c r="KFN18" s="400"/>
      <c r="KFO18" s="400"/>
      <c r="KFP18" s="400"/>
      <c r="KFQ18" s="400"/>
      <c r="KFR18" s="400"/>
      <c r="KFS18" s="400"/>
      <c r="KFT18" s="400"/>
      <c r="KFU18" s="400"/>
      <c r="KFV18" s="400"/>
      <c r="KFW18" s="400"/>
      <c r="KFX18" s="400"/>
      <c r="KFY18" s="400"/>
      <c r="KFZ18" s="400"/>
      <c r="KGA18" s="400"/>
      <c r="KGB18" s="400"/>
      <c r="KGC18" s="400"/>
      <c r="KGD18" s="400"/>
      <c r="KGE18" s="400"/>
      <c r="KGF18" s="400"/>
      <c r="KGG18" s="400"/>
      <c r="KGH18" s="400"/>
      <c r="KGI18" s="400"/>
      <c r="KGJ18" s="400"/>
      <c r="KGK18" s="400"/>
      <c r="KGL18" s="400"/>
      <c r="KGM18" s="400"/>
      <c r="KGN18" s="400"/>
      <c r="KGO18" s="400"/>
      <c r="KGP18" s="400"/>
      <c r="KGQ18" s="400"/>
      <c r="KGR18" s="400"/>
      <c r="KGS18" s="400"/>
      <c r="KGT18" s="400"/>
      <c r="KGU18" s="400"/>
      <c r="KGV18" s="400"/>
      <c r="KGW18" s="400"/>
      <c r="KGX18" s="400"/>
      <c r="KGY18" s="400"/>
      <c r="KGZ18" s="400"/>
      <c r="KHA18" s="400"/>
      <c r="KHB18" s="400"/>
      <c r="KHC18" s="400"/>
      <c r="KHD18" s="400"/>
      <c r="KHE18" s="400"/>
      <c r="KHF18" s="400"/>
      <c r="KHG18" s="400"/>
      <c r="KHH18" s="400"/>
      <c r="KHI18" s="400"/>
      <c r="KHJ18" s="400"/>
      <c r="KHK18" s="400"/>
      <c r="KHL18" s="400"/>
      <c r="KHM18" s="400"/>
      <c r="KHN18" s="400"/>
      <c r="KHO18" s="400"/>
      <c r="KHP18" s="400"/>
      <c r="KHQ18" s="400"/>
      <c r="KHR18" s="400"/>
      <c r="KHS18" s="400"/>
      <c r="KHT18" s="400"/>
      <c r="KHU18" s="400"/>
      <c r="KHV18" s="400"/>
      <c r="KHW18" s="400"/>
      <c r="KHX18" s="400"/>
      <c r="KHY18" s="400"/>
      <c r="KHZ18" s="400"/>
      <c r="KIA18" s="400"/>
      <c r="KIB18" s="400"/>
      <c r="KIC18" s="400"/>
      <c r="KID18" s="400"/>
      <c r="KIE18" s="400"/>
      <c r="KIF18" s="400"/>
      <c r="KIG18" s="400"/>
      <c r="KIH18" s="400"/>
      <c r="KII18" s="400"/>
      <c r="KIJ18" s="400"/>
      <c r="KIK18" s="400"/>
      <c r="KIL18" s="400"/>
      <c r="KIM18" s="400"/>
      <c r="KIN18" s="400"/>
      <c r="KIO18" s="400"/>
      <c r="KIP18" s="400"/>
      <c r="KIQ18" s="400"/>
      <c r="KIR18" s="400"/>
      <c r="KIS18" s="400"/>
      <c r="KIT18" s="400"/>
      <c r="KIU18" s="400"/>
      <c r="KIV18" s="400"/>
      <c r="KIW18" s="400"/>
      <c r="KIX18" s="400"/>
      <c r="KIY18" s="400"/>
      <c r="KIZ18" s="400"/>
      <c r="KJA18" s="400"/>
      <c r="KJB18" s="400"/>
      <c r="KJC18" s="400"/>
      <c r="KJD18" s="400"/>
      <c r="KJE18" s="400"/>
      <c r="KJF18" s="400"/>
      <c r="KJG18" s="400"/>
      <c r="KJH18" s="400"/>
      <c r="KJI18" s="400"/>
      <c r="KJJ18" s="400"/>
      <c r="KJK18" s="400"/>
      <c r="KJL18" s="400"/>
      <c r="KJM18" s="400"/>
      <c r="KJN18" s="400"/>
      <c r="KJO18" s="400"/>
      <c r="KJP18" s="400"/>
      <c r="KJQ18" s="400"/>
      <c r="KJR18" s="400"/>
      <c r="KJS18" s="400"/>
      <c r="KJT18" s="400"/>
      <c r="KJU18" s="400"/>
      <c r="KJV18" s="400"/>
      <c r="KJW18" s="400"/>
      <c r="KJX18" s="400"/>
      <c r="KJY18" s="400"/>
      <c r="KJZ18" s="400"/>
      <c r="KKA18" s="400"/>
      <c r="KKB18" s="400"/>
      <c r="KKC18" s="400"/>
      <c r="KKD18" s="400"/>
      <c r="KKE18" s="400"/>
      <c r="KKF18" s="400"/>
      <c r="KKG18" s="400"/>
      <c r="KKH18" s="400"/>
      <c r="KKI18" s="400"/>
      <c r="KKJ18" s="400"/>
      <c r="KKK18" s="400"/>
      <c r="KKL18" s="400"/>
      <c r="KKM18" s="400"/>
      <c r="KKN18" s="400"/>
      <c r="KKO18" s="400"/>
      <c r="KKP18" s="400"/>
      <c r="KKQ18" s="400"/>
      <c r="KKR18" s="400"/>
      <c r="KKS18" s="400"/>
      <c r="KKT18" s="400"/>
      <c r="KKU18" s="400"/>
      <c r="KKV18" s="400"/>
      <c r="KKW18" s="400"/>
      <c r="KKX18" s="400"/>
      <c r="KKY18" s="400"/>
      <c r="KKZ18" s="400"/>
      <c r="KLA18" s="400"/>
      <c r="KLB18" s="400"/>
      <c r="KLC18" s="400"/>
      <c r="KLD18" s="400"/>
      <c r="KLE18" s="400"/>
      <c r="KLF18" s="400"/>
      <c r="KLG18" s="400"/>
      <c r="KLH18" s="400"/>
      <c r="KLI18" s="400"/>
      <c r="KLJ18" s="400"/>
      <c r="KLK18" s="400"/>
      <c r="KLL18" s="400"/>
      <c r="KLM18" s="400"/>
      <c r="KLN18" s="400"/>
      <c r="KLO18" s="400"/>
      <c r="KLP18" s="400"/>
      <c r="KLQ18" s="400"/>
      <c r="KLR18" s="400"/>
      <c r="KLS18" s="400"/>
      <c r="KLT18" s="400"/>
      <c r="KLU18" s="400"/>
      <c r="KLV18" s="400"/>
      <c r="KLW18" s="400"/>
      <c r="KLX18" s="400"/>
      <c r="KLY18" s="400"/>
      <c r="KLZ18" s="400"/>
      <c r="KMA18" s="400"/>
      <c r="KMB18" s="400"/>
      <c r="KMC18" s="400"/>
      <c r="KMD18" s="400"/>
      <c r="KME18" s="400"/>
      <c r="KMF18" s="400"/>
      <c r="KMG18" s="400"/>
      <c r="KMH18" s="400"/>
      <c r="KMI18" s="400"/>
      <c r="KMJ18" s="400"/>
      <c r="KMK18" s="400"/>
      <c r="KML18" s="400"/>
      <c r="KMM18" s="400"/>
      <c r="KMN18" s="400"/>
      <c r="KMO18" s="400"/>
      <c r="KMP18" s="400"/>
      <c r="KMQ18" s="400"/>
      <c r="KMR18" s="400"/>
      <c r="KMS18" s="400"/>
      <c r="KMT18" s="400"/>
      <c r="KMU18" s="400"/>
      <c r="KMV18" s="400"/>
      <c r="KMW18" s="400"/>
      <c r="KMX18" s="400"/>
      <c r="KMY18" s="400"/>
      <c r="KMZ18" s="400"/>
      <c r="KNA18" s="400"/>
      <c r="KNB18" s="400"/>
      <c r="KNC18" s="400"/>
      <c r="KND18" s="400"/>
      <c r="KNE18" s="400"/>
      <c r="KNF18" s="400"/>
      <c r="KNG18" s="400"/>
      <c r="KNH18" s="400"/>
      <c r="KNI18" s="400"/>
      <c r="KNJ18" s="400"/>
      <c r="KNK18" s="400"/>
      <c r="KNL18" s="400"/>
      <c r="KNM18" s="400"/>
      <c r="KNN18" s="400"/>
      <c r="KNO18" s="400"/>
      <c r="KNP18" s="400"/>
      <c r="KNQ18" s="400"/>
      <c r="KNR18" s="400"/>
      <c r="KNS18" s="400"/>
      <c r="KNT18" s="400"/>
      <c r="KNU18" s="400"/>
      <c r="KNV18" s="400"/>
      <c r="KNW18" s="400"/>
      <c r="KNX18" s="400"/>
      <c r="KNY18" s="400"/>
      <c r="KNZ18" s="400"/>
      <c r="KOA18" s="400"/>
      <c r="KOB18" s="400"/>
      <c r="KOC18" s="400"/>
      <c r="KOD18" s="400"/>
      <c r="KOE18" s="400"/>
      <c r="KOF18" s="400"/>
      <c r="KOG18" s="400"/>
      <c r="KOH18" s="400"/>
      <c r="KOI18" s="400"/>
      <c r="KOJ18" s="400"/>
      <c r="KOK18" s="400"/>
      <c r="KOL18" s="400"/>
      <c r="KOM18" s="400"/>
      <c r="KON18" s="400"/>
      <c r="KOO18" s="400"/>
      <c r="KOP18" s="400"/>
      <c r="KOQ18" s="400"/>
      <c r="KOR18" s="400"/>
      <c r="KOS18" s="400"/>
      <c r="KOT18" s="400"/>
      <c r="KOU18" s="400"/>
      <c r="KOV18" s="400"/>
      <c r="KOW18" s="400"/>
      <c r="KOX18" s="400"/>
      <c r="KOY18" s="400"/>
      <c r="KOZ18" s="400"/>
      <c r="KPA18" s="400"/>
      <c r="KPB18" s="400"/>
      <c r="KPC18" s="400"/>
      <c r="KPD18" s="400"/>
      <c r="KPE18" s="400"/>
      <c r="KPF18" s="400"/>
      <c r="KPG18" s="400"/>
      <c r="KPH18" s="400"/>
      <c r="KPI18" s="400"/>
      <c r="KPJ18" s="400"/>
      <c r="KPK18" s="400"/>
      <c r="KPL18" s="400"/>
      <c r="KPM18" s="400"/>
      <c r="KPN18" s="400"/>
      <c r="KPO18" s="400"/>
      <c r="KPP18" s="400"/>
      <c r="KPQ18" s="400"/>
      <c r="KPR18" s="400"/>
      <c r="KPS18" s="400"/>
      <c r="KPT18" s="400"/>
      <c r="KPU18" s="400"/>
      <c r="KPV18" s="400"/>
      <c r="KPW18" s="400"/>
      <c r="KPX18" s="400"/>
      <c r="KPY18" s="400"/>
      <c r="KPZ18" s="400"/>
      <c r="KQA18" s="400"/>
      <c r="KQB18" s="400"/>
      <c r="KQC18" s="400"/>
      <c r="KQD18" s="400"/>
      <c r="KQE18" s="400"/>
      <c r="KQF18" s="400"/>
      <c r="KQG18" s="400"/>
      <c r="KQH18" s="400"/>
      <c r="KQI18" s="400"/>
      <c r="KQJ18" s="400"/>
      <c r="KQK18" s="400"/>
      <c r="KQL18" s="400"/>
      <c r="KQM18" s="400"/>
      <c r="KQN18" s="400"/>
      <c r="KQO18" s="400"/>
      <c r="KQP18" s="400"/>
      <c r="KQQ18" s="400"/>
      <c r="KQR18" s="400"/>
      <c r="KQS18" s="400"/>
      <c r="KQT18" s="400"/>
      <c r="KQU18" s="400"/>
      <c r="KQV18" s="400"/>
      <c r="KQW18" s="400"/>
      <c r="KQX18" s="400"/>
      <c r="KQY18" s="400"/>
      <c r="KQZ18" s="400"/>
      <c r="KRA18" s="400"/>
      <c r="KRB18" s="400"/>
      <c r="KRC18" s="400"/>
      <c r="KRD18" s="400"/>
      <c r="KRE18" s="400"/>
      <c r="KRF18" s="400"/>
      <c r="KRG18" s="400"/>
      <c r="KRH18" s="400"/>
      <c r="KRI18" s="400"/>
      <c r="KRJ18" s="400"/>
      <c r="KRK18" s="400"/>
      <c r="KRL18" s="400"/>
      <c r="KRM18" s="400"/>
      <c r="KRN18" s="400"/>
      <c r="KRO18" s="400"/>
      <c r="KRP18" s="400"/>
      <c r="KRQ18" s="400"/>
      <c r="KRR18" s="400"/>
      <c r="KRS18" s="400"/>
      <c r="KRT18" s="400"/>
      <c r="KRU18" s="400"/>
      <c r="KRV18" s="400"/>
      <c r="KRW18" s="400"/>
      <c r="KRX18" s="400"/>
      <c r="KRY18" s="400"/>
      <c r="KRZ18" s="400"/>
      <c r="KSA18" s="400"/>
      <c r="KSB18" s="400"/>
      <c r="KSC18" s="400"/>
      <c r="KSD18" s="400"/>
      <c r="KSE18" s="400"/>
      <c r="KSF18" s="400"/>
      <c r="KSG18" s="400"/>
      <c r="KSH18" s="400"/>
      <c r="KSI18" s="400"/>
      <c r="KSJ18" s="400"/>
      <c r="KSK18" s="400"/>
      <c r="KSL18" s="400"/>
      <c r="KSM18" s="400"/>
      <c r="KSN18" s="400"/>
      <c r="KSO18" s="400"/>
      <c r="KSP18" s="400"/>
      <c r="KSQ18" s="400"/>
      <c r="KSR18" s="400"/>
      <c r="KSS18" s="400"/>
      <c r="KST18" s="400"/>
      <c r="KSU18" s="400"/>
      <c r="KSV18" s="400"/>
      <c r="KSW18" s="400"/>
      <c r="KSX18" s="400"/>
      <c r="KSY18" s="400"/>
      <c r="KSZ18" s="400"/>
      <c r="KTA18" s="400"/>
      <c r="KTB18" s="400"/>
      <c r="KTC18" s="400"/>
      <c r="KTD18" s="400"/>
      <c r="KTE18" s="400"/>
      <c r="KTF18" s="400"/>
      <c r="KTG18" s="400"/>
      <c r="KTH18" s="400"/>
      <c r="KTI18" s="400"/>
      <c r="KTJ18" s="400"/>
      <c r="KTK18" s="400"/>
      <c r="KTL18" s="400"/>
      <c r="KTM18" s="400"/>
      <c r="KTN18" s="400"/>
      <c r="KTO18" s="400"/>
      <c r="KTP18" s="400"/>
      <c r="KTQ18" s="400"/>
      <c r="KTR18" s="400"/>
      <c r="KTS18" s="400"/>
      <c r="KTT18" s="400"/>
      <c r="KTU18" s="400"/>
      <c r="KTV18" s="400"/>
      <c r="KTW18" s="400"/>
      <c r="KTX18" s="400"/>
      <c r="KTY18" s="400"/>
      <c r="KTZ18" s="400"/>
      <c r="KUA18" s="400"/>
      <c r="KUB18" s="400"/>
      <c r="KUC18" s="400"/>
      <c r="KUD18" s="400"/>
      <c r="KUE18" s="400"/>
      <c r="KUF18" s="400"/>
      <c r="KUG18" s="400"/>
      <c r="KUH18" s="400"/>
      <c r="KUI18" s="400"/>
      <c r="KUJ18" s="400"/>
      <c r="KUK18" s="400"/>
      <c r="KUL18" s="400"/>
      <c r="KUM18" s="400"/>
      <c r="KUN18" s="400"/>
      <c r="KUO18" s="400"/>
      <c r="KUP18" s="400"/>
      <c r="KUQ18" s="400"/>
      <c r="KUR18" s="400"/>
      <c r="KUS18" s="400"/>
      <c r="KUT18" s="400"/>
      <c r="KUU18" s="400"/>
      <c r="KUV18" s="400"/>
      <c r="KUW18" s="400"/>
      <c r="KUX18" s="400"/>
      <c r="KUY18" s="400"/>
      <c r="KUZ18" s="400"/>
      <c r="KVA18" s="400"/>
      <c r="KVB18" s="400"/>
      <c r="KVC18" s="400"/>
      <c r="KVD18" s="400"/>
      <c r="KVE18" s="400"/>
      <c r="KVF18" s="400"/>
      <c r="KVG18" s="400"/>
      <c r="KVH18" s="400"/>
      <c r="KVI18" s="400"/>
      <c r="KVJ18" s="400"/>
      <c r="KVK18" s="400"/>
      <c r="KVL18" s="400"/>
      <c r="KVM18" s="400"/>
      <c r="KVN18" s="400"/>
      <c r="KVO18" s="400"/>
      <c r="KVP18" s="400"/>
      <c r="KVQ18" s="400"/>
      <c r="KVR18" s="400"/>
      <c r="KVS18" s="400"/>
      <c r="KVT18" s="400"/>
      <c r="KVU18" s="400"/>
      <c r="KVV18" s="400"/>
      <c r="KVW18" s="400"/>
      <c r="KVX18" s="400"/>
      <c r="KVY18" s="400"/>
      <c r="KVZ18" s="400"/>
      <c r="KWA18" s="400"/>
      <c r="KWB18" s="400"/>
      <c r="KWC18" s="400"/>
      <c r="KWD18" s="400"/>
      <c r="KWE18" s="400"/>
      <c r="KWF18" s="400"/>
      <c r="KWG18" s="400"/>
      <c r="KWH18" s="400"/>
      <c r="KWI18" s="400"/>
      <c r="KWJ18" s="400"/>
      <c r="KWK18" s="400"/>
      <c r="KWL18" s="400"/>
      <c r="KWM18" s="400"/>
      <c r="KWN18" s="400"/>
      <c r="KWO18" s="400"/>
      <c r="KWP18" s="400"/>
      <c r="KWQ18" s="400"/>
      <c r="KWR18" s="400"/>
      <c r="KWS18" s="400"/>
      <c r="KWT18" s="400"/>
      <c r="KWU18" s="400"/>
      <c r="KWV18" s="400"/>
      <c r="KWW18" s="400"/>
      <c r="KWX18" s="400"/>
      <c r="KWY18" s="400"/>
      <c r="KWZ18" s="400"/>
      <c r="KXA18" s="400"/>
      <c r="KXB18" s="400"/>
      <c r="KXC18" s="400"/>
      <c r="KXD18" s="400"/>
      <c r="KXE18" s="400"/>
      <c r="KXF18" s="400"/>
      <c r="KXG18" s="400"/>
      <c r="KXH18" s="400"/>
      <c r="KXI18" s="400"/>
      <c r="KXJ18" s="400"/>
      <c r="KXK18" s="400"/>
      <c r="KXL18" s="400"/>
      <c r="KXM18" s="400"/>
      <c r="KXN18" s="400"/>
      <c r="KXO18" s="400"/>
      <c r="KXP18" s="400"/>
      <c r="KXQ18" s="400"/>
      <c r="KXR18" s="400"/>
      <c r="KXS18" s="400"/>
      <c r="KXT18" s="400"/>
      <c r="KXU18" s="400"/>
      <c r="KXV18" s="400"/>
      <c r="KXW18" s="400"/>
      <c r="KXX18" s="400"/>
      <c r="KXY18" s="400"/>
      <c r="KXZ18" s="400"/>
      <c r="KYA18" s="400"/>
      <c r="KYB18" s="400"/>
      <c r="KYC18" s="400"/>
      <c r="KYD18" s="400"/>
      <c r="KYE18" s="400"/>
      <c r="KYF18" s="400"/>
      <c r="KYG18" s="400"/>
      <c r="KYH18" s="400"/>
      <c r="KYI18" s="400"/>
      <c r="KYJ18" s="400"/>
      <c r="KYK18" s="400"/>
      <c r="KYL18" s="400"/>
      <c r="KYM18" s="400"/>
      <c r="KYN18" s="400"/>
      <c r="KYO18" s="400"/>
      <c r="KYP18" s="400"/>
      <c r="KYQ18" s="400"/>
      <c r="KYR18" s="400"/>
      <c r="KYS18" s="400"/>
      <c r="KYT18" s="400"/>
      <c r="KYU18" s="400"/>
      <c r="KYV18" s="400"/>
      <c r="KYW18" s="400"/>
      <c r="KYX18" s="400"/>
      <c r="KYY18" s="400"/>
      <c r="KYZ18" s="400"/>
      <c r="KZA18" s="400"/>
      <c r="KZB18" s="400"/>
      <c r="KZC18" s="400"/>
      <c r="KZD18" s="400"/>
      <c r="KZE18" s="400"/>
      <c r="KZF18" s="400"/>
      <c r="KZG18" s="400"/>
      <c r="KZH18" s="400"/>
      <c r="KZI18" s="400"/>
      <c r="KZJ18" s="400"/>
      <c r="KZK18" s="400"/>
      <c r="KZL18" s="400"/>
      <c r="KZM18" s="400"/>
      <c r="KZN18" s="400"/>
      <c r="KZO18" s="400"/>
      <c r="KZP18" s="400"/>
      <c r="KZQ18" s="400"/>
      <c r="KZR18" s="400"/>
      <c r="KZS18" s="400"/>
      <c r="KZT18" s="400"/>
      <c r="KZU18" s="400"/>
      <c r="KZV18" s="400"/>
      <c r="KZW18" s="400"/>
      <c r="KZX18" s="400"/>
      <c r="KZY18" s="400"/>
      <c r="KZZ18" s="400"/>
      <c r="LAA18" s="400"/>
      <c r="LAB18" s="400"/>
      <c r="LAC18" s="400"/>
      <c r="LAD18" s="400"/>
      <c r="LAE18" s="400"/>
      <c r="LAF18" s="400"/>
      <c r="LAG18" s="400"/>
      <c r="LAH18" s="400"/>
      <c r="LAI18" s="400"/>
      <c r="LAJ18" s="400"/>
      <c r="LAK18" s="400"/>
      <c r="LAL18" s="400"/>
      <c r="LAM18" s="400"/>
      <c r="LAN18" s="400"/>
      <c r="LAO18" s="400"/>
      <c r="LAP18" s="400"/>
      <c r="LAQ18" s="400"/>
      <c r="LAR18" s="400"/>
      <c r="LAS18" s="400"/>
      <c r="LAT18" s="400"/>
      <c r="LAU18" s="400"/>
      <c r="LAV18" s="400"/>
      <c r="LAW18" s="400"/>
      <c r="LAX18" s="400"/>
      <c r="LAY18" s="400"/>
      <c r="LAZ18" s="400"/>
      <c r="LBA18" s="400"/>
      <c r="LBB18" s="400"/>
      <c r="LBC18" s="400"/>
      <c r="LBD18" s="400"/>
      <c r="LBE18" s="400"/>
      <c r="LBF18" s="400"/>
      <c r="LBG18" s="400"/>
      <c r="LBH18" s="400"/>
      <c r="LBI18" s="400"/>
      <c r="LBJ18" s="400"/>
      <c r="LBK18" s="400"/>
      <c r="LBL18" s="400"/>
      <c r="LBM18" s="400"/>
      <c r="LBN18" s="400"/>
      <c r="LBO18" s="400"/>
      <c r="LBP18" s="400"/>
      <c r="LBQ18" s="400"/>
      <c r="LBR18" s="400"/>
      <c r="LBS18" s="400"/>
      <c r="LBT18" s="400"/>
      <c r="LBU18" s="400"/>
      <c r="LBV18" s="400"/>
      <c r="LBW18" s="400"/>
      <c r="LBX18" s="400"/>
      <c r="LBY18" s="400"/>
      <c r="LBZ18" s="400"/>
      <c r="LCA18" s="400"/>
      <c r="LCB18" s="400"/>
      <c r="LCC18" s="400"/>
      <c r="LCD18" s="400"/>
      <c r="LCE18" s="400"/>
      <c r="LCF18" s="400"/>
      <c r="LCG18" s="400"/>
      <c r="LCH18" s="400"/>
      <c r="LCI18" s="400"/>
      <c r="LCJ18" s="400"/>
      <c r="LCK18" s="400"/>
      <c r="LCL18" s="400"/>
      <c r="LCM18" s="400"/>
      <c r="LCN18" s="400"/>
      <c r="LCO18" s="400"/>
      <c r="LCP18" s="400"/>
      <c r="LCQ18" s="400"/>
      <c r="LCR18" s="400"/>
      <c r="LCS18" s="400"/>
      <c r="LCT18" s="400"/>
      <c r="LCU18" s="400"/>
      <c r="LCV18" s="400"/>
      <c r="LCW18" s="400"/>
      <c r="LCX18" s="400"/>
      <c r="LCY18" s="400"/>
      <c r="LCZ18" s="400"/>
      <c r="LDA18" s="400"/>
      <c r="LDB18" s="400"/>
      <c r="LDC18" s="400"/>
      <c r="LDD18" s="400"/>
      <c r="LDE18" s="400"/>
      <c r="LDF18" s="400"/>
      <c r="LDG18" s="400"/>
      <c r="LDH18" s="400"/>
      <c r="LDI18" s="400"/>
      <c r="LDJ18" s="400"/>
      <c r="LDK18" s="400"/>
      <c r="LDL18" s="400"/>
      <c r="LDM18" s="400"/>
      <c r="LDN18" s="400"/>
      <c r="LDO18" s="400"/>
      <c r="LDP18" s="400"/>
      <c r="LDQ18" s="400"/>
      <c r="LDR18" s="400"/>
      <c r="LDS18" s="400"/>
      <c r="LDT18" s="400"/>
      <c r="LDU18" s="400"/>
      <c r="LDV18" s="400"/>
      <c r="LDW18" s="400"/>
      <c r="LDX18" s="400"/>
      <c r="LDY18" s="400"/>
      <c r="LDZ18" s="400"/>
      <c r="LEA18" s="400"/>
      <c r="LEB18" s="400"/>
      <c r="LEC18" s="400"/>
      <c r="LED18" s="400"/>
      <c r="LEE18" s="400"/>
      <c r="LEF18" s="400"/>
      <c r="LEG18" s="400"/>
      <c r="LEH18" s="400"/>
      <c r="LEI18" s="400"/>
      <c r="LEJ18" s="400"/>
      <c r="LEK18" s="400"/>
      <c r="LEL18" s="400"/>
      <c r="LEM18" s="400"/>
      <c r="LEN18" s="400"/>
      <c r="LEO18" s="400"/>
      <c r="LEP18" s="400"/>
      <c r="LEQ18" s="400"/>
      <c r="LER18" s="400"/>
      <c r="LES18" s="400"/>
      <c r="LET18" s="400"/>
      <c r="LEU18" s="400"/>
      <c r="LEV18" s="400"/>
      <c r="LEW18" s="400"/>
      <c r="LEX18" s="400"/>
      <c r="LEY18" s="400"/>
      <c r="LEZ18" s="400"/>
      <c r="LFA18" s="400"/>
      <c r="LFB18" s="400"/>
      <c r="LFC18" s="400"/>
      <c r="LFD18" s="400"/>
      <c r="LFE18" s="400"/>
      <c r="LFF18" s="400"/>
      <c r="LFG18" s="400"/>
      <c r="LFH18" s="400"/>
      <c r="LFI18" s="400"/>
      <c r="LFJ18" s="400"/>
      <c r="LFK18" s="400"/>
      <c r="LFL18" s="400"/>
      <c r="LFM18" s="400"/>
      <c r="LFN18" s="400"/>
      <c r="LFO18" s="400"/>
      <c r="LFP18" s="400"/>
      <c r="LFQ18" s="400"/>
      <c r="LFR18" s="400"/>
      <c r="LFS18" s="400"/>
      <c r="LFT18" s="400"/>
      <c r="LFU18" s="400"/>
      <c r="LFV18" s="400"/>
      <c r="LFW18" s="400"/>
      <c r="LFX18" s="400"/>
      <c r="LFY18" s="400"/>
      <c r="LFZ18" s="400"/>
      <c r="LGA18" s="400"/>
      <c r="LGB18" s="400"/>
      <c r="LGC18" s="400"/>
      <c r="LGD18" s="400"/>
      <c r="LGE18" s="400"/>
      <c r="LGF18" s="400"/>
      <c r="LGG18" s="400"/>
      <c r="LGH18" s="400"/>
      <c r="LGI18" s="400"/>
      <c r="LGJ18" s="400"/>
      <c r="LGK18" s="400"/>
      <c r="LGL18" s="400"/>
      <c r="LGM18" s="400"/>
      <c r="LGN18" s="400"/>
      <c r="LGO18" s="400"/>
      <c r="LGP18" s="400"/>
      <c r="LGQ18" s="400"/>
      <c r="LGR18" s="400"/>
      <c r="LGS18" s="400"/>
      <c r="LGT18" s="400"/>
      <c r="LGU18" s="400"/>
      <c r="LGV18" s="400"/>
      <c r="LGW18" s="400"/>
      <c r="LGX18" s="400"/>
      <c r="LGY18" s="400"/>
      <c r="LGZ18" s="400"/>
      <c r="LHA18" s="400"/>
      <c r="LHB18" s="400"/>
      <c r="LHC18" s="400"/>
      <c r="LHD18" s="400"/>
      <c r="LHE18" s="400"/>
      <c r="LHF18" s="400"/>
      <c r="LHG18" s="400"/>
      <c r="LHH18" s="400"/>
      <c r="LHI18" s="400"/>
      <c r="LHJ18" s="400"/>
      <c r="LHK18" s="400"/>
      <c r="LHL18" s="400"/>
      <c r="LHM18" s="400"/>
      <c r="LHN18" s="400"/>
      <c r="LHO18" s="400"/>
      <c r="LHP18" s="400"/>
      <c r="LHQ18" s="400"/>
      <c r="LHR18" s="400"/>
      <c r="LHS18" s="400"/>
      <c r="LHT18" s="400"/>
      <c r="LHU18" s="400"/>
      <c r="LHV18" s="400"/>
      <c r="LHW18" s="400"/>
      <c r="LHX18" s="400"/>
      <c r="LHY18" s="400"/>
      <c r="LHZ18" s="400"/>
      <c r="LIA18" s="400"/>
      <c r="LIB18" s="400"/>
      <c r="LIC18" s="400"/>
      <c r="LID18" s="400"/>
      <c r="LIE18" s="400"/>
      <c r="LIF18" s="400"/>
      <c r="LIG18" s="400"/>
      <c r="LIH18" s="400"/>
      <c r="LII18" s="400"/>
      <c r="LIJ18" s="400"/>
      <c r="LIK18" s="400"/>
      <c r="LIL18" s="400"/>
      <c r="LIM18" s="400"/>
      <c r="LIN18" s="400"/>
      <c r="LIO18" s="400"/>
      <c r="LIP18" s="400"/>
      <c r="LIQ18" s="400"/>
      <c r="LIR18" s="400"/>
      <c r="LIS18" s="400"/>
      <c r="LIT18" s="400"/>
      <c r="LIU18" s="400"/>
      <c r="LIV18" s="400"/>
      <c r="LIW18" s="400"/>
      <c r="LIX18" s="400"/>
      <c r="LIY18" s="400"/>
      <c r="LIZ18" s="400"/>
      <c r="LJA18" s="400"/>
      <c r="LJB18" s="400"/>
      <c r="LJC18" s="400"/>
      <c r="LJD18" s="400"/>
      <c r="LJE18" s="400"/>
      <c r="LJF18" s="400"/>
      <c r="LJG18" s="400"/>
      <c r="LJH18" s="400"/>
      <c r="LJI18" s="400"/>
      <c r="LJJ18" s="400"/>
      <c r="LJK18" s="400"/>
      <c r="LJL18" s="400"/>
      <c r="LJM18" s="400"/>
      <c r="LJN18" s="400"/>
      <c r="LJO18" s="400"/>
      <c r="LJP18" s="400"/>
      <c r="LJQ18" s="400"/>
      <c r="LJR18" s="400"/>
      <c r="LJS18" s="400"/>
      <c r="LJT18" s="400"/>
      <c r="LJU18" s="400"/>
      <c r="LJV18" s="400"/>
      <c r="LJW18" s="400"/>
      <c r="LJX18" s="400"/>
      <c r="LJY18" s="400"/>
      <c r="LJZ18" s="400"/>
      <c r="LKA18" s="400"/>
      <c r="LKB18" s="400"/>
      <c r="LKC18" s="400"/>
      <c r="LKD18" s="400"/>
      <c r="LKE18" s="400"/>
      <c r="LKF18" s="400"/>
      <c r="LKG18" s="400"/>
      <c r="LKH18" s="400"/>
      <c r="LKI18" s="400"/>
      <c r="LKJ18" s="400"/>
      <c r="LKK18" s="400"/>
      <c r="LKL18" s="400"/>
      <c r="LKM18" s="400"/>
      <c r="LKN18" s="400"/>
      <c r="LKO18" s="400"/>
      <c r="LKP18" s="400"/>
      <c r="LKQ18" s="400"/>
      <c r="LKR18" s="400"/>
      <c r="LKS18" s="400"/>
      <c r="LKT18" s="400"/>
      <c r="LKU18" s="400"/>
      <c r="LKV18" s="400"/>
      <c r="LKW18" s="400"/>
      <c r="LKX18" s="400"/>
      <c r="LKY18" s="400"/>
      <c r="LKZ18" s="400"/>
      <c r="LLA18" s="400"/>
      <c r="LLB18" s="400"/>
      <c r="LLC18" s="400"/>
      <c r="LLD18" s="400"/>
      <c r="LLE18" s="400"/>
      <c r="LLF18" s="400"/>
      <c r="LLG18" s="400"/>
      <c r="LLH18" s="400"/>
      <c r="LLI18" s="400"/>
      <c r="LLJ18" s="400"/>
      <c r="LLK18" s="400"/>
      <c r="LLL18" s="400"/>
      <c r="LLM18" s="400"/>
      <c r="LLN18" s="400"/>
      <c r="LLO18" s="400"/>
      <c r="LLP18" s="400"/>
      <c r="LLQ18" s="400"/>
      <c r="LLR18" s="400"/>
      <c r="LLS18" s="400"/>
      <c r="LLT18" s="400"/>
      <c r="LLU18" s="400"/>
      <c r="LLV18" s="400"/>
      <c r="LLW18" s="400"/>
      <c r="LLX18" s="400"/>
      <c r="LLY18" s="400"/>
      <c r="LLZ18" s="400"/>
      <c r="LMA18" s="400"/>
      <c r="LMB18" s="400"/>
      <c r="LMC18" s="400"/>
      <c r="LMD18" s="400"/>
      <c r="LME18" s="400"/>
      <c r="LMF18" s="400"/>
      <c r="LMG18" s="400"/>
      <c r="LMH18" s="400"/>
      <c r="LMI18" s="400"/>
      <c r="LMJ18" s="400"/>
      <c r="LMK18" s="400"/>
      <c r="LML18" s="400"/>
      <c r="LMM18" s="400"/>
      <c r="LMN18" s="400"/>
      <c r="LMO18" s="400"/>
      <c r="LMP18" s="400"/>
      <c r="LMQ18" s="400"/>
      <c r="LMR18" s="400"/>
      <c r="LMS18" s="400"/>
      <c r="LMT18" s="400"/>
      <c r="LMU18" s="400"/>
      <c r="LMV18" s="400"/>
      <c r="LMW18" s="400"/>
      <c r="LMX18" s="400"/>
      <c r="LMY18" s="400"/>
      <c r="LMZ18" s="400"/>
      <c r="LNA18" s="400"/>
      <c r="LNB18" s="400"/>
      <c r="LNC18" s="400"/>
      <c r="LND18" s="400"/>
      <c r="LNE18" s="400"/>
      <c r="LNF18" s="400"/>
      <c r="LNG18" s="400"/>
      <c r="LNH18" s="400"/>
      <c r="LNI18" s="400"/>
      <c r="LNJ18" s="400"/>
      <c r="LNK18" s="400"/>
      <c r="LNL18" s="400"/>
      <c r="LNM18" s="400"/>
      <c r="LNN18" s="400"/>
      <c r="LNO18" s="400"/>
      <c r="LNP18" s="400"/>
      <c r="LNQ18" s="400"/>
      <c r="LNR18" s="400"/>
      <c r="LNS18" s="400"/>
      <c r="LNT18" s="400"/>
      <c r="LNU18" s="400"/>
      <c r="LNV18" s="400"/>
      <c r="LNW18" s="400"/>
      <c r="LNX18" s="400"/>
      <c r="LNY18" s="400"/>
      <c r="LNZ18" s="400"/>
      <c r="LOA18" s="400"/>
      <c r="LOB18" s="400"/>
      <c r="LOC18" s="400"/>
      <c r="LOD18" s="400"/>
      <c r="LOE18" s="400"/>
      <c r="LOF18" s="400"/>
      <c r="LOG18" s="400"/>
      <c r="LOH18" s="400"/>
      <c r="LOI18" s="400"/>
      <c r="LOJ18" s="400"/>
      <c r="LOK18" s="400"/>
      <c r="LOL18" s="400"/>
      <c r="LOM18" s="400"/>
      <c r="LON18" s="400"/>
      <c r="LOO18" s="400"/>
      <c r="LOP18" s="400"/>
      <c r="LOQ18" s="400"/>
      <c r="LOR18" s="400"/>
      <c r="LOS18" s="400"/>
      <c r="LOT18" s="400"/>
      <c r="LOU18" s="400"/>
      <c r="LOV18" s="400"/>
      <c r="LOW18" s="400"/>
      <c r="LOX18" s="400"/>
      <c r="LOY18" s="400"/>
      <c r="LOZ18" s="400"/>
      <c r="LPA18" s="400"/>
      <c r="LPB18" s="400"/>
      <c r="LPC18" s="400"/>
      <c r="LPD18" s="400"/>
      <c r="LPE18" s="400"/>
      <c r="LPF18" s="400"/>
      <c r="LPG18" s="400"/>
      <c r="LPH18" s="400"/>
      <c r="LPI18" s="400"/>
      <c r="LPJ18" s="400"/>
      <c r="LPK18" s="400"/>
      <c r="LPL18" s="400"/>
      <c r="LPM18" s="400"/>
      <c r="LPN18" s="400"/>
      <c r="LPO18" s="400"/>
      <c r="LPP18" s="400"/>
      <c r="LPQ18" s="400"/>
      <c r="LPR18" s="400"/>
      <c r="LPS18" s="400"/>
      <c r="LPT18" s="400"/>
      <c r="LPU18" s="400"/>
      <c r="LPV18" s="400"/>
      <c r="LPW18" s="400"/>
      <c r="LPX18" s="400"/>
      <c r="LPY18" s="400"/>
      <c r="LPZ18" s="400"/>
      <c r="LQA18" s="400"/>
      <c r="LQB18" s="400"/>
      <c r="LQC18" s="400"/>
      <c r="LQD18" s="400"/>
      <c r="LQE18" s="400"/>
      <c r="LQF18" s="400"/>
      <c r="LQG18" s="400"/>
      <c r="LQH18" s="400"/>
      <c r="LQI18" s="400"/>
      <c r="LQJ18" s="400"/>
      <c r="LQK18" s="400"/>
      <c r="LQL18" s="400"/>
      <c r="LQM18" s="400"/>
      <c r="LQN18" s="400"/>
      <c r="LQO18" s="400"/>
      <c r="LQP18" s="400"/>
      <c r="LQQ18" s="400"/>
      <c r="LQR18" s="400"/>
      <c r="LQS18" s="400"/>
      <c r="LQT18" s="400"/>
      <c r="LQU18" s="400"/>
      <c r="LQV18" s="400"/>
      <c r="LQW18" s="400"/>
      <c r="LQX18" s="400"/>
      <c r="LQY18" s="400"/>
      <c r="LQZ18" s="400"/>
      <c r="LRA18" s="400"/>
      <c r="LRB18" s="400"/>
      <c r="LRC18" s="400"/>
      <c r="LRD18" s="400"/>
      <c r="LRE18" s="400"/>
      <c r="LRF18" s="400"/>
      <c r="LRG18" s="400"/>
      <c r="LRH18" s="400"/>
      <c r="LRI18" s="400"/>
      <c r="LRJ18" s="400"/>
      <c r="LRK18" s="400"/>
      <c r="LRL18" s="400"/>
      <c r="LRM18" s="400"/>
      <c r="LRN18" s="400"/>
      <c r="LRO18" s="400"/>
      <c r="LRP18" s="400"/>
      <c r="LRQ18" s="400"/>
      <c r="LRR18" s="400"/>
      <c r="LRS18" s="400"/>
      <c r="LRT18" s="400"/>
      <c r="LRU18" s="400"/>
      <c r="LRV18" s="400"/>
      <c r="LRW18" s="400"/>
      <c r="LRX18" s="400"/>
      <c r="LRY18" s="400"/>
      <c r="LRZ18" s="400"/>
      <c r="LSA18" s="400"/>
      <c r="LSB18" s="400"/>
      <c r="LSC18" s="400"/>
      <c r="LSD18" s="400"/>
      <c r="LSE18" s="400"/>
      <c r="LSF18" s="400"/>
      <c r="LSG18" s="400"/>
      <c r="LSH18" s="400"/>
      <c r="LSI18" s="400"/>
      <c r="LSJ18" s="400"/>
      <c r="LSK18" s="400"/>
      <c r="LSL18" s="400"/>
      <c r="LSM18" s="400"/>
      <c r="LSN18" s="400"/>
      <c r="LSO18" s="400"/>
      <c r="LSP18" s="400"/>
      <c r="LSQ18" s="400"/>
      <c r="LSR18" s="400"/>
      <c r="LSS18" s="400"/>
      <c r="LST18" s="400"/>
      <c r="LSU18" s="400"/>
      <c r="LSV18" s="400"/>
      <c r="LSW18" s="400"/>
      <c r="LSX18" s="400"/>
      <c r="LSY18" s="400"/>
      <c r="LSZ18" s="400"/>
      <c r="LTA18" s="400"/>
      <c r="LTB18" s="400"/>
      <c r="LTC18" s="400"/>
      <c r="LTD18" s="400"/>
      <c r="LTE18" s="400"/>
      <c r="LTF18" s="400"/>
      <c r="LTG18" s="400"/>
      <c r="LTH18" s="400"/>
      <c r="LTI18" s="400"/>
      <c r="LTJ18" s="400"/>
      <c r="LTK18" s="400"/>
      <c r="LTL18" s="400"/>
      <c r="LTM18" s="400"/>
      <c r="LTN18" s="400"/>
      <c r="LTO18" s="400"/>
      <c r="LTP18" s="400"/>
      <c r="LTQ18" s="400"/>
      <c r="LTR18" s="400"/>
      <c r="LTS18" s="400"/>
      <c r="LTT18" s="400"/>
      <c r="LTU18" s="400"/>
      <c r="LTV18" s="400"/>
      <c r="LTW18" s="400"/>
      <c r="LTX18" s="400"/>
      <c r="LTY18" s="400"/>
      <c r="LTZ18" s="400"/>
      <c r="LUA18" s="400"/>
      <c r="LUB18" s="400"/>
      <c r="LUC18" s="400"/>
      <c r="LUD18" s="400"/>
      <c r="LUE18" s="400"/>
      <c r="LUF18" s="400"/>
      <c r="LUG18" s="400"/>
      <c r="LUH18" s="400"/>
      <c r="LUI18" s="400"/>
      <c r="LUJ18" s="400"/>
      <c r="LUK18" s="400"/>
      <c r="LUL18" s="400"/>
      <c r="LUM18" s="400"/>
      <c r="LUN18" s="400"/>
      <c r="LUO18" s="400"/>
      <c r="LUP18" s="400"/>
      <c r="LUQ18" s="400"/>
      <c r="LUR18" s="400"/>
      <c r="LUS18" s="400"/>
      <c r="LUT18" s="400"/>
      <c r="LUU18" s="400"/>
      <c r="LUV18" s="400"/>
      <c r="LUW18" s="400"/>
      <c r="LUX18" s="400"/>
      <c r="LUY18" s="400"/>
      <c r="LUZ18" s="400"/>
      <c r="LVA18" s="400"/>
      <c r="LVB18" s="400"/>
      <c r="LVC18" s="400"/>
      <c r="LVD18" s="400"/>
      <c r="LVE18" s="400"/>
      <c r="LVF18" s="400"/>
      <c r="LVG18" s="400"/>
      <c r="LVH18" s="400"/>
      <c r="LVI18" s="400"/>
      <c r="LVJ18" s="400"/>
      <c r="LVK18" s="400"/>
      <c r="LVL18" s="400"/>
      <c r="LVM18" s="400"/>
      <c r="LVN18" s="400"/>
      <c r="LVO18" s="400"/>
      <c r="LVP18" s="400"/>
      <c r="LVQ18" s="400"/>
      <c r="LVR18" s="400"/>
      <c r="LVS18" s="400"/>
      <c r="LVT18" s="400"/>
      <c r="LVU18" s="400"/>
      <c r="LVV18" s="400"/>
      <c r="LVW18" s="400"/>
      <c r="LVX18" s="400"/>
      <c r="LVY18" s="400"/>
      <c r="LVZ18" s="400"/>
      <c r="LWA18" s="400"/>
      <c r="LWB18" s="400"/>
      <c r="LWC18" s="400"/>
      <c r="LWD18" s="400"/>
      <c r="LWE18" s="400"/>
      <c r="LWF18" s="400"/>
      <c r="LWG18" s="400"/>
      <c r="LWH18" s="400"/>
      <c r="LWI18" s="400"/>
      <c r="LWJ18" s="400"/>
      <c r="LWK18" s="400"/>
      <c r="LWL18" s="400"/>
      <c r="LWM18" s="400"/>
      <c r="LWN18" s="400"/>
      <c r="LWO18" s="400"/>
      <c r="LWP18" s="400"/>
      <c r="LWQ18" s="400"/>
      <c r="LWR18" s="400"/>
      <c r="LWS18" s="400"/>
      <c r="LWT18" s="400"/>
      <c r="LWU18" s="400"/>
      <c r="LWV18" s="400"/>
      <c r="LWW18" s="400"/>
      <c r="LWX18" s="400"/>
      <c r="LWY18" s="400"/>
      <c r="LWZ18" s="400"/>
      <c r="LXA18" s="400"/>
      <c r="LXB18" s="400"/>
      <c r="LXC18" s="400"/>
      <c r="LXD18" s="400"/>
      <c r="LXE18" s="400"/>
      <c r="LXF18" s="400"/>
      <c r="LXG18" s="400"/>
      <c r="LXH18" s="400"/>
      <c r="LXI18" s="400"/>
      <c r="LXJ18" s="400"/>
      <c r="LXK18" s="400"/>
      <c r="LXL18" s="400"/>
      <c r="LXM18" s="400"/>
      <c r="LXN18" s="400"/>
      <c r="LXO18" s="400"/>
      <c r="LXP18" s="400"/>
      <c r="LXQ18" s="400"/>
      <c r="LXR18" s="400"/>
      <c r="LXS18" s="400"/>
      <c r="LXT18" s="400"/>
      <c r="LXU18" s="400"/>
      <c r="LXV18" s="400"/>
      <c r="LXW18" s="400"/>
      <c r="LXX18" s="400"/>
      <c r="LXY18" s="400"/>
      <c r="LXZ18" s="400"/>
      <c r="LYA18" s="400"/>
      <c r="LYB18" s="400"/>
      <c r="LYC18" s="400"/>
      <c r="LYD18" s="400"/>
      <c r="LYE18" s="400"/>
      <c r="LYF18" s="400"/>
      <c r="LYG18" s="400"/>
      <c r="LYH18" s="400"/>
      <c r="LYI18" s="400"/>
      <c r="LYJ18" s="400"/>
      <c r="LYK18" s="400"/>
      <c r="LYL18" s="400"/>
      <c r="LYM18" s="400"/>
      <c r="LYN18" s="400"/>
      <c r="LYO18" s="400"/>
      <c r="LYP18" s="400"/>
      <c r="LYQ18" s="400"/>
      <c r="LYR18" s="400"/>
      <c r="LYS18" s="400"/>
      <c r="LYT18" s="400"/>
      <c r="LYU18" s="400"/>
      <c r="LYV18" s="400"/>
      <c r="LYW18" s="400"/>
      <c r="LYX18" s="400"/>
      <c r="LYY18" s="400"/>
      <c r="LYZ18" s="400"/>
      <c r="LZA18" s="400"/>
      <c r="LZB18" s="400"/>
      <c r="LZC18" s="400"/>
      <c r="LZD18" s="400"/>
      <c r="LZE18" s="400"/>
      <c r="LZF18" s="400"/>
      <c r="LZG18" s="400"/>
      <c r="LZH18" s="400"/>
      <c r="LZI18" s="400"/>
      <c r="LZJ18" s="400"/>
      <c r="LZK18" s="400"/>
      <c r="LZL18" s="400"/>
      <c r="LZM18" s="400"/>
      <c r="LZN18" s="400"/>
      <c r="LZO18" s="400"/>
      <c r="LZP18" s="400"/>
      <c r="LZQ18" s="400"/>
      <c r="LZR18" s="400"/>
      <c r="LZS18" s="400"/>
      <c r="LZT18" s="400"/>
      <c r="LZU18" s="400"/>
      <c r="LZV18" s="400"/>
      <c r="LZW18" s="400"/>
      <c r="LZX18" s="400"/>
      <c r="LZY18" s="400"/>
      <c r="LZZ18" s="400"/>
      <c r="MAA18" s="400"/>
      <c r="MAB18" s="400"/>
      <c r="MAC18" s="400"/>
      <c r="MAD18" s="400"/>
      <c r="MAE18" s="400"/>
      <c r="MAF18" s="400"/>
      <c r="MAG18" s="400"/>
      <c r="MAH18" s="400"/>
      <c r="MAI18" s="400"/>
      <c r="MAJ18" s="400"/>
      <c r="MAK18" s="400"/>
      <c r="MAL18" s="400"/>
      <c r="MAM18" s="400"/>
      <c r="MAN18" s="400"/>
      <c r="MAO18" s="400"/>
      <c r="MAP18" s="400"/>
      <c r="MAQ18" s="400"/>
      <c r="MAR18" s="400"/>
      <c r="MAS18" s="400"/>
      <c r="MAT18" s="400"/>
      <c r="MAU18" s="400"/>
      <c r="MAV18" s="400"/>
      <c r="MAW18" s="400"/>
      <c r="MAX18" s="400"/>
      <c r="MAY18" s="400"/>
      <c r="MAZ18" s="400"/>
      <c r="MBA18" s="400"/>
      <c r="MBB18" s="400"/>
      <c r="MBC18" s="400"/>
      <c r="MBD18" s="400"/>
      <c r="MBE18" s="400"/>
      <c r="MBF18" s="400"/>
      <c r="MBG18" s="400"/>
      <c r="MBH18" s="400"/>
      <c r="MBI18" s="400"/>
      <c r="MBJ18" s="400"/>
      <c r="MBK18" s="400"/>
      <c r="MBL18" s="400"/>
      <c r="MBM18" s="400"/>
      <c r="MBN18" s="400"/>
      <c r="MBO18" s="400"/>
      <c r="MBP18" s="400"/>
      <c r="MBQ18" s="400"/>
      <c r="MBR18" s="400"/>
      <c r="MBS18" s="400"/>
      <c r="MBT18" s="400"/>
      <c r="MBU18" s="400"/>
      <c r="MBV18" s="400"/>
      <c r="MBW18" s="400"/>
      <c r="MBX18" s="400"/>
      <c r="MBY18" s="400"/>
      <c r="MBZ18" s="400"/>
      <c r="MCA18" s="400"/>
      <c r="MCB18" s="400"/>
      <c r="MCC18" s="400"/>
      <c r="MCD18" s="400"/>
      <c r="MCE18" s="400"/>
      <c r="MCF18" s="400"/>
      <c r="MCG18" s="400"/>
      <c r="MCH18" s="400"/>
      <c r="MCI18" s="400"/>
      <c r="MCJ18" s="400"/>
      <c r="MCK18" s="400"/>
      <c r="MCL18" s="400"/>
      <c r="MCM18" s="400"/>
      <c r="MCN18" s="400"/>
      <c r="MCO18" s="400"/>
      <c r="MCP18" s="400"/>
      <c r="MCQ18" s="400"/>
      <c r="MCR18" s="400"/>
      <c r="MCS18" s="400"/>
      <c r="MCT18" s="400"/>
      <c r="MCU18" s="400"/>
      <c r="MCV18" s="400"/>
      <c r="MCW18" s="400"/>
      <c r="MCX18" s="400"/>
      <c r="MCY18" s="400"/>
      <c r="MCZ18" s="400"/>
      <c r="MDA18" s="400"/>
      <c r="MDB18" s="400"/>
      <c r="MDC18" s="400"/>
      <c r="MDD18" s="400"/>
      <c r="MDE18" s="400"/>
      <c r="MDF18" s="400"/>
      <c r="MDG18" s="400"/>
      <c r="MDH18" s="400"/>
      <c r="MDI18" s="400"/>
      <c r="MDJ18" s="400"/>
      <c r="MDK18" s="400"/>
      <c r="MDL18" s="400"/>
      <c r="MDM18" s="400"/>
      <c r="MDN18" s="400"/>
      <c r="MDO18" s="400"/>
      <c r="MDP18" s="400"/>
      <c r="MDQ18" s="400"/>
      <c r="MDR18" s="400"/>
      <c r="MDS18" s="400"/>
      <c r="MDT18" s="400"/>
      <c r="MDU18" s="400"/>
      <c r="MDV18" s="400"/>
      <c r="MDW18" s="400"/>
      <c r="MDX18" s="400"/>
      <c r="MDY18" s="400"/>
      <c r="MDZ18" s="400"/>
      <c r="MEA18" s="400"/>
      <c r="MEB18" s="400"/>
      <c r="MEC18" s="400"/>
      <c r="MED18" s="400"/>
      <c r="MEE18" s="400"/>
      <c r="MEF18" s="400"/>
      <c r="MEG18" s="400"/>
      <c r="MEH18" s="400"/>
      <c r="MEI18" s="400"/>
      <c r="MEJ18" s="400"/>
      <c r="MEK18" s="400"/>
      <c r="MEL18" s="400"/>
      <c r="MEM18" s="400"/>
      <c r="MEN18" s="400"/>
      <c r="MEO18" s="400"/>
      <c r="MEP18" s="400"/>
      <c r="MEQ18" s="400"/>
      <c r="MER18" s="400"/>
      <c r="MES18" s="400"/>
      <c r="MET18" s="400"/>
      <c r="MEU18" s="400"/>
      <c r="MEV18" s="400"/>
      <c r="MEW18" s="400"/>
      <c r="MEX18" s="400"/>
      <c r="MEY18" s="400"/>
      <c r="MEZ18" s="400"/>
      <c r="MFA18" s="400"/>
      <c r="MFB18" s="400"/>
      <c r="MFC18" s="400"/>
      <c r="MFD18" s="400"/>
      <c r="MFE18" s="400"/>
      <c r="MFF18" s="400"/>
      <c r="MFG18" s="400"/>
      <c r="MFH18" s="400"/>
      <c r="MFI18" s="400"/>
      <c r="MFJ18" s="400"/>
      <c r="MFK18" s="400"/>
      <c r="MFL18" s="400"/>
      <c r="MFM18" s="400"/>
      <c r="MFN18" s="400"/>
      <c r="MFO18" s="400"/>
      <c r="MFP18" s="400"/>
      <c r="MFQ18" s="400"/>
      <c r="MFR18" s="400"/>
      <c r="MFS18" s="400"/>
      <c r="MFT18" s="400"/>
      <c r="MFU18" s="400"/>
      <c r="MFV18" s="400"/>
      <c r="MFW18" s="400"/>
      <c r="MFX18" s="400"/>
      <c r="MFY18" s="400"/>
      <c r="MFZ18" s="400"/>
      <c r="MGA18" s="400"/>
      <c r="MGB18" s="400"/>
      <c r="MGC18" s="400"/>
      <c r="MGD18" s="400"/>
      <c r="MGE18" s="400"/>
      <c r="MGF18" s="400"/>
      <c r="MGG18" s="400"/>
      <c r="MGH18" s="400"/>
      <c r="MGI18" s="400"/>
      <c r="MGJ18" s="400"/>
      <c r="MGK18" s="400"/>
      <c r="MGL18" s="400"/>
      <c r="MGM18" s="400"/>
      <c r="MGN18" s="400"/>
      <c r="MGO18" s="400"/>
      <c r="MGP18" s="400"/>
      <c r="MGQ18" s="400"/>
      <c r="MGR18" s="400"/>
      <c r="MGS18" s="400"/>
      <c r="MGT18" s="400"/>
      <c r="MGU18" s="400"/>
      <c r="MGV18" s="400"/>
      <c r="MGW18" s="400"/>
      <c r="MGX18" s="400"/>
      <c r="MGY18" s="400"/>
      <c r="MGZ18" s="400"/>
      <c r="MHA18" s="400"/>
      <c r="MHB18" s="400"/>
      <c r="MHC18" s="400"/>
      <c r="MHD18" s="400"/>
      <c r="MHE18" s="400"/>
      <c r="MHF18" s="400"/>
      <c r="MHG18" s="400"/>
      <c r="MHH18" s="400"/>
      <c r="MHI18" s="400"/>
      <c r="MHJ18" s="400"/>
      <c r="MHK18" s="400"/>
      <c r="MHL18" s="400"/>
      <c r="MHM18" s="400"/>
      <c r="MHN18" s="400"/>
      <c r="MHO18" s="400"/>
      <c r="MHP18" s="400"/>
      <c r="MHQ18" s="400"/>
      <c r="MHR18" s="400"/>
      <c r="MHS18" s="400"/>
      <c r="MHT18" s="400"/>
      <c r="MHU18" s="400"/>
      <c r="MHV18" s="400"/>
      <c r="MHW18" s="400"/>
      <c r="MHX18" s="400"/>
      <c r="MHY18" s="400"/>
      <c r="MHZ18" s="400"/>
      <c r="MIA18" s="400"/>
      <c r="MIB18" s="400"/>
      <c r="MIC18" s="400"/>
      <c r="MID18" s="400"/>
      <c r="MIE18" s="400"/>
      <c r="MIF18" s="400"/>
      <c r="MIG18" s="400"/>
      <c r="MIH18" s="400"/>
      <c r="MII18" s="400"/>
      <c r="MIJ18" s="400"/>
      <c r="MIK18" s="400"/>
      <c r="MIL18" s="400"/>
      <c r="MIM18" s="400"/>
      <c r="MIN18" s="400"/>
      <c r="MIO18" s="400"/>
      <c r="MIP18" s="400"/>
      <c r="MIQ18" s="400"/>
      <c r="MIR18" s="400"/>
      <c r="MIS18" s="400"/>
      <c r="MIT18" s="400"/>
      <c r="MIU18" s="400"/>
      <c r="MIV18" s="400"/>
      <c r="MIW18" s="400"/>
      <c r="MIX18" s="400"/>
      <c r="MIY18" s="400"/>
      <c r="MIZ18" s="400"/>
      <c r="MJA18" s="400"/>
      <c r="MJB18" s="400"/>
      <c r="MJC18" s="400"/>
      <c r="MJD18" s="400"/>
      <c r="MJE18" s="400"/>
      <c r="MJF18" s="400"/>
      <c r="MJG18" s="400"/>
      <c r="MJH18" s="400"/>
      <c r="MJI18" s="400"/>
      <c r="MJJ18" s="400"/>
      <c r="MJK18" s="400"/>
      <c r="MJL18" s="400"/>
      <c r="MJM18" s="400"/>
      <c r="MJN18" s="400"/>
      <c r="MJO18" s="400"/>
      <c r="MJP18" s="400"/>
      <c r="MJQ18" s="400"/>
      <c r="MJR18" s="400"/>
      <c r="MJS18" s="400"/>
      <c r="MJT18" s="400"/>
      <c r="MJU18" s="400"/>
      <c r="MJV18" s="400"/>
      <c r="MJW18" s="400"/>
      <c r="MJX18" s="400"/>
      <c r="MJY18" s="400"/>
      <c r="MJZ18" s="400"/>
      <c r="MKA18" s="400"/>
      <c r="MKB18" s="400"/>
      <c r="MKC18" s="400"/>
      <c r="MKD18" s="400"/>
      <c r="MKE18" s="400"/>
      <c r="MKF18" s="400"/>
      <c r="MKG18" s="400"/>
      <c r="MKH18" s="400"/>
      <c r="MKI18" s="400"/>
      <c r="MKJ18" s="400"/>
      <c r="MKK18" s="400"/>
      <c r="MKL18" s="400"/>
      <c r="MKM18" s="400"/>
      <c r="MKN18" s="400"/>
      <c r="MKO18" s="400"/>
      <c r="MKP18" s="400"/>
      <c r="MKQ18" s="400"/>
      <c r="MKR18" s="400"/>
      <c r="MKS18" s="400"/>
      <c r="MKT18" s="400"/>
      <c r="MKU18" s="400"/>
      <c r="MKV18" s="400"/>
      <c r="MKW18" s="400"/>
      <c r="MKX18" s="400"/>
      <c r="MKY18" s="400"/>
      <c r="MKZ18" s="400"/>
      <c r="MLA18" s="400"/>
      <c r="MLB18" s="400"/>
      <c r="MLC18" s="400"/>
      <c r="MLD18" s="400"/>
      <c r="MLE18" s="400"/>
      <c r="MLF18" s="400"/>
      <c r="MLG18" s="400"/>
      <c r="MLH18" s="400"/>
      <c r="MLI18" s="400"/>
      <c r="MLJ18" s="400"/>
      <c r="MLK18" s="400"/>
      <c r="MLL18" s="400"/>
      <c r="MLM18" s="400"/>
      <c r="MLN18" s="400"/>
      <c r="MLO18" s="400"/>
      <c r="MLP18" s="400"/>
      <c r="MLQ18" s="400"/>
      <c r="MLR18" s="400"/>
      <c r="MLS18" s="400"/>
      <c r="MLT18" s="400"/>
      <c r="MLU18" s="400"/>
      <c r="MLV18" s="400"/>
      <c r="MLW18" s="400"/>
      <c r="MLX18" s="400"/>
      <c r="MLY18" s="400"/>
      <c r="MLZ18" s="400"/>
      <c r="MMA18" s="400"/>
      <c r="MMB18" s="400"/>
      <c r="MMC18" s="400"/>
      <c r="MMD18" s="400"/>
      <c r="MME18" s="400"/>
      <c r="MMF18" s="400"/>
      <c r="MMG18" s="400"/>
      <c r="MMH18" s="400"/>
      <c r="MMI18" s="400"/>
      <c r="MMJ18" s="400"/>
      <c r="MMK18" s="400"/>
      <c r="MML18" s="400"/>
      <c r="MMM18" s="400"/>
      <c r="MMN18" s="400"/>
      <c r="MMO18" s="400"/>
      <c r="MMP18" s="400"/>
      <c r="MMQ18" s="400"/>
      <c r="MMR18" s="400"/>
      <c r="MMS18" s="400"/>
      <c r="MMT18" s="400"/>
      <c r="MMU18" s="400"/>
      <c r="MMV18" s="400"/>
      <c r="MMW18" s="400"/>
      <c r="MMX18" s="400"/>
      <c r="MMY18" s="400"/>
      <c r="MMZ18" s="400"/>
      <c r="MNA18" s="400"/>
      <c r="MNB18" s="400"/>
      <c r="MNC18" s="400"/>
      <c r="MND18" s="400"/>
      <c r="MNE18" s="400"/>
      <c r="MNF18" s="400"/>
      <c r="MNG18" s="400"/>
      <c r="MNH18" s="400"/>
      <c r="MNI18" s="400"/>
      <c r="MNJ18" s="400"/>
      <c r="MNK18" s="400"/>
      <c r="MNL18" s="400"/>
      <c r="MNM18" s="400"/>
      <c r="MNN18" s="400"/>
      <c r="MNO18" s="400"/>
      <c r="MNP18" s="400"/>
      <c r="MNQ18" s="400"/>
      <c r="MNR18" s="400"/>
      <c r="MNS18" s="400"/>
      <c r="MNT18" s="400"/>
      <c r="MNU18" s="400"/>
      <c r="MNV18" s="400"/>
      <c r="MNW18" s="400"/>
      <c r="MNX18" s="400"/>
      <c r="MNY18" s="400"/>
      <c r="MNZ18" s="400"/>
      <c r="MOA18" s="400"/>
      <c r="MOB18" s="400"/>
      <c r="MOC18" s="400"/>
      <c r="MOD18" s="400"/>
      <c r="MOE18" s="400"/>
      <c r="MOF18" s="400"/>
      <c r="MOG18" s="400"/>
      <c r="MOH18" s="400"/>
      <c r="MOI18" s="400"/>
      <c r="MOJ18" s="400"/>
      <c r="MOK18" s="400"/>
      <c r="MOL18" s="400"/>
      <c r="MOM18" s="400"/>
      <c r="MON18" s="400"/>
      <c r="MOO18" s="400"/>
      <c r="MOP18" s="400"/>
      <c r="MOQ18" s="400"/>
      <c r="MOR18" s="400"/>
      <c r="MOS18" s="400"/>
      <c r="MOT18" s="400"/>
      <c r="MOU18" s="400"/>
      <c r="MOV18" s="400"/>
      <c r="MOW18" s="400"/>
      <c r="MOX18" s="400"/>
      <c r="MOY18" s="400"/>
      <c r="MOZ18" s="400"/>
      <c r="MPA18" s="400"/>
      <c r="MPB18" s="400"/>
      <c r="MPC18" s="400"/>
      <c r="MPD18" s="400"/>
      <c r="MPE18" s="400"/>
      <c r="MPF18" s="400"/>
      <c r="MPG18" s="400"/>
      <c r="MPH18" s="400"/>
      <c r="MPI18" s="400"/>
      <c r="MPJ18" s="400"/>
      <c r="MPK18" s="400"/>
      <c r="MPL18" s="400"/>
      <c r="MPM18" s="400"/>
      <c r="MPN18" s="400"/>
      <c r="MPO18" s="400"/>
      <c r="MPP18" s="400"/>
      <c r="MPQ18" s="400"/>
      <c r="MPR18" s="400"/>
      <c r="MPS18" s="400"/>
      <c r="MPT18" s="400"/>
      <c r="MPU18" s="400"/>
      <c r="MPV18" s="400"/>
      <c r="MPW18" s="400"/>
      <c r="MPX18" s="400"/>
      <c r="MPY18" s="400"/>
      <c r="MPZ18" s="400"/>
      <c r="MQA18" s="400"/>
      <c r="MQB18" s="400"/>
      <c r="MQC18" s="400"/>
      <c r="MQD18" s="400"/>
      <c r="MQE18" s="400"/>
      <c r="MQF18" s="400"/>
      <c r="MQG18" s="400"/>
      <c r="MQH18" s="400"/>
      <c r="MQI18" s="400"/>
      <c r="MQJ18" s="400"/>
      <c r="MQK18" s="400"/>
      <c r="MQL18" s="400"/>
      <c r="MQM18" s="400"/>
      <c r="MQN18" s="400"/>
      <c r="MQO18" s="400"/>
      <c r="MQP18" s="400"/>
      <c r="MQQ18" s="400"/>
      <c r="MQR18" s="400"/>
      <c r="MQS18" s="400"/>
      <c r="MQT18" s="400"/>
      <c r="MQU18" s="400"/>
      <c r="MQV18" s="400"/>
      <c r="MQW18" s="400"/>
      <c r="MQX18" s="400"/>
      <c r="MQY18" s="400"/>
      <c r="MQZ18" s="400"/>
      <c r="MRA18" s="400"/>
      <c r="MRB18" s="400"/>
      <c r="MRC18" s="400"/>
      <c r="MRD18" s="400"/>
      <c r="MRE18" s="400"/>
      <c r="MRF18" s="400"/>
      <c r="MRG18" s="400"/>
      <c r="MRH18" s="400"/>
      <c r="MRI18" s="400"/>
      <c r="MRJ18" s="400"/>
      <c r="MRK18" s="400"/>
      <c r="MRL18" s="400"/>
      <c r="MRM18" s="400"/>
      <c r="MRN18" s="400"/>
      <c r="MRO18" s="400"/>
      <c r="MRP18" s="400"/>
      <c r="MRQ18" s="400"/>
      <c r="MRR18" s="400"/>
      <c r="MRS18" s="400"/>
      <c r="MRT18" s="400"/>
      <c r="MRU18" s="400"/>
      <c r="MRV18" s="400"/>
      <c r="MRW18" s="400"/>
      <c r="MRX18" s="400"/>
      <c r="MRY18" s="400"/>
      <c r="MRZ18" s="400"/>
      <c r="MSA18" s="400"/>
      <c r="MSB18" s="400"/>
      <c r="MSC18" s="400"/>
      <c r="MSD18" s="400"/>
      <c r="MSE18" s="400"/>
      <c r="MSF18" s="400"/>
      <c r="MSG18" s="400"/>
      <c r="MSH18" s="400"/>
      <c r="MSI18" s="400"/>
      <c r="MSJ18" s="400"/>
      <c r="MSK18" s="400"/>
      <c r="MSL18" s="400"/>
      <c r="MSM18" s="400"/>
      <c r="MSN18" s="400"/>
      <c r="MSO18" s="400"/>
      <c r="MSP18" s="400"/>
      <c r="MSQ18" s="400"/>
      <c r="MSR18" s="400"/>
      <c r="MSS18" s="400"/>
      <c r="MST18" s="400"/>
      <c r="MSU18" s="400"/>
      <c r="MSV18" s="400"/>
      <c r="MSW18" s="400"/>
      <c r="MSX18" s="400"/>
      <c r="MSY18" s="400"/>
      <c r="MSZ18" s="400"/>
      <c r="MTA18" s="400"/>
      <c r="MTB18" s="400"/>
      <c r="MTC18" s="400"/>
      <c r="MTD18" s="400"/>
      <c r="MTE18" s="400"/>
      <c r="MTF18" s="400"/>
      <c r="MTG18" s="400"/>
      <c r="MTH18" s="400"/>
      <c r="MTI18" s="400"/>
      <c r="MTJ18" s="400"/>
      <c r="MTK18" s="400"/>
      <c r="MTL18" s="400"/>
      <c r="MTM18" s="400"/>
      <c r="MTN18" s="400"/>
      <c r="MTO18" s="400"/>
      <c r="MTP18" s="400"/>
      <c r="MTQ18" s="400"/>
      <c r="MTR18" s="400"/>
      <c r="MTS18" s="400"/>
      <c r="MTT18" s="400"/>
      <c r="MTU18" s="400"/>
      <c r="MTV18" s="400"/>
      <c r="MTW18" s="400"/>
      <c r="MTX18" s="400"/>
      <c r="MTY18" s="400"/>
      <c r="MTZ18" s="400"/>
      <c r="MUA18" s="400"/>
      <c r="MUB18" s="400"/>
      <c r="MUC18" s="400"/>
      <c r="MUD18" s="400"/>
      <c r="MUE18" s="400"/>
      <c r="MUF18" s="400"/>
      <c r="MUG18" s="400"/>
      <c r="MUH18" s="400"/>
      <c r="MUI18" s="400"/>
      <c r="MUJ18" s="400"/>
      <c r="MUK18" s="400"/>
      <c r="MUL18" s="400"/>
      <c r="MUM18" s="400"/>
      <c r="MUN18" s="400"/>
      <c r="MUO18" s="400"/>
      <c r="MUP18" s="400"/>
      <c r="MUQ18" s="400"/>
      <c r="MUR18" s="400"/>
      <c r="MUS18" s="400"/>
      <c r="MUT18" s="400"/>
      <c r="MUU18" s="400"/>
      <c r="MUV18" s="400"/>
      <c r="MUW18" s="400"/>
      <c r="MUX18" s="400"/>
      <c r="MUY18" s="400"/>
      <c r="MUZ18" s="400"/>
      <c r="MVA18" s="400"/>
      <c r="MVB18" s="400"/>
      <c r="MVC18" s="400"/>
      <c r="MVD18" s="400"/>
      <c r="MVE18" s="400"/>
      <c r="MVF18" s="400"/>
      <c r="MVG18" s="400"/>
      <c r="MVH18" s="400"/>
      <c r="MVI18" s="400"/>
      <c r="MVJ18" s="400"/>
      <c r="MVK18" s="400"/>
      <c r="MVL18" s="400"/>
      <c r="MVM18" s="400"/>
      <c r="MVN18" s="400"/>
      <c r="MVO18" s="400"/>
      <c r="MVP18" s="400"/>
      <c r="MVQ18" s="400"/>
      <c r="MVR18" s="400"/>
      <c r="MVS18" s="400"/>
      <c r="MVT18" s="400"/>
      <c r="MVU18" s="400"/>
      <c r="MVV18" s="400"/>
      <c r="MVW18" s="400"/>
      <c r="MVX18" s="400"/>
      <c r="MVY18" s="400"/>
      <c r="MVZ18" s="400"/>
      <c r="MWA18" s="400"/>
      <c r="MWB18" s="400"/>
      <c r="MWC18" s="400"/>
      <c r="MWD18" s="400"/>
      <c r="MWE18" s="400"/>
      <c r="MWF18" s="400"/>
      <c r="MWG18" s="400"/>
      <c r="MWH18" s="400"/>
      <c r="MWI18" s="400"/>
      <c r="MWJ18" s="400"/>
      <c r="MWK18" s="400"/>
      <c r="MWL18" s="400"/>
      <c r="MWM18" s="400"/>
      <c r="MWN18" s="400"/>
      <c r="MWO18" s="400"/>
      <c r="MWP18" s="400"/>
      <c r="MWQ18" s="400"/>
      <c r="MWR18" s="400"/>
      <c r="MWS18" s="400"/>
      <c r="MWT18" s="400"/>
      <c r="MWU18" s="400"/>
      <c r="MWV18" s="400"/>
      <c r="MWW18" s="400"/>
      <c r="MWX18" s="400"/>
      <c r="MWY18" s="400"/>
      <c r="MWZ18" s="400"/>
      <c r="MXA18" s="400"/>
      <c r="MXB18" s="400"/>
      <c r="MXC18" s="400"/>
      <c r="MXD18" s="400"/>
      <c r="MXE18" s="400"/>
      <c r="MXF18" s="400"/>
      <c r="MXG18" s="400"/>
      <c r="MXH18" s="400"/>
      <c r="MXI18" s="400"/>
      <c r="MXJ18" s="400"/>
      <c r="MXK18" s="400"/>
      <c r="MXL18" s="400"/>
      <c r="MXM18" s="400"/>
      <c r="MXN18" s="400"/>
      <c r="MXO18" s="400"/>
      <c r="MXP18" s="400"/>
      <c r="MXQ18" s="400"/>
      <c r="MXR18" s="400"/>
      <c r="MXS18" s="400"/>
      <c r="MXT18" s="400"/>
      <c r="MXU18" s="400"/>
      <c r="MXV18" s="400"/>
      <c r="MXW18" s="400"/>
      <c r="MXX18" s="400"/>
      <c r="MXY18" s="400"/>
      <c r="MXZ18" s="400"/>
      <c r="MYA18" s="400"/>
      <c r="MYB18" s="400"/>
      <c r="MYC18" s="400"/>
      <c r="MYD18" s="400"/>
      <c r="MYE18" s="400"/>
      <c r="MYF18" s="400"/>
      <c r="MYG18" s="400"/>
      <c r="MYH18" s="400"/>
      <c r="MYI18" s="400"/>
      <c r="MYJ18" s="400"/>
      <c r="MYK18" s="400"/>
      <c r="MYL18" s="400"/>
      <c r="MYM18" s="400"/>
      <c r="MYN18" s="400"/>
      <c r="MYO18" s="400"/>
      <c r="MYP18" s="400"/>
      <c r="MYQ18" s="400"/>
      <c r="MYR18" s="400"/>
      <c r="MYS18" s="400"/>
      <c r="MYT18" s="400"/>
      <c r="MYU18" s="400"/>
      <c r="MYV18" s="400"/>
      <c r="MYW18" s="400"/>
      <c r="MYX18" s="400"/>
      <c r="MYY18" s="400"/>
      <c r="MYZ18" s="400"/>
      <c r="MZA18" s="400"/>
      <c r="MZB18" s="400"/>
      <c r="MZC18" s="400"/>
      <c r="MZD18" s="400"/>
      <c r="MZE18" s="400"/>
      <c r="MZF18" s="400"/>
      <c r="MZG18" s="400"/>
      <c r="MZH18" s="400"/>
      <c r="MZI18" s="400"/>
      <c r="MZJ18" s="400"/>
      <c r="MZK18" s="400"/>
      <c r="MZL18" s="400"/>
      <c r="MZM18" s="400"/>
      <c r="MZN18" s="400"/>
      <c r="MZO18" s="400"/>
      <c r="MZP18" s="400"/>
      <c r="MZQ18" s="400"/>
      <c r="MZR18" s="400"/>
      <c r="MZS18" s="400"/>
      <c r="MZT18" s="400"/>
      <c r="MZU18" s="400"/>
      <c r="MZV18" s="400"/>
      <c r="MZW18" s="400"/>
      <c r="MZX18" s="400"/>
      <c r="MZY18" s="400"/>
      <c r="MZZ18" s="400"/>
      <c r="NAA18" s="400"/>
      <c r="NAB18" s="400"/>
      <c r="NAC18" s="400"/>
      <c r="NAD18" s="400"/>
      <c r="NAE18" s="400"/>
      <c r="NAF18" s="400"/>
      <c r="NAG18" s="400"/>
      <c r="NAH18" s="400"/>
      <c r="NAI18" s="400"/>
      <c r="NAJ18" s="400"/>
      <c r="NAK18" s="400"/>
      <c r="NAL18" s="400"/>
      <c r="NAM18" s="400"/>
      <c r="NAN18" s="400"/>
      <c r="NAO18" s="400"/>
      <c r="NAP18" s="400"/>
      <c r="NAQ18" s="400"/>
      <c r="NAR18" s="400"/>
      <c r="NAS18" s="400"/>
      <c r="NAT18" s="400"/>
      <c r="NAU18" s="400"/>
      <c r="NAV18" s="400"/>
      <c r="NAW18" s="400"/>
      <c r="NAX18" s="400"/>
      <c r="NAY18" s="400"/>
      <c r="NAZ18" s="400"/>
      <c r="NBA18" s="400"/>
      <c r="NBB18" s="400"/>
      <c r="NBC18" s="400"/>
      <c r="NBD18" s="400"/>
      <c r="NBE18" s="400"/>
      <c r="NBF18" s="400"/>
      <c r="NBG18" s="400"/>
      <c r="NBH18" s="400"/>
      <c r="NBI18" s="400"/>
      <c r="NBJ18" s="400"/>
      <c r="NBK18" s="400"/>
      <c r="NBL18" s="400"/>
      <c r="NBM18" s="400"/>
      <c r="NBN18" s="400"/>
      <c r="NBO18" s="400"/>
      <c r="NBP18" s="400"/>
      <c r="NBQ18" s="400"/>
      <c r="NBR18" s="400"/>
      <c r="NBS18" s="400"/>
      <c r="NBT18" s="400"/>
      <c r="NBU18" s="400"/>
      <c r="NBV18" s="400"/>
      <c r="NBW18" s="400"/>
      <c r="NBX18" s="400"/>
      <c r="NBY18" s="400"/>
      <c r="NBZ18" s="400"/>
      <c r="NCA18" s="400"/>
      <c r="NCB18" s="400"/>
      <c r="NCC18" s="400"/>
      <c r="NCD18" s="400"/>
      <c r="NCE18" s="400"/>
      <c r="NCF18" s="400"/>
      <c r="NCG18" s="400"/>
      <c r="NCH18" s="400"/>
      <c r="NCI18" s="400"/>
      <c r="NCJ18" s="400"/>
      <c r="NCK18" s="400"/>
      <c r="NCL18" s="400"/>
      <c r="NCM18" s="400"/>
      <c r="NCN18" s="400"/>
      <c r="NCO18" s="400"/>
      <c r="NCP18" s="400"/>
      <c r="NCQ18" s="400"/>
      <c r="NCR18" s="400"/>
      <c r="NCS18" s="400"/>
      <c r="NCT18" s="400"/>
      <c r="NCU18" s="400"/>
      <c r="NCV18" s="400"/>
      <c r="NCW18" s="400"/>
      <c r="NCX18" s="400"/>
      <c r="NCY18" s="400"/>
      <c r="NCZ18" s="400"/>
      <c r="NDA18" s="400"/>
      <c r="NDB18" s="400"/>
      <c r="NDC18" s="400"/>
      <c r="NDD18" s="400"/>
      <c r="NDE18" s="400"/>
      <c r="NDF18" s="400"/>
      <c r="NDG18" s="400"/>
      <c r="NDH18" s="400"/>
      <c r="NDI18" s="400"/>
      <c r="NDJ18" s="400"/>
      <c r="NDK18" s="400"/>
      <c r="NDL18" s="400"/>
      <c r="NDM18" s="400"/>
      <c r="NDN18" s="400"/>
      <c r="NDO18" s="400"/>
      <c r="NDP18" s="400"/>
      <c r="NDQ18" s="400"/>
      <c r="NDR18" s="400"/>
      <c r="NDS18" s="400"/>
      <c r="NDT18" s="400"/>
      <c r="NDU18" s="400"/>
      <c r="NDV18" s="400"/>
      <c r="NDW18" s="400"/>
      <c r="NDX18" s="400"/>
      <c r="NDY18" s="400"/>
      <c r="NDZ18" s="400"/>
      <c r="NEA18" s="400"/>
      <c r="NEB18" s="400"/>
      <c r="NEC18" s="400"/>
      <c r="NED18" s="400"/>
      <c r="NEE18" s="400"/>
      <c r="NEF18" s="400"/>
      <c r="NEG18" s="400"/>
      <c r="NEH18" s="400"/>
      <c r="NEI18" s="400"/>
      <c r="NEJ18" s="400"/>
      <c r="NEK18" s="400"/>
      <c r="NEL18" s="400"/>
      <c r="NEM18" s="400"/>
      <c r="NEN18" s="400"/>
      <c r="NEO18" s="400"/>
      <c r="NEP18" s="400"/>
      <c r="NEQ18" s="400"/>
      <c r="NER18" s="400"/>
      <c r="NES18" s="400"/>
      <c r="NET18" s="400"/>
      <c r="NEU18" s="400"/>
      <c r="NEV18" s="400"/>
      <c r="NEW18" s="400"/>
      <c r="NEX18" s="400"/>
      <c r="NEY18" s="400"/>
      <c r="NEZ18" s="400"/>
      <c r="NFA18" s="400"/>
      <c r="NFB18" s="400"/>
      <c r="NFC18" s="400"/>
      <c r="NFD18" s="400"/>
      <c r="NFE18" s="400"/>
      <c r="NFF18" s="400"/>
      <c r="NFG18" s="400"/>
      <c r="NFH18" s="400"/>
      <c r="NFI18" s="400"/>
      <c r="NFJ18" s="400"/>
      <c r="NFK18" s="400"/>
      <c r="NFL18" s="400"/>
      <c r="NFM18" s="400"/>
      <c r="NFN18" s="400"/>
      <c r="NFO18" s="400"/>
      <c r="NFP18" s="400"/>
      <c r="NFQ18" s="400"/>
      <c r="NFR18" s="400"/>
      <c r="NFS18" s="400"/>
      <c r="NFT18" s="400"/>
      <c r="NFU18" s="400"/>
      <c r="NFV18" s="400"/>
      <c r="NFW18" s="400"/>
      <c r="NFX18" s="400"/>
      <c r="NFY18" s="400"/>
      <c r="NFZ18" s="400"/>
      <c r="NGA18" s="400"/>
      <c r="NGB18" s="400"/>
      <c r="NGC18" s="400"/>
      <c r="NGD18" s="400"/>
      <c r="NGE18" s="400"/>
      <c r="NGF18" s="400"/>
      <c r="NGG18" s="400"/>
      <c r="NGH18" s="400"/>
      <c r="NGI18" s="400"/>
      <c r="NGJ18" s="400"/>
      <c r="NGK18" s="400"/>
      <c r="NGL18" s="400"/>
      <c r="NGM18" s="400"/>
      <c r="NGN18" s="400"/>
      <c r="NGO18" s="400"/>
      <c r="NGP18" s="400"/>
      <c r="NGQ18" s="400"/>
      <c r="NGR18" s="400"/>
      <c r="NGS18" s="400"/>
      <c r="NGT18" s="400"/>
      <c r="NGU18" s="400"/>
      <c r="NGV18" s="400"/>
      <c r="NGW18" s="400"/>
      <c r="NGX18" s="400"/>
      <c r="NGY18" s="400"/>
      <c r="NGZ18" s="400"/>
      <c r="NHA18" s="400"/>
      <c r="NHB18" s="400"/>
      <c r="NHC18" s="400"/>
      <c r="NHD18" s="400"/>
      <c r="NHE18" s="400"/>
      <c r="NHF18" s="400"/>
      <c r="NHG18" s="400"/>
      <c r="NHH18" s="400"/>
      <c r="NHI18" s="400"/>
      <c r="NHJ18" s="400"/>
      <c r="NHK18" s="400"/>
      <c r="NHL18" s="400"/>
      <c r="NHM18" s="400"/>
      <c r="NHN18" s="400"/>
      <c r="NHO18" s="400"/>
      <c r="NHP18" s="400"/>
      <c r="NHQ18" s="400"/>
      <c r="NHR18" s="400"/>
      <c r="NHS18" s="400"/>
      <c r="NHT18" s="400"/>
      <c r="NHU18" s="400"/>
      <c r="NHV18" s="400"/>
      <c r="NHW18" s="400"/>
      <c r="NHX18" s="400"/>
      <c r="NHY18" s="400"/>
      <c r="NHZ18" s="400"/>
      <c r="NIA18" s="400"/>
      <c r="NIB18" s="400"/>
      <c r="NIC18" s="400"/>
      <c r="NID18" s="400"/>
      <c r="NIE18" s="400"/>
      <c r="NIF18" s="400"/>
      <c r="NIG18" s="400"/>
      <c r="NIH18" s="400"/>
      <c r="NII18" s="400"/>
      <c r="NIJ18" s="400"/>
      <c r="NIK18" s="400"/>
      <c r="NIL18" s="400"/>
      <c r="NIM18" s="400"/>
      <c r="NIN18" s="400"/>
      <c r="NIO18" s="400"/>
      <c r="NIP18" s="400"/>
      <c r="NIQ18" s="400"/>
      <c r="NIR18" s="400"/>
      <c r="NIS18" s="400"/>
      <c r="NIT18" s="400"/>
      <c r="NIU18" s="400"/>
      <c r="NIV18" s="400"/>
      <c r="NIW18" s="400"/>
      <c r="NIX18" s="400"/>
      <c r="NIY18" s="400"/>
      <c r="NIZ18" s="400"/>
      <c r="NJA18" s="400"/>
      <c r="NJB18" s="400"/>
      <c r="NJC18" s="400"/>
      <c r="NJD18" s="400"/>
      <c r="NJE18" s="400"/>
      <c r="NJF18" s="400"/>
      <c r="NJG18" s="400"/>
      <c r="NJH18" s="400"/>
      <c r="NJI18" s="400"/>
      <c r="NJJ18" s="400"/>
      <c r="NJK18" s="400"/>
      <c r="NJL18" s="400"/>
      <c r="NJM18" s="400"/>
      <c r="NJN18" s="400"/>
      <c r="NJO18" s="400"/>
      <c r="NJP18" s="400"/>
      <c r="NJQ18" s="400"/>
      <c r="NJR18" s="400"/>
      <c r="NJS18" s="400"/>
      <c r="NJT18" s="400"/>
      <c r="NJU18" s="400"/>
      <c r="NJV18" s="400"/>
      <c r="NJW18" s="400"/>
      <c r="NJX18" s="400"/>
      <c r="NJY18" s="400"/>
      <c r="NJZ18" s="400"/>
      <c r="NKA18" s="400"/>
      <c r="NKB18" s="400"/>
      <c r="NKC18" s="400"/>
      <c r="NKD18" s="400"/>
      <c r="NKE18" s="400"/>
      <c r="NKF18" s="400"/>
      <c r="NKG18" s="400"/>
      <c r="NKH18" s="400"/>
      <c r="NKI18" s="400"/>
      <c r="NKJ18" s="400"/>
      <c r="NKK18" s="400"/>
      <c r="NKL18" s="400"/>
      <c r="NKM18" s="400"/>
      <c r="NKN18" s="400"/>
      <c r="NKO18" s="400"/>
      <c r="NKP18" s="400"/>
      <c r="NKQ18" s="400"/>
      <c r="NKR18" s="400"/>
      <c r="NKS18" s="400"/>
      <c r="NKT18" s="400"/>
      <c r="NKU18" s="400"/>
      <c r="NKV18" s="400"/>
      <c r="NKW18" s="400"/>
      <c r="NKX18" s="400"/>
      <c r="NKY18" s="400"/>
      <c r="NKZ18" s="400"/>
      <c r="NLA18" s="400"/>
      <c r="NLB18" s="400"/>
      <c r="NLC18" s="400"/>
      <c r="NLD18" s="400"/>
      <c r="NLE18" s="400"/>
      <c r="NLF18" s="400"/>
      <c r="NLG18" s="400"/>
      <c r="NLH18" s="400"/>
      <c r="NLI18" s="400"/>
      <c r="NLJ18" s="400"/>
      <c r="NLK18" s="400"/>
      <c r="NLL18" s="400"/>
      <c r="NLM18" s="400"/>
      <c r="NLN18" s="400"/>
      <c r="NLO18" s="400"/>
      <c r="NLP18" s="400"/>
      <c r="NLQ18" s="400"/>
      <c r="NLR18" s="400"/>
      <c r="NLS18" s="400"/>
      <c r="NLT18" s="400"/>
      <c r="NLU18" s="400"/>
      <c r="NLV18" s="400"/>
      <c r="NLW18" s="400"/>
      <c r="NLX18" s="400"/>
      <c r="NLY18" s="400"/>
      <c r="NLZ18" s="400"/>
      <c r="NMA18" s="400"/>
      <c r="NMB18" s="400"/>
      <c r="NMC18" s="400"/>
      <c r="NMD18" s="400"/>
      <c r="NME18" s="400"/>
      <c r="NMF18" s="400"/>
      <c r="NMG18" s="400"/>
      <c r="NMH18" s="400"/>
      <c r="NMI18" s="400"/>
      <c r="NMJ18" s="400"/>
      <c r="NMK18" s="400"/>
      <c r="NML18" s="400"/>
      <c r="NMM18" s="400"/>
      <c r="NMN18" s="400"/>
      <c r="NMO18" s="400"/>
      <c r="NMP18" s="400"/>
      <c r="NMQ18" s="400"/>
      <c r="NMR18" s="400"/>
      <c r="NMS18" s="400"/>
      <c r="NMT18" s="400"/>
      <c r="NMU18" s="400"/>
      <c r="NMV18" s="400"/>
      <c r="NMW18" s="400"/>
      <c r="NMX18" s="400"/>
      <c r="NMY18" s="400"/>
      <c r="NMZ18" s="400"/>
      <c r="NNA18" s="400"/>
      <c r="NNB18" s="400"/>
      <c r="NNC18" s="400"/>
      <c r="NND18" s="400"/>
      <c r="NNE18" s="400"/>
      <c r="NNF18" s="400"/>
      <c r="NNG18" s="400"/>
      <c r="NNH18" s="400"/>
      <c r="NNI18" s="400"/>
      <c r="NNJ18" s="400"/>
      <c r="NNK18" s="400"/>
      <c r="NNL18" s="400"/>
      <c r="NNM18" s="400"/>
      <c r="NNN18" s="400"/>
      <c r="NNO18" s="400"/>
      <c r="NNP18" s="400"/>
      <c r="NNQ18" s="400"/>
      <c r="NNR18" s="400"/>
      <c r="NNS18" s="400"/>
      <c r="NNT18" s="400"/>
      <c r="NNU18" s="400"/>
      <c r="NNV18" s="400"/>
      <c r="NNW18" s="400"/>
      <c r="NNX18" s="400"/>
      <c r="NNY18" s="400"/>
      <c r="NNZ18" s="400"/>
      <c r="NOA18" s="400"/>
      <c r="NOB18" s="400"/>
      <c r="NOC18" s="400"/>
      <c r="NOD18" s="400"/>
      <c r="NOE18" s="400"/>
      <c r="NOF18" s="400"/>
      <c r="NOG18" s="400"/>
      <c r="NOH18" s="400"/>
      <c r="NOI18" s="400"/>
      <c r="NOJ18" s="400"/>
      <c r="NOK18" s="400"/>
      <c r="NOL18" s="400"/>
      <c r="NOM18" s="400"/>
      <c r="NON18" s="400"/>
      <c r="NOO18" s="400"/>
      <c r="NOP18" s="400"/>
      <c r="NOQ18" s="400"/>
      <c r="NOR18" s="400"/>
      <c r="NOS18" s="400"/>
      <c r="NOT18" s="400"/>
      <c r="NOU18" s="400"/>
      <c r="NOV18" s="400"/>
      <c r="NOW18" s="400"/>
      <c r="NOX18" s="400"/>
      <c r="NOY18" s="400"/>
      <c r="NOZ18" s="400"/>
      <c r="NPA18" s="400"/>
      <c r="NPB18" s="400"/>
      <c r="NPC18" s="400"/>
      <c r="NPD18" s="400"/>
      <c r="NPE18" s="400"/>
      <c r="NPF18" s="400"/>
      <c r="NPG18" s="400"/>
      <c r="NPH18" s="400"/>
      <c r="NPI18" s="400"/>
      <c r="NPJ18" s="400"/>
      <c r="NPK18" s="400"/>
      <c r="NPL18" s="400"/>
      <c r="NPM18" s="400"/>
      <c r="NPN18" s="400"/>
      <c r="NPO18" s="400"/>
      <c r="NPP18" s="400"/>
      <c r="NPQ18" s="400"/>
      <c r="NPR18" s="400"/>
      <c r="NPS18" s="400"/>
      <c r="NPT18" s="400"/>
      <c r="NPU18" s="400"/>
      <c r="NPV18" s="400"/>
      <c r="NPW18" s="400"/>
      <c r="NPX18" s="400"/>
      <c r="NPY18" s="400"/>
      <c r="NPZ18" s="400"/>
      <c r="NQA18" s="400"/>
      <c r="NQB18" s="400"/>
      <c r="NQC18" s="400"/>
      <c r="NQD18" s="400"/>
      <c r="NQE18" s="400"/>
      <c r="NQF18" s="400"/>
      <c r="NQG18" s="400"/>
      <c r="NQH18" s="400"/>
      <c r="NQI18" s="400"/>
      <c r="NQJ18" s="400"/>
      <c r="NQK18" s="400"/>
      <c r="NQL18" s="400"/>
      <c r="NQM18" s="400"/>
      <c r="NQN18" s="400"/>
      <c r="NQO18" s="400"/>
      <c r="NQP18" s="400"/>
      <c r="NQQ18" s="400"/>
      <c r="NQR18" s="400"/>
      <c r="NQS18" s="400"/>
      <c r="NQT18" s="400"/>
      <c r="NQU18" s="400"/>
      <c r="NQV18" s="400"/>
      <c r="NQW18" s="400"/>
      <c r="NQX18" s="400"/>
      <c r="NQY18" s="400"/>
      <c r="NQZ18" s="400"/>
      <c r="NRA18" s="400"/>
      <c r="NRB18" s="400"/>
      <c r="NRC18" s="400"/>
      <c r="NRD18" s="400"/>
      <c r="NRE18" s="400"/>
      <c r="NRF18" s="400"/>
      <c r="NRG18" s="400"/>
      <c r="NRH18" s="400"/>
      <c r="NRI18" s="400"/>
      <c r="NRJ18" s="400"/>
      <c r="NRK18" s="400"/>
      <c r="NRL18" s="400"/>
      <c r="NRM18" s="400"/>
      <c r="NRN18" s="400"/>
      <c r="NRO18" s="400"/>
      <c r="NRP18" s="400"/>
      <c r="NRQ18" s="400"/>
      <c r="NRR18" s="400"/>
      <c r="NRS18" s="400"/>
      <c r="NRT18" s="400"/>
      <c r="NRU18" s="400"/>
      <c r="NRV18" s="400"/>
      <c r="NRW18" s="400"/>
      <c r="NRX18" s="400"/>
      <c r="NRY18" s="400"/>
      <c r="NRZ18" s="400"/>
      <c r="NSA18" s="400"/>
      <c r="NSB18" s="400"/>
      <c r="NSC18" s="400"/>
      <c r="NSD18" s="400"/>
      <c r="NSE18" s="400"/>
      <c r="NSF18" s="400"/>
      <c r="NSG18" s="400"/>
      <c r="NSH18" s="400"/>
      <c r="NSI18" s="400"/>
      <c r="NSJ18" s="400"/>
      <c r="NSK18" s="400"/>
      <c r="NSL18" s="400"/>
      <c r="NSM18" s="400"/>
      <c r="NSN18" s="400"/>
      <c r="NSO18" s="400"/>
      <c r="NSP18" s="400"/>
      <c r="NSQ18" s="400"/>
      <c r="NSR18" s="400"/>
      <c r="NSS18" s="400"/>
      <c r="NST18" s="400"/>
      <c r="NSU18" s="400"/>
      <c r="NSV18" s="400"/>
      <c r="NSW18" s="400"/>
      <c r="NSX18" s="400"/>
      <c r="NSY18" s="400"/>
      <c r="NSZ18" s="400"/>
      <c r="NTA18" s="400"/>
      <c r="NTB18" s="400"/>
      <c r="NTC18" s="400"/>
      <c r="NTD18" s="400"/>
      <c r="NTE18" s="400"/>
      <c r="NTF18" s="400"/>
      <c r="NTG18" s="400"/>
      <c r="NTH18" s="400"/>
      <c r="NTI18" s="400"/>
      <c r="NTJ18" s="400"/>
      <c r="NTK18" s="400"/>
      <c r="NTL18" s="400"/>
      <c r="NTM18" s="400"/>
      <c r="NTN18" s="400"/>
      <c r="NTO18" s="400"/>
      <c r="NTP18" s="400"/>
      <c r="NTQ18" s="400"/>
      <c r="NTR18" s="400"/>
      <c r="NTS18" s="400"/>
      <c r="NTT18" s="400"/>
      <c r="NTU18" s="400"/>
      <c r="NTV18" s="400"/>
      <c r="NTW18" s="400"/>
      <c r="NTX18" s="400"/>
      <c r="NTY18" s="400"/>
      <c r="NTZ18" s="400"/>
      <c r="NUA18" s="400"/>
      <c r="NUB18" s="400"/>
      <c r="NUC18" s="400"/>
      <c r="NUD18" s="400"/>
      <c r="NUE18" s="400"/>
      <c r="NUF18" s="400"/>
      <c r="NUG18" s="400"/>
      <c r="NUH18" s="400"/>
      <c r="NUI18" s="400"/>
      <c r="NUJ18" s="400"/>
      <c r="NUK18" s="400"/>
      <c r="NUL18" s="400"/>
      <c r="NUM18" s="400"/>
      <c r="NUN18" s="400"/>
      <c r="NUO18" s="400"/>
      <c r="NUP18" s="400"/>
      <c r="NUQ18" s="400"/>
      <c r="NUR18" s="400"/>
      <c r="NUS18" s="400"/>
      <c r="NUT18" s="400"/>
      <c r="NUU18" s="400"/>
      <c r="NUV18" s="400"/>
      <c r="NUW18" s="400"/>
      <c r="NUX18" s="400"/>
      <c r="NUY18" s="400"/>
      <c r="NUZ18" s="400"/>
      <c r="NVA18" s="400"/>
      <c r="NVB18" s="400"/>
      <c r="NVC18" s="400"/>
      <c r="NVD18" s="400"/>
      <c r="NVE18" s="400"/>
      <c r="NVF18" s="400"/>
      <c r="NVG18" s="400"/>
      <c r="NVH18" s="400"/>
      <c r="NVI18" s="400"/>
      <c r="NVJ18" s="400"/>
      <c r="NVK18" s="400"/>
      <c r="NVL18" s="400"/>
      <c r="NVM18" s="400"/>
      <c r="NVN18" s="400"/>
      <c r="NVO18" s="400"/>
      <c r="NVP18" s="400"/>
      <c r="NVQ18" s="400"/>
      <c r="NVR18" s="400"/>
      <c r="NVS18" s="400"/>
      <c r="NVT18" s="400"/>
      <c r="NVU18" s="400"/>
      <c r="NVV18" s="400"/>
      <c r="NVW18" s="400"/>
      <c r="NVX18" s="400"/>
      <c r="NVY18" s="400"/>
      <c r="NVZ18" s="400"/>
      <c r="NWA18" s="400"/>
      <c r="NWB18" s="400"/>
      <c r="NWC18" s="400"/>
      <c r="NWD18" s="400"/>
      <c r="NWE18" s="400"/>
      <c r="NWF18" s="400"/>
      <c r="NWG18" s="400"/>
      <c r="NWH18" s="400"/>
      <c r="NWI18" s="400"/>
      <c r="NWJ18" s="400"/>
      <c r="NWK18" s="400"/>
      <c r="NWL18" s="400"/>
      <c r="NWM18" s="400"/>
      <c r="NWN18" s="400"/>
      <c r="NWO18" s="400"/>
      <c r="NWP18" s="400"/>
      <c r="NWQ18" s="400"/>
      <c r="NWR18" s="400"/>
      <c r="NWS18" s="400"/>
      <c r="NWT18" s="400"/>
      <c r="NWU18" s="400"/>
      <c r="NWV18" s="400"/>
      <c r="NWW18" s="400"/>
      <c r="NWX18" s="400"/>
      <c r="NWY18" s="400"/>
      <c r="NWZ18" s="400"/>
      <c r="NXA18" s="400"/>
      <c r="NXB18" s="400"/>
      <c r="NXC18" s="400"/>
      <c r="NXD18" s="400"/>
      <c r="NXE18" s="400"/>
      <c r="NXF18" s="400"/>
      <c r="NXG18" s="400"/>
      <c r="NXH18" s="400"/>
      <c r="NXI18" s="400"/>
      <c r="NXJ18" s="400"/>
      <c r="NXK18" s="400"/>
      <c r="NXL18" s="400"/>
      <c r="NXM18" s="400"/>
      <c r="NXN18" s="400"/>
      <c r="NXO18" s="400"/>
      <c r="NXP18" s="400"/>
      <c r="NXQ18" s="400"/>
      <c r="NXR18" s="400"/>
      <c r="NXS18" s="400"/>
      <c r="NXT18" s="400"/>
      <c r="NXU18" s="400"/>
      <c r="NXV18" s="400"/>
      <c r="NXW18" s="400"/>
      <c r="NXX18" s="400"/>
      <c r="NXY18" s="400"/>
      <c r="NXZ18" s="400"/>
      <c r="NYA18" s="400"/>
      <c r="NYB18" s="400"/>
      <c r="NYC18" s="400"/>
      <c r="NYD18" s="400"/>
      <c r="NYE18" s="400"/>
      <c r="NYF18" s="400"/>
      <c r="NYG18" s="400"/>
      <c r="NYH18" s="400"/>
      <c r="NYI18" s="400"/>
      <c r="NYJ18" s="400"/>
      <c r="NYK18" s="400"/>
      <c r="NYL18" s="400"/>
      <c r="NYM18" s="400"/>
      <c r="NYN18" s="400"/>
      <c r="NYO18" s="400"/>
      <c r="NYP18" s="400"/>
      <c r="NYQ18" s="400"/>
      <c r="NYR18" s="400"/>
      <c r="NYS18" s="400"/>
      <c r="NYT18" s="400"/>
      <c r="NYU18" s="400"/>
      <c r="NYV18" s="400"/>
      <c r="NYW18" s="400"/>
      <c r="NYX18" s="400"/>
      <c r="NYY18" s="400"/>
      <c r="NYZ18" s="400"/>
      <c r="NZA18" s="400"/>
      <c r="NZB18" s="400"/>
      <c r="NZC18" s="400"/>
      <c r="NZD18" s="400"/>
      <c r="NZE18" s="400"/>
      <c r="NZF18" s="400"/>
      <c r="NZG18" s="400"/>
      <c r="NZH18" s="400"/>
      <c r="NZI18" s="400"/>
      <c r="NZJ18" s="400"/>
      <c r="NZK18" s="400"/>
      <c r="NZL18" s="400"/>
      <c r="NZM18" s="400"/>
      <c r="NZN18" s="400"/>
      <c r="NZO18" s="400"/>
      <c r="NZP18" s="400"/>
      <c r="NZQ18" s="400"/>
      <c r="NZR18" s="400"/>
      <c r="NZS18" s="400"/>
      <c r="NZT18" s="400"/>
      <c r="NZU18" s="400"/>
      <c r="NZV18" s="400"/>
      <c r="NZW18" s="400"/>
      <c r="NZX18" s="400"/>
      <c r="NZY18" s="400"/>
      <c r="NZZ18" s="400"/>
      <c r="OAA18" s="400"/>
      <c r="OAB18" s="400"/>
      <c r="OAC18" s="400"/>
      <c r="OAD18" s="400"/>
      <c r="OAE18" s="400"/>
      <c r="OAF18" s="400"/>
      <c r="OAG18" s="400"/>
      <c r="OAH18" s="400"/>
      <c r="OAI18" s="400"/>
      <c r="OAJ18" s="400"/>
      <c r="OAK18" s="400"/>
      <c r="OAL18" s="400"/>
      <c r="OAM18" s="400"/>
      <c r="OAN18" s="400"/>
      <c r="OAO18" s="400"/>
      <c r="OAP18" s="400"/>
      <c r="OAQ18" s="400"/>
      <c r="OAR18" s="400"/>
      <c r="OAS18" s="400"/>
      <c r="OAT18" s="400"/>
      <c r="OAU18" s="400"/>
      <c r="OAV18" s="400"/>
      <c r="OAW18" s="400"/>
      <c r="OAX18" s="400"/>
      <c r="OAY18" s="400"/>
      <c r="OAZ18" s="400"/>
      <c r="OBA18" s="400"/>
      <c r="OBB18" s="400"/>
      <c r="OBC18" s="400"/>
      <c r="OBD18" s="400"/>
      <c r="OBE18" s="400"/>
      <c r="OBF18" s="400"/>
      <c r="OBG18" s="400"/>
      <c r="OBH18" s="400"/>
      <c r="OBI18" s="400"/>
      <c r="OBJ18" s="400"/>
      <c r="OBK18" s="400"/>
      <c r="OBL18" s="400"/>
      <c r="OBM18" s="400"/>
      <c r="OBN18" s="400"/>
      <c r="OBO18" s="400"/>
      <c r="OBP18" s="400"/>
      <c r="OBQ18" s="400"/>
      <c r="OBR18" s="400"/>
      <c r="OBS18" s="400"/>
      <c r="OBT18" s="400"/>
      <c r="OBU18" s="400"/>
      <c r="OBV18" s="400"/>
      <c r="OBW18" s="400"/>
      <c r="OBX18" s="400"/>
      <c r="OBY18" s="400"/>
      <c r="OBZ18" s="400"/>
      <c r="OCA18" s="400"/>
      <c r="OCB18" s="400"/>
      <c r="OCC18" s="400"/>
      <c r="OCD18" s="400"/>
      <c r="OCE18" s="400"/>
      <c r="OCF18" s="400"/>
      <c r="OCG18" s="400"/>
      <c r="OCH18" s="400"/>
      <c r="OCI18" s="400"/>
      <c r="OCJ18" s="400"/>
      <c r="OCK18" s="400"/>
      <c r="OCL18" s="400"/>
      <c r="OCM18" s="400"/>
      <c r="OCN18" s="400"/>
      <c r="OCO18" s="400"/>
      <c r="OCP18" s="400"/>
      <c r="OCQ18" s="400"/>
      <c r="OCR18" s="400"/>
      <c r="OCS18" s="400"/>
      <c r="OCT18" s="400"/>
      <c r="OCU18" s="400"/>
      <c r="OCV18" s="400"/>
      <c r="OCW18" s="400"/>
      <c r="OCX18" s="400"/>
      <c r="OCY18" s="400"/>
      <c r="OCZ18" s="400"/>
      <c r="ODA18" s="400"/>
      <c r="ODB18" s="400"/>
      <c r="ODC18" s="400"/>
      <c r="ODD18" s="400"/>
      <c r="ODE18" s="400"/>
      <c r="ODF18" s="400"/>
      <c r="ODG18" s="400"/>
      <c r="ODH18" s="400"/>
      <c r="ODI18" s="400"/>
      <c r="ODJ18" s="400"/>
      <c r="ODK18" s="400"/>
      <c r="ODL18" s="400"/>
      <c r="ODM18" s="400"/>
      <c r="ODN18" s="400"/>
      <c r="ODO18" s="400"/>
      <c r="ODP18" s="400"/>
      <c r="ODQ18" s="400"/>
      <c r="ODR18" s="400"/>
      <c r="ODS18" s="400"/>
      <c r="ODT18" s="400"/>
      <c r="ODU18" s="400"/>
      <c r="ODV18" s="400"/>
      <c r="ODW18" s="400"/>
      <c r="ODX18" s="400"/>
      <c r="ODY18" s="400"/>
      <c r="ODZ18" s="400"/>
      <c r="OEA18" s="400"/>
      <c r="OEB18" s="400"/>
      <c r="OEC18" s="400"/>
      <c r="OED18" s="400"/>
      <c r="OEE18" s="400"/>
      <c r="OEF18" s="400"/>
      <c r="OEG18" s="400"/>
      <c r="OEH18" s="400"/>
      <c r="OEI18" s="400"/>
      <c r="OEJ18" s="400"/>
      <c r="OEK18" s="400"/>
      <c r="OEL18" s="400"/>
      <c r="OEM18" s="400"/>
      <c r="OEN18" s="400"/>
      <c r="OEO18" s="400"/>
      <c r="OEP18" s="400"/>
      <c r="OEQ18" s="400"/>
      <c r="OER18" s="400"/>
      <c r="OES18" s="400"/>
      <c r="OET18" s="400"/>
      <c r="OEU18" s="400"/>
      <c r="OEV18" s="400"/>
      <c r="OEW18" s="400"/>
      <c r="OEX18" s="400"/>
      <c r="OEY18" s="400"/>
      <c r="OEZ18" s="400"/>
      <c r="OFA18" s="400"/>
      <c r="OFB18" s="400"/>
      <c r="OFC18" s="400"/>
      <c r="OFD18" s="400"/>
      <c r="OFE18" s="400"/>
      <c r="OFF18" s="400"/>
      <c r="OFG18" s="400"/>
      <c r="OFH18" s="400"/>
      <c r="OFI18" s="400"/>
      <c r="OFJ18" s="400"/>
      <c r="OFK18" s="400"/>
      <c r="OFL18" s="400"/>
      <c r="OFM18" s="400"/>
      <c r="OFN18" s="400"/>
      <c r="OFO18" s="400"/>
      <c r="OFP18" s="400"/>
      <c r="OFQ18" s="400"/>
      <c r="OFR18" s="400"/>
      <c r="OFS18" s="400"/>
      <c r="OFT18" s="400"/>
      <c r="OFU18" s="400"/>
      <c r="OFV18" s="400"/>
      <c r="OFW18" s="400"/>
      <c r="OFX18" s="400"/>
      <c r="OFY18" s="400"/>
      <c r="OFZ18" s="400"/>
      <c r="OGA18" s="400"/>
      <c r="OGB18" s="400"/>
      <c r="OGC18" s="400"/>
      <c r="OGD18" s="400"/>
      <c r="OGE18" s="400"/>
      <c r="OGF18" s="400"/>
      <c r="OGG18" s="400"/>
      <c r="OGH18" s="400"/>
      <c r="OGI18" s="400"/>
      <c r="OGJ18" s="400"/>
      <c r="OGK18" s="400"/>
      <c r="OGL18" s="400"/>
      <c r="OGM18" s="400"/>
      <c r="OGN18" s="400"/>
      <c r="OGO18" s="400"/>
      <c r="OGP18" s="400"/>
      <c r="OGQ18" s="400"/>
      <c r="OGR18" s="400"/>
      <c r="OGS18" s="400"/>
      <c r="OGT18" s="400"/>
      <c r="OGU18" s="400"/>
      <c r="OGV18" s="400"/>
      <c r="OGW18" s="400"/>
      <c r="OGX18" s="400"/>
      <c r="OGY18" s="400"/>
      <c r="OGZ18" s="400"/>
      <c r="OHA18" s="400"/>
      <c r="OHB18" s="400"/>
      <c r="OHC18" s="400"/>
      <c r="OHD18" s="400"/>
      <c r="OHE18" s="400"/>
      <c r="OHF18" s="400"/>
      <c r="OHG18" s="400"/>
      <c r="OHH18" s="400"/>
      <c r="OHI18" s="400"/>
      <c r="OHJ18" s="400"/>
      <c r="OHK18" s="400"/>
      <c r="OHL18" s="400"/>
      <c r="OHM18" s="400"/>
      <c r="OHN18" s="400"/>
      <c r="OHO18" s="400"/>
      <c r="OHP18" s="400"/>
      <c r="OHQ18" s="400"/>
      <c r="OHR18" s="400"/>
      <c r="OHS18" s="400"/>
      <c r="OHT18" s="400"/>
      <c r="OHU18" s="400"/>
      <c r="OHV18" s="400"/>
      <c r="OHW18" s="400"/>
      <c r="OHX18" s="400"/>
      <c r="OHY18" s="400"/>
      <c r="OHZ18" s="400"/>
      <c r="OIA18" s="400"/>
      <c r="OIB18" s="400"/>
      <c r="OIC18" s="400"/>
      <c r="OID18" s="400"/>
      <c r="OIE18" s="400"/>
      <c r="OIF18" s="400"/>
      <c r="OIG18" s="400"/>
      <c r="OIH18" s="400"/>
      <c r="OII18" s="400"/>
      <c r="OIJ18" s="400"/>
      <c r="OIK18" s="400"/>
      <c r="OIL18" s="400"/>
      <c r="OIM18" s="400"/>
      <c r="OIN18" s="400"/>
      <c r="OIO18" s="400"/>
      <c r="OIP18" s="400"/>
      <c r="OIQ18" s="400"/>
      <c r="OIR18" s="400"/>
      <c r="OIS18" s="400"/>
      <c r="OIT18" s="400"/>
      <c r="OIU18" s="400"/>
      <c r="OIV18" s="400"/>
      <c r="OIW18" s="400"/>
      <c r="OIX18" s="400"/>
      <c r="OIY18" s="400"/>
      <c r="OIZ18" s="400"/>
      <c r="OJA18" s="400"/>
      <c r="OJB18" s="400"/>
      <c r="OJC18" s="400"/>
      <c r="OJD18" s="400"/>
      <c r="OJE18" s="400"/>
      <c r="OJF18" s="400"/>
      <c r="OJG18" s="400"/>
      <c r="OJH18" s="400"/>
      <c r="OJI18" s="400"/>
      <c r="OJJ18" s="400"/>
      <c r="OJK18" s="400"/>
      <c r="OJL18" s="400"/>
      <c r="OJM18" s="400"/>
      <c r="OJN18" s="400"/>
      <c r="OJO18" s="400"/>
      <c r="OJP18" s="400"/>
      <c r="OJQ18" s="400"/>
      <c r="OJR18" s="400"/>
      <c r="OJS18" s="400"/>
      <c r="OJT18" s="400"/>
      <c r="OJU18" s="400"/>
      <c r="OJV18" s="400"/>
      <c r="OJW18" s="400"/>
      <c r="OJX18" s="400"/>
      <c r="OJY18" s="400"/>
      <c r="OJZ18" s="400"/>
      <c r="OKA18" s="400"/>
      <c r="OKB18" s="400"/>
      <c r="OKC18" s="400"/>
      <c r="OKD18" s="400"/>
      <c r="OKE18" s="400"/>
      <c r="OKF18" s="400"/>
      <c r="OKG18" s="400"/>
      <c r="OKH18" s="400"/>
      <c r="OKI18" s="400"/>
      <c r="OKJ18" s="400"/>
      <c r="OKK18" s="400"/>
      <c r="OKL18" s="400"/>
      <c r="OKM18" s="400"/>
      <c r="OKN18" s="400"/>
      <c r="OKO18" s="400"/>
      <c r="OKP18" s="400"/>
      <c r="OKQ18" s="400"/>
      <c r="OKR18" s="400"/>
      <c r="OKS18" s="400"/>
      <c r="OKT18" s="400"/>
      <c r="OKU18" s="400"/>
      <c r="OKV18" s="400"/>
      <c r="OKW18" s="400"/>
      <c r="OKX18" s="400"/>
      <c r="OKY18" s="400"/>
      <c r="OKZ18" s="400"/>
      <c r="OLA18" s="400"/>
      <c r="OLB18" s="400"/>
      <c r="OLC18" s="400"/>
      <c r="OLD18" s="400"/>
      <c r="OLE18" s="400"/>
      <c r="OLF18" s="400"/>
      <c r="OLG18" s="400"/>
      <c r="OLH18" s="400"/>
      <c r="OLI18" s="400"/>
      <c r="OLJ18" s="400"/>
      <c r="OLK18" s="400"/>
      <c r="OLL18" s="400"/>
      <c r="OLM18" s="400"/>
      <c r="OLN18" s="400"/>
      <c r="OLO18" s="400"/>
      <c r="OLP18" s="400"/>
      <c r="OLQ18" s="400"/>
      <c r="OLR18" s="400"/>
      <c r="OLS18" s="400"/>
      <c r="OLT18" s="400"/>
      <c r="OLU18" s="400"/>
      <c r="OLV18" s="400"/>
      <c r="OLW18" s="400"/>
      <c r="OLX18" s="400"/>
      <c r="OLY18" s="400"/>
      <c r="OLZ18" s="400"/>
      <c r="OMA18" s="400"/>
      <c r="OMB18" s="400"/>
      <c r="OMC18" s="400"/>
      <c r="OMD18" s="400"/>
      <c r="OME18" s="400"/>
      <c r="OMF18" s="400"/>
      <c r="OMG18" s="400"/>
      <c r="OMH18" s="400"/>
      <c r="OMI18" s="400"/>
      <c r="OMJ18" s="400"/>
      <c r="OMK18" s="400"/>
      <c r="OML18" s="400"/>
      <c r="OMM18" s="400"/>
      <c r="OMN18" s="400"/>
      <c r="OMO18" s="400"/>
      <c r="OMP18" s="400"/>
      <c r="OMQ18" s="400"/>
      <c r="OMR18" s="400"/>
      <c r="OMS18" s="400"/>
      <c r="OMT18" s="400"/>
      <c r="OMU18" s="400"/>
      <c r="OMV18" s="400"/>
      <c r="OMW18" s="400"/>
      <c r="OMX18" s="400"/>
      <c r="OMY18" s="400"/>
      <c r="OMZ18" s="400"/>
      <c r="ONA18" s="400"/>
      <c r="ONB18" s="400"/>
      <c r="ONC18" s="400"/>
      <c r="OND18" s="400"/>
      <c r="ONE18" s="400"/>
      <c r="ONF18" s="400"/>
      <c r="ONG18" s="400"/>
      <c r="ONH18" s="400"/>
      <c r="ONI18" s="400"/>
      <c r="ONJ18" s="400"/>
      <c r="ONK18" s="400"/>
      <c r="ONL18" s="400"/>
      <c r="ONM18" s="400"/>
      <c r="ONN18" s="400"/>
      <c r="ONO18" s="400"/>
      <c r="ONP18" s="400"/>
      <c r="ONQ18" s="400"/>
      <c r="ONR18" s="400"/>
      <c r="ONS18" s="400"/>
      <c r="ONT18" s="400"/>
      <c r="ONU18" s="400"/>
      <c r="ONV18" s="400"/>
      <c r="ONW18" s="400"/>
      <c r="ONX18" s="400"/>
      <c r="ONY18" s="400"/>
      <c r="ONZ18" s="400"/>
      <c r="OOA18" s="400"/>
      <c r="OOB18" s="400"/>
      <c r="OOC18" s="400"/>
      <c r="OOD18" s="400"/>
      <c r="OOE18" s="400"/>
      <c r="OOF18" s="400"/>
      <c r="OOG18" s="400"/>
      <c r="OOH18" s="400"/>
      <c r="OOI18" s="400"/>
      <c r="OOJ18" s="400"/>
      <c r="OOK18" s="400"/>
      <c r="OOL18" s="400"/>
      <c r="OOM18" s="400"/>
      <c r="OON18" s="400"/>
      <c r="OOO18" s="400"/>
      <c r="OOP18" s="400"/>
      <c r="OOQ18" s="400"/>
      <c r="OOR18" s="400"/>
      <c r="OOS18" s="400"/>
      <c r="OOT18" s="400"/>
      <c r="OOU18" s="400"/>
      <c r="OOV18" s="400"/>
      <c r="OOW18" s="400"/>
      <c r="OOX18" s="400"/>
      <c r="OOY18" s="400"/>
      <c r="OOZ18" s="400"/>
      <c r="OPA18" s="400"/>
      <c r="OPB18" s="400"/>
      <c r="OPC18" s="400"/>
      <c r="OPD18" s="400"/>
      <c r="OPE18" s="400"/>
      <c r="OPF18" s="400"/>
      <c r="OPG18" s="400"/>
      <c r="OPH18" s="400"/>
      <c r="OPI18" s="400"/>
      <c r="OPJ18" s="400"/>
      <c r="OPK18" s="400"/>
      <c r="OPL18" s="400"/>
      <c r="OPM18" s="400"/>
      <c r="OPN18" s="400"/>
      <c r="OPO18" s="400"/>
      <c r="OPP18" s="400"/>
      <c r="OPQ18" s="400"/>
      <c r="OPR18" s="400"/>
      <c r="OPS18" s="400"/>
      <c r="OPT18" s="400"/>
      <c r="OPU18" s="400"/>
      <c r="OPV18" s="400"/>
      <c r="OPW18" s="400"/>
      <c r="OPX18" s="400"/>
      <c r="OPY18" s="400"/>
      <c r="OPZ18" s="400"/>
      <c r="OQA18" s="400"/>
      <c r="OQB18" s="400"/>
      <c r="OQC18" s="400"/>
      <c r="OQD18" s="400"/>
      <c r="OQE18" s="400"/>
      <c r="OQF18" s="400"/>
      <c r="OQG18" s="400"/>
      <c r="OQH18" s="400"/>
      <c r="OQI18" s="400"/>
      <c r="OQJ18" s="400"/>
      <c r="OQK18" s="400"/>
      <c r="OQL18" s="400"/>
      <c r="OQM18" s="400"/>
      <c r="OQN18" s="400"/>
      <c r="OQO18" s="400"/>
      <c r="OQP18" s="400"/>
      <c r="OQQ18" s="400"/>
      <c r="OQR18" s="400"/>
      <c r="OQS18" s="400"/>
      <c r="OQT18" s="400"/>
      <c r="OQU18" s="400"/>
      <c r="OQV18" s="400"/>
      <c r="OQW18" s="400"/>
      <c r="OQX18" s="400"/>
      <c r="OQY18" s="400"/>
      <c r="OQZ18" s="400"/>
      <c r="ORA18" s="400"/>
      <c r="ORB18" s="400"/>
      <c r="ORC18" s="400"/>
      <c r="ORD18" s="400"/>
      <c r="ORE18" s="400"/>
      <c r="ORF18" s="400"/>
      <c r="ORG18" s="400"/>
      <c r="ORH18" s="400"/>
      <c r="ORI18" s="400"/>
      <c r="ORJ18" s="400"/>
      <c r="ORK18" s="400"/>
      <c r="ORL18" s="400"/>
      <c r="ORM18" s="400"/>
      <c r="ORN18" s="400"/>
      <c r="ORO18" s="400"/>
      <c r="ORP18" s="400"/>
      <c r="ORQ18" s="400"/>
      <c r="ORR18" s="400"/>
      <c r="ORS18" s="400"/>
      <c r="ORT18" s="400"/>
      <c r="ORU18" s="400"/>
      <c r="ORV18" s="400"/>
      <c r="ORW18" s="400"/>
      <c r="ORX18" s="400"/>
      <c r="ORY18" s="400"/>
      <c r="ORZ18" s="400"/>
      <c r="OSA18" s="400"/>
      <c r="OSB18" s="400"/>
      <c r="OSC18" s="400"/>
      <c r="OSD18" s="400"/>
      <c r="OSE18" s="400"/>
      <c r="OSF18" s="400"/>
      <c r="OSG18" s="400"/>
      <c r="OSH18" s="400"/>
      <c r="OSI18" s="400"/>
      <c r="OSJ18" s="400"/>
      <c r="OSK18" s="400"/>
      <c r="OSL18" s="400"/>
      <c r="OSM18" s="400"/>
      <c r="OSN18" s="400"/>
      <c r="OSO18" s="400"/>
      <c r="OSP18" s="400"/>
      <c r="OSQ18" s="400"/>
      <c r="OSR18" s="400"/>
      <c r="OSS18" s="400"/>
      <c r="OST18" s="400"/>
      <c r="OSU18" s="400"/>
      <c r="OSV18" s="400"/>
      <c r="OSW18" s="400"/>
      <c r="OSX18" s="400"/>
      <c r="OSY18" s="400"/>
      <c r="OSZ18" s="400"/>
      <c r="OTA18" s="400"/>
      <c r="OTB18" s="400"/>
      <c r="OTC18" s="400"/>
      <c r="OTD18" s="400"/>
      <c r="OTE18" s="400"/>
      <c r="OTF18" s="400"/>
      <c r="OTG18" s="400"/>
      <c r="OTH18" s="400"/>
      <c r="OTI18" s="400"/>
      <c r="OTJ18" s="400"/>
      <c r="OTK18" s="400"/>
      <c r="OTL18" s="400"/>
      <c r="OTM18" s="400"/>
      <c r="OTN18" s="400"/>
      <c r="OTO18" s="400"/>
      <c r="OTP18" s="400"/>
      <c r="OTQ18" s="400"/>
      <c r="OTR18" s="400"/>
      <c r="OTS18" s="400"/>
      <c r="OTT18" s="400"/>
      <c r="OTU18" s="400"/>
      <c r="OTV18" s="400"/>
      <c r="OTW18" s="400"/>
      <c r="OTX18" s="400"/>
      <c r="OTY18" s="400"/>
      <c r="OTZ18" s="400"/>
      <c r="OUA18" s="400"/>
      <c r="OUB18" s="400"/>
      <c r="OUC18" s="400"/>
      <c r="OUD18" s="400"/>
      <c r="OUE18" s="400"/>
      <c r="OUF18" s="400"/>
      <c r="OUG18" s="400"/>
      <c r="OUH18" s="400"/>
      <c r="OUI18" s="400"/>
      <c r="OUJ18" s="400"/>
      <c r="OUK18" s="400"/>
      <c r="OUL18" s="400"/>
      <c r="OUM18" s="400"/>
      <c r="OUN18" s="400"/>
      <c r="OUO18" s="400"/>
      <c r="OUP18" s="400"/>
      <c r="OUQ18" s="400"/>
      <c r="OUR18" s="400"/>
      <c r="OUS18" s="400"/>
      <c r="OUT18" s="400"/>
      <c r="OUU18" s="400"/>
      <c r="OUV18" s="400"/>
      <c r="OUW18" s="400"/>
      <c r="OUX18" s="400"/>
      <c r="OUY18" s="400"/>
      <c r="OUZ18" s="400"/>
      <c r="OVA18" s="400"/>
      <c r="OVB18" s="400"/>
      <c r="OVC18" s="400"/>
      <c r="OVD18" s="400"/>
      <c r="OVE18" s="400"/>
      <c r="OVF18" s="400"/>
      <c r="OVG18" s="400"/>
      <c r="OVH18" s="400"/>
      <c r="OVI18" s="400"/>
      <c r="OVJ18" s="400"/>
      <c r="OVK18" s="400"/>
      <c r="OVL18" s="400"/>
      <c r="OVM18" s="400"/>
      <c r="OVN18" s="400"/>
      <c r="OVO18" s="400"/>
      <c r="OVP18" s="400"/>
      <c r="OVQ18" s="400"/>
      <c r="OVR18" s="400"/>
      <c r="OVS18" s="400"/>
      <c r="OVT18" s="400"/>
      <c r="OVU18" s="400"/>
      <c r="OVV18" s="400"/>
      <c r="OVW18" s="400"/>
      <c r="OVX18" s="400"/>
      <c r="OVY18" s="400"/>
      <c r="OVZ18" s="400"/>
      <c r="OWA18" s="400"/>
      <c r="OWB18" s="400"/>
      <c r="OWC18" s="400"/>
      <c r="OWD18" s="400"/>
      <c r="OWE18" s="400"/>
      <c r="OWF18" s="400"/>
      <c r="OWG18" s="400"/>
      <c r="OWH18" s="400"/>
      <c r="OWI18" s="400"/>
      <c r="OWJ18" s="400"/>
      <c r="OWK18" s="400"/>
      <c r="OWL18" s="400"/>
      <c r="OWM18" s="400"/>
      <c r="OWN18" s="400"/>
      <c r="OWO18" s="400"/>
      <c r="OWP18" s="400"/>
      <c r="OWQ18" s="400"/>
      <c r="OWR18" s="400"/>
      <c r="OWS18" s="400"/>
      <c r="OWT18" s="400"/>
      <c r="OWU18" s="400"/>
      <c r="OWV18" s="400"/>
      <c r="OWW18" s="400"/>
      <c r="OWX18" s="400"/>
      <c r="OWY18" s="400"/>
      <c r="OWZ18" s="400"/>
      <c r="OXA18" s="400"/>
      <c r="OXB18" s="400"/>
      <c r="OXC18" s="400"/>
      <c r="OXD18" s="400"/>
      <c r="OXE18" s="400"/>
      <c r="OXF18" s="400"/>
      <c r="OXG18" s="400"/>
      <c r="OXH18" s="400"/>
      <c r="OXI18" s="400"/>
      <c r="OXJ18" s="400"/>
      <c r="OXK18" s="400"/>
      <c r="OXL18" s="400"/>
      <c r="OXM18" s="400"/>
      <c r="OXN18" s="400"/>
      <c r="OXO18" s="400"/>
      <c r="OXP18" s="400"/>
      <c r="OXQ18" s="400"/>
      <c r="OXR18" s="400"/>
      <c r="OXS18" s="400"/>
      <c r="OXT18" s="400"/>
      <c r="OXU18" s="400"/>
      <c r="OXV18" s="400"/>
      <c r="OXW18" s="400"/>
      <c r="OXX18" s="400"/>
      <c r="OXY18" s="400"/>
      <c r="OXZ18" s="400"/>
      <c r="OYA18" s="400"/>
      <c r="OYB18" s="400"/>
      <c r="OYC18" s="400"/>
      <c r="OYD18" s="400"/>
      <c r="OYE18" s="400"/>
      <c r="OYF18" s="400"/>
      <c r="OYG18" s="400"/>
      <c r="OYH18" s="400"/>
      <c r="OYI18" s="400"/>
      <c r="OYJ18" s="400"/>
      <c r="OYK18" s="400"/>
      <c r="OYL18" s="400"/>
      <c r="OYM18" s="400"/>
      <c r="OYN18" s="400"/>
      <c r="OYO18" s="400"/>
      <c r="OYP18" s="400"/>
      <c r="OYQ18" s="400"/>
      <c r="OYR18" s="400"/>
      <c r="OYS18" s="400"/>
      <c r="OYT18" s="400"/>
      <c r="OYU18" s="400"/>
      <c r="OYV18" s="400"/>
      <c r="OYW18" s="400"/>
      <c r="OYX18" s="400"/>
      <c r="OYY18" s="400"/>
      <c r="OYZ18" s="400"/>
      <c r="OZA18" s="400"/>
      <c r="OZB18" s="400"/>
      <c r="OZC18" s="400"/>
      <c r="OZD18" s="400"/>
      <c r="OZE18" s="400"/>
      <c r="OZF18" s="400"/>
      <c r="OZG18" s="400"/>
      <c r="OZH18" s="400"/>
      <c r="OZI18" s="400"/>
      <c r="OZJ18" s="400"/>
      <c r="OZK18" s="400"/>
      <c r="OZL18" s="400"/>
      <c r="OZM18" s="400"/>
      <c r="OZN18" s="400"/>
      <c r="OZO18" s="400"/>
      <c r="OZP18" s="400"/>
      <c r="OZQ18" s="400"/>
      <c r="OZR18" s="400"/>
      <c r="OZS18" s="400"/>
      <c r="OZT18" s="400"/>
      <c r="OZU18" s="400"/>
      <c r="OZV18" s="400"/>
      <c r="OZW18" s="400"/>
      <c r="OZX18" s="400"/>
      <c r="OZY18" s="400"/>
      <c r="OZZ18" s="400"/>
      <c r="PAA18" s="400"/>
      <c r="PAB18" s="400"/>
      <c r="PAC18" s="400"/>
      <c r="PAD18" s="400"/>
      <c r="PAE18" s="400"/>
      <c r="PAF18" s="400"/>
      <c r="PAG18" s="400"/>
      <c r="PAH18" s="400"/>
      <c r="PAI18" s="400"/>
      <c r="PAJ18" s="400"/>
      <c r="PAK18" s="400"/>
      <c r="PAL18" s="400"/>
      <c r="PAM18" s="400"/>
      <c r="PAN18" s="400"/>
      <c r="PAO18" s="400"/>
      <c r="PAP18" s="400"/>
      <c r="PAQ18" s="400"/>
      <c r="PAR18" s="400"/>
      <c r="PAS18" s="400"/>
      <c r="PAT18" s="400"/>
      <c r="PAU18" s="400"/>
      <c r="PAV18" s="400"/>
      <c r="PAW18" s="400"/>
      <c r="PAX18" s="400"/>
      <c r="PAY18" s="400"/>
      <c r="PAZ18" s="400"/>
      <c r="PBA18" s="400"/>
      <c r="PBB18" s="400"/>
      <c r="PBC18" s="400"/>
      <c r="PBD18" s="400"/>
      <c r="PBE18" s="400"/>
      <c r="PBF18" s="400"/>
      <c r="PBG18" s="400"/>
      <c r="PBH18" s="400"/>
      <c r="PBI18" s="400"/>
      <c r="PBJ18" s="400"/>
      <c r="PBK18" s="400"/>
      <c r="PBL18" s="400"/>
      <c r="PBM18" s="400"/>
      <c r="PBN18" s="400"/>
      <c r="PBO18" s="400"/>
      <c r="PBP18" s="400"/>
      <c r="PBQ18" s="400"/>
      <c r="PBR18" s="400"/>
      <c r="PBS18" s="400"/>
      <c r="PBT18" s="400"/>
      <c r="PBU18" s="400"/>
      <c r="PBV18" s="400"/>
      <c r="PBW18" s="400"/>
      <c r="PBX18" s="400"/>
      <c r="PBY18" s="400"/>
      <c r="PBZ18" s="400"/>
      <c r="PCA18" s="400"/>
      <c r="PCB18" s="400"/>
      <c r="PCC18" s="400"/>
      <c r="PCD18" s="400"/>
      <c r="PCE18" s="400"/>
      <c r="PCF18" s="400"/>
      <c r="PCG18" s="400"/>
      <c r="PCH18" s="400"/>
      <c r="PCI18" s="400"/>
      <c r="PCJ18" s="400"/>
      <c r="PCK18" s="400"/>
      <c r="PCL18" s="400"/>
      <c r="PCM18" s="400"/>
      <c r="PCN18" s="400"/>
      <c r="PCO18" s="400"/>
      <c r="PCP18" s="400"/>
      <c r="PCQ18" s="400"/>
      <c r="PCR18" s="400"/>
      <c r="PCS18" s="400"/>
      <c r="PCT18" s="400"/>
      <c r="PCU18" s="400"/>
      <c r="PCV18" s="400"/>
      <c r="PCW18" s="400"/>
      <c r="PCX18" s="400"/>
      <c r="PCY18" s="400"/>
      <c r="PCZ18" s="400"/>
      <c r="PDA18" s="400"/>
      <c r="PDB18" s="400"/>
      <c r="PDC18" s="400"/>
      <c r="PDD18" s="400"/>
      <c r="PDE18" s="400"/>
      <c r="PDF18" s="400"/>
      <c r="PDG18" s="400"/>
      <c r="PDH18" s="400"/>
      <c r="PDI18" s="400"/>
      <c r="PDJ18" s="400"/>
      <c r="PDK18" s="400"/>
      <c r="PDL18" s="400"/>
      <c r="PDM18" s="400"/>
      <c r="PDN18" s="400"/>
      <c r="PDO18" s="400"/>
      <c r="PDP18" s="400"/>
      <c r="PDQ18" s="400"/>
      <c r="PDR18" s="400"/>
      <c r="PDS18" s="400"/>
      <c r="PDT18" s="400"/>
      <c r="PDU18" s="400"/>
      <c r="PDV18" s="400"/>
      <c r="PDW18" s="400"/>
      <c r="PDX18" s="400"/>
      <c r="PDY18" s="400"/>
      <c r="PDZ18" s="400"/>
      <c r="PEA18" s="400"/>
      <c r="PEB18" s="400"/>
      <c r="PEC18" s="400"/>
      <c r="PED18" s="400"/>
      <c r="PEE18" s="400"/>
      <c r="PEF18" s="400"/>
      <c r="PEG18" s="400"/>
      <c r="PEH18" s="400"/>
      <c r="PEI18" s="400"/>
      <c r="PEJ18" s="400"/>
      <c r="PEK18" s="400"/>
      <c r="PEL18" s="400"/>
      <c r="PEM18" s="400"/>
      <c r="PEN18" s="400"/>
      <c r="PEO18" s="400"/>
      <c r="PEP18" s="400"/>
      <c r="PEQ18" s="400"/>
      <c r="PER18" s="400"/>
      <c r="PES18" s="400"/>
      <c r="PET18" s="400"/>
      <c r="PEU18" s="400"/>
      <c r="PEV18" s="400"/>
      <c r="PEW18" s="400"/>
      <c r="PEX18" s="400"/>
      <c r="PEY18" s="400"/>
      <c r="PEZ18" s="400"/>
      <c r="PFA18" s="400"/>
      <c r="PFB18" s="400"/>
      <c r="PFC18" s="400"/>
      <c r="PFD18" s="400"/>
      <c r="PFE18" s="400"/>
      <c r="PFF18" s="400"/>
      <c r="PFG18" s="400"/>
      <c r="PFH18" s="400"/>
      <c r="PFI18" s="400"/>
      <c r="PFJ18" s="400"/>
      <c r="PFK18" s="400"/>
      <c r="PFL18" s="400"/>
      <c r="PFM18" s="400"/>
      <c r="PFN18" s="400"/>
      <c r="PFO18" s="400"/>
      <c r="PFP18" s="400"/>
      <c r="PFQ18" s="400"/>
      <c r="PFR18" s="400"/>
      <c r="PFS18" s="400"/>
      <c r="PFT18" s="400"/>
      <c r="PFU18" s="400"/>
      <c r="PFV18" s="400"/>
      <c r="PFW18" s="400"/>
      <c r="PFX18" s="400"/>
      <c r="PFY18" s="400"/>
      <c r="PFZ18" s="400"/>
      <c r="PGA18" s="400"/>
      <c r="PGB18" s="400"/>
      <c r="PGC18" s="400"/>
      <c r="PGD18" s="400"/>
      <c r="PGE18" s="400"/>
      <c r="PGF18" s="400"/>
      <c r="PGG18" s="400"/>
      <c r="PGH18" s="400"/>
      <c r="PGI18" s="400"/>
      <c r="PGJ18" s="400"/>
      <c r="PGK18" s="400"/>
      <c r="PGL18" s="400"/>
      <c r="PGM18" s="400"/>
      <c r="PGN18" s="400"/>
      <c r="PGO18" s="400"/>
      <c r="PGP18" s="400"/>
      <c r="PGQ18" s="400"/>
      <c r="PGR18" s="400"/>
      <c r="PGS18" s="400"/>
      <c r="PGT18" s="400"/>
      <c r="PGU18" s="400"/>
      <c r="PGV18" s="400"/>
      <c r="PGW18" s="400"/>
      <c r="PGX18" s="400"/>
      <c r="PGY18" s="400"/>
      <c r="PGZ18" s="400"/>
      <c r="PHA18" s="400"/>
      <c r="PHB18" s="400"/>
      <c r="PHC18" s="400"/>
      <c r="PHD18" s="400"/>
      <c r="PHE18" s="400"/>
      <c r="PHF18" s="400"/>
      <c r="PHG18" s="400"/>
      <c r="PHH18" s="400"/>
      <c r="PHI18" s="400"/>
      <c r="PHJ18" s="400"/>
      <c r="PHK18" s="400"/>
      <c r="PHL18" s="400"/>
      <c r="PHM18" s="400"/>
      <c r="PHN18" s="400"/>
      <c r="PHO18" s="400"/>
      <c r="PHP18" s="400"/>
      <c r="PHQ18" s="400"/>
      <c r="PHR18" s="400"/>
      <c r="PHS18" s="400"/>
      <c r="PHT18" s="400"/>
      <c r="PHU18" s="400"/>
      <c r="PHV18" s="400"/>
      <c r="PHW18" s="400"/>
      <c r="PHX18" s="400"/>
      <c r="PHY18" s="400"/>
      <c r="PHZ18" s="400"/>
      <c r="PIA18" s="400"/>
      <c r="PIB18" s="400"/>
      <c r="PIC18" s="400"/>
      <c r="PID18" s="400"/>
      <c r="PIE18" s="400"/>
      <c r="PIF18" s="400"/>
      <c r="PIG18" s="400"/>
      <c r="PIH18" s="400"/>
      <c r="PII18" s="400"/>
      <c r="PIJ18" s="400"/>
      <c r="PIK18" s="400"/>
      <c r="PIL18" s="400"/>
      <c r="PIM18" s="400"/>
      <c r="PIN18" s="400"/>
      <c r="PIO18" s="400"/>
      <c r="PIP18" s="400"/>
      <c r="PIQ18" s="400"/>
      <c r="PIR18" s="400"/>
      <c r="PIS18" s="400"/>
      <c r="PIT18" s="400"/>
      <c r="PIU18" s="400"/>
      <c r="PIV18" s="400"/>
      <c r="PIW18" s="400"/>
      <c r="PIX18" s="400"/>
      <c r="PIY18" s="400"/>
      <c r="PIZ18" s="400"/>
      <c r="PJA18" s="400"/>
      <c r="PJB18" s="400"/>
      <c r="PJC18" s="400"/>
      <c r="PJD18" s="400"/>
      <c r="PJE18" s="400"/>
      <c r="PJF18" s="400"/>
      <c r="PJG18" s="400"/>
      <c r="PJH18" s="400"/>
      <c r="PJI18" s="400"/>
      <c r="PJJ18" s="400"/>
      <c r="PJK18" s="400"/>
      <c r="PJL18" s="400"/>
      <c r="PJM18" s="400"/>
      <c r="PJN18" s="400"/>
      <c r="PJO18" s="400"/>
      <c r="PJP18" s="400"/>
      <c r="PJQ18" s="400"/>
      <c r="PJR18" s="400"/>
      <c r="PJS18" s="400"/>
      <c r="PJT18" s="400"/>
      <c r="PJU18" s="400"/>
      <c r="PJV18" s="400"/>
      <c r="PJW18" s="400"/>
      <c r="PJX18" s="400"/>
      <c r="PJY18" s="400"/>
      <c r="PJZ18" s="400"/>
      <c r="PKA18" s="400"/>
      <c r="PKB18" s="400"/>
      <c r="PKC18" s="400"/>
      <c r="PKD18" s="400"/>
      <c r="PKE18" s="400"/>
      <c r="PKF18" s="400"/>
      <c r="PKG18" s="400"/>
      <c r="PKH18" s="400"/>
      <c r="PKI18" s="400"/>
      <c r="PKJ18" s="400"/>
      <c r="PKK18" s="400"/>
      <c r="PKL18" s="400"/>
      <c r="PKM18" s="400"/>
      <c r="PKN18" s="400"/>
      <c r="PKO18" s="400"/>
      <c r="PKP18" s="400"/>
      <c r="PKQ18" s="400"/>
      <c r="PKR18" s="400"/>
      <c r="PKS18" s="400"/>
      <c r="PKT18" s="400"/>
      <c r="PKU18" s="400"/>
      <c r="PKV18" s="400"/>
      <c r="PKW18" s="400"/>
      <c r="PKX18" s="400"/>
      <c r="PKY18" s="400"/>
      <c r="PKZ18" s="400"/>
      <c r="PLA18" s="400"/>
      <c r="PLB18" s="400"/>
      <c r="PLC18" s="400"/>
      <c r="PLD18" s="400"/>
      <c r="PLE18" s="400"/>
      <c r="PLF18" s="400"/>
      <c r="PLG18" s="400"/>
      <c r="PLH18" s="400"/>
      <c r="PLI18" s="400"/>
      <c r="PLJ18" s="400"/>
      <c r="PLK18" s="400"/>
      <c r="PLL18" s="400"/>
      <c r="PLM18" s="400"/>
      <c r="PLN18" s="400"/>
      <c r="PLO18" s="400"/>
      <c r="PLP18" s="400"/>
      <c r="PLQ18" s="400"/>
      <c r="PLR18" s="400"/>
      <c r="PLS18" s="400"/>
      <c r="PLT18" s="400"/>
      <c r="PLU18" s="400"/>
      <c r="PLV18" s="400"/>
      <c r="PLW18" s="400"/>
      <c r="PLX18" s="400"/>
      <c r="PLY18" s="400"/>
      <c r="PLZ18" s="400"/>
      <c r="PMA18" s="400"/>
      <c r="PMB18" s="400"/>
      <c r="PMC18" s="400"/>
      <c r="PMD18" s="400"/>
      <c r="PME18" s="400"/>
      <c r="PMF18" s="400"/>
      <c r="PMG18" s="400"/>
      <c r="PMH18" s="400"/>
      <c r="PMI18" s="400"/>
      <c r="PMJ18" s="400"/>
      <c r="PMK18" s="400"/>
      <c r="PML18" s="400"/>
      <c r="PMM18" s="400"/>
      <c r="PMN18" s="400"/>
      <c r="PMO18" s="400"/>
      <c r="PMP18" s="400"/>
      <c r="PMQ18" s="400"/>
      <c r="PMR18" s="400"/>
      <c r="PMS18" s="400"/>
      <c r="PMT18" s="400"/>
      <c r="PMU18" s="400"/>
      <c r="PMV18" s="400"/>
      <c r="PMW18" s="400"/>
      <c r="PMX18" s="400"/>
      <c r="PMY18" s="400"/>
      <c r="PMZ18" s="400"/>
      <c r="PNA18" s="400"/>
      <c r="PNB18" s="400"/>
      <c r="PNC18" s="400"/>
      <c r="PND18" s="400"/>
      <c r="PNE18" s="400"/>
      <c r="PNF18" s="400"/>
      <c r="PNG18" s="400"/>
      <c r="PNH18" s="400"/>
      <c r="PNI18" s="400"/>
      <c r="PNJ18" s="400"/>
      <c r="PNK18" s="400"/>
      <c r="PNL18" s="400"/>
      <c r="PNM18" s="400"/>
      <c r="PNN18" s="400"/>
      <c r="PNO18" s="400"/>
      <c r="PNP18" s="400"/>
      <c r="PNQ18" s="400"/>
      <c r="PNR18" s="400"/>
      <c r="PNS18" s="400"/>
      <c r="PNT18" s="400"/>
      <c r="PNU18" s="400"/>
      <c r="PNV18" s="400"/>
      <c r="PNW18" s="400"/>
      <c r="PNX18" s="400"/>
      <c r="PNY18" s="400"/>
      <c r="PNZ18" s="400"/>
      <c r="POA18" s="400"/>
      <c r="POB18" s="400"/>
      <c r="POC18" s="400"/>
      <c r="POD18" s="400"/>
      <c r="POE18" s="400"/>
      <c r="POF18" s="400"/>
      <c r="POG18" s="400"/>
      <c r="POH18" s="400"/>
      <c r="POI18" s="400"/>
      <c r="POJ18" s="400"/>
      <c r="POK18" s="400"/>
      <c r="POL18" s="400"/>
      <c r="POM18" s="400"/>
      <c r="PON18" s="400"/>
      <c r="POO18" s="400"/>
      <c r="POP18" s="400"/>
      <c r="POQ18" s="400"/>
      <c r="POR18" s="400"/>
      <c r="POS18" s="400"/>
      <c r="POT18" s="400"/>
      <c r="POU18" s="400"/>
      <c r="POV18" s="400"/>
      <c r="POW18" s="400"/>
      <c r="POX18" s="400"/>
      <c r="POY18" s="400"/>
      <c r="POZ18" s="400"/>
      <c r="PPA18" s="400"/>
      <c r="PPB18" s="400"/>
      <c r="PPC18" s="400"/>
      <c r="PPD18" s="400"/>
      <c r="PPE18" s="400"/>
      <c r="PPF18" s="400"/>
      <c r="PPG18" s="400"/>
      <c r="PPH18" s="400"/>
      <c r="PPI18" s="400"/>
      <c r="PPJ18" s="400"/>
      <c r="PPK18" s="400"/>
      <c r="PPL18" s="400"/>
      <c r="PPM18" s="400"/>
      <c r="PPN18" s="400"/>
      <c r="PPO18" s="400"/>
      <c r="PPP18" s="400"/>
      <c r="PPQ18" s="400"/>
      <c r="PPR18" s="400"/>
      <c r="PPS18" s="400"/>
      <c r="PPT18" s="400"/>
      <c r="PPU18" s="400"/>
      <c r="PPV18" s="400"/>
      <c r="PPW18" s="400"/>
      <c r="PPX18" s="400"/>
      <c r="PPY18" s="400"/>
      <c r="PPZ18" s="400"/>
      <c r="PQA18" s="400"/>
      <c r="PQB18" s="400"/>
      <c r="PQC18" s="400"/>
      <c r="PQD18" s="400"/>
      <c r="PQE18" s="400"/>
      <c r="PQF18" s="400"/>
      <c r="PQG18" s="400"/>
      <c r="PQH18" s="400"/>
      <c r="PQI18" s="400"/>
      <c r="PQJ18" s="400"/>
      <c r="PQK18" s="400"/>
      <c r="PQL18" s="400"/>
      <c r="PQM18" s="400"/>
      <c r="PQN18" s="400"/>
      <c r="PQO18" s="400"/>
      <c r="PQP18" s="400"/>
      <c r="PQQ18" s="400"/>
      <c r="PQR18" s="400"/>
      <c r="PQS18" s="400"/>
      <c r="PQT18" s="400"/>
      <c r="PQU18" s="400"/>
      <c r="PQV18" s="400"/>
      <c r="PQW18" s="400"/>
      <c r="PQX18" s="400"/>
      <c r="PQY18" s="400"/>
      <c r="PQZ18" s="400"/>
      <c r="PRA18" s="400"/>
      <c r="PRB18" s="400"/>
      <c r="PRC18" s="400"/>
      <c r="PRD18" s="400"/>
      <c r="PRE18" s="400"/>
      <c r="PRF18" s="400"/>
      <c r="PRG18" s="400"/>
      <c r="PRH18" s="400"/>
      <c r="PRI18" s="400"/>
      <c r="PRJ18" s="400"/>
      <c r="PRK18" s="400"/>
      <c r="PRL18" s="400"/>
      <c r="PRM18" s="400"/>
      <c r="PRN18" s="400"/>
      <c r="PRO18" s="400"/>
      <c r="PRP18" s="400"/>
      <c r="PRQ18" s="400"/>
      <c r="PRR18" s="400"/>
      <c r="PRS18" s="400"/>
      <c r="PRT18" s="400"/>
      <c r="PRU18" s="400"/>
      <c r="PRV18" s="400"/>
      <c r="PRW18" s="400"/>
      <c r="PRX18" s="400"/>
      <c r="PRY18" s="400"/>
      <c r="PRZ18" s="400"/>
      <c r="PSA18" s="400"/>
      <c r="PSB18" s="400"/>
      <c r="PSC18" s="400"/>
      <c r="PSD18" s="400"/>
      <c r="PSE18" s="400"/>
      <c r="PSF18" s="400"/>
      <c r="PSG18" s="400"/>
      <c r="PSH18" s="400"/>
      <c r="PSI18" s="400"/>
      <c r="PSJ18" s="400"/>
      <c r="PSK18" s="400"/>
      <c r="PSL18" s="400"/>
      <c r="PSM18" s="400"/>
      <c r="PSN18" s="400"/>
      <c r="PSO18" s="400"/>
      <c r="PSP18" s="400"/>
      <c r="PSQ18" s="400"/>
      <c r="PSR18" s="400"/>
      <c r="PSS18" s="400"/>
      <c r="PST18" s="400"/>
      <c r="PSU18" s="400"/>
      <c r="PSV18" s="400"/>
      <c r="PSW18" s="400"/>
      <c r="PSX18" s="400"/>
      <c r="PSY18" s="400"/>
      <c r="PSZ18" s="400"/>
      <c r="PTA18" s="400"/>
      <c r="PTB18" s="400"/>
      <c r="PTC18" s="400"/>
      <c r="PTD18" s="400"/>
      <c r="PTE18" s="400"/>
      <c r="PTF18" s="400"/>
      <c r="PTG18" s="400"/>
      <c r="PTH18" s="400"/>
      <c r="PTI18" s="400"/>
      <c r="PTJ18" s="400"/>
      <c r="PTK18" s="400"/>
      <c r="PTL18" s="400"/>
      <c r="PTM18" s="400"/>
      <c r="PTN18" s="400"/>
      <c r="PTO18" s="400"/>
      <c r="PTP18" s="400"/>
      <c r="PTQ18" s="400"/>
      <c r="PTR18" s="400"/>
      <c r="PTS18" s="400"/>
      <c r="PTT18" s="400"/>
      <c r="PTU18" s="400"/>
      <c r="PTV18" s="400"/>
      <c r="PTW18" s="400"/>
      <c r="PTX18" s="400"/>
      <c r="PTY18" s="400"/>
      <c r="PTZ18" s="400"/>
      <c r="PUA18" s="400"/>
      <c r="PUB18" s="400"/>
      <c r="PUC18" s="400"/>
      <c r="PUD18" s="400"/>
      <c r="PUE18" s="400"/>
      <c r="PUF18" s="400"/>
      <c r="PUG18" s="400"/>
      <c r="PUH18" s="400"/>
      <c r="PUI18" s="400"/>
      <c r="PUJ18" s="400"/>
      <c r="PUK18" s="400"/>
      <c r="PUL18" s="400"/>
      <c r="PUM18" s="400"/>
      <c r="PUN18" s="400"/>
      <c r="PUO18" s="400"/>
      <c r="PUP18" s="400"/>
      <c r="PUQ18" s="400"/>
      <c r="PUR18" s="400"/>
      <c r="PUS18" s="400"/>
      <c r="PUT18" s="400"/>
      <c r="PUU18" s="400"/>
      <c r="PUV18" s="400"/>
      <c r="PUW18" s="400"/>
      <c r="PUX18" s="400"/>
      <c r="PUY18" s="400"/>
      <c r="PUZ18" s="400"/>
      <c r="PVA18" s="400"/>
      <c r="PVB18" s="400"/>
      <c r="PVC18" s="400"/>
      <c r="PVD18" s="400"/>
      <c r="PVE18" s="400"/>
      <c r="PVF18" s="400"/>
      <c r="PVG18" s="400"/>
      <c r="PVH18" s="400"/>
      <c r="PVI18" s="400"/>
      <c r="PVJ18" s="400"/>
      <c r="PVK18" s="400"/>
      <c r="PVL18" s="400"/>
      <c r="PVM18" s="400"/>
      <c r="PVN18" s="400"/>
      <c r="PVO18" s="400"/>
      <c r="PVP18" s="400"/>
      <c r="PVQ18" s="400"/>
      <c r="PVR18" s="400"/>
      <c r="PVS18" s="400"/>
      <c r="PVT18" s="400"/>
      <c r="PVU18" s="400"/>
      <c r="PVV18" s="400"/>
      <c r="PVW18" s="400"/>
      <c r="PVX18" s="400"/>
      <c r="PVY18" s="400"/>
      <c r="PVZ18" s="400"/>
      <c r="PWA18" s="400"/>
      <c r="PWB18" s="400"/>
      <c r="PWC18" s="400"/>
      <c r="PWD18" s="400"/>
      <c r="PWE18" s="400"/>
      <c r="PWF18" s="400"/>
      <c r="PWG18" s="400"/>
      <c r="PWH18" s="400"/>
      <c r="PWI18" s="400"/>
      <c r="PWJ18" s="400"/>
      <c r="PWK18" s="400"/>
      <c r="PWL18" s="400"/>
      <c r="PWM18" s="400"/>
      <c r="PWN18" s="400"/>
      <c r="PWO18" s="400"/>
      <c r="PWP18" s="400"/>
      <c r="PWQ18" s="400"/>
      <c r="PWR18" s="400"/>
      <c r="PWS18" s="400"/>
      <c r="PWT18" s="400"/>
      <c r="PWU18" s="400"/>
      <c r="PWV18" s="400"/>
      <c r="PWW18" s="400"/>
      <c r="PWX18" s="400"/>
      <c r="PWY18" s="400"/>
      <c r="PWZ18" s="400"/>
      <c r="PXA18" s="400"/>
      <c r="PXB18" s="400"/>
      <c r="PXC18" s="400"/>
      <c r="PXD18" s="400"/>
      <c r="PXE18" s="400"/>
      <c r="PXF18" s="400"/>
      <c r="PXG18" s="400"/>
      <c r="PXH18" s="400"/>
      <c r="PXI18" s="400"/>
      <c r="PXJ18" s="400"/>
      <c r="PXK18" s="400"/>
      <c r="PXL18" s="400"/>
      <c r="PXM18" s="400"/>
      <c r="PXN18" s="400"/>
      <c r="PXO18" s="400"/>
      <c r="PXP18" s="400"/>
      <c r="PXQ18" s="400"/>
      <c r="PXR18" s="400"/>
      <c r="PXS18" s="400"/>
      <c r="PXT18" s="400"/>
      <c r="PXU18" s="400"/>
      <c r="PXV18" s="400"/>
      <c r="PXW18" s="400"/>
      <c r="PXX18" s="400"/>
      <c r="PXY18" s="400"/>
      <c r="PXZ18" s="400"/>
      <c r="PYA18" s="400"/>
      <c r="PYB18" s="400"/>
      <c r="PYC18" s="400"/>
      <c r="PYD18" s="400"/>
      <c r="PYE18" s="400"/>
      <c r="PYF18" s="400"/>
      <c r="PYG18" s="400"/>
      <c r="PYH18" s="400"/>
      <c r="PYI18" s="400"/>
      <c r="PYJ18" s="400"/>
      <c r="PYK18" s="400"/>
      <c r="PYL18" s="400"/>
      <c r="PYM18" s="400"/>
      <c r="PYN18" s="400"/>
      <c r="PYO18" s="400"/>
      <c r="PYP18" s="400"/>
      <c r="PYQ18" s="400"/>
      <c r="PYR18" s="400"/>
      <c r="PYS18" s="400"/>
      <c r="PYT18" s="400"/>
      <c r="PYU18" s="400"/>
      <c r="PYV18" s="400"/>
      <c r="PYW18" s="400"/>
      <c r="PYX18" s="400"/>
      <c r="PYY18" s="400"/>
      <c r="PYZ18" s="400"/>
      <c r="PZA18" s="400"/>
      <c r="PZB18" s="400"/>
      <c r="PZC18" s="400"/>
      <c r="PZD18" s="400"/>
      <c r="PZE18" s="400"/>
      <c r="PZF18" s="400"/>
      <c r="PZG18" s="400"/>
      <c r="PZH18" s="400"/>
      <c r="PZI18" s="400"/>
      <c r="PZJ18" s="400"/>
      <c r="PZK18" s="400"/>
      <c r="PZL18" s="400"/>
      <c r="PZM18" s="400"/>
      <c r="PZN18" s="400"/>
      <c r="PZO18" s="400"/>
      <c r="PZP18" s="400"/>
      <c r="PZQ18" s="400"/>
      <c r="PZR18" s="400"/>
      <c r="PZS18" s="400"/>
      <c r="PZT18" s="400"/>
      <c r="PZU18" s="400"/>
      <c r="PZV18" s="400"/>
      <c r="PZW18" s="400"/>
      <c r="PZX18" s="400"/>
      <c r="PZY18" s="400"/>
      <c r="PZZ18" s="400"/>
      <c r="QAA18" s="400"/>
      <c r="QAB18" s="400"/>
      <c r="QAC18" s="400"/>
      <c r="QAD18" s="400"/>
      <c r="QAE18" s="400"/>
      <c r="QAF18" s="400"/>
      <c r="QAG18" s="400"/>
      <c r="QAH18" s="400"/>
      <c r="QAI18" s="400"/>
      <c r="QAJ18" s="400"/>
      <c r="QAK18" s="400"/>
      <c r="QAL18" s="400"/>
      <c r="QAM18" s="400"/>
      <c r="QAN18" s="400"/>
      <c r="QAO18" s="400"/>
      <c r="QAP18" s="400"/>
      <c r="QAQ18" s="400"/>
      <c r="QAR18" s="400"/>
      <c r="QAS18" s="400"/>
      <c r="QAT18" s="400"/>
      <c r="QAU18" s="400"/>
      <c r="QAV18" s="400"/>
      <c r="QAW18" s="400"/>
      <c r="QAX18" s="400"/>
      <c r="QAY18" s="400"/>
      <c r="QAZ18" s="400"/>
      <c r="QBA18" s="400"/>
      <c r="QBB18" s="400"/>
      <c r="QBC18" s="400"/>
      <c r="QBD18" s="400"/>
      <c r="QBE18" s="400"/>
      <c r="QBF18" s="400"/>
      <c r="QBG18" s="400"/>
      <c r="QBH18" s="400"/>
      <c r="QBI18" s="400"/>
      <c r="QBJ18" s="400"/>
      <c r="QBK18" s="400"/>
      <c r="QBL18" s="400"/>
      <c r="QBM18" s="400"/>
      <c r="QBN18" s="400"/>
      <c r="QBO18" s="400"/>
      <c r="QBP18" s="400"/>
      <c r="QBQ18" s="400"/>
      <c r="QBR18" s="400"/>
      <c r="QBS18" s="400"/>
      <c r="QBT18" s="400"/>
      <c r="QBU18" s="400"/>
      <c r="QBV18" s="400"/>
      <c r="QBW18" s="400"/>
      <c r="QBX18" s="400"/>
      <c r="QBY18" s="400"/>
      <c r="QBZ18" s="400"/>
      <c r="QCA18" s="400"/>
      <c r="QCB18" s="400"/>
      <c r="QCC18" s="400"/>
      <c r="QCD18" s="400"/>
      <c r="QCE18" s="400"/>
      <c r="QCF18" s="400"/>
      <c r="QCG18" s="400"/>
      <c r="QCH18" s="400"/>
      <c r="QCI18" s="400"/>
      <c r="QCJ18" s="400"/>
      <c r="QCK18" s="400"/>
      <c r="QCL18" s="400"/>
      <c r="QCM18" s="400"/>
      <c r="QCN18" s="400"/>
      <c r="QCO18" s="400"/>
      <c r="QCP18" s="400"/>
      <c r="QCQ18" s="400"/>
      <c r="QCR18" s="400"/>
      <c r="QCS18" s="400"/>
      <c r="QCT18" s="400"/>
      <c r="QCU18" s="400"/>
      <c r="QCV18" s="400"/>
      <c r="QCW18" s="400"/>
      <c r="QCX18" s="400"/>
      <c r="QCY18" s="400"/>
      <c r="QCZ18" s="400"/>
      <c r="QDA18" s="400"/>
      <c r="QDB18" s="400"/>
      <c r="QDC18" s="400"/>
      <c r="QDD18" s="400"/>
      <c r="QDE18" s="400"/>
      <c r="QDF18" s="400"/>
      <c r="QDG18" s="400"/>
      <c r="QDH18" s="400"/>
      <c r="QDI18" s="400"/>
      <c r="QDJ18" s="400"/>
      <c r="QDK18" s="400"/>
      <c r="QDL18" s="400"/>
      <c r="QDM18" s="400"/>
      <c r="QDN18" s="400"/>
      <c r="QDO18" s="400"/>
      <c r="QDP18" s="400"/>
      <c r="QDQ18" s="400"/>
      <c r="QDR18" s="400"/>
      <c r="QDS18" s="400"/>
      <c r="QDT18" s="400"/>
      <c r="QDU18" s="400"/>
      <c r="QDV18" s="400"/>
      <c r="QDW18" s="400"/>
      <c r="QDX18" s="400"/>
      <c r="QDY18" s="400"/>
      <c r="QDZ18" s="400"/>
      <c r="QEA18" s="400"/>
      <c r="QEB18" s="400"/>
      <c r="QEC18" s="400"/>
      <c r="QED18" s="400"/>
      <c r="QEE18" s="400"/>
      <c r="QEF18" s="400"/>
      <c r="QEG18" s="400"/>
      <c r="QEH18" s="400"/>
      <c r="QEI18" s="400"/>
      <c r="QEJ18" s="400"/>
      <c r="QEK18" s="400"/>
      <c r="QEL18" s="400"/>
      <c r="QEM18" s="400"/>
      <c r="QEN18" s="400"/>
      <c r="QEO18" s="400"/>
      <c r="QEP18" s="400"/>
      <c r="QEQ18" s="400"/>
      <c r="QER18" s="400"/>
      <c r="QES18" s="400"/>
      <c r="QET18" s="400"/>
      <c r="QEU18" s="400"/>
      <c r="QEV18" s="400"/>
      <c r="QEW18" s="400"/>
      <c r="QEX18" s="400"/>
      <c r="QEY18" s="400"/>
      <c r="QEZ18" s="400"/>
      <c r="QFA18" s="400"/>
      <c r="QFB18" s="400"/>
      <c r="QFC18" s="400"/>
      <c r="QFD18" s="400"/>
      <c r="QFE18" s="400"/>
      <c r="QFF18" s="400"/>
      <c r="QFG18" s="400"/>
      <c r="QFH18" s="400"/>
      <c r="QFI18" s="400"/>
      <c r="QFJ18" s="400"/>
      <c r="QFK18" s="400"/>
      <c r="QFL18" s="400"/>
      <c r="QFM18" s="400"/>
      <c r="QFN18" s="400"/>
      <c r="QFO18" s="400"/>
      <c r="QFP18" s="400"/>
      <c r="QFQ18" s="400"/>
      <c r="QFR18" s="400"/>
      <c r="QFS18" s="400"/>
      <c r="QFT18" s="400"/>
      <c r="QFU18" s="400"/>
      <c r="QFV18" s="400"/>
      <c r="QFW18" s="400"/>
      <c r="QFX18" s="400"/>
      <c r="QFY18" s="400"/>
      <c r="QFZ18" s="400"/>
      <c r="QGA18" s="400"/>
      <c r="QGB18" s="400"/>
      <c r="QGC18" s="400"/>
      <c r="QGD18" s="400"/>
      <c r="QGE18" s="400"/>
      <c r="QGF18" s="400"/>
      <c r="QGG18" s="400"/>
      <c r="QGH18" s="400"/>
      <c r="QGI18" s="400"/>
      <c r="QGJ18" s="400"/>
      <c r="QGK18" s="400"/>
      <c r="QGL18" s="400"/>
      <c r="QGM18" s="400"/>
      <c r="QGN18" s="400"/>
      <c r="QGO18" s="400"/>
      <c r="QGP18" s="400"/>
      <c r="QGQ18" s="400"/>
      <c r="QGR18" s="400"/>
      <c r="QGS18" s="400"/>
      <c r="QGT18" s="400"/>
      <c r="QGU18" s="400"/>
      <c r="QGV18" s="400"/>
      <c r="QGW18" s="400"/>
      <c r="QGX18" s="400"/>
      <c r="QGY18" s="400"/>
      <c r="QGZ18" s="400"/>
      <c r="QHA18" s="400"/>
      <c r="QHB18" s="400"/>
      <c r="QHC18" s="400"/>
      <c r="QHD18" s="400"/>
      <c r="QHE18" s="400"/>
      <c r="QHF18" s="400"/>
      <c r="QHG18" s="400"/>
      <c r="QHH18" s="400"/>
      <c r="QHI18" s="400"/>
      <c r="QHJ18" s="400"/>
      <c r="QHK18" s="400"/>
      <c r="QHL18" s="400"/>
      <c r="QHM18" s="400"/>
      <c r="QHN18" s="400"/>
      <c r="QHO18" s="400"/>
      <c r="QHP18" s="400"/>
      <c r="QHQ18" s="400"/>
      <c r="QHR18" s="400"/>
      <c r="QHS18" s="400"/>
      <c r="QHT18" s="400"/>
      <c r="QHU18" s="400"/>
      <c r="QHV18" s="400"/>
      <c r="QHW18" s="400"/>
      <c r="QHX18" s="400"/>
      <c r="QHY18" s="400"/>
      <c r="QHZ18" s="400"/>
      <c r="QIA18" s="400"/>
      <c r="QIB18" s="400"/>
      <c r="QIC18" s="400"/>
      <c r="QID18" s="400"/>
      <c r="QIE18" s="400"/>
      <c r="QIF18" s="400"/>
      <c r="QIG18" s="400"/>
      <c r="QIH18" s="400"/>
      <c r="QII18" s="400"/>
      <c r="QIJ18" s="400"/>
      <c r="QIK18" s="400"/>
      <c r="QIL18" s="400"/>
      <c r="QIM18" s="400"/>
      <c r="QIN18" s="400"/>
      <c r="QIO18" s="400"/>
      <c r="QIP18" s="400"/>
      <c r="QIQ18" s="400"/>
      <c r="QIR18" s="400"/>
      <c r="QIS18" s="400"/>
      <c r="QIT18" s="400"/>
      <c r="QIU18" s="400"/>
      <c r="QIV18" s="400"/>
      <c r="QIW18" s="400"/>
      <c r="QIX18" s="400"/>
      <c r="QIY18" s="400"/>
      <c r="QIZ18" s="400"/>
      <c r="QJA18" s="400"/>
      <c r="QJB18" s="400"/>
      <c r="QJC18" s="400"/>
      <c r="QJD18" s="400"/>
      <c r="QJE18" s="400"/>
      <c r="QJF18" s="400"/>
      <c r="QJG18" s="400"/>
      <c r="QJH18" s="400"/>
      <c r="QJI18" s="400"/>
      <c r="QJJ18" s="400"/>
      <c r="QJK18" s="400"/>
      <c r="QJL18" s="400"/>
      <c r="QJM18" s="400"/>
      <c r="QJN18" s="400"/>
      <c r="QJO18" s="400"/>
      <c r="QJP18" s="400"/>
      <c r="QJQ18" s="400"/>
      <c r="QJR18" s="400"/>
      <c r="QJS18" s="400"/>
      <c r="QJT18" s="400"/>
      <c r="QJU18" s="400"/>
      <c r="QJV18" s="400"/>
      <c r="QJW18" s="400"/>
      <c r="QJX18" s="400"/>
      <c r="QJY18" s="400"/>
      <c r="QJZ18" s="400"/>
      <c r="QKA18" s="400"/>
      <c r="QKB18" s="400"/>
      <c r="QKC18" s="400"/>
      <c r="QKD18" s="400"/>
      <c r="QKE18" s="400"/>
      <c r="QKF18" s="400"/>
      <c r="QKG18" s="400"/>
      <c r="QKH18" s="400"/>
      <c r="QKI18" s="400"/>
      <c r="QKJ18" s="400"/>
      <c r="QKK18" s="400"/>
      <c r="QKL18" s="400"/>
      <c r="QKM18" s="400"/>
      <c r="QKN18" s="400"/>
      <c r="QKO18" s="400"/>
      <c r="QKP18" s="400"/>
      <c r="QKQ18" s="400"/>
      <c r="QKR18" s="400"/>
      <c r="QKS18" s="400"/>
      <c r="QKT18" s="400"/>
      <c r="QKU18" s="400"/>
      <c r="QKV18" s="400"/>
      <c r="QKW18" s="400"/>
      <c r="QKX18" s="400"/>
      <c r="QKY18" s="400"/>
      <c r="QKZ18" s="400"/>
      <c r="QLA18" s="400"/>
      <c r="QLB18" s="400"/>
      <c r="QLC18" s="400"/>
      <c r="QLD18" s="400"/>
      <c r="QLE18" s="400"/>
      <c r="QLF18" s="400"/>
      <c r="QLG18" s="400"/>
      <c r="QLH18" s="400"/>
      <c r="QLI18" s="400"/>
      <c r="QLJ18" s="400"/>
      <c r="QLK18" s="400"/>
      <c r="QLL18" s="400"/>
      <c r="QLM18" s="400"/>
      <c r="QLN18" s="400"/>
      <c r="QLO18" s="400"/>
      <c r="QLP18" s="400"/>
      <c r="QLQ18" s="400"/>
      <c r="QLR18" s="400"/>
      <c r="QLS18" s="400"/>
      <c r="QLT18" s="400"/>
      <c r="QLU18" s="400"/>
      <c r="QLV18" s="400"/>
      <c r="QLW18" s="400"/>
      <c r="QLX18" s="400"/>
      <c r="QLY18" s="400"/>
      <c r="QLZ18" s="400"/>
      <c r="QMA18" s="400"/>
      <c r="QMB18" s="400"/>
      <c r="QMC18" s="400"/>
      <c r="QMD18" s="400"/>
      <c r="QME18" s="400"/>
      <c r="QMF18" s="400"/>
      <c r="QMG18" s="400"/>
      <c r="QMH18" s="400"/>
      <c r="QMI18" s="400"/>
      <c r="QMJ18" s="400"/>
      <c r="QMK18" s="400"/>
      <c r="QML18" s="400"/>
      <c r="QMM18" s="400"/>
      <c r="QMN18" s="400"/>
      <c r="QMO18" s="400"/>
      <c r="QMP18" s="400"/>
      <c r="QMQ18" s="400"/>
      <c r="QMR18" s="400"/>
      <c r="QMS18" s="400"/>
      <c r="QMT18" s="400"/>
      <c r="QMU18" s="400"/>
      <c r="QMV18" s="400"/>
      <c r="QMW18" s="400"/>
      <c r="QMX18" s="400"/>
      <c r="QMY18" s="400"/>
      <c r="QMZ18" s="400"/>
      <c r="QNA18" s="400"/>
      <c r="QNB18" s="400"/>
      <c r="QNC18" s="400"/>
      <c r="QND18" s="400"/>
      <c r="QNE18" s="400"/>
      <c r="QNF18" s="400"/>
      <c r="QNG18" s="400"/>
      <c r="QNH18" s="400"/>
      <c r="QNI18" s="400"/>
      <c r="QNJ18" s="400"/>
      <c r="QNK18" s="400"/>
      <c r="QNL18" s="400"/>
      <c r="QNM18" s="400"/>
      <c r="QNN18" s="400"/>
      <c r="QNO18" s="400"/>
      <c r="QNP18" s="400"/>
      <c r="QNQ18" s="400"/>
      <c r="QNR18" s="400"/>
      <c r="QNS18" s="400"/>
      <c r="QNT18" s="400"/>
      <c r="QNU18" s="400"/>
      <c r="QNV18" s="400"/>
      <c r="QNW18" s="400"/>
      <c r="QNX18" s="400"/>
      <c r="QNY18" s="400"/>
      <c r="QNZ18" s="400"/>
      <c r="QOA18" s="400"/>
      <c r="QOB18" s="400"/>
      <c r="QOC18" s="400"/>
      <c r="QOD18" s="400"/>
      <c r="QOE18" s="400"/>
      <c r="QOF18" s="400"/>
      <c r="QOG18" s="400"/>
      <c r="QOH18" s="400"/>
      <c r="QOI18" s="400"/>
      <c r="QOJ18" s="400"/>
      <c r="QOK18" s="400"/>
      <c r="QOL18" s="400"/>
      <c r="QOM18" s="400"/>
      <c r="QON18" s="400"/>
      <c r="QOO18" s="400"/>
      <c r="QOP18" s="400"/>
      <c r="QOQ18" s="400"/>
      <c r="QOR18" s="400"/>
      <c r="QOS18" s="400"/>
      <c r="QOT18" s="400"/>
      <c r="QOU18" s="400"/>
      <c r="QOV18" s="400"/>
      <c r="QOW18" s="400"/>
      <c r="QOX18" s="400"/>
      <c r="QOY18" s="400"/>
      <c r="QOZ18" s="400"/>
      <c r="QPA18" s="400"/>
      <c r="QPB18" s="400"/>
      <c r="QPC18" s="400"/>
      <c r="QPD18" s="400"/>
      <c r="QPE18" s="400"/>
      <c r="QPF18" s="400"/>
      <c r="QPG18" s="400"/>
      <c r="QPH18" s="400"/>
      <c r="QPI18" s="400"/>
      <c r="QPJ18" s="400"/>
      <c r="QPK18" s="400"/>
      <c r="QPL18" s="400"/>
      <c r="QPM18" s="400"/>
      <c r="QPN18" s="400"/>
      <c r="QPO18" s="400"/>
      <c r="QPP18" s="400"/>
      <c r="QPQ18" s="400"/>
      <c r="QPR18" s="400"/>
      <c r="QPS18" s="400"/>
      <c r="QPT18" s="400"/>
      <c r="QPU18" s="400"/>
      <c r="QPV18" s="400"/>
      <c r="QPW18" s="400"/>
      <c r="QPX18" s="400"/>
      <c r="QPY18" s="400"/>
      <c r="QPZ18" s="400"/>
      <c r="QQA18" s="400"/>
      <c r="QQB18" s="400"/>
      <c r="QQC18" s="400"/>
      <c r="QQD18" s="400"/>
      <c r="QQE18" s="400"/>
      <c r="QQF18" s="400"/>
      <c r="QQG18" s="400"/>
      <c r="QQH18" s="400"/>
      <c r="QQI18" s="400"/>
      <c r="QQJ18" s="400"/>
      <c r="QQK18" s="400"/>
      <c r="QQL18" s="400"/>
      <c r="QQM18" s="400"/>
      <c r="QQN18" s="400"/>
      <c r="QQO18" s="400"/>
      <c r="QQP18" s="400"/>
      <c r="QQQ18" s="400"/>
      <c r="QQR18" s="400"/>
      <c r="QQS18" s="400"/>
      <c r="QQT18" s="400"/>
      <c r="QQU18" s="400"/>
      <c r="QQV18" s="400"/>
      <c r="QQW18" s="400"/>
      <c r="QQX18" s="400"/>
      <c r="QQY18" s="400"/>
      <c r="QQZ18" s="400"/>
      <c r="QRA18" s="400"/>
      <c r="QRB18" s="400"/>
      <c r="QRC18" s="400"/>
      <c r="QRD18" s="400"/>
      <c r="QRE18" s="400"/>
      <c r="QRF18" s="400"/>
      <c r="QRG18" s="400"/>
      <c r="QRH18" s="400"/>
      <c r="QRI18" s="400"/>
      <c r="QRJ18" s="400"/>
      <c r="QRK18" s="400"/>
      <c r="QRL18" s="400"/>
      <c r="QRM18" s="400"/>
      <c r="QRN18" s="400"/>
      <c r="QRO18" s="400"/>
      <c r="QRP18" s="400"/>
      <c r="QRQ18" s="400"/>
      <c r="QRR18" s="400"/>
      <c r="QRS18" s="400"/>
      <c r="QRT18" s="400"/>
      <c r="QRU18" s="400"/>
      <c r="QRV18" s="400"/>
      <c r="QRW18" s="400"/>
      <c r="QRX18" s="400"/>
      <c r="QRY18" s="400"/>
      <c r="QRZ18" s="400"/>
      <c r="QSA18" s="400"/>
      <c r="QSB18" s="400"/>
      <c r="QSC18" s="400"/>
      <c r="QSD18" s="400"/>
      <c r="QSE18" s="400"/>
      <c r="QSF18" s="400"/>
      <c r="QSG18" s="400"/>
      <c r="QSH18" s="400"/>
      <c r="QSI18" s="400"/>
      <c r="QSJ18" s="400"/>
      <c r="QSK18" s="400"/>
      <c r="QSL18" s="400"/>
      <c r="QSM18" s="400"/>
      <c r="QSN18" s="400"/>
      <c r="QSO18" s="400"/>
      <c r="QSP18" s="400"/>
      <c r="QSQ18" s="400"/>
      <c r="QSR18" s="400"/>
      <c r="QSS18" s="400"/>
      <c r="QST18" s="400"/>
      <c r="QSU18" s="400"/>
      <c r="QSV18" s="400"/>
      <c r="QSW18" s="400"/>
      <c r="QSX18" s="400"/>
      <c r="QSY18" s="400"/>
      <c r="QSZ18" s="400"/>
      <c r="QTA18" s="400"/>
      <c r="QTB18" s="400"/>
      <c r="QTC18" s="400"/>
      <c r="QTD18" s="400"/>
      <c r="QTE18" s="400"/>
      <c r="QTF18" s="400"/>
      <c r="QTG18" s="400"/>
      <c r="QTH18" s="400"/>
      <c r="QTI18" s="400"/>
      <c r="QTJ18" s="400"/>
      <c r="QTK18" s="400"/>
      <c r="QTL18" s="400"/>
      <c r="QTM18" s="400"/>
      <c r="QTN18" s="400"/>
      <c r="QTO18" s="400"/>
      <c r="QTP18" s="400"/>
      <c r="QTQ18" s="400"/>
      <c r="QTR18" s="400"/>
      <c r="QTS18" s="400"/>
      <c r="QTT18" s="400"/>
      <c r="QTU18" s="400"/>
      <c r="QTV18" s="400"/>
      <c r="QTW18" s="400"/>
      <c r="QTX18" s="400"/>
      <c r="QTY18" s="400"/>
      <c r="QTZ18" s="400"/>
      <c r="QUA18" s="400"/>
      <c r="QUB18" s="400"/>
      <c r="QUC18" s="400"/>
      <c r="QUD18" s="400"/>
      <c r="QUE18" s="400"/>
      <c r="QUF18" s="400"/>
      <c r="QUG18" s="400"/>
      <c r="QUH18" s="400"/>
      <c r="QUI18" s="400"/>
      <c r="QUJ18" s="400"/>
      <c r="QUK18" s="400"/>
      <c r="QUL18" s="400"/>
      <c r="QUM18" s="400"/>
      <c r="QUN18" s="400"/>
      <c r="QUO18" s="400"/>
      <c r="QUP18" s="400"/>
      <c r="QUQ18" s="400"/>
      <c r="QUR18" s="400"/>
      <c r="QUS18" s="400"/>
      <c r="QUT18" s="400"/>
      <c r="QUU18" s="400"/>
      <c r="QUV18" s="400"/>
      <c r="QUW18" s="400"/>
      <c r="QUX18" s="400"/>
      <c r="QUY18" s="400"/>
      <c r="QUZ18" s="400"/>
      <c r="QVA18" s="400"/>
      <c r="QVB18" s="400"/>
      <c r="QVC18" s="400"/>
      <c r="QVD18" s="400"/>
      <c r="QVE18" s="400"/>
      <c r="QVF18" s="400"/>
      <c r="QVG18" s="400"/>
      <c r="QVH18" s="400"/>
      <c r="QVI18" s="400"/>
      <c r="QVJ18" s="400"/>
      <c r="QVK18" s="400"/>
      <c r="QVL18" s="400"/>
      <c r="QVM18" s="400"/>
      <c r="QVN18" s="400"/>
      <c r="QVO18" s="400"/>
      <c r="QVP18" s="400"/>
      <c r="QVQ18" s="400"/>
      <c r="QVR18" s="400"/>
      <c r="QVS18" s="400"/>
      <c r="QVT18" s="400"/>
      <c r="QVU18" s="400"/>
      <c r="QVV18" s="400"/>
      <c r="QVW18" s="400"/>
      <c r="QVX18" s="400"/>
      <c r="QVY18" s="400"/>
      <c r="QVZ18" s="400"/>
      <c r="QWA18" s="400"/>
      <c r="QWB18" s="400"/>
      <c r="QWC18" s="400"/>
      <c r="QWD18" s="400"/>
      <c r="QWE18" s="400"/>
      <c r="QWF18" s="400"/>
      <c r="QWG18" s="400"/>
      <c r="QWH18" s="400"/>
      <c r="QWI18" s="400"/>
      <c r="QWJ18" s="400"/>
      <c r="QWK18" s="400"/>
      <c r="QWL18" s="400"/>
      <c r="QWM18" s="400"/>
      <c r="QWN18" s="400"/>
      <c r="QWO18" s="400"/>
      <c r="QWP18" s="400"/>
      <c r="QWQ18" s="400"/>
      <c r="QWR18" s="400"/>
      <c r="QWS18" s="400"/>
      <c r="QWT18" s="400"/>
      <c r="QWU18" s="400"/>
      <c r="QWV18" s="400"/>
      <c r="QWW18" s="400"/>
      <c r="QWX18" s="400"/>
      <c r="QWY18" s="400"/>
      <c r="QWZ18" s="400"/>
      <c r="QXA18" s="400"/>
      <c r="QXB18" s="400"/>
      <c r="QXC18" s="400"/>
      <c r="QXD18" s="400"/>
      <c r="QXE18" s="400"/>
      <c r="QXF18" s="400"/>
      <c r="QXG18" s="400"/>
      <c r="QXH18" s="400"/>
      <c r="QXI18" s="400"/>
      <c r="QXJ18" s="400"/>
      <c r="QXK18" s="400"/>
      <c r="QXL18" s="400"/>
      <c r="QXM18" s="400"/>
      <c r="QXN18" s="400"/>
      <c r="QXO18" s="400"/>
      <c r="QXP18" s="400"/>
      <c r="QXQ18" s="400"/>
      <c r="QXR18" s="400"/>
      <c r="QXS18" s="400"/>
      <c r="QXT18" s="400"/>
      <c r="QXU18" s="400"/>
      <c r="QXV18" s="400"/>
      <c r="QXW18" s="400"/>
      <c r="QXX18" s="400"/>
      <c r="QXY18" s="400"/>
      <c r="QXZ18" s="400"/>
      <c r="QYA18" s="400"/>
      <c r="QYB18" s="400"/>
      <c r="QYC18" s="400"/>
      <c r="QYD18" s="400"/>
      <c r="QYE18" s="400"/>
      <c r="QYF18" s="400"/>
      <c r="QYG18" s="400"/>
      <c r="QYH18" s="400"/>
      <c r="QYI18" s="400"/>
      <c r="QYJ18" s="400"/>
      <c r="QYK18" s="400"/>
      <c r="QYL18" s="400"/>
      <c r="QYM18" s="400"/>
      <c r="QYN18" s="400"/>
      <c r="QYO18" s="400"/>
      <c r="QYP18" s="400"/>
      <c r="QYQ18" s="400"/>
      <c r="QYR18" s="400"/>
      <c r="QYS18" s="400"/>
      <c r="QYT18" s="400"/>
      <c r="QYU18" s="400"/>
      <c r="QYV18" s="400"/>
      <c r="QYW18" s="400"/>
      <c r="QYX18" s="400"/>
      <c r="QYY18" s="400"/>
      <c r="QYZ18" s="400"/>
      <c r="QZA18" s="400"/>
      <c r="QZB18" s="400"/>
      <c r="QZC18" s="400"/>
      <c r="QZD18" s="400"/>
      <c r="QZE18" s="400"/>
      <c r="QZF18" s="400"/>
      <c r="QZG18" s="400"/>
      <c r="QZH18" s="400"/>
      <c r="QZI18" s="400"/>
      <c r="QZJ18" s="400"/>
      <c r="QZK18" s="400"/>
      <c r="QZL18" s="400"/>
      <c r="QZM18" s="400"/>
      <c r="QZN18" s="400"/>
      <c r="QZO18" s="400"/>
      <c r="QZP18" s="400"/>
      <c r="QZQ18" s="400"/>
      <c r="QZR18" s="400"/>
      <c r="QZS18" s="400"/>
      <c r="QZT18" s="400"/>
      <c r="QZU18" s="400"/>
      <c r="QZV18" s="400"/>
      <c r="QZW18" s="400"/>
      <c r="QZX18" s="400"/>
      <c r="QZY18" s="400"/>
      <c r="QZZ18" s="400"/>
      <c r="RAA18" s="400"/>
      <c r="RAB18" s="400"/>
      <c r="RAC18" s="400"/>
      <c r="RAD18" s="400"/>
      <c r="RAE18" s="400"/>
      <c r="RAF18" s="400"/>
      <c r="RAG18" s="400"/>
      <c r="RAH18" s="400"/>
      <c r="RAI18" s="400"/>
      <c r="RAJ18" s="400"/>
      <c r="RAK18" s="400"/>
      <c r="RAL18" s="400"/>
      <c r="RAM18" s="400"/>
      <c r="RAN18" s="400"/>
      <c r="RAO18" s="400"/>
      <c r="RAP18" s="400"/>
      <c r="RAQ18" s="400"/>
      <c r="RAR18" s="400"/>
      <c r="RAS18" s="400"/>
      <c r="RAT18" s="400"/>
      <c r="RAU18" s="400"/>
      <c r="RAV18" s="400"/>
      <c r="RAW18" s="400"/>
      <c r="RAX18" s="400"/>
      <c r="RAY18" s="400"/>
      <c r="RAZ18" s="400"/>
      <c r="RBA18" s="400"/>
      <c r="RBB18" s="400"/>
      <c r="RBC18" s="400"/>
      <c r="RBD18" s="400"/>
      <c r="RBE18" s="400"/>
      <c r="RBF18" s="400"/>
      <c r="RBG18" s="400"/>
      <c r="RBH18" s="400"/>
      <c r="RBI18" s="400"/>
      <c r="RBJ18" s="400"/>
      <c r="RBK18" s="400"/>
      <c r="RBL18" s="400"/>
      <c r="RBM18" s="400"/>
      <c r="RBN18" s="400"/>
      <c r="RBO18" s="400"/>
      <c r="RBP18" s="400"/>
      <c r="RBQ18" s="400"/>
      <c r="RBR18" s="400"/>
      <c r="RBS18" s="400"/>
      <c r="RBT18" s="400"/>
      <c r="RBU18" s="400"/>
      <c r="RBV18" s="400"/>
      <c r="RBW18" s="400"/>
      <c r="RBX18" s="400"/>
      <c r="RBY18" s="400"/>
      <c r="RBZ18" s="400"/>
      <c r="RCA18" s="400"/>
      <c r="RCB18" s="400"/>
      <c r="RCC18" s="400"/>
      <c r="RCD18" s="400"/>
      <c r="RCE18" s="400"/>
      <c r="RCF18" s="400"/>
      <c r="RCG18" s="400"/>
      <c r="RCH18" s="400"/>
      <c r="RCI18" s="400"/>
      <c r="RCJ18" s="400"/>
      <c r="RCK18" s="400"/>
      <c r="RCL18" s="400"/>
      <c r="RCM18" s="400"/>
      <c r="RCN18" s="400"/>
      <c r="RCO18" s="400"/>
      <c r="RCP18" s="400"/>
      <c r="RCQ18" s="400"/>
      <c r="RCR18" s="400"/>
      <c r="RCS18" s="400"/>
      <c r="RCT18" s="400"/>
      <c r="RCU18" s="400"/>
      <c r="RCV18" s="400"/>
      <c r="RCW18" s="400"/>
      <c r="RCX18" s="400"/>
      <c r="RCY18" s="400"/>
      <c r="RCZ18" s="400"/>
      <c r="RDA18" s="400"/>
      <c r="RDB18" s="400"/>
      <c r="RDC18" s="400"/>
      <c r="RDD18" s="400"/>
      <c r="RDE18" s="400"/>
      <c r="RDF18" s="400"/>
      <c r="RDG18" s="400"/>
      <c r="RDH18" s="400"/>
      <c r="RDI18" s="400"/>
      <c r="RDJ18" s="400"/>
      <c r="RDK18" s="400"/>
      <c r="RDL18" s="400"/>
      <c r="RDM18" s="400"/>
      <c r="RDN18" s="400"/>
      <c r="RDO18" s="400"/>
      <c r="RDP18" s="400"/>
      <c r="RDQ18" s="400"/>
      <c r="RDR18" s="400"/>
      <c r="RDS18" s="400"/>
      <c r="RDT18" s="400"/>
      <c r="RDU18" s="400"/>
      <c r="RDV18" s="400"/>
      <c r="RDW18" s="400"/>
      <c r="RDX18" s="400"/>
      <c r="RDY18" s="400"/>
      <c r="RDZ18" s="400"/>
      <c r="REA18" s="400"/>
      <c r="REB18" s="400"/>
      <c r="REC18" s="400"/>
      <c r="RED18" s="400"/>
      <c r="REE18" s="400"/>
      <c r="REF18" s="400"/>
      <c r="REG18" s="400"/>
      <c r="REH18" s="400"/>
      <c r="REI18" s="400"/>
      <c r="REJ18" s="400"/>
      <c r="REK18" s="400"/>
      <c r="REL18" s="400"/>
      <c r="REM18" s="400"/>
      <c r="REN18" s="400"/>
      <c r="REO18" s="400"/>
      <c r="REP18" s="400"/>
      <c r="REQ18" s="400"/>
      <c r="RER18" s="400"/>
      <c r="RES18" s="400"/>
      <c r="RET18" s="400"/>
      <c r="REU18" s="400"/>
      <c r="REV18" s="400"/>
      <c r="REW18" s="400"/>
      <c r="REX18" s="400"/>
      <c r="REY18" s="400"/>
      <c r="REZ18" s="400"/>
      <c r="RFA18" s="400"/>
      <c r="RFB18" s="400"/>
      <c r="RFC18" s="400"/>
      <c r="RFD18" s="400"/>
      <c r="RFE18" s="400"/>
      <c r="RFF18" s="400"/>
      <c r="RFG18" s="400"/>
      <c r="RFH18" s="400"/>
      <c r="RFI18" s="400"/>
      <c r="RFJ18" s="400"/>
      <c r="RFK18" s="400"/>
      <c r="RFL18" s="400"/>
      <c r="RFM18" s="400"/>
      <c r="RFN18" s="400"/>
      <c r="RFO18" s="400"/>
      <c r="RFP18" s="400"/>
      <c r="RFQ18" s="400"/>
      <c r="RFR18" s="400"/>
      <c r="RFS18" s="400"/>
      <c r="RFT18" s="400"/>
      <c r="RFU18" s="400"/>
      <c r="RFV18" s="400"/>
      <c r="RFW18" s="400"/>
      <c r="RFX18" s="400"/>
      <c r="RFY18" s="400"/>
      <c r="RFZ18" s="400"/>
      <c r="RGA18" s="400"/>
      <c r="RGB18" s="400"/>
      <c r="RGC18" s="400"/>
      <c r="RGD18" s="400"/>
      <c r="RGE18" s="400"/>
      <c r="RGF18" s="400"/>
      <c r="RGG18" s="400"/>
      <c r="RGH18" s="400"/>
      <c r="RGI18" s="400"/>
      <c r="RGJ18" s="400"/>
      <c r="RGK18" s="400"/>
      <c r="RGL18" s="400"/>
      <c r="RGM18" s="400"/>
      <c r="RGN18" s="400"/>
      <c r="RGO18" s="400"/>
      <c r="RGP18" s="400"/>
      <c r="RGQ18" s="400"/>
      <c r="RGR18" s="400"/>
      <c r="RGS18" s="400"/>
      <c r="RGT18" s="400"/>
      <c r="RGU18" s="400"/>
      <c r="RGV18" s="400"/>
      <c r="RGW18" s="400"/>
      <c r="RGX18" s="400"/>
      <c r="RGY18" s="400"/>
      <c r="RGZ18" s="400"/>
      <c r="RHA18" s="400"/>
      <c r="RHB18" s="400"/>
      <c r="RHC18" s="400"/>
      <c r="RHD18" s="400"/>
      <c r="RHE18" s="400"/>
      <c r="RHF18" s="400"/>
      <c r="RHG18" s="400"/>
      <c r="RHH18" s="400"/>
      <c r="RHI18" s="400"/>
      <c r="RHJ18" s="400"/>
      <c r="RHK18" s="400"/>
      <c r="RHL18" s="400"/>
      <c r="RHM18" s="400"/>
      <c r="RHN18" s="400"/>
      <c r="RHO18" s="400"/>
      <c r="RHP18" s="400"/>
      <c r="RHQ18" s="400"/>
      <c r="RHR18" s="400"/>
      <c r="RHS18" s="400"/>
      <c r="RHT18" s="400"/>
      <c r="RHU18" s="400"/>
      <c r="RHV18" s="400"/>
      <c r="RHW18" s="400"/>
      <c r="RHX18" s="400"/>
      <c r="RHY18" s="400"/>
      <c r="RHZ18" s="400"/>
      <c r="RIA18" s="400"/>
      <c r="RIB18" s="400"/>
      <c r="RIC18" s="400"/>
      <c r="RID18" s="400"/>
      <c r="RIE18" s="400"/>
      <c r="RIF18" s="400"/>
      <c r="RIG18" s="400"/>
      <c r="RIH18" s="400"/>
      <c r="RII18" s="400"/>
      <c r="RIJ18" s="400"/>
      <c r="RIK18" s="400"/>
      <c r="RIL18" s="400"/>
      <c r="RIM18" s="400"/>
      <c r="RIN18" s="400"/>
      <c r="RIO18" s="400"/>
      <c r="RIP18" s="400"/>
      <c r="RIQ18" s="400"/>
      <c r="RIR18" s="400"/>
      <c r="RIS18" s="400"/>
      <c r="RIT18" s="400"/>
      <c r="RIU18" s="400"/>
      <c r="RIV18" s="400"/>
      <c r="RIW18" s="400"/>
      <c r="RIX18" s="400"/>
      <c r="RIY18" s="400"/>
      <c r="RIZ18" s="400"/>
      <c r="RJA18" s="400"/>
      <c r="RJB18" s="400"/>
      <c r="RJC18" s="400"/>
      <c r="RJD18" s="400"/>
      <c r="RJE18" s="400"/>
      <c r="RJF18" s="400"/>
      <c r="RJG18" s="400"/>
      <c r="RJH18" s="400"/>
      <c r="RJI18" s="400"/>
      <c r="RJJ18" s="400"/>
      <c r="RJK18" s="400"/>
      <c r="RJL18" s="400"/>
      <c r="RJM18" s="400"/>
      <c r="RJN18" s="400"/>
      <c r="RJO18" s="400"/>
      <c r="RJP18" s="400"/>
      <c r="RJQ18" s="400"/>
      <c r="RJR18" s="400"/>
      <c r="RJS18" s="400"/>
      <c r="RJT18" s="400"/>
      <c r="RJU18" s="400"/>
      <c r="RJV18" s="400"/>
      <c r="RJW18" s="400"/>
      <c r="RJX18" s="400"/>
      <c r="RJY18" s="400"/>
      <c r="RJZ18" s="400"/>
      <c r="RKA18" s="400"/>
      <c r="RKB18" s="400"/>
      <c r="RKC18" s="400"/>
      <c r="RKD18" s="400"/>
      <c r="RKE18" s="400"/>
      <c r="RKF18" s="400"/>
      <c r="RKG18" s="400"/>
      <c r="RKH18" s="400"/>
      <c r="RKI18" s="400"/>
      <c r="RKJ18" s="400"/>
      <c r="RKK18" s="400"/>
      <c r="RKL18" s="400"/>
      <c r="RKM18" s="400"/>
      <c r="RKN18" s="400"/>
      <c r="RKO18" s="400"/>
      <c r="RKP18" s="400"/>
      <c r="RKQ18" s="400"/>
      <c r="RKR18" s="400"/>
      <c r="RKS18" s="400"/>
      <c r="RKT18" s="400"/>
      <c r="RKU18" s="400"/>
      <c r="RKV18" s="400"/>
      <c r="RKW18" s="400"/>
      <c r="RKX18" s="400"/>
      <c r="RKY18" s="400"/>
      <c r="RKZ18" s="400"/>
      <c r="RLA18" s="400"/>
      <c r="RLB18" s="400"/>
      <c r="RLC18" s="400"/>
      <c r="RLD18" s="400"/>
      <c r="RLE18" s="400"/>
      <c r="RLF18" s="400"/>
      <c r="RLG18" s="400"/>
      <c r="RLH18" s="400"/>
      <c r="RLI18" s="400"/>
      <c r="RLJ18" s="400"/>
      <c r="RLK18" s="400"/>
      <c r="RLL18" s="400"/>
      <c r="RLM18" s="400"/>
      <c r="RLN18" s="400"/>
      <c r="RLO18" s="400"/>
      <c r="RLP18" s="400"/>
      <c r="RLQ18" s="400"/>
      <c r="RLR18" s="400"/>
      <c r="RLS18" s="400"/>
      <c r="RLT18" s="400"/>
      <c r="RLU18" s="400"/>
      <c r="RLV18" s="400"/>
      <c r="RLW18" s="400"/>
      <c r="RLX18" s="400"/>
      <c r="RLY18" s="400"/>
      <c r="RLZ18" s="400"/>
      <c r="RMA18" s="400"/>
      <c r="RMB18" s="400"/>
      <c r="RMC18" s="400"/>
      <c r="RMD18" s="400"/>
      <c r="RME18" s="400"/>
      <c r="RMF18" s="400"/>
      <c r="RMG18" s="400"/>
      <c r="RMH18" s="400"/>
      <c r="RMI18" s="400"/>
      <c r="RMJ18" s="400"/>
      <c r="RMK18" s="400"/>
      <c r="RML18" s="400"/>
      <c r="RMM18" s="400"/>
      <c r="RMN18" s="400"/>
      <c r="RMO18" s="400"/>
      <c r="RMP18" s="400"/>
      <c r="RMQ18" s="400"/>
      <c r="RMR18" s="400"/>
      <c r="RMS18" s="400"/>
      <c r="RMT18" s="400"/>
      <c r="RMU18" s="400"/>
      <c r="RMV18" s="400"/>
      <c r="RMW18" s="400"/>
      <c r="RMX18" s="400"/>
      <c r="RMY18" s="400"/>
      <c r="RMZ18" s="400"/>
      <c r="RNA18" s="400"/>
      <c r="RNB18" s="400"/>
      <c r="RNC18" s="400"/>
      <c r="RND18" s="400"/>
      <c r="RNE18" s="400"/>
      <c r="RNF18" s="400"/>
      <c r="RNG18" s="400"/>
      <c r="RNH18" s="400"/>
      <c r="RNI18" s="400"/>
      <c r="RNJ18" s="400"/>
      <c r="RNK18" s="400"/>
      <c r="RNL18" s="400"/>
      <c r="RNM18" s="400"/>
      <c r="RNN18" s="400"/>
      <c r="RNO18" s="400"/>
      <c r="RNP18" s="400"/>
      <c r="RNQ18" s="400"/>
      <c r="RNR18" s="400"/>
      <c r="RNS18" s="400"/>
      <c r="RNT18" s="400"/>
      <c r="RNU18" s="400"/>
      <c r="RNV18" s="400"/>
      <c r="RNW18" s="400"/>
      <c r="RNX18" s="400"/>
      <c r="RNY18" s="400"/>
      <c r="RNZ18" s="400"/>
      <c r="ROA18" s="400"/>
      <c r="ROB18" s="400"/>
      <c r="ROC18" s="400"/>
      <c r="ROD18" s="400"/>
      <c r="ROE18" s="400"/>
      <c r="ROF18" s="400"/>
      <c r="ROG18" s="400"/>
      <c r="ROH18" s="400"/>
      <c r="ROI18" s="400"/>
      <c r="ROJ18" s="400"/>
      <c r="ROK18" s="400"/>
      <c r="ROL18" s="400"/>
      <c r="ROM18" s="400"/>
      <c r="RON18" s="400"/>
      <c r="ROO18" s="400"/>
      <c r="ROP18" s="400"/>
      <c r="ROQ18" s="400"/>
      <c r="ROR18" s="400"/>
      <c r="ROS18" s="400"/>
      <c r="ROT18" s="400"/>
      <c r="ROU18" s="400"/>
      <c r="ROV18" s="400"/>
      <c r="ROW18" s="400"/>
      <c r="ROX18" s="400"/>
      <c r="ROY18" s="400"/>
      <c r="ROZ18" s="400"/>
      <c r="RPA18" s="400"/>
      <c r="RPB18" s="400"/>
      <c r="RPC18" s="400"/>
      <c r="RPD18" s="400"/>
      <c r="RPE18" s="400"/>
      <c r="RPF18" s="400"/>
      <c r="RPG18" s="400"/>
      <c r="RPH18" s="400"/>
      <c r="RPI18" s="400"/>
      <c r="RPJ18" s="400"/>
      <c r="RPK18" s="400"/>
      <c r="RPL18" s="400"/>
      <c r="RPM18" s="400"/>
      <c r="RPN18" s="400"/>
      <c r="RPO18" s="400"/>
      <c r="RPP18" s="400"/>
      <c r="RPQ18" s="400"/>
      <c r="RPR18" s="400"/>
      <c r="RPS18" s="400"/>
      <c r="RPT18" s="400"/>
      <c r="RPU18" s="400"/>
      <c r="RPV18" s="400"/>
      <c r="RPW18" s="400"/>
      <c r="RPX18" s="400"/>
      <c r="RPY18" s="400"/>
      <c r="RPZ18" s="400"/>
      <c r="RQA18" s="400"/>
      <c r="RQB18" s="400"/>
      <c r="RQC18" s="400"/>
      <c r="RQD18" s="400"/>
      <c r="RQE18" s="400"/>
      <c r="RQF18" s="400"/>
      <c r="RQG18" s="400"/>
      <c r="RQH18" s="400"/>
      <c r="RQI18" s="400"/>
      <c r="RQJ18" s="400"/>
      <c r="RQK18" s="400"/>
      <c r="RQL18" s="400"/>
      <c r="RQM18" s="400"/>
      <c r="RQN18" s="400"/>
      <c r="RQO18" s="400"/>
      <c r="RQP18" s="400"/>
      <c r="RQQ18" s="400"/>
      <c r="RQR18" s="400"/>
      <c r="RQS18" s="400"/>
      <c r="RQT18" s="400"/>
      <c r="RQU18" s="400"/>
      <c r="RQV18" s="400"/>
      <c r="RQW18" s="400"/>
      <c r="RQX18" s="400"/>
      <c r="RQY18" s="400"/>
      <c r="RQZ18" s="400"/>
      <c r="RRA18" s="400"/>
      <c r="RRB18" s="400"/>
      <c r="RRC18" s="400"/>
      <c r="RRD18" s="400"/>
      <c r="RRE18" s="400"/>
      <c r="RRF18" s="400"/>
      <c r="RRG18" s="400"/>
      <c r="RRH18" s="400"/>
      <c r="RRI18" s="400"/>
      <c r="RRJ18" s="400"/>
      <c r="RRK18" s="400"/>
      <c r="RRL18" s="400"/>
      <c r="RRM18" s="400"/>
      <c r="RRN18" s="400"/>
      <c r="RRO18" s="400"/>
      <c r="RRP18" s="400"/>
      <c r="RRQ18" s="400"/>
      <c r="RRR18" s="400"/>
      <c r="RRS18" s="400"/>
      <c r="RRT18" s="400"/>
      <c r="RRU18" s="400"/>
      <c r="RRV18" s="400"/>
      <c r="RRW18" s="400"/>
      <c r="RRX18" s="400"/>
      <c r="RRY18" s="400"/>
      <c r="RRZ18" s="400"/>
      <c r="RSA18" s="400"/>
      <c r="RSB18" s="400"/>
      <c r="RSC18" s="400"/>
      <c r="RSD18" s="400"/>
      <c r="RSE18" s="400"/>
      <c r="RSF18" s="400"/>
      <c r="RSG18" s="400"/>
      <c r="RSH18" s="400"/>
      <c r="RSI18" s="400"/>
      <c r="RSJ18" s="400"/>
      <c r="RSK18" s="400"/>
      <c r="RSL18" s="400"/>
      <c r="RSM18" s="400"/>
      <c r="RSN18" s="400"/>
      <c r="RSO18" s="400"/>
      <c r="RSP18" s="400"/>
      <c r="RSQ18" s="400"/>
      <c r="RSR18" s="400"/>
      <c r="RSS18" s="400"/>
      <c r="RST18" s="400"/>
      <c r="RSU18" s="400"/>
      <c r="RSV18" s="400"/>
      <c r="RSW18" s="400"/>
      <c r="RSX18" s="400"/>
      <c r="RSY18" s="400"/>
      <c r="RSZ18" s="400"/>
      <c r="RTA18" s="400"/>
      <c r="RTB18" s="400"/>
      <c r="RTC18" s="400"/>
      <c r="RTD18" s="400"/>
      <c r="RTE18" s="400"/>
      <c r="RTF18" s="400"/>
      <c r="RTG18" s="400"/>
      <c r="RTH18" s="400"/>
      <c r="RTI18" s="400"/>
      <c r="RTJ18" s="400"/>
      <c r="RTK18" s="400"/>
      <c r="RTL18" s="400"/>
      <c r="RTM18" s="400"/>
      <c r="RTN18" s="400"/>
      <c r="RTO18" s="400"/>
      <c r="RTP18" s="400"/>
      <c r="RTQ18" s="400"/>
      <c r="RTR18" s="400"/>
      <c r="RTS18" s="400"/>
      <c r="RTT18" s="400"/>
      <c r="RTU18" s="400"/>
      <c r="RTV18" s="400"/>
      <c r="RTW18" s="400"/>
      <c r="RTX18" s="400"/>
      <c r="RTY18" s="400"/>
      <c r="RTZ18" s="400"/>
      <c r="RUA18" s="400"/>
      <c r="RUB18" s="400"/>
      <c r="RUC18" s="400"/>
      <c r="RUD18" s="400"/>
      <c r="RUE18" s="400"/>
      <c r="RUF18" s="400"/>
      <c r="RUG18" s="400"/>
      <c r="RUH18" s="400"/>
      <c r="RUI18" s="400"/>
      <c r="RUJ18" s="400"/>
      <c r="RUK18" s="400"/>
      <c r="RUL18" s="400"/>
      <c r="RUM18" s="400"/>
      <c r="RUN18" s="400"/>
      <c r="RUO18" s="400"/>
      <c r="RUP18" s="400"/>
      <c r="RUQ18" s="400"/>
      <c r="RUR18" s="400"/>
      <c r="RUS18" s="400"/>
      <c r="RUT18" s="400"/>
      <c r="RUU18" s="400"/>
      <c r="RUV18" s="400"/>
      <c r="RUW18" s="400"/>
      <c r="RUX18" s="400"/>
      <c r="RUY18" s="400"/>
      <c r="RUZ18" s="400"/>
      <c r="RVA18" s="400"/>
      <c r="RVB18" s="400"/>
      <c r="RVC18" s="400"/>
      <c r="RVD18" s="400"/>
      <c r="RVE18" s="400"/>
      <c r="RVF18" s="400"/>
      <c r="RVG18" s="400"/>
      <c r="RVH18" s="400"/>
      <c r="RVI18" s="400"/>
      <c r="RVJ18" s="400"/>
      <c r="RVK18" s="400"/>
      <c r="RVL18" s="400"/>
      <c r="RVM18" s="400"/>
      <c r="RVN18" s="400"/>
      <c r="RVO18" s="400"/>
      <c r="RVP18" s="400"/>
      <c r="RVQ18" s="400"/>
      <c r="RVR18" s="400"/>
      <c r="RVS18" s="400"/>
      <c r="RVT18" s="400"/>
      <c r="RVU18" s="400"/>
      <c r="RVV18" s="400"/>
      <c r="RVW18" s="400"/>
      <c r="RVX18" s="400"/>
      <c r="RVY18" s="400"/>
      <c r="RVZ18" s="400"/>
      <c r="RWA18" s="400"/>
      <c r="RWB18" s="400"/>
      <c r="RWC18" s="400"/>
      <c r="RWD18" s="400"/>
      <c r="RWE18" s="400"/>
      <c r="RWF18" s="400"/>
      <c r="RWG18" s="400"/>
      <c r="RWH18" s="400"/>
      <c r="RWI18" s="400"/>
      <c r="RWJ18" s="400"/>
      <c r="RWK18" s="400"/>
      <c r="RWL18" s="400"/>
      <c r="RWM18" s="400"/>
      <c r="RWN18" s="400"/>
      <c r="RWO18" s="400"/>
      <c r="RWP18" s="400"/>
      <c r="RWQ18" s="400"/>
      <c r="RWR18" s="400"/>
      <c r="RWS18" s="400"/>
      <c r="RWT18" s="400"/>
      <c r="RWU18" s="400"/>
      <c r="RWV18" s="400"/>
      <c r="RWW18" s="400"/>
      <c r="RWX18" s="400"/>
      <c r="RWY18" s="400"/>
      <c r="RWZ18" s="400"/>
      <c r="RXA18" s="400"/>
      <c r="RXB18" s="400"/>
      <c r="RXC18" s="400"/>
      <c r="RXD18" s="400"/>
      <c r="RXE18" s="400"/>
      <c r="RXF18" s="400"/>
      <c r="RXG18" s="400"/>
      <c r="RXH18" s="400"/>
      <c r="RXI18" s="400"/>
      <c r="RXJ18" s="400"/>
      <c r="RXK18" s="400"/>
      <c r="RXL18" s="400"/>
      <c r="RXM18" s="400"/>
      <c r="RXN18" s="400"/>
      <c r="RXO18" s="400"/>
      <c r="RXP18" s="400"/>
      <c r="RXQ18" s="400"/>
      <c r="RXR18" s="400"/>
      <c r="RXS18" s="400"/>
      <c r="RXT18" s="400"/>
      <c r="RXU18" s="400"/>
      <c r="RXV18" s="400"/>
      <c r="RXW18" s="400"/>
      <c r="RXX18" s="400"/>
      <c r="RXY18" s="400"/>
      <c r="RXZ18" s="400"/>
      <c r="RYA18" s="400"/>
      <c r="RYB18" s="400"/>
      <c r="RYC18" s="400"/>
      <c r="RYD18" s="400"/>
      <c r="RYE18" s="400"/>
      <c r="RYF18" s="400"/>
      <c r="RYG18" s="400"/>
      <c r="RYH18" s="400"/>
      <c r="RYI18" s="400"/>
      <c r="RYJ18" s="400"/>
      <c r="RYK18" s="400"/>
      <c r="RYL18" s="400"/>
      <c r="RYM18" s="400"/>
      <c r="RYN18" s="400"/>
      <c r="RYO18" s="400"/>
      <c r="RYP18" s="400"/>
      <c r="RYQ18" s="400"/>
      <c r="RYR18" s="400"/>
      <c r="RYS18" s="400"/>
      <c r="RYT18" s="400"/>
      <c r="RYU18" s="400"/>
      <c r="RYV18" s="400"/>
      <c r="RYW18" s="400"/>
      <c r="RYX18" s="400"/>
      <c r="RYY18" s="400"/>
      <c r="RYZ18" s="400"/>
      <c r="RZA18" s="400"/>
      <c r="RZB18" s="400"/>
      <c r="RZC18" s="400"/>
      <c r="RZD18" s="400"/>
      <c r="RZE18" s="400"/>
      <c r="RZF18" s="400"/>
      <c r="RZG18" s="400"/>
      <c r="RZH18" s="400"/>
      <c r="RZI18" s="400"/>
      <c r="RZJ18" s="400"/>
      <c r="RZK18" s="400"/>
      <c r="RZL18" s="400"/>
      <c r="RZM18" s="400"/>
      <c r="RZN18" s="400"/>
      <c r="RZO18" s="400"/>
      <c r="RZP18" s="400"/>
      <c r="RZQ18" s="400"/>
      <c r="RZR18" s="400"/>
      <c r="RZS18" s="400"/>
      <c r="RZT18" s="400"/>
      <c r="RZU18" s="400"/>
      <c r="RZV18" s="400"/>
      <c r="RZW18" s="400"/>
      <c r="RZX18" s="400"/>
      <c r="RZY18" s="400"/>
      <c r="RZZ18" s="400"/>
      <c r="SAA18" s="400"/>
      <c r="SAB18" s="400"/>
      <c r="SAC18" s="400"/>
      <c r="SAD18" s="400"/>
      <c r="SAE18" s="400"/>
      <c r="SAF18" s="400"/>
      <c r="SAG18" s="400"/>
      <c r="SAH18" s="400"/>
      <c r="SAI18" s="400"/>
      <c r="SAJ18" s="400"/>
      <c r="SAK18" s="400"/>
      <c r="SAL18" s="400"/>
      <c r="SAM18" s="400"/>
      <c r="SAN18" s="400"/>
      <c r="SAO18" s="400"/>
      <c r="SAP18" s="400"/>
      <c r="SAQ18" s="400"/>
      <c r="SAR18" s="400"/>
      <c r="SAS18" s="400"/>
      <c r="SAT18" s="400"/>
      <c r="SAU18" s="400"/>
      <c r="SAV18" s="400"/>
      <c r="SAW18" s="400"/>
      <c r="SAX18" s="400"/>
      <c r="SAY18" s="400"/>
      <c r="SAZ18" s="400"/>
      <c r="SBA18" s="400"/>
      <c r="SBB18" s="400"/>
      <c r="SBC18" s="400"/>
      <c r="SBD18" s="400"/>
      <c r="SBE18" s="400"/>
      <c r="SBF18" s="400"/>
      <c r="SBG18" s="400"/>
      <c r="SBH18" s="400"/>
      <c r="SBI18" s="400"/>
      <c r="SBJ18" s="400"/>
      <c r="SBK18" s="400"/>
      <c r="SBL18" s="400"/>
      <c r="SBM18" s="400"/>
      <c r="SBN18" s="400"/>
      <c r="SBO18" s="400"/>
      <c r="SBP18" s="400"/>
      <c r="SBQ18" s="400"/>
      <c r="SBR18" s="400"/>
      <c r="SBS18" s="400"/>
      <c r="SBT18" s="400"/>
      <c r="SBU18" s="400"/>
      <c r="SBV18" s="400"/>
      <c r="SBW18" s="400"/>
      <c r="SBX18" s="400"/>
      <c r="SBY18" s="400"/>
      <c r="SBZ18" s="400"/>
      <c r="SCA18" s="400"/>
      <c r="SCB18" s="400"/>
      <c r="SCC18" s="400"/>
      <c r="SCD18" s="400"/>
      <c r="SCE18" s="400"/>
      <c r="SCF18" s="400"/>
      <c r="SCG18" s="400"/>
      <c r="SCH18" s="400"/>
      <c r="SCI18" s="400"/>
      <c r="SCJ18" s="400"/>
      <c r="SCK18" s="400"/>
      <c r="SCL18" s="400"/>
      <c r="SCM18" s="400"/>
      <c r="SCN18" s="400"/>
      <c r="SCO18" s="400"/>
      <c r="SCP18" s="400"/>
      <c r="SCQ18" s="400"/>
      <c r="SCR18" s="400"/>
      <c r="SCS18" s="400"/>
      <c r="SCT18" s="400"/>
      <c r="SCU18" s="400"/>
      <c r="SCV18" s="400"/>
      <c r="SCW18" s="400"/>
      <c r="SCX18" s="400"/>
      <c r="SCY18" s="400"/>
      <c r="SCZ18" s="400"/>
      <c r="SDA18" s="400"/>
      <c r="SDB18" s="400"/>
      <c r="SDC18" s="400"/>
      <c r="SDD18" s="400"/>
      <c r="SDE18" s="400"/>
      <c r="SDF18" s="400"/>
      <c r="SDG18" s="400"/>
      <c r="SDH18" s="400"/>
      <c r="SDI18" s="400"/>
      <c r="SDJ18" s="400"/>
      <c r="SDK18" s="400"/>
      <c r="SDL18" s="400"/>
      <c r="SDM18" s="400"/>
      <c r="SDN18" s="400"/>
      <c r="SDO18" s="400"/>
      <c r="SDP18" s="400"/>
      <c r="SDQ18" s="400"/>
      <c r="SDR18" s="400"/>
      <c r="SDS18" s="400"/>
      <c r="SDT18" s="400"/>
      <c r="SDU18" s="400"/>
      <c r="SDV18" s="400"/>
      <c r="SDW18" s="400"/>
      <c r="SDX18" s="400"/>
      <c r="SDY18" s="400"/>
      <c r="SDZ18" s="400"/>
      <c r="SEA18" s="400"/>
      <c r="SEB18" s="400"/>
      <c r="SEC18" s="400"/>
      <c r="SED18" s="400"/>
      <c r="SEE18" s="400"/>
      <c r="SEF18" s="400"/>
      <c r="SEG18" s="400"/>
      <c r="SEH18" s="400"/>
      <c r="SEI18" s="400"/>
      <c r="SEJ18" s="400"/>
      <c r="SEK18" s="400"/>
      <c r="SEL18" s="400"/>
      <c r="SEM18" s="400"/>
      <c r="SEN18" s="400"/>
      <c r="SEO18" s="400"/>
      <c r="SEP18" s="400"/>
      <c r="SEQ18" s="400"/>
      <c r="SER18" s="400"/>
      <c r="SES18" s="400"/>
      <c r="SET18" s="400"/>
      <c r="SEU18" s="400"/>
      <c r="SEV18" s="400"/>
      <c r="SEW18" s="400"/>
      <c r="SEX18" s="400"/>
      <c r="SEY18" s="400"/>
      <c r="SEZ18" s="400"/>
      <c r="SFA18" s="400"/>
      <c r="SFB18" s="400"/>
      <c r="SFC18" s="400"/>
      <c r="SFD18" s="400"/>
      <c r="SFE18" s="400"/>
      <c r="SFF18" s="400"/>
      <c r="SFG18" s="400"/>
      <c r="SFH18" s="400"/>
      <c r="SFI18" s="400"/>
      <c r="SFJ18" s="400"/>
      <c r="SFK18" s="400"/>
      <c r="SFL18" s="400"/>
      <c r="SFM18" s="400"/>
      <c r="SFN18" s="400"/>
      <c r="SFO18" s="400"/>
      <c r="SFP18" s="400"/>
      <c r="SFQ18" s="400"/>
      <c r="SFR18" s="400"/>
      <c r="SFS18" s="400"/>
      <c r="SFT18" s="400"/>
      <c r="SFU18" s="400"/>
      <c r="SFV18" s="400"/>
      <c r="SFW18" s="400"/>
      <c r="SFX18" s="400"/>
      <c r="SFY18" s="400"/>
      <c r="SFZ18" s="400"/>
      <c r="SGA18" s="400"/>
      <c r="SGB18" s="400"/>
      <c r="SGC18" s="400"/>
      <c r="SGD18" s="400"/>
      <c r="SGE18" s="400"/>
      <c r="SGF18" s="400"/>
      <c r="SGG18" s="400"/>
      <c r="SGH18" s="400"/>
      <c r="SGI18" s="400"/>
      <c r="SGJ18" s="400"/>
      <c r="SGK18" s="400"/>
      <c r="SGL18" s="400"/>
      <c r="SGM18" s="400"/>
      <c r="SGN18" s="400"/>
      <c r="SGO18" s="400"/>
      <c r="SGP18" s="400"/>
      <c r="SGQ18" s="400"/>
      <c r="SGR18" s="400"/>
      <c r="SGS18" s="400"/>
      <c r="SGT18" s="400"/>
      <c r="SGU18" s="400"/>
      <c r="SGV18" s="400"/>
      <c r="SGW18" s="400"/>
      <c r="SGX18" s="400"/>
      <c r="SGY18" s="400"/>
      <c r="SGZ18" s="400"/>
      <c r="SHA18" s="400"/>
      <c r="SHB18" s="400"/>
      <c r="SHC18" s="400"/>
      <c r="SHD18" s="400"/>
      <c r="SHE18" s="400"/>
      <c r="SHF18" s="400"/>
      <c r="SHG18" s="400"/>
      <c r="SHH18" s="400"/>
      <c r="SHI18" s="400"/>
      <c r="SHJ18" s="400"/>
      <c r="SHK18" s="400"/>
      <c r="SHL18" s="400"/>
      <c r="SHM18" s="400"/>
      <c r="SHN18" s="400"/>
      <c r="SHO18" s="400"/>
      <c r="SHP18" s="400"/>
      <c r="SHQ18" s="400"/>
      <c r="SHR18" s="400"/>
      <c r="SHS18" s="400"/>
      <c r="SHT18" s="400"/>
      <c r="SHU18" s="400"/>
      <c r="SHV18" s="400"/>
      <c r="SHW18" s="400"/>
      <c r="SHX18" s="400"/>
      <c r="SHY18" s="400"/>
      <c r="SHZ18" s="400"/>
      <c r="SIA18" s="400"/>
      <c r="SIB18" s="400"/>
      <c r="SIC18" s="400"/>
      <c r="SID18" s="400"/>
      <c r="SIE18" s="400"/>
      <c r="SIF18" s="400"/>
      <c r="SIG18" s="400"/>
      <c r="SIH18" s="400"/>
      <c r="SII18" s="400"/>
      <c r="SIJ18" s="400"/>
      <c r="SIK18" s="400"/>
      <c r="SIL18" s="400"/>
      <c r="SIM18" s="400"/>
      <c r="SIN18" s="400"/>
      <c r="SIO18" s="400"/>
      <c r="SIP18" s="400"/>
      <c r="SIQ18" s="400"/>
      <c r="SIR18" s="400"/>
      <c r="SIS18" s="400"/>
      <c r="SIT18" s="400"/>
      <c r="SIU18" s="400"/>
      <c r="SIV18" s="400"/>
      <c r="SIW18" s="400"/>
      <c r="SIX18" s="400"/>
      <c r="SIY18" s="400"/>
      <c r="SIZ18" s="400"/>
      <c r="SJA18" s="400"/>
      <c r="SJB18" s="400"/>
      <c r="SJC18" s="400"/>
      <c r="SJD18" s="400"/>
      <c r="SJE18" s="400"/>
      <c r="SJF18" s="400"/>
      <c r="SJG18" s="400"/>
      <c r="SJH18" s="400"/>
      <c r="SJI18" s="400"/>
      <c r="SJJ18" s="400"/>
      <c r="SJK18" s="400"/>
      <c r="SJL18" s="400"/>
      <c r="SJM18" s="400"/>
      <c r="SJN18" s="400"/>
      <c r="SJO18" s="400"/>
      <c r="SJP18" s="400"/>
      <c r="SJQ18" s="400"/>
      <c r="SJR18" s="400"/>
      <c r="SJS18" s="400"/>
      <c r="SJT18" s="400"/>
      <c r="SJU18" s="400"/>
      <c r="SJV18" s="400"/>
      <c r="SJW18" s="400"/>
      <c r="SJX18" s="400"/>
      <c r="SJY18" s="400"/>
      <c r="SJZ18" s="400"/>
      <c r="SKA18" s="400"/>
      <c r="SKB18" s="400"/>
      <c r="SKC18" s="400"/>
      <c r="SKD18" s="400"/>
      <c r="SKE18" s="400"/>
      <c r="SKF18" s="400"/>
      <c r="SKG18" s="400"/>
      <c r="SKH18" s="400"/>
      <c r="SKI18" s="400"/>
      <c r="SKJ18" s="400"/>
      <c r="SKK18" s="400"/>
      <c r="SKL18" s="400"/>
      <c r="SKM18" s="400"/>
      <c r="SKN18" s="400"/>
      <c r="SKO18" s="400"/>
      <c r="SKP18" s="400"/>
      <c r="SKQ18" s="400"/>
      <c r="SKR18" s="400"/>
      <c r="SKS18" s="400"/>
      <c r="SKT18" s="400"/>
      <c r="SKU18" s="400"/>
      <c r="SKV18" s="400"/>
      <c r="SKW18" s="400"/>
      <c r="SKX18" s="400"/>
      <c r="SKY18" s="400"/>
      <c r="SKZ18" s="400"/>
      <c r="SLA18" s="400"/>
      <c r="SLB18" s="400"/>
      <c r="SLC18" s="400"/>
      <c r="SLD18" s="400"/>
      <c r="SLE18" s="400"/>
      <c r="SLF18" s="400"/>
      <c r="SLG18" s="400"/>
      <c r="SLH18" s="400"/>
      <c r="SLI18" s="400"/>
      <c r="SLJ18" s="400"/>
      <c r="SLK18" s="400"/>
      <c r="SLL18" s="400"/>
      <c r="SLM18" s="400"/>
      <c r="SLN18" s="400"/>
      <c r="SLO18" s="400"/>
      <c r="SLP18" s="400"/>
      <c r="SLQ18" s="400"/>
      <c r="SLR18" s="400"/>
      <c r="SLS18" s="400"/>
      <c r="SLT18" s="400"/>
      <c r="SLU18" s="400"/>
      <c r="SLV18" s="400"/>
      <c r="SLW18" s="400"/>
      <c r="SLX18" s="400"/>
      <c r="SLY18" s="400"/>
      <c r="SLZ18" s="400"/>
      <c r="SMA18" s="400"/>
      <c r="SMB18" s="400"/>
      <c r="SMC18" s="400"/>
      <c r="SMD18" s="400"/>
      <c r="SME18" s="400"/>
      <c r="SMF18" s="400"/>
      <c r="SMG18" s="400"/>
      <c r="SMH18" s="400"/>
      <c r="SMI18" s="400"/>
      <c r="SMJ18" s="400"/>
      <c r="SMK18" s="400"/>
      <c r="SML18" s="400"/>
      <c r="SMM18" s="400"/>
      <c r="SMN18" s="400"/>
      <c r="SMO18" s="400"/>
      <c r="SMP18" s="400"/>
      <c r="SMQ18" s="400"/>
      <c r="SMR18" s="400"/>
      <c r="SMS18" s="400"/>
      <c r="SMT18" s="400"/>
      <c r="SMU18" s="400"/>
      <c r="SMV18" s="400"/>
      <c r="SMW18" s="400"/>
      <c r="SMX18" s="400"/>
      <c r="SMY18" s="400"/>
      <c r="SMZ18" s="400"/>
      <c r="SNA18" s="400"/>
      <c r="SNB18" s="400"/>
      <c r="SNC18" s="400"/>
      <c r="SND18" s="400"/>
      <c r="SNE18" s="400"/>
      <c r="SNF18" s="400"/>
      <c r="SNG18" s="400"/>
      <c r="SNH18" s="400"/>
      <c r="SNI18" s="400"/>
      <c r="SNJ18" s="400"/>
      <c r="SNK18" s="400"/>
      <c r="SNL18" s="400"/>
      <c r="SNM18" s="400"/>
      <c r="SNN18" s="400"/>
      <c r="SNO18" s="400"/>
      <c r="SNP18" s="400"/>
      <c r="SNQ18" s="400"/>
      <c r="SNR18" s="400"/>
      <c r="SNS18" s="400"/>
      <c r="SNT18" s="400"/>
      <c r="SNU18" s="400"/>
      <c r="SNV18" s="400"/>
      <c r="SNW18" s="400"/>
      <c r="SNX18" s="400"/>
      <c r="SNY18" s="400"/>
      <c r="SNZ18" s="400"/>
      <c r="SOA18" s="400"/>
      <c r="SOB18" s="400"/>
      <c r="SOC18" s="400"/>
      <c r="SOD18" s="400"/>
      <c r="SOE18" s="400"/>
      <c r="SOF18" s="400"/>
      <c r="SOG18" s="400"/>
      <c r="SOH18" s="400"/>
      <c r="SOI18" s="400"/>
      <c r="SOJ18" s="400"/>
      <c r="SOK18" s="400"/>
      <c r="SOL18" s="400"/>
      <c r="SOM18" s="400"/>
      <c r="SON18" s="400"/>
      <c r="SOO18" s="400"/>
      <c r="SOP18" s="400"/>
      <c r="SOQ18" s="400"/>
      <c r="SOR18" s="400"/>
      <c r="SOS18" s="400"/>
      <c r="SOT18" s="400"/>
      <c r="SOU18" s="400"/>
      <c r="SOV18" s="400"/>
      <c r="SOW18" s="400"/>
      <c r="SOX18" s="400"/>
      <c r="SOY18" s="400"/>
      <c r="SOZ18" s="400"/>
      <c r="SPA18" s="400"/>
      <c r="SPB18" s="400"/>
      <c r="SPC18" s="400"/>
      <c r="SPD18" s="400"/>
      <c r="SPE18" s="400"/>
      <c r="SPF18" s="400"/>
      <c r="SPG18" s="400"/>
      <c r="SPH18" s="400"/>
      <c r="SPI18" s="400"/>
      <c r="SPJ18" s="400"/>
      <c r="SPK18" s="400"/>
      <c r="SPL18" s="400"/>
      <c r="SPM18" s="400"/>
      <c r="SPN18" s="400"/>
      <c r="SPO18" s="400"/>
      <c r="SPP18" s="400"/>
      <c r="SPQ18" s="400"/>
      <c r="SPR18" s="400"/>
      <c r="SPS18" s="400"/>
      <c r="SPT18" s="400"/>
      <c r="SPU18" s="400"/>
      <c r="SPV18" s="400"/>
      <c r="SPW18" s="400"/>
      <c r="SPX18" s="400"/>
      <c r="SPY18" s="400"/>
      <c r="SPZ18" s="400"/>
      <c r="SQA18" s="400"/>
      <c r="SQB18" s="400"/>
      <c r="SQC18" s="400"/>
      <c r="SQD18" s="400"/>
      <c r="SQE18" s="400"/>
      <c r="SQF18" s="400"/>
      <c r="SQG18" s="400"/>
      <c r="SQH18" s="400"/>
      <c r="SQI18" s="400"/>
      <c r="SQJ18" s="400"/>
      <c r="SQK18" s="400"/>
      <c r="SQL18" s="400"/>
      <c r="SQM18" s="400"/>
      <c r="SQN18" s="400"/>
      <c r="SQO18" s="400"/>
      <c r="SQP18" s="400"/>
      <c r="SQQ18" s="400"/>
      <c r="SQR18" s="400"/>
      <c r="SQS18" s="400"/>
      <c r="SQT18" s="400"/>
      <c r="SQU18" s="400"/>
      <c r="SQV18" s="400"/>
      <c r="SQW18" s="400"/>
      <c r="SQX18" s="400"/>
      <c r="SQY18" s="400"/>
      <c r="SQZ18" s="400"/>
      <c r="SRA18" s="400"/>
      <c r="SRB18" s="400"/>
      <c r="SRC18" s="400"/>
      <c r="SRD18" s="400"/>
      <c r="SRE18" s="400"/>
      <c r="SRF18" s="400"/>
      <c r="SRG18" s="400"/>
      <c r="SRH18" s="400"/>
      <c r="SRI18" s="400"/>
      <c r="SRJ18" s="400"/>
      <c r="SRK18" s="400"/>
      <c r="SRL18" s="400"/>
      <c r="SRM18" s="400"/>
      <c r="SRN18" s="400"/>
      <c r="SRO18" s="400"/>
      <c r="SRP18" s="400"/>
      <c r="SRQ18" s="400"/>
      <c r="SRR18" s="400"/>
      <c r="SRS18" s="400"/>
      <c r="SRT18" s="400"/>
      <c r="SRU18" s="400"/>
      <c r="SRV18" s="400"/>
      <c r="SRW18" s="400"/>
      <c r="SRX18" s="400"/>
      <c r="SRY18" s="400"/>
      <c r="SRZ18" s="400"/>
      <c r="SSA18" s="400"/>
      <c r="SSB18" s="400"/>
      <c r="SSC18" s="400"/>
      <c r="SSD18" s="400"/>
      <c r="SSE18" s="400"/>
      <c r="SSF18" s="400"/>
      <c r="SSG18" s="400"/>
      <c r="SSH18" s="400"/>
      <c r="SSI18" s="400"/>
      <c r="SSJ18" s="400"/>
      <c r="SSK18" s="400"/>
      <c r="SSL18" s="400"/>
      <c r="SSM18" s="400"/>
      <c r="SSN18" s="400"/>
      <c r="SSO18" s="400"/>
      <c r="SSP18" s="400"/>
      <c r="SSQ18" s="400"/>
      <c r="SSR18" s="400"/>
      <c r="SSS18" s="400"/>
      <c r="SST18" s="400"/>
      <c r="SSU18" s="400"/>
      <c r="SSV18" s="400"/>
      <c r="SSW18" s="400"/>
      <c r="SSX18" s="400"/>
      <c r="SSY18" s="400"/>
      <c r="SSZ18" s="400"/>
      <c r="STA18" s="400"/>
      <c r="STB18" s="400"/>
      <c r="STC18" s="400"/>
      <c r="STD18" s="400"/>
      <c r="STE18" s="400"/>
      <c r="STF18" s="400"/>
      <c r="STG18" s="400"/>
      <c r="STH18" s="400"/>
      <c r="STI18" s="400"/>
      <c r="STJ18" s="400"/>
      <c r="STK18" s="400"/>
      <c r="STL18" s="400"/>
      <c r="STM18" s="400"/>
      <c r="STN18" s="400"/>
      <c r="STO18" s="400"/>
      <c r="STP18" s="400"/>
      <c r="STQ18" s="400"/>
      <c r="STR18" s="400"/>
      <c r="STS18" s="400"/>
      <c r="STT18" s="400"/>
      <c r="STU18" s="400"/>
      <c r="STV18" s="400"/>
      <c r="STW18" s="400"/>
      <c r="STX18" s="400"/>
      <c r="STY18" s="400"/>
      <c r="STZ18" s="400"/>
      <c r="SUA18" s="400"/>
      <c r="SUB18" s="400"/>
      <c r="SUC18" s="400"/>
      <c r="SUD18" s="400"/>
      <c r="SUE18" s="400"/>
      <c r="SUF18" s="400"/>
      <c r="SUG18" s="400"/>
      <c r="SUH18" s="400"/>
      <c r="SUI18" s="400"/>
      <c r="SUJ18" s="400"/>
      <c r="SUK18" s="400"/>
      <c r="SUL18" s="400"/>
      <c r="SUM18" s="400"/>
      <c r="SUN18" s="400"/>
      <c r="SUO18" s="400"/>
      <c r="SUP18" s="400"/>
      <c r="SUQ18" s="400"/>
      <c r="SUR18" s="400"/>
      <c r="SUS18" s="400"/>
      <c r="SUT18" s="400"/>
      <c r="SUU18" s="400"/>
      <c r="SUV18" s="400"/>
      <c r="SUW18" s="400"/>
      <c r="SUX18" s="400"/>
      <c r="SUY18" s="400"/>
      <c r="SUZ18" s="400"/>
      <c r="SVA18" s="400"/>
      <c r="SVB18" s="400"/>
      <c r="SVC18" s="400"/>
      <c r="SVD18" s="400"/>
      <c r="SVE18" s="400"/>
      <c r="SVF18" s="400"/>
      <c r="SVG18" s="400"/>
      <c r="SVH18" s="400"/>
      <c r="SVI18" s="400"/>
      <c r="SVJ18" s="400"/>
      <c r="SVK18" s="400"/>
      <c r="SVL18" s="400"/>
      <c r="SVM18" s="400"/>
      <c r="SVN18" s="400"/>
      <c r="SVO18" s="400"/>
      <c r="SVP18" s="400"/>
      <c r="SVQ18" s="400"/>
      <c r="SVR18" s="400"/>
      <c r="SVS18" s="400"/>
      <c r="SVT18" s="400"/>
      <c r="SVU18" s="400"/>
      <c r="SVV18" s="400"/>
      <c r="SVW18" s="400"/>
      <c r="SVX18" s="400"/>
      <c r="SVY18" s="400"/>
      <c r="SVZ18" s="400"/>
      <c r="SWA18" s="400"/>
      <c r="SWB18" s="400"/>
      <c r="SWC18" s="400"/>
      <c r="SWD18" s="400"/>
      <c r="SWE18" s="400"/>
      <c r="SWF18" s="400"/>
      <c r="SWG18" s="400"/>
      <c r="SWH18" s="400"/>
      <c r="SWI18" s="400"/>
      <c r="SWJ18" s="400"/>
      <c r="SWK18" s="400"/>
      <c r="SWL18" s="400"/>
      <c r="SWM18" s="400"/>
      <c r="SWN18" s="400"/>
      <c r="SWO18" s="400"/>
      <c r="SWP18" s="400"/>
      <c r="SWQ18" s="400"/>
      <c r="SWR18" s="400"/>
      <c r="SWS18" s="400"/>
      <c r="SWT18" s="400"/>
      <c r="SWU18" s="400"/>
      <c r="SWV18" s="400"/>
      <c r="SWW18" s="400"/>
      <c r="SWX18" s="400"/>
      <c r="SWY18" s="400"/>
      <c r="SWZ18" s="400"/>
      <c r="SXA18" s="400"/>
      <c r="SXB18" s="400"/>
      <c r="SXC18" s="400"/>
      <c r="SXD18" s="400"/>
      <c r="SXE18" s="400"/>
      <c r="SXF18" s="400"/>
      <c r="SXG18" s="400"/>
      <c r="SXH18" s="400"/>
      <c r="SXI18" s="400"/>
      <c r="SXJ18" s="400"/>
      <c r="SXK18" s="400"/>
      <c r="SXL18" s="400"/>
      <c r="SXM18" s="400"/>
      <c r="SXN18" s="400"/>
      <c r="SXO18" s="400"/>
      <c r="SXP18" s="400"/>
      <c r="SXQ18" s="400"/>
      <c r="SXR18" s="400"/>
      <c r="SXS18" s="400"/>
      <c r="SXT18" s="400"/>
      <c r="SXU18" s="400"/>
      <c r="SXV18" s="400"/>
      <c r="SXW18" s="400"/>
      <c r="SXX18" s="400"/>
      <c r="SXY18" s="400"/>
      <c r="SXZ18" s="400"/>
      <c r="SYA18" s="400"/>
      <c r="SYB18" s="400"/>
      <c r="SYC18" s="400"/>
      <c r="SYD18" s="400"/>
      <c r="SYE18" s="400"/>
      <c r="SYF18" s="400"/>
      <c r="SYG18" s="400"/>
      <c r="SYH18" s="400"/>
      <c r="SYI18" s="400"/>
      <c r="SYJ18" s="400"/>
      <c r="SYK18" s="400"/>
      <c r="SYL18" s="400"/>
      <c r="SYM18" s="400"/>
      <c r="SYN18" s="400"/>
      <c r="SYO18" s="400"/>
      <c r="SYP18" s="400"/>
      <c r="SYQ18" s="400"/>
      <c r="SYR18" s="400"/>
      <c r="SYS18" s="400"/>
      <c r="SYT18" s="400"/>
      <c r="SYU18" s="400"/>
      <c r="SYV18" s="400"/>
      <c r="SYW18" s="400"/>
      <c r="SYX18" s="400"/>
      <c r="SYY18" s="400"/>
      <c r="SYZ18" s="400"/>
      <c r="SZA18" s="400"/>
      <c r="SZB18" s="400"/>
      <c r="SZC18" s="400"/>
      <c r="SZD18" s="400"/>
      <c r="SZE18" s="400"/>
      <c r="SZF18" s="400"/>
      <c r="SZG18" s="400"/>
      <c r="SZH18" s="400"/>
      <c r="SZI18" s="400"/>
      <c r="SZJ18" s="400"/>
      <c r="SZK18" s="400"/>
      <c r="SZL18" s="400"/>
      <c r="SZM18" s="400"/>
      <c r="SZN18" s="400"/>
      <c r="SZO18" s="400"/>
      <c r="SZP18" s="400"/>
      <c r="SZQ18" s="400"/>
      <c r="SZR18" s="400"/>
      <c r="SZS18" s="400"/>
      <c r="SZT18" s="400"/>
      <c r="SZU18" s="400"/>
      <c r="SZV18" s="400"/>
      <c r="SZW18" s="400"/>
      <c r="SZX18" s="400"/>
      <c r="SZY18" s="400"/>
      <c r="SZZ18" s="400"/>
      <c r="TAA18" s="400"/>
      <c r="TAB18" s="400"/>
      <c r="TAC18" s="400"/>
      <c r="TAD18" s="400"/>
      <c r="TAE18" s="400"/>
      <c r="TAF18" s="400"/>
      <c r="TAG18" s="400"/>
      <c r="TAH18" s="400"/>
      <c r="TAI18" s="400"/>
      <c r="TAJ18" s="400"/>
      <c r="TAK18" s="400"/>
      <c r="TAL18" s="400"/>
      <c r="TAM18" s="400"/>
      <c r="TAN18" s="400"/>
      <c r="TAO18" s="400"/>
      <c r="TAP18" s="400"/>
      <c r="TAQ18" s="400"/>
      <c r="TAR18" s="400"/>
      <c r="TAS18" s="400"/>
      <c r="TAT18" s="400"/>
      <c r="TAU18" s="400"/>
      <c r="TAV18" s="400"/>
      <c r="TAW18" s="400"/>
      <c r="TAX18" s="400"/>
      <c r="TAY18" s="400"/>
      <c r="TAZ18" s="400"/>
      <c r="TBA18" s="400"/>
      <c r="TBB18" s="400"/>
      <c r="TBC18" s="400"/>
      <c r="TBD18" s="400"/>
      <c r="TBE18" s="400"/>
      <c r="TBF18" s="400"/>
      <c r="TBG18" s="400"/>
      <c r="TBH18" s="400"/>
      <c r="TBI18" s="400"/>
      <c r="TBJ18" s="400"/>
      <c r="TBK18" s="400"/>
      <c r="TBL18" s="400"/>
      <c r="TBM18" s="400"/>
      <c r="TBN18" s="400"/>
      <c r="TBO18" s="400"/>
      <c r="TBP18" s="400"/>
      <c r="TBQ18" s="400"/>
      <c r="TBR18" s="400"/>
      <c r="TBS18" s="400"/>
      <c r="TBT18" s="400"/>
      <c r="TBU18" s="400"/>
      <c r="TBV18" s="400"/>
      <c r="TBW18" s="400"/>
      <c r="TBX18" s="400"/>
      <c r="TBY18" s="400"/>
      <c r="TBZ18" s="400"/>
      <c r="TCA18" s="400"/>
      <c r="TCB18" s="400"/>
      <c r="TCC18" s="400"/>
      <c r="TCD18" s="400"/>
      <c r="TCE18" s="400"/>
      <c r="TCF18" s="400"/>
      <c r="TCG18" s="400"/>
      <c r="TCH18" s="400"/>
      <c r="TCI18" s="400"/>
      <c r="TCJ18" s="400"/>
      <c r="TCK18" s="400"/>
      <c r="TCL18" s="400"/>
      <c r="TCM18" s="400"/>
      <c r="TCN18" s="400"/>
      <c r="TCO18" s="400"/>
      <c r="TCP18" s="400"/>
      <c r="TCQ18" s="400"/>
      <c r="TCR18" s="400"/>
      <c r="TCS18" s="400"/>
      <c r="TCT18" s="400"/>
      <c r="TCU18" s="400"/>
      <c r="TCV18" s="400"/>
      <c r="TCW18" s="400"/>
      <c r="TCX18" s="400"/>
      <c r="TCY18" s="400"/>
      <c r="TCZ18" s="400"/>
      <c r="TDA18" s="400"/>
      <c r="TDB18" s="400"/>
      <c r="TDC18" s="400"/>
      <c r="TDD18" s="400"/>
      <c r="TDE18" s="400"/>
      <c r="TDF18" s="400"/>
      <c r="TDG18" s="400"/>
      <c r="TDH18" s="400"/>
      <c r="TDI18" s="400"/>
      <c r="TDJ18" s="400"/>
      <c r="TDK18" s="400"/>
      <c r="TDL18" s="400"/>
      <c r="TDM18" s="400"/>
      <c r="TDN18" s="400"/>
      <c r="TDO18" s="400"/>
      <c r="TDP18" s="400"/>
      <c r="TDQ18" s="400"/>
      <c r="TDR18" s="400"/>
      <c r="TDS18" s="400"/>
      <c r="TDT18" s="400"/>
      <c r="TDU18" s="400"/>
      <c r="TDV18" s="400"/>
      <c r="TDW18" s="400"/>
      <c r="TDX18" s="400"/>
      <c r="TDY18" s="400"/>
      <c r="TDZ18" s="400"/>
      <c r="TEA18" s="400"/>
      <c r="TEB18" s="400"/>
      <c r="TEC18" s="400"/>
      <c r="TED18" s="400"/>
      <c r="TEE18" s="400"/>
      <c r="TEF18" s="400"/>
      <c r="TEG18" s="400"/>
      <c r="TEH18" s="400"/>
      <c r="TEI18" s="400"/>
      <c r="TEJ18" s="400"/>
      <c r="TEK18" s="400"/>
      <c r="TEL18" s="400"/>
      <c r="TEM18" s="400"/>
      <c r="TEN18" s="400"/>
      <c r="TEO18" s="400"/>
      <c r="TEP18" s="400"/>
      <c r="TEQ18" s="400"/>
      <c r="TER18" s="400"/>
      <c r="TES18" s="400"/>
      <c r="TET18" s="400"/>
      <c r="TEU18" s="400"/>
      <c r="TEV18" s="400"/>
      <c r="TEW18" s="400"/>
      <c r="TEX18" s="400"/>
      <c r="TEY18" s="400"/>
      <c r="TEZ18" s="400"/>
      <c r="TFA18" s="400"/>
      <c r="TFB18" s="400"/>
      <c r="TFC18" s="400"/>
      <c r="TFD18" s="400"/>
      <c r="TFE18" s="400"/>
      <c r="TFF18" s="400"/>
      <c r="TFG18" s="400"/>
      <c r="TFH18" s="400"/>
      <c r="TFI18" s="400"/>
      <c r="TFJ18" s="400"/>
      <c r="TFK18" s="400"/>
      <c r="TFL18" s="400"/>
      <c r="TFM18" s="400"/>
      <c r="TFN18" s="400"/>
      <c r="TFO18" s="400"/>
      <c r="TFP18" s="400"/>
      <c r="TFQ18" s="400"/>
      <c r="TFR18" s="400"/>
      <c r="TFS18" s="400"/>
      <c r="TFT18" s="400"/>
      <c r="TFU18" s="400"/>
      <c r="TFV18" s="400"/>
      <c r="TFW18" s="400"/>
      <c r="TFX18" s="400"/>
      <c r="TFY18" s="400"/>
      <c r="TFZ18" s="400"/>
      <c r="TGA18" s="400"/>
      <c r="TGB18" s="400"/>
      <c r="TGC18" s="400"/>
      <c r="TGD18" s="400"/>
      <c r="TGE18" s="400"/>
      <c r="TGF18" s="400"/>
      <c r="TGG18" s="400"/>
      <c r="TGH18" s="400"/>
      <c r="TGI18" s="400"/>
      <c r="TGJ18" s="400"/>
      <c r="TGK18" s="400"/>
      <c r="TGL18" s="400"/>
      <c r="TGM18" s="400"/>
      <c r="TGN18" s="400"/>
      <c r="TGO18" s="400"/>
      <c r="TGP18" s="400"/>
      <c r="TGQ18" s="400"/>
      <c r="TGR18" s="400"/>
      <c r="TGS18" s="400"/>
      <c r="TGT18" s="400"/>
      <c r="TGU18" s="400"/>
      <c r="TGV18" s="400"/>
      <c r="TGW18" s="400"/>
      <c r="TGX18" s="400"/>
      <c r="TGY18" s="400"/>
      <c r="TGZ18" s="400"/>
      <c r="THA18" s="400"/>
      <c r="THB18" s="400"/>
      <c r="THC18" s="400"/>
      <c r="THD18" s="400"/>
      <c r="THE18" s="400"/>
      <c r="THF18" s="400"/>
      <c r="THG18" s="400"/>
      <c r="THH18" s="400"/>
      <c r="THI18" s="400"/>
      <c r="THJ18" s="400"/>
      <c r="THK18" s="400"/>
      <c r="THL18" s="400"/>
      <c r="THM18" s="400"/>
      <c r="THN18" s="400"/>
      <c r="THO18" s="400"/>
      <c r="THP18" s="400"/>
      <c r="THQ18" s="400"/>
      <c r="THR18" s="400"/>
      <c r="THS18" s="400"/>
      <c r="THT18" s="400"/>
      <c r="THU18" s="400"/>
      <c r="THV18" s="400"/>
      <c r="THW18" s="400"/>
      <c r="THX18" s="400"/>
      <c r="THY18" s="400"/>
      <c r="THZ18" s="400"/>
      <c r="TIA18" s="400"/>
      <c r="TIB18" s="400"/>
      <c r="TIC18" s="400"/>
      <c r="TID18" s="400"/>
      <c r="TIE18" s="400"/>
      <c r="TIF18" s="400"/>
      <c r="TIG18" s="400"/>
      <c r="TIH18" s="400"/>
      <c r="TII18" s="400"/>
      <c r="TIJ18" s="400"/>
      <c r="TIK18" s="400"/>
      <c r="TIL18" s="400"/>
      <c r="TIM18" s="400"/>
      <c r="TIN18" s="400"/>
      <c r="TIO18" s="400"/>
      <c r="TIP18" s="400"/>
      <c r="TIQ18" s="400"/>
      <c r="TIR18" s="400"/>
      <c r="TIS18" s="400"/>
      <c r="TIT18" s="400"/>
      <c r="TIU18" s="400"/>
      <c r="TIV18" s="400"/>
      <c r="TIW18" s="400"/>
      <c r="TIX18" s="400"/>
      <c r="TIY18" s="400"/>
      <c r="TIZ18" s="400"/>
      <c r="TJA18" s="400"/>
      <c r="TJB18" s="400"/>
      <c r="TJC18" s="400"/>
      <c r="TJD18" s="400"/>
      <c r="TJE18" s="400"/>
      <c r="TJF18" s="400"/>
      <c r="TJG18" s="400"/>
      <c r="TJH18" s="400"/>
      <c r="TJI18" s="400"/>
      <c r="TJJ18" s="400"/>
      <c r="TJK18" s="400"/>
      <c r="TJL18" s="400"/>
      <c r="TJM18" s="400"/>
      <c r="TJN18" s="400"/>
      <c r="TJO18" s="400"/>
      <c r="TJP18" s="400"/>
      <c r="TJQ18" s="400"/>
      <c r="TJR18" s="400"/>
      <c r="TJS18" s="400"/>
      <c r="TJT18" s="400"/>
      <c r="TJU18" s="400"/>
      <c r="TJV18" s="400"/>
      <c r="TJW18" s="400"/>
      <c r="TJX18" s="400"/>
      <c r="TJY18" s="400"/>
      <c r="TJZ18" s="400"/>
      <c r="TKA18" s="400"/>
      <c r="TKB18" s="400"/>
      <c r="TKC18" s="400"/>
      <c r="TKD18" s="400"/>
      <c r="TKE18" s="400"/>
      <c r="TKF18" s="400"/>
      <c r="TKG18" s="400"/>
      <c r="TKH18" s="400"/>
      <c r="TKI18" s="400"/>
      <c r="TKJ18" s="400"/>
      <c r="TKK18" s="400"/>
      <c r="TKL18" s="400"/>
      <c r="TKM18" s="400"/>
      <c r="TKN18" s="400"/>
      <c r="TKO18" s="400"/>
      <c r="TKP18" s="400"/>
      <c r="TKQ18" s="400"/>
      <c r="TKR18" s="400"/>
      <c r="TKS18" s="400"/>
      <c r="TKT18" s="400"/>
      <c r="TKU18" s="400"/>
      <c r="TKV18" s="400"/>
      <c r="TKW18" s="400"/>
      <c r="TKX18" s="400"/>
      <c r="TKY18" s="400"/>
      <c r="TKZ18" s="400"/>
      <c r="TLA18" s="400"/>
      <c r="TLB18" s="400"/>
      <c r="TLC18" s="400"/>
      <c r="TLD18" s="400"/>
      <c r="TLE18" s="400"/>
      <c r="TLF18" s="400"/>
      <c r="TLG18" s="400"/>
      <c r="TLH18" s="400"/>
      <c r="TLI18" s="400"/>
      <c r="TLJ18" s="400"/>
      <c r="TLK18" s="400"/>
      <c r="TLL18" s="400"/>
      <c r="TLM18" s="400"/>
      <c r="TLN18" s="400"/>
      <c r="TLO18" s="400"/>
      <c r="TLP18" s="400"/>
      <c r="TLQ18" s="400"/>
      <c r="TLR18" s="400"/>
      <c r="TLS18" s="400"/>
      <c r="TLT18" s="400"/>
      <c r="TLU18" s="400"/>
      <c r="TLV18" s="400"/>
      <c r="TLW18" s="400"/>
      <c r="TLX18" s="400"/>
      <c r="TLY18" s="400"/>
      <c r="TLZ18" s="400"/>
      <c r="TMA18" s="400"/>
      <c r="TMB18" s="400"/>
      <c r="TMC18" s="400"/>
      <c r="TMD18" s="400"/>
      <c r="TME18" s="400"/>
      <c r="TMF18" s="400"/>
      <c r="TMG18" s="400"/>
      <c r="TMH18" s="400"/>
      <c r="TMI18" s="400"/>
      <c r="TMJ18" s="400"/>
      <c r="TMK18" s="400"/>
      <c r="TML18" s="400"/>
      <c r="TMM18" s="400"/>
      <c r="TMN18" s="400"/>
      <c r="TMO18" s="400"/>
      <c r="TMP18" s="400"/>
      <c r="TMQ18" s="400"/>
      <c r="TMR18" s="400"/>
      <c r="TMS18" s="400"/>
      <c r="TMT18" s="400"/>
      <c r="TMU18" s="400"/>
      <c r="TMV18" s="400"/>
      <c r="TMW18" s="400"/>
      <c r="TMX18" s="400"/>
      <c r="TMY18" s="400"/>
      <c r="TMZ18" s="400"/>
      <c r="TNA18" s="400"/>
      <c r="TNB18" s="400"/>
      <c r="TNC18" s="400"/>
      <c r="TND18" s="400"/>
      <c r="TNE18" s="400"/>
      <c r="TNF18" s="400"/>
      <c r="TNG18" s="400"/>
      <c r="TNH18" s="400"/>
      <c r="TNI18" s="400"/>
      <c r="TNJ18" s="400"/>
      <c r="TNK18" s="400"/>
      <c r="TNL18" s="400"/>
      <c r="TNM18" s="400"/>
      <c r="TNN18" s="400"/>
      <c r="TNO18" s="400"/>
      <c r="TNP18" s="400"/>
      <c r="TNQ18" s="400"/>
      <c r="TNR18" s="400"/>
      <c r="TNS18" s="400"/>
      <c r="TNT18" s="400"/>
      <c r="TNU18" s="400"/>
      <c r="TNV18" s="400"/>
      <c r="TNW18" s="400"/>
      <c r="TNX18" s="400"/>
      <c r="TNY18" s="400"/>
      <c r="TNZ18" s="400"/>
      <c r="TOA18" s="400"/>
      <c r="TOB18" s="400"/>
      <c r="TOC18" s="400"/>
      <c r="TOD18" s="400"/>
      <c r="TOE18" s="400"/>
      <c r="TOF18" s="400"/>
      <c r="TOG18" s="400"/>
      <c r="TOH18" s="400"/>
      <c r="TOI18" s="400"/>
      <c r="TOJ18" s="400"/>
      <c r="TOK18" s="400"/>
      <c r="TOL18" s="400"/>
      <c r="TOM18" s="400"/>
      <c r="TON18" s="400"/>
      <c r="TOO18" s="400"/>
      <c r="TOP18" s="400"/>
      <c r="TOQ18" s="400"/>
      <c r="TOR18" s="400"/>
      <c r="TOS18" s="400"/>
      <c r="TOT18" s="400"/>
      <c r="TOU18" s="400"/>
      <c r="TOV18" s="400"/>
      <c r="TOW18" s="400"/>
      <c r="TOX18" s="400"/>
      <c r="TOY18" s="400"/>
      <c r="TOZ18" s="400"/>
      <c r="TPA18" s="400"/>
      <c r="TPB18" s="400"/>
      <c r="TPC18" s="400"/>
      <c r="TPD18" s="400"/>
      <c r="TPE18" s="400"/>
      <c r="TPF18" s="400"/>
      <c r="TPG18" s="400"/>
      <c r="TPH18" s="400"/>
      <c r="TPI18" s="400"/>
      <c r="TPJ18" s="400"/>
      <c r="TPK18" s="400"/>
      <c r="TPL18" s="400"/>
      <c r="TPM18" s="400"/>
      <c r="TPN18" s="400"/>
      <c r="TPO18" s="400"/>
      <c r="TPP18" s="400"/>
      <c r="TPQ18" s="400"/>
      <c r="TPR18" s="400"/>
      <c r="TPS18" s="400"/>
      <c r="TPT18" s="400"/>
      <c r="TPU18" s="400"/>
      <c r="TPV18" s="400"/>
      <c r="TPW18" s="400"/>
      <c r="TPX18" s="400"/>
      <c r="TPY18" s="400"/>
      <c r="TPZ18" s="400"/>
      <c r="TQA18" s="400"/>
      <c r="TQB18" s="400"/>
      <c r="TQC18" s="400"/>
      <c r="TQD18" s="400"/>
      <c r="TQE18" s="400"/>
      <c r="TQF18" s="400"/>
      <c r="TQG18" s="400"/>
      <c r="TQH18" s="400"/>
      <c r="TQI18" s="400"/>
      <c r="TQJ18" s="400"/>
      <c r="TQK18" s="400"/>
      <c r="TQL18" s="400"/>
      <c r="TQM18" s="400"/>
      <c r="TQN18" s="400"/>
      <c r="TQO18" s="400"/>
      <c r="TQP18" s="400"/>
      <c r="TQQ18" s="400"/>
      <c r="TQR18" s="400"/>
      <c r="TQS18" s="400"/>
      <c r="TQT18" s="400"/>
      <c r="TQU18" s="400"/>
      <c r="TQV18" s="400"/>
      <c r="TQW18" s="400"/>
      <c r="TQX18" s="400"/>
      <c r="TQY18" s="400"/>
      <c r="TQZ18" s="400"/>
      <c r="TRA18" s="400"/>
      <c r="TRB18" s="400"/>
      <c r="TRC18" s="400"/>
      <c r="TRD18" s="400"/>
      <c r="TRE18" s="400"/>
      <c r="TRF18" s="400"/>
      <c r="TRG18" s="400"/>
      <c r="TRH18" s="400"/>
      <c r="TRI18" s="400"/>
      <c r="TRJ18" s="400"/>
      <c r="TRK18" s="400"/>
      <c r="TRL18" s="400"/>
      <c r="TRM18" s="400"/>
      <c r="TRN18" s="400"/>
      <c r="TRO18" s="400"/>
      <c r="TRP18" s="400"/>
      <c r="TRQ18" s="400"/>
      <c r="TRR18" s="400"/>
      <c r="TRS18" s="400"/>
      <c r="TRT18" s="400"/>
      <c r="TRU18" s="400"/>
      <c r="TRV18" s="400"/>
      <c r="TRW18" s="400"/>
      <c r="TRX18" s="400"/>
      <c r="TRY18" s="400"/>
      <c r="TRZ18" s="400"/>
      <c r="TSA18" s="400"/>
      <c r="TSB18" s="400"/>
      <c r="TSC18" s="400"/>
      <c r="TSD18" s="400"/>
      <c r="TSE18" s="400"/>
      <c r="TSF18" s="400"/>
      <c r="TSG18" s="400"/>
      <c r="TSH18" s="400"/>
      <c r="TSI18" s="400"/>
      <c r="TSJ18" s="400"/>
      <c r="TSK18" s="400"/>
      <c r="TSL18" s="400"/>
      <c r="TSM18" s="400"/>
      <c r="TSN18" s="400"/>
      <c r="TSO18" s="400"/>
      <c r="TSP18" s="400"/>
      <c r="TSQ18" s="400"/>
      <c r="TSR18" s="400"/>
      <c r="TSS18" s="400"/>
      <c r="TST18" s="400"/>
      <c r="TSU18" s="400"/>
      <c r="TSV18" s="400"/>
      <c r="TSW18" s="400"/>
      <c r="TSX18" s="400"/>
      <c r="TSY18" s="400"/>
      <c r="TSZ18" s="400"/>
      <c r="TTA18" s="400"/>
      <c r="TTB18" s="400"/>
      <c r="TTC18" s="400"/>
      <c r="TTD18" s="400"/>
      <c r="TTE18" s="400"/>
      <c r="TTF18" s="400"/>
      <c r="TTG18" s="400"/>
      <c r="TTH18" s="400"/>
      <c r="TTI18" s="400"/>
      <c r="TTJ18" s="400"/>
      <c r="TTK18" s="400"/>
      <c r="TTL18" s="400"/>
      <c r="TTM18" s="400"/>
      <c r="TTN18" s="400"/>
      <c r="TTO18" s="400"/>
      <c r="TTP18" s="400"/>
      <c r="TTQ18" s="400"/>
      <c r="TTR18" s="400"/>
      <c r="TTS18" s="400"/>
      <c r="TTT18" s="400"/>
      <c r="TTU18" s="400"/>
      <c r="TTV18" s="400"/>
      <c r="TTW18" s="400"/>
      <c r="TTX18" s="400"/>
      <c r="TTY18" s="400"/>
      <c r="TTZ18" s="400"/>
      <c r="TUA18" s="400"/>
      <c r="TUB18" s="400"/>
      <c r="TUC18" s="400"/>
      <c r="TUD18" s="400"/>
      <c r="TUE18" s="400"/>
      <c r="TUF18" s="400"/>
      <c r="TUG18" s="400"/>
      <c r="TUH18" s="400"/>
      <c r="TUI18" s="400"/>
      <c r="TUJ18" s="400"/>
      <c r="TUK18" s="400"/>
      <c r="TUL18" s="400"/>
      <c r="TUM18" s="400"/>
      <c r="TUN18" s="400"/>
      <c r="TUO18" s="400"/>
      <c r="TUP18" s="400"/>
      <c r="TUQ18" s="400"/>
      <c r="TUR18" s="400"/>
      <c r="TUS18" s="400"/>
      <c r="TUT18" s="400"/>
      <c r="TUU18" s="400"/>
      <c r="TUV18" s="400"/>
      <c r="TUW18" s="400"/>
      <c r="TUX18" s="400"/>
      <c r="TUY18" s="400"/>
      <c r="TUZ18" s="400"/>
      <c r="TVA18" s="400"/>
      <c r="TVB18" s="400"/>
      <c r="TVC18" s="400"/>
      <c r="TVD18" s="400"/>
      <c r="TVE18" s="400"/>
      <c r="TVF18" s="400"/>
      <c r="TVG18" s="400"/>
      <c r="TVH18" s="400"/>
      <c r="TVI18" s="400"/>
      <c r="TVJ18" s="400"/>
      <c r="TVK18" s="400"/>
      <c r="TVL18" s="400"/>
      <c r="TVM18" s="400"/>
      <c r="TVN18" s="400"/>
      <c r="TVO18" s="400"/>
      <c r="TVP18" s="400"/>
      <c r="TVQ18" s="400"/>
      <c r="TVR18" s="400"/>
      <c r="TVS18" s="400"/>
      <c r="TVT18" s="400"/>
      <c r="TVU18" s="400"/>
      <c r="TVV18" s="400"/>
      <c r="TVW18" s="400"/>
      <c r="TVX18" s="400"/>
      <c r="TVY18" s="400"/>
      <c r="TVZ18" s="400"/>
      <c r="TWA18" s="400"/>
      <c r="TWB18" s="400"/>
      <c r="TWC18" s="400"/>
      <c r="TWD18" s="400"/>
      <c r="TWE18" s="400"/>
      <c r="TWF18" s="400"/>
      <c r="TWG18" s="400"/>
      <c r="TWH18" s="400"/>
      <c r="TWI18" s="400"/>
      <c r="TWJ18" s="400"/>
      <c r="TWK18" s="400"/>
      <c r="TWL18" s="400"/>
      <c r="TWM18" s="400"/>
      <c r="TWN18" s="400"/>
      <c r="TWO18" s="400"/>
      <c r="TWP18" s="400"/>
      <c r="TWQ18" s="400"/>
      <c r="TWR18" s="400"/>
      <c r="TWS18" s="400"/>
      <c r="TWT18" s="400"/>
      <c r="TWU18" s="400"/>
      <c r="TWV18" s="400"/>
      <c r="TWW18" s="400"/>
      <c r="TWX18" s="400"/>
      <c r="TWY18" s="400"/>
      <c r="TWZ18" s="400"/>
      <c r="TXA18" s="400"/>
      <c r="TXB18" s="400"/>
      <c r="TXC18" s="400"/>
      <c r="TXD18" s="400"/>
      <c r="TXE18" s="400"/>
      <c r="TXF18" s="400"/>
      <c r="TXG18" s="400"/>
      <c r="TXH18" s="400"/>
      <c r="TXI18" s="400"/>
      <c r="TXJ18" s="400"/>
      <c r="TXK18" s="400"/>
      <c r="TXL18" s="400"/>
      <c r="TXM18" s="400"/>
      <c r="TXN18" s="400"/>
      <c r="TXO18" s="400"/>
      <c r="TXP18" s="400"/>
      <c r="TXQ18" s="400"/>
      <c r="TXR18" s="400"/>
      <c r="TXS18" s="400"/>
      <c r="TXT18" s="400"/>
      <c r="TXU18" s="400"/>
      <c r="TXV18" s="400"/>
      <c r="TXW18" s="400"/>
      <c r="TXX18" s="400"/>
      <c r="TXY18" s="400"/>
      <c r="TXZ18" s="400"/>
      <c r="TYA18" s="400"/>
      <c r="TYB18" s="400"/>
      <c r="TYC18" s="400"/>
      <c r="TYD18" s="400"/>
      <c r="TYE18" s="400"/>
      <c r="TYF18" s="400"/>
      <c r="TYG18" s="400"/>
      <c r="TYH18" s="400"/>
      <c r="TYI18" s="400"/>
      <c r="TYJ18" s="400"/>
      <c r="TYK18" s="400"/>
      <c r="TYL18" s="400"/>
      <c r="TYM18" s="400"/>
      <c r="TYN18" s="400"/>
      <c r="TYO18" s="400"/>
      <c r="TYP18" s="400"/>
      <c r="TYQ18" s="400"/>
      <c r="TYR18" s="400"/>
      <c r="TYS18" s="400"/>
      <c r="TYT18" s="400"/>
      <c r="TYU18" s="400"/>
      <c r="TYV18" s="400"/>
      <c r="TYW18" s="400"/>
      <c r="TYX18" s="400"/>
      <c r="TYY18" s="400"/>
      <c r="TYZ18" s="400"/>
      <c r="TZA18" s="400"/>
      <c r="TZB18" s="400"/>
      <c r="TZC18" s="400"/>
      <c r="TZD18" s="400"/>
      <c r="TZE18" s="400"/>
      <c r="TZF18" s="400"/>
      <c r="TZG18" s="400"/>
      <c r="TZH18" s="400"/>
      <c r="TZI18" s="400"/>
      <c r="TZJ18" s="400"/>
      <c r="TZK18" s="400"/>
      <c r="TZL18" s="400"/>
      <c r="TZM18" s="400"/>
      <c r="TZN18" s="400"/>
      <c r="TZO18" s="400"/>
      <c r="TZP18" s="400"/>
      <c r="TZQ18" s="400"/>
      <c r="TZR18" s="400"/>
      <c r="TZS18" s="400"/>
      <c r="TZT18" s="400"/>
      <c r="TZU18" s="400"/>
      <c r="TZV18" s="400"/>
      <c r="TZW18" s="400"/>
      <c r="TZX18" s="400"/>
      <c r="TZY18" s="400"/>
      <c r="TZZ18" s="400"/>
      <c r="UAA18" s="400"/>
      <c r="UAB18" s="400"/>
      <c r="UAC18" s="400"/>
      <c r="UAD18" s="400"/>
      <c r="UAE18" s="400"/>
      <c r="UAF18" s="400"/>
      <c r="UAG18" s="400"/>
      <c r="UAH18" s="400"/>
      <c r="UAI18" s="400"/>
      <c r="UAJ18" s="400"/>
      <c r="UAK18" s="400"/>
      <c r="UAL18" s="400"/>
      <c r="UAM18" s="400"/>
      <c r="UAN18" s="400"/>
      <c r="UAO18" s="400"/>
      <c r="UAP18" s="400"/>
      <c r="UAQ18" s="400"/>
      <c r="UAR18" s="400"/>
      <c r="UAS18" s="400"/>
      <c r="UAT18" s="400"/>
      <c r="UAU18" s="400"/>
      <c r="UAV18" s="400"/>
      <c r="UAW18" s="400"/>
      <c r="UAX18" s="400"/>
      <c r="UAY18" s="400"/>
      <c r="UAZ18" s="400"/>
      <c r="UBA18" s="400"/>
      <c r="UBB18" s="400"/>
      <c r="UBC18" s="400"/>
      <c r="UBD18" s="400"/>
      <c r="UBE18" s="400"/>
      <c r="UBF18" s="400"/>
      <c r="UBG18" s="400"/>
      <c r="UBH18" s="400"/>
      <c r="UBI18" s="400"/>
      <c r="UBJ18" s="400"/>
      <c r="UBK18" s="400"/>
      <c r="UBL18" s="400"/>
      <c r="UBM18" s="400"/>
      <c r="UBN18" s="400"/>
      <c r="UBO18" s="400"/>
      <c r="UBP18" s="400"/>
      <c r="UBQ18" s="400"/>
      <c r="UBR18" s="400"/>
      <c r="UBS18" s="400"/>
      <c r="UBT18" s="400"/>
      <c r="UBU18" s="400"/>
      <c r="UBV18" s="400"/>
      <c r="UBW18" s="400"/>
      <c r="UBX18" s="400"/>
      <c r="UBY18" s="400"/>
      <c r="UBZ18" s="400"/>
      <c r="UCA18" s="400"/>
      <c r="UCB18" s="400"/>
      <c r="UCC18" s="400"/>
      <c r="UCD18" s="400"/>
      <c r="UCE18" s="400"/>
      <c r="UCF18" s="400"/>
      <c r="UCG18" s="400"/>
      <c r="UCH18" s="400"/>
      <c r="UCI18" s="400"/>
      <c r="UCJ18" s="400"/>
      <c r="UCK18" s="400"/>
      <c r="UCL18" s="400"/>
      <c r="UCM18" s="400"/>
      <c r="UCN18" s="400"/>
      <c r="UCO18" s="400"/>
      <c r="UCP18" s="400"/>
      <c r="UCQ18" s="400"/>
      <c r="UCR18" s="400"/>
      <c r="UCS18" s="400"/>
      <c r="UCT18" s="400"/>
      <c r="UCU18" s="400"/>
      <c r="UCV18" s="400"/>
      <c r="UCW18" s="400"/>
      <c r="UCX18" s="400"/>
      <c r="UCY18" s="400"/>
      <c r="UCZ18" s="400"/>
      <c r="UDA18" s="400"/>
      <c r="UDB18" s="400"/>
      <c r="UDC18" s="400"/>
      <c r="UDD18" s="400"/>
      <c r="UDE18" s="400"/>
      <c r="UDF18" s="400"/>
      <c r="UDG18" s="400"/>
      <c r="UDH18" s="400"/>
      <c r="UDI18" s="400"/>
      <c r="UDJ18" s="400"/>
      <c r="UDK18" s="400"/>
      <c r="UDL18" s="400"/>
      <c r="UDM18" s="400"/>
      <c r="UDN18" s="400"/>
      <c r="UDO18" s="400"/>
      <c r="UDP18" s="400"/>
      <c r="UDQ18" s="400"/>
      <c r="UDR18" s="400"/>
      <c r="UDS18" s="400"/>
      <c r="UDT18" s="400"/>
      <c r="UDU18" s="400"/>
      <c r="UDV18" s="400"/>
      <c r="UDW18" s="400"/>
      <c r="UDX18" s="400"/>
      <c r="UDY18" s="400"/>
      <c r="UDZ18" s="400"/>
      <c r="UEA18" s="400"/>
      <c r="UEB18" s="400"/>
      <c r="UEC18" s="400"/>
      <c r="UED18" s="400"/>
      <c r="UEE18" s="400"/>
      <c r="UEF18" s="400"/>
      <c r="UEG18" s="400"/>
      <c r="UEH18" s="400"/>
      <c r="UEI18" s="400"/>
      <c r="UEJ18" s="400"/>
      <c r="UEK18" s="400"/>
      <c r="UEL18" s="400"/>
      <c r="UEM18" s="400"/>
      <c r="UEN18" s="400"/>
      <c r="UEO18" s="400"/>
      <c r="UEP18" s="400"/>
      <c r="UEQ18" s="400"/>
      <c r="UER18" s="400"/>
      <c r="UES18" s="400"/>
      <c r="UET18" s="400"/>
      <c r="UEU18" s="400"/>
      <c r="UEV18" s="400"/>
      <c r="UEW18" s="400"/>
      <c r="UEX18" s="400"/>
      <c r="UEY18" s="400"/>
      <c r="UEZ18" s="400"/>
      <c r="UFA18" s="400"/>
      <c r="UFB18" s="400"/>
      <c r="UFC18" s="400"/>
      <c r="UFD18" s="400"/>
      <c r="UFE18" s="400"/>
      <c r="UFF18" s="400"/>
      <c r="UFG18" s="400"/>
      <c r="UFH18" s="400"/>
      <c r="UFI18" s="400"/>
      <c r="UFJ18" s="400"/>
      <c r="UFK18" s="400"/>
      <c r="UFL18" s="400"/>
      <c r="UFM18" s="400"/>
      <c r="UFN18" s="400"/>
      <c r="UFO18" s="400"/>
      <c r="UFP18" s="400"/>
      <c r="UFQ18" s="400"/>
      <c r="UFR18" s="400"/>
      <c r="UFS18" s="400"/>
      <c r="UFT18" s="400"/>
      <c r="UFU18" s="400"/>
      <c r="UFV18" s="400"/>
      <c r="UFW18" s="400"/>
      <c r="UFX18" s="400"/>
      <c r="UFY18" s="400"/>
      <c r="UFZ18" s="400"/>
      <c r="UGA18" s="400"/>
      <c r="UGB18" s="400"/>
      <c r="UGC18" s="400"/>
      <c r="UGD18" s="400"/>
      <c r="UGE18" s="400"/>
      <c r="UGF18" s="400"/>
      <c r="UGG18" s="400"/>
      <c r="UGH18" s="400"/>
      <c r="UGI18" s="400"/>
      <c r="UGJ18" s="400"/>
      <c r="UGK18" s="400"/>
      <c r="UGL18" s="400"/>
      <c r="UGM18" s="400"/>
      <c r="UGN18" s="400"/>
      <c r="UGO18" s="400"/>
      <c r="UGP18" s="400"/>
      <c r="UGQ18" s="400"/>
      <c r="UGR18" s="400"/>
      <c r="UGS18" s="400"/>
      <c r="UGT18" s="400"/>
      <c r="UGU18" s="400"/>
      <c r="UGV18" s="400"/>
      <c r="UGW18" s="400"/>
      <c r="UGX18" s="400"/>
      <c r="UGY18" s="400"/>
      <c r="UGZ18" s="400"/>
      <c r="UHA18" s="400"/>
      <c r="UHB18" s="400"/>
      <c r="UHC18" s="400"/>
      <c r="UHD18" s="400"/>
      <c r="UHE18" s="400"/>
      <c r="UHF18" s="400"/>
      <c r="UHG18" s="400"/>
      <c r="UHH18" s="400"/>
      <c r="UHI18" s="400"/>
      <c r="UHJ18" s="400"/>
      <c r="UHK18" s="400"/>
      <c r="UHL18" s="400"/>
      <c r="UHM18" s="400"/>
      <c r="UHN18" s="400"/>
      <c r="UHO18" s="400"/>
      <c r="UHP18" s="400"/>
      <c r="UHQ18" s="400"/>
      <c r="UHR18" s="400"/>
      <c r="UHS18" s="400"/>
      <c r="UHT18" s="400"/>
      <c r="UHU18" s="400"/>
      <c r="UHV18" s="400"/>
      <c r="UHW18" s="400"/>
      <c r="UHX18" s="400"/>
      <c r="UHY18" s="400"/>
      <c r="UHZ18" s="400"/>
      <c r="UIA18" s="400"/>
      <c r="UIB18" s="400"/>
      <c r="UIC18" s="400"/>
      <c r="UID18" s="400"/>
      <c r="UIE18" s="400"/>
      <c r="UIF18" s="400"/>
      <c r="UIG18" s="400"/>
      <c r="UIH18" s="400"/>
      <c r="UII18" s="400"/>
      <c r="UIJ18" s="400"/>
      <c r="UIK18" s="400"/>
      <c r="UIL18" s="400"/>
      <c r="UIM18" s="400"/>
      <c r="UIN18" s="400"/>
      <c r="UIO18" s="400"/>
      <c r="UIP18" s="400"/>
      <c r="UIQ18" s="400"/>
      <c r="UIR18" s="400"/>
      <c r="UIS18" s="400"/>
      <c r="UIT18" s="400"/>
      <c r="UIU18" s="400"/>
      <c r="UIV18" s="400"/>
      <c r="UIW18" s="400"/>
      <c r="UIX18" s="400"/>
      <c r="UIY18" s="400"/>
      <c r="UIZ18" s="400"/>
      <c r="UJA18" s="400"/>
      <c r="UJB18" s="400"/>
      <c r="UJC18" s="400"/>
      <c r="UJD18" s="400"/>
      <c r="UJE18" s="400"/>
      <c r="UJF18" s="400"/>
      <c r="UJG18" s="400"/>
      <c r="UJH18" s="400"/>
      <c r="UJI18" s="400"/>
      <c r="UJJ18" s="400"/>
      <c r="UJK18" s="400"/>
      <c r="UJL18" s="400"/>
      <c r="UJM18" s="400"/>
      <c r="UJN18" s="400"/>
      <c r="UJO18" s="400"/>
      <c r="UJP18" s="400"/>
      <c r="UJQ18" s="400"/>
      <c r="UJR18" s="400"/>
      <c r="UJS18" s="400"/>
      <c r="UJT18" s="400"/>
      <c r="UJU18" s="400"/>
      <c r="UJV18" s="400"/>
      <c r="UJW18" s="400"/>
      <c r="UJX18" s="400"/>
      <c r="UJY18" s="400"/>
      <c r="UJZ18" s="400"/>
      <c r="UKA18" s="400"/>
      <c r="UKB18" s="400"/>
      <c r="UKC18" s="400"/>
      <c r="UKD18" s="400"/>
      <c r="UKE18" s="400"/>
      <c r="UKF18" s="400"/>
      <c r="UKG18" s="400"/>
      <c r="UKH18" s="400"/>
      <c r="UKI18" s="400"/>
      <c r="UKJ18" s="400"/>
      <c r="UKK18" s="400"/>
      <c r="UKL18" s="400"/>
      <c r="UKM18" s="400"/>
      <c r="UKN18" s="400"/>
      <c r="UKO18" s="400"/>
      <c r="UKP18" s="400"/>
      <c r="UKQ18" s="400"/>
      <c r="UKR18" s="400"/>
      <c r="UKS18" s="400"/>
      <c r="UKT18" s="400"/>
      <c r="UKU18" s="400"/>
      <c r="UKV18" s="400"/>
      <c r="UKW18" s="400"/>
      <c r="UKX18" s="400"/>
      <c r="UKY18" s="400"/>
      <c r="UKZ18" s="400"/>
      <c r="ULA18" s="400"/>
      <c r="ULB18" s="400"/>
      <c r="ULC18" s="400"/>
      <c r="ULD18" s="400"/>
      <c r="ULE18" s="400"/>
      <c r="ULF18" s="400"/>
      <c r="ULG18" s="400"/>
      <c r="ULH18" s="400"/>
      <c r="ULI18" s="400"/>
      <c r="ULJ18" s="400"/>
      <c r="ULK18" s="400"/>
      <c r="ULL18" s="400"/>
      <c r="ULM18" s="400"/>
      <c r="ULN18" s="400"/>
      <c r="ULO18" s="400"/>
      <c r="ULP18" s="400"/>
      <c r="ULQ18" s="400"/>
      <c r="ULR18" s="400"/>
      <c r="ULS18" s="400"/>
      <c r="ULT18" s="400"/>
      <c r="ULU18" s="400"/>
      <c r="ULV18" s="400"/>
      <c r="ULW18" s="400"/>
      <c r="ULX18" s="400"/>
      <c r="ULY18" s="400"/>
      <c r="ULZ18" s="400"/>
      <c r="UMA18" s="400"/>
      <c r="UMB18" s="400"/>
      <c r="UMC18" s="400"/>
      <c r="UMD18" s="400"/>
      <c r="UME18" s="400"/>
      <c r="UMF18" s="400"/>
      <c r="UMG18" s="400"/>
      <c r="UMH18" s="400"/>
      <c r="UMI18" s="400"/>
      <c r="UMJ18" s="400"/>
      <c r="UMK18" s="400"/>
      <c r="UML18" s="400"/>
      <c r="UMM18" s="400"/>
      <c r="UMN18" s="400"/>
      <c r="UMO18" s="400"/>
      <c r="UMP18" s="400"/>
      <c r="UMQ18" s="400"/>
      <c r="UMR18" s="400"/>
      <c r="UMS18" s="400"/>
      <c r="UMT18" s="400"/>
      <c r="UMU18" s="400"/>
      <c r="UMV18" s="400"/>
      <c r="UMW18" s="400"/>
      <c r="UMX18" s="400"/>
      <c r="UMY18" s="400"/>
      <c r="UMZ18" s="400"/>
      <c r="UNA18" s="400"/>
      <c r="UNB18" s="400"/>
      <c r="UNC18" s="400"/>
      <c r="UND18" s="400"/>
      <c r="UNE18" s="400"/>
      <c r="UNF18" s="400"/>
      <c r="UNG18" s="400"/>
      <c r="UNH18" s="400"/>
      <c r="UNI18" s="400"/>
      <c r="UNJ18" s="400"/>
      <c r="UNK18" s="400"/>
      <c r="UNL18" s="400"/>
      <c r="UNM18" s="400"/>
      <c r="UNN18" s="400"/>
      <c r="UNO18" s="400"/>
      <c r="UNP18" s="400"/>
      <c r="UNQ18" s="400"/>
      <c r="UNR18" s="400"/>
      <c r="UNS18" s="400"/>
      <c r="UNT18" s="400"/>
      <c r="UNU18" s="400"/>
      <c r="UNV18" s="400"/>
      <c r="UNW18" s="400"/>
      <c r="UNX18" s="400"/>
      <c r="UNY18" s="400"/>
      <c r="UNZ18" s="400"/>
      <c r="UOA18" s="400"/>
      <c r="UOB18" s="400"/>
      <c r="UOC18" s="400"/>
      <c r="UOD18" s="400"/>
      <c r="UOE18" s="400"/>
      <c r="UOF18" s="400"/>
      <c r="UOG18" s="400"/>
      <c r="UOH18" s="400"/>
      <c r="UOI18" s="400"/>
      <c r="UOJ18" s="400"/>
      <c r="UOK18" s="400"/>
      <c r="UOL18" s="400"/>
      <c r="UOM18" s="400"/>
      <c r="UON18" s="400"/>
      <c r="UOO18" s="400"/>
      <c r="UOP18" s="400"/>
      <c r="UOQ18" s="400"/>
      <c r="UOR18" s="400"/>
      <c r="UOS18" s="400"/>
      <c r="UOT18" s="400"/>
      <c r="UOU18" s="400"/>
      <c r="UOV18" s="400"/>
      <c r="UOW18" s="400"/>
      <c r="UOX18" s="400"/>
      <c r="UOY18" s="400"/>
      <c r="UOZ18" s="400"/>
      <c r="UPA18" s="400"/>
      <c r="UPB18" s="400"/>
      <c r="UPC18" s="400"/>
      <c r="UPD18" s="400"/>
      <c r="UPE18" s="400"/>
      <c r="UPF18" s="400"/>
      <c r="UPG18" s="400"/>
      <c r="UPH18" s="400"/>
      <c r="UPI18" s="400"/>
      <c r="UPJ18" s="400"/>
      <c r="UPK18" s="400"/>
      <c r="UPL18" s="400"/>
      <c r="UPM18" s="400"/>
      <c r="UPN18" s="400"/>
      <c r="UPO18" s="400"/>
      <c r="UPP18" s="400"/>
      <c r="UPQ18" s="400"/>
      <c r="UPR18" s="400"/>
      <c r="UPS18" s="400"/>
      <c r="UPT18" s="400"/>
      <c r="UPU18" s="400"/>
      <c r="UPV18" s="400"/>
      <c r="UPW18" s="400"/>
      <c r="UPX18" s="400"/>
      <c r="UPY18" s="400"/>
      <c r="UPZ18" s="400"/>
      <c r="UQA18" s="400"/>
      <c r="UQB18" s="400"/>
      <c r="UQC18" s="400"/>
      <c r="UQD18" s="400"/>
      <c r="UQE18" s="400"/>
      <c r="UQF18" s="400"/>
      <c r="UQG18" s="400"/>
      <c r="UQH18" s="400"/>
      <c r="UQI18" s="400"/>
      <c r="UQJ18" s="400"/>
      <c r="UQK18" s="400"/>
      <c r="UQL18" s="400"/>
      <c r="UQM18" s="400"/>
      <c r="UQN18" s="400"/>
      <c r="UQO18" s="400"/>
      <c r="UQP18" s="400"/>
      <c r="UQQ18" s="400"/>
      <c r="UQR18" s="400"/>
      <c r="UQS18" s="400"/>
      <c r="UQT18" s="400"/>
      <c r="UQU18" s="400"/>
      <c r="UQV18" s="400"/>
      <c r="UQW18" s="400"/>
      <c r="UQX18" s="400"/>
      <c r="UQY18" s="400"/>
      <c r="UQZ18" s="400"/>
      <c r="URA18" s="400"/>
      <c r="URB18" s="400"/>
      <c r="URC18" s="400"/>
      <c r="URD18" s="400"/>
      <c r="URE18" s="400"/>
      <c r="URF18" s="400"/>
      <c r="URG18" s="400"/>
      <c r="URH18" s="400"/>
      <c r="URI18" s="400"/>
      <c r="URJ18" s="400"/>
      <c r="URK18" s="400"/>
      <c r="URL18" s="400"/>
      <c r="URM18" s="400"/>
      <c r="URN18" s="400"/>
      <c r="URO18" s="400"/>
      <c r="URP18" s="400"/>
      <c r="URQ18" s="400"/>
      <c r="URR18" s="400"/>
      <c r="URS18" s="400"/>
      <c r="URT18" s="400"/>
      <c r="URU18" s="400"/>
      <c r="URV18" s="400"/>
      <c r="URW18" s="400"/>
      <c r="URX18" s="400"/>
      <c r="URY18" s="400"/>
      <c r="URZ18" s="400"/>
      <c r="USA18" s="400"/>
      <c r="USB18" s="400"/>
      <c r="USC18" s="400"/>
      <c r="USD18" s="400"/>
      <c r="USE18" s="400"/>
      <c r="USF18" s="400"/>
      <c r="USG18" s="400"/>
      <c r="USH18" s="400"/>
      <c r="USI18" s="400"/>
      <c r="USJ18" s="400"/>
      <c r="USK18" s="400"/>
      <c r="USL18" s="400"/>
      <c r="USM18" s="400"/>
      <c r="USN18" s="400"/>
      <c r="USO18" s="400"/>
      <c r="USP18" s="400"/>
      <c r="USQ18" s="400"/>
      <c r="USR18" s="400"/>
      <c r="USS18" s="400"/>
      <c r="UST18" s="400"/>
      <c r="USU18" s="400"/>
      <c r="USV18" s="400"/>
      <c r="USW18" s="400"/>
      <c r="USX18" s="400"/>
      <c r="USY18" s="400"/>
      <c r="USZ18" s="400"/>
      <c r="UTA18" s="400"/>
      <c r="UTB18" s="400"/>
      <c r="UTC18" s="400"/>
      <c r="UTD18" s="400"/>
      <c r="UTE18" s="400"/>
      <c r="UTF18" s="400"/>
      <c r="UTG18" s="400"/>
      <c r="UTH18" s="400"/>
      <c r="UTI18" s="400"/>
      <c r="UTJ18" s="400"/>
      <c r="UTK18" s="400"/>
      <c r="UTL18" s="400"/>
      <c r="UTM18" s="400"/>
      <c r="UTN18" s="400"/>
      <c r="UTO18" s="400"/>
      <c r="UTP18" s="400"/>
      <c r="UTQ18" s="400"/>
      <c r="UTR18" s="400"/>
      <c r="UTS18" s="400"/>
      <c r="UTT18" s="400"/>
      <c r="UTU18" s="400"/>
      <c r="UTV18" s="400"/>
      <c r="UTW18" s="400"/>
      <c r="UTX18" s="400"/>
      <c r="UTY18" s="400"/>
      <c r="UTZ18" s="400"/>
      <c r="UUA18" s="400"/>
      <c r="UUB18" s="400"/>
      <c r="UUC18" s="400"/>
      <c r="UUD18" s="400"/>
      <c r="UUE18" s="400"/>
      <c r="UUF18" s="400"/>
      <c r="UUG18" s="400"/>
      <c r="UUH18" s="400"/>
      <c r="UUI18" s="400"/>
      <c r="UUJ18" s="400"/>
      <c r="UUK18" s="400"/>
      <c r="UUL18" s="400"/>
      <c r="UUM18" s="400"/>
      <c r="UUN18" s="400"/>
      <c r="UUO18" s="400"/>
      <c r="UUP18" s="400"/>
      <c r="UUQ18" s="400"/>
      <c r="UUR18" s="400"/>
      <c r="UUS18" s="400"/>
      <c r="UUT18" s="400"/>
      <c r="UUU18" s="400"/>
      <c r="UUV18" s="400"/>
      <c r="UUW18" s="400"/>
      <c r="UUX18" s="400"/>
      <c r="UUY18" s="400"/>
      <c r="UUZ18" s="400"/>
      <c r="UVA18" s="400"/>
      <c r="UVB18" s="400"/>
      <c r="UVC18" s="400"/>
      <c r="UVD18" s="400"/>
      <c r="UVE18" s="400"/>
      <c r="UVF18" s="400"/>
      <c r="UVG18" s="400"/>
      <c r="UVH18" s="400"/>
      <c r="UVI18" s="400"/>
      <c r="UVJ18" s="400"/>
      <c r="UVK18" s="400"/>
      <c r="UVL18" s="400"/>
      <c r="UVM18" s="400"/>
      <c r="UVN18" s="400"/>
      <c r="UVO18" s="400"/>
      <c r="UVP18" s="400"/>
      <c r="UVQ18" s="400"/>
      <c r="UVR18" s="400"/>
      <c r="UVS18" s="400"/>
      <c r="UVT18" s="400"/>
      <c r="UVU18" s="400"/>
      <c r="UVV18" s="400"/>
      <c r="UVW18" s="400"/>
      <c r="UVX18" s="400"/>
      <c r="UVY18" s="400"/>
      <c r="UVZ18" s="400"/>
      <c r="UWA18" s="400"/>
      <c r="UWB18" s="400"/>
      <c r="UWC18" s="400"/>
      <c r="UWD18" s="400"/>
      <c r="UWE18" s="400"/>
      <c r="UWF18" s="400"/>
      <c r="UWG18" s="400"/>
      <c r="UWH18" s="400"/>
      <c r="UWI18" s="400"/>
      <c r="UWJ18" s="400"/>
      <c r="UWK18" s="400"/>
      <c r="UWL18" s="400"/>
      <c r="UWM18" s="400"/>
      <c r="UWN18" s="400"/>
      <c r="UWO18" s="400"/>
      <c r="UWP18" s="400"/>
      <c r="UWQ18" s="400"/>
      <c r="UWR18" s="400"/>
      <c r="UWS18" s="400"/>
      <c r="UWT18" s="400"/>
      <c r="UWU18" s="400"/>
      <c r="UWV18" s="400"/>
      <c r="UWW18" s="400"/>
      <c r="UWX18" s="400"/>
      <c r="UWY18" s="400"/>
      <c r="UWZ18" s="400"/>
      <c r="UXA18" s="400"/>
      <c r="UXB18" s="400"/>
      <c r="UXC18" s="400"/>
      <c r="UXD18" s="400"/>
      <c r="UXE18" s="400"/>
      <c r="UXF18" s="400"/>
      <c r="UXG18" s="400"/>
      <c r="UXH18" s="400"/>
      <c r="UXI18" s="400"/>
      <c r="UXJ18" s="400"/>
      <c r="UXK18" s="400"/>
      <c r="UXL18" s="400"/>
      <c r="UXM18" s="400"/>
      <c r="UXN18" s="400"/>
      <c r="UXO18" s="400"/>
      <c r="UXP18" s="400"/>
      <c r="UXQ18" s="400"/>
      <c r="UXR18" s="400"/>
      <c r="UXS18" s="400"/>
      <c r="UXT18" s="400"/>
      <c r="UXU18" s="400"/>
      <c r="UXV18" s="400"/>
      <c r="UXW18" s="400"/>
      <c r="UXX18" s="400"/>
      <c r="UXY18" s="400"/>
      <c r="UXZ18" s="400"/>
      <c r="UYA18" s="400"/>
      <c r="UYB18" s="400"/>
      <c r="UYC18" s="400"/>
      <c r="UYD18" s="400"/>
      <c r="UYE18" s="400"/>
      <c r="UYF18" s="400"/>
      <c r="UYG18" s="400"/>
      <c r="UYH18" s="400"/>
      <c r="UYI18" s="400"/>
      <c r="UYJ18" s="400"/>
      <c r="UYK18" s="400"/>
      <c r="UYL18" s="400"/>
      <c r="UYM18" s="400"/>
      <c r="UYN18" s="400"/>
      <c r="UYO18" s="400"/>
      <c r="UYP18" s="400"/>
      <c r="UYQ18" s="400"/>
      <c r="UYR18" s="400"/>
      <c r="UYS18" s="400"/>
      <c r="UYT18" s="400"/>
      <c r="UYU18" s="400"/>
      <c r="UYV18" s="400"/>
      <c r="UYW18" s="400"/>
      <c r="UYX18" s="400"/>
      <c r="UYY18" s="400"/>
      <c r="UYZ18" s="400"/>
      <c r="UZA18" s="400"/>
      <c r="UZB18" s="400"/>
      <c r="UZC18" s="400"/>
      <c r="UZD18" s="400"/>
      <c r="UZE18" s="400"/>
      <c r="UZF18" s="400"/>
      <c r="UZG18" s="400"/>
      <c r="UZH18" s="400"/>
      <c r="UZI18" s="400"/>
      <c r="UZJ18" s="400"/>
      <c r="UZK18" s="400"/>
      <c r="UZL18" s="400"/>
      <c r="UZM18" s="400"/>
      <c r="UZN18" s="400"/>
      <c r="UZO18" s="400"/>
      <c r="UZP18" s="400"/>
      <c r="UZQ18" s="400"/>
      <c r="UZR18" s="400"/>
      <c r="UZS18" s="400"/>
      <c r="UZT18" s="400"/>
      <c r="UZU18" s="400"/>
      <c r="UZV18" s="400"/>
      <c r="UZW18" s="400"/>
      <c r="UZX18" s="400"/>
      <c r="UZY18" s="400"/>
      <c r="UZZ18" s="400"/>
      <c r="VAA18" s="400"/>
      <c r="VAB18" s="400"/>
      <c r="VAC18" s="400"/>
      <c r="VAD18" s="400"/>
      <c r="VAE18" s="400"/>
      <c r="VAF18" s="400"/>
      <c r="VAG18" s="400"/>
      <c r="VAH18" s="400"/>
      <c r="VAI18" s="400"/>
      <c r="VAJ18" s="400"/>
      <c r="VAK18" s="400"/>
      <c r="VAL18" s="400"/>
      <c r="VAM18" s="400"/>
      <c r="VAN18" s="400"/>
      <c r="VAO18" s="400"/>
      <c r="VAP18" s="400"/>
      <c r="VAQ18" s="400"/>
      <c r="VAR18" s="400"/>
      <c r="VAS18" s="400"/>
      <c r="VAT18" s="400"/>
      <c r="VAU18" s="400"/>
      <c r="VAV18" s="400"/>
      <c r="VAW18" s="400"/>
      <c r="VAX18" s="400"/>
      <c r="VAY18" s="400"/>
      <c r="VAZ18" s="400"/>
      <c r="VBA18" s="400"/>
      <c r="VBB18" s="400"/>
      <c r="VBC18" s="400"/>
      <c r="VBD18" s="400"/>
      <c r="VBE18" s="400"/>
      <c r="VBF18" s="400"/>
      <c r="VBG18" s="400"/>
      <c r="VBH18" s="400"/>
      <c r="VBI18" s="400"/>
      <c r="VBJ18" s="400"/>
      <c r="VBK18" s="400"/>
      <c r="VBL18" s="400"/>
      <c r="VBM18" s="400"/>
      <c r="VBN18" s="400"/>
      <c r="VBO18" s="400"/>
      <c r="VBP18" s="400"/>
      <c r="VBQ18" s="400"/>
      <c r="VBR18" s="400"/>
      <c r="VBS18" s="400"/>
      <c r="VBT18" s="400"/>
      <c r="VBU18" s="400"/>
      <c r="VBV18" s="400"/>
      <c r="VBW18" s="400"/>
      <c r="VBX18" s="400"/>
      <c r="VBY18" s="400"/>
      <c r="VBZ18" s="400"/>
      <c r="VCA18" s="400"/>
      <c r="VCB18" s="400"/>
      <c r="VCC18" s="400"/>
      <c r="VCD18" s="400"/>
      <c r="VCE18" s="400"/>
      <c r="VCF18" s="400"/>
      <c r="VCG18" s="400"/>
      <c r="VCH18" s="400"/>
      <c r="VCI18" s="400"/>
      <c r="VCJ18" s="400"/>
      <c r="VCK18" s="400"/>
      <c r="VCL18" s="400"/>
      <c r="VCM18" s="400"/>
      <c r="VCN18" s="400"/>
      <c r="VCO18" s="400"/>
      <c r="VCP18" s="400"/>
      <c r="VCQ18" s="400"/>
      <c r="VCR18" s="400"/>
      <c r="VCS18" s="400"/>
      <c r="VCT18" s="400"/>
      <c r="VCU18" s="400"/>
      <c r="VCV18" s="400"/>
      <c r="VCW18" s="400"/>
      <c r="VCX18" s="400"/>
      <c r="VCY18" s="400"/>
      <c r="VCZ18" s="400"/>
      <c r="VDA18" s="400"/>
      <c r="VDB18" s="400"/>
      <c r="VDC18" s="400"/>
      <c r="VDD18" s="400"/>
      <c r="VDE18" s="400"/>
      <c r="VDF18" s="400"/>
      <c r="VDG18" s="400"/>
      <c r="VDH18" s="400"/>
      <c r="VDI18" s="400"/>
      <c r="VDJ18" s="400"/>
      <c r="VDK18" s="400"/>
      <c r="VDL18" s="400"/>
      <c r="VDM18" s="400"/>
      <c r="VDN18" s="400"/>
      <c r="VDO18" s="400"/>
      <c r="VDP18" s="400"/>
      <c r="VDQ18" s="400"/>
      <c r="VDR18" s="400"/>
      <c r="VDS18" s="400"/>
      <c r="VDT18" s="400"/>
      <c r="VDU18" s="400"/>
      <c r="VDV18" s="400"/>
      <c r="VDW18" s="400"/>
      <c r="VDX18" s="400"/>
      <c r="VDY18" s="400"/>
      <c r="VDZ18" s="400"/>
      <c r="VEA18" s="400"/>
      <c r="VEB18" s="400"/>
      <c r="VEC18" s="400"/>
      <c r="VED18" s="400"/>
      <c r="VEE18" s="400"/>
      <c r="VEF18" s="400"/>
      <c r="VEG18" s="400"/>
      <c r="VEH18" s="400"/>
      <c r="VEI18" s="400"/>
      <c r="VEJ18" s="400"/>
      <c r="VEK18" s="400"/>
      <c r="VEL18" s="400"/>
      <c r="VEM18" s="400"/>
      <c r="VEN18" s="400"/>
      <c r="VEO18" s="400"/>
      <c r="VEP18" s="400"/>
      <c r="VEQ18" s="400"/>
      <c r="VER18" s="400"/>
      <c r="VES18" s="400"/>
      <c r="VET18" s="400"/>
      <c r="VEU18" s="400"/>
      <c r="VEV18" s="400"/>
      <c r="VEW18" s="400"/>
      <c r="VEX18" s="400"/>
      <c r="VEY18" s="400"/>
      <c r="VEZ18" s="400"/>
      <c r="VFA18" s="400"/>
      <c r="VFB18" s="400"/>
      <c r="VFC18" s="400"/>
      <c r="VFD18" s="400"/>
      <c r="VFE18" s="400"/>
      <c r="VFF18" s="400"/>
      <c r="VFG18" s="400"/>
      <c r="VFH18" s="400"/>
      <c r="VFI18" s="400"/>
      <c r="VFJ18" s="400"/>
      <c r="VFK18" s="400"/>
      <c r="VFL18" s="400"/>
      <c r="VFM18" s="400"/>
      <c r="VFN18" s="400"/>
      <c r="VFO18" s="400"/>
      <c r="VFP18" s="400"/>
      <c r="VFQ18" s="400"/>
      <c r="VFR18" s="400"/>
      <c r="VFS18" s="400"/>
      <c r="VFT18" s="400"/>
      <c r="VFU18" s="400"/>
      <c r="VFV18" s="400"/>
      <c r="VFW18" s="400"/>
      <c r="VFX18" s="400"/>
      <c r="VFY18" s="400"/>
      <c r="VFZ18" s="400"/>
      <c r="VGA18" s="400"/>
      <c r="VGB18" s="400"/>
      <c r="VGC18" s="400"/>
      <c r="VGD18" s="400"/>
      <c r="VGE18" s="400"/>
      <c r="VGF18" s="400"/>
      <c r="VGG18" s="400"/>
      <c r="VGH18" s="400"/>
      <c r="VGI18" s="400"/>
      <c r="VGJ18" s="400"/>
      <c r="VGK18" s="400"/>
      <c r="VGL18" s="400"/>
      <c r="VGM18" s="400"/>
      <c r="VGN18" s="400"/>
      <c r="VGO18" s="400"/>
      <c r="VGP18" s="400"/>
      <c r="VGQ18" s="400"/>
      <c r="VGR18" s="400"/>
      <c r="VGS18" s="400"/>
      <c r="VGT18" s="400"/>
      <c r="VGU18" s="400"/>
      <c r="VGV18" s="400"/>
      <c r="VGW18" s="400"/>
      <c r="VGX18" s="400"/>
      <c r="VGY18" s="400"/>
      <c r="VGZ18" s="400"/>
      <c r="VHA18" s="400"/>
      <c r="VHB18" s="400"/>
      <c r="VHC18" s="400"/>
      <c r="VHD18" s="400"/>
      <c r="VHE18" s="400"/>
      <c r="VHF18" s="400"/>
      <c r="VHG18" s="400"/>
      <c r="VHH18" s="400"/>
      <c r="VHI18" s="400"/>
      <c r="VHJ18" s="400"/>
      <c r="VHK18" s="400"/>
      <c r="VHL18" s="400"/>
      <c r="VHM18" s="400"/>
      <c r="VHN18" s="400"/>
      <c r="VHO18" s="400"/>
      <c r="VHP18" s="400"/>
      <c r="VHQ18" s="400"/>
      <c r="VHR18" s="400"/>
      <c r="VHS18" s="400"/>
      <c r="VHT18" s="400"/>
      <c r="VHU18" s="400"/>
      <c r="VHV18" s="400"/>
      <c r="VHW18" s="400"/>
      <c r="VHX18" s="400"/>
      <c r="VHY18" s="400"/>
      <c r="VHZ18" s="400"/>
      <c r="VIA18" s="400"/>
      <c r="VIB18" s="400"/>
      <c r="VIC18" s="400"/>
      <c r="VID18" s="400"/>
      <c r="VIE18" s="400"/>
      <c r="VIF18" s="400"/>
      <c r="VIG18" s="400"/>
      <c r="VIH18" s="400"/>
      <c r="VII18" s="400"/>
      <c r="VIJ18" s="400"/>
      <c r="VIK18" s="400"/>
      <c r="VIL18" s="400"/>
      <c r="VIM18" s="400"/>
      <c r="VIN18" s="400"/>
      <c r="VIO18" s="400"/>
      <c r="VIP18" s="400"/>
      <c r="VIQ18" s="400"/>
      <c r="VIR18" s="400"/>
      <c r="VIS18" s="400"/>
      <c r="VIT18" s="400"/>
      <c r="VIU18" s="400"/>
      <c r="VIV18" s="400"/>
      <c r="VIW18" s="400"/>
      <c r="VIX18" s="400"/>
      <c r="VIY18" s="400"/>
      <c r="VIZ18" s="400"/>
      <c r="VJA18" s="400"/>
      <c r="VJB18" s="400"/>
      <c r="VJC18" s="400"/>
      <c r="VJD18" s="400"/>
      <c r="VJE18" s="400"/>
      <c r="VJF18" s="400"/>
      <c r="VJG18" s="400"/>
      <c r="VJH18" s="400"/>
      <c r="VJI18" s="400"/>
      <c r="VJJ18" s="400"/>
      <c r="VJK18" s="400"/>
      <c r="VJL18" s="400"/>
      <c r="VJM18" s="400"/>
      <c r="VJN18" s="400"/>
      <c r="VJO18" s="400"/>
      <c r="VJP18" s="400"/>
      <c r="VJQ18" s="400"/>
      <c r="VJR18" s="400"/>
      <c r="VJS18" s="400"/>
      <c r="VJT18" s="400"/>
      <c r="VJU18" s="400"/>
      <c r="VJV18" s="400"/>
      <c r="VJW18" s="400"/>
      <c r="VJX18" s="400"/>
      <c r="VJY18" s="400"/>
      <c r="VJZ18" s="400"/>
      <c r="VKA18" s="400"/>
      <c r="VKB18" s="400"/>
      <c r="VKC18" s="400"/>
      <c r="VKD18" s="400"/>
      <c r="VKE18" s="400"/>
      <c r="VKF18" s="400"/>
      <c r="VKG18" s="400"/>
      <c r="VKH18" s="400"/>
      <c r="VKI18" s="400"/>
      <c r="VKJ18" s="400"/>
      <c r="VKK18" s="400"/>
      <c r="VKL18" s="400"/>
      <c r="VKM18" s="400"/>
      <c r="VKN18" s="400"/>
      <c r="VKO18" s="400"/>
      <c r="VKP18" s="400"/>
      <c r="VKQ18" s="400"/>
      <c r="VKR18" s="400"/>
      <c r="VKS18" s="400"/>
      <c r="VKT18" s="400"/>
      <c r="VKU18" s="400"/>
      <c r="VKV18" s="400"/>
      <c r="VKW18" s="400"/>
      <c r="VKX18" s="400"/>
      <c r="VKY18" s="400"/>
      <c r="VKZ18" s="400"/>
      <c r="VLA18" s="400"/>
      <c r="VLB18" s="400"/>
      <c r="VLC18" s="400"/>
      <c r="VLD18" s="400"/>
      <c r="VLE18" s="400"/>
      <c r="VLF18" s="400"/>
      <c r="VLG18" s="400"/>
      <c r="VLH18" s="400"/>
      <c r="VLI18" s="400"/>
      <c r="VLJ18" s="400"/>
      <c r="VLK18" s="400"/>
      <c r="VLL18" s="400"/>
      <c r="VLM18" s="400"/>
      <c r="VLN18" s="400"/>
      <c r="VLO18" s="400"/>
      <c r="VLP18" s="400"/>
      <c r="VLQ18" s="400"/>
      <c r="VLR18" s="400"/>
      <c r="VLS18" s="400"/>
      <c r="VLT18" s="400"/>
      <c r="VLU18" s="400"/>
      <c r="VLV18" s="400"/>
      <c r="VLW18" s="400"/>
      <c r="VLX18" s="400"/>
      <c r="VLY18" s="400"/>
      <c r="VLZ18" s="400"/>
      <c r="VMA18" s="400"/>
      <c r="VMB18" s="400"/>
      <c r="VMC18" s="400"/>
      <c r="VMD18" s="400"/>
      <c r="VME18" s="400"/>
      <c r="VMF18" s="400"/>
      <c r="VMG18" s="400"/>
      <c r="VMH18" s="400"/>
      <c r="VMI18" s="400"/>
      <c r="VMJ18" s="400"/>
      <c r="VMK18" s="400"/>
      <c r="VML18" s="400"/>
      <c r="VMM18" s="400"/>
      <c r="VMN18" s="400"/>
      <c r="VMO18" s="400"/>
      <c r="VMP18" s="400"/>
      <c r="VMQ18" s="400"/>
      <c r="VMR18" s="400"/>
      <c r="VMS18" s="400"/>
      <c r="VMT18" s="400"/>
      <c r="VMU18" s="400"/>
      <c r="VMV18" s="400"/>
      <c r="VMW18" s="400"/>
      <c r="VMX18" s="400"/>
      <c r="VMY18" s="400"/>
      <c r="VMZ18" s="400"/>
      <c r="VNA18" s="400"/>
      <c r="VNB18" s="400"/>
      <c r="VNC18" s="400"/>
      <c r="VND18" s="400"/>
      <c r="VNE18" s="400"/>
      <c r="VNF18" s="400"/>
      <c r="VNG18" s="400"/>
      <c r="VNH18" s="400"/>
      <c r="VNI18" s="400"/>
      <c r="VNJ18" s="400"/>
      <c r="VNK18" s="400"/>
      <c r="VNL18" s="400"/>
      <c r="VNM18" s="400"/>
      <c r="VNN18" s="400"/>
      <c r="VNO18" s="400"/>
      <c r="VNP18" s="400"/>
      <c r="VNQ18" s="400"/>
      <c r="VNR18" s="400"/>
      <c r="VNS18" s="400"/>
      <c r="VNT18" s="400"/>
      <c r="VNU18" s="400"/>
      <c r="VNV18" s="400"/>
      <c r="VNW18" s="400"/>
      <c r="VNX18" s="400"/>
      <c r="VNY18" s="400"/>
      <c r="VNZ18" s="400"/>
      <c r="VOA18" s="400"/>
      <c r="VOB18" s="400"/>
      <c r="VOC18" s="400"/>
      <c r="VOD18" s="400"/>
      <c r="VOE18" s="400"/>
      <c r="VOF18" s="400"/>
      <c r="VOG18" s="400"/>
      <c r="VOH18" s="400"/>
      <c r="VOI18" s="400"/>
      <c r="VOJ18" s="400"/>
      <c r="VOK18" s="400"/>
      <c r="VOL18" s="400"/>
      <c r="VOM18" s="400"/>
      <c r="VON18" s="400"/>
      <c r="VOO18" s="400"/>
      <c r="VOP18" s="400"/>
      <c r="VOQ18" s="400"/>
      <c r="VOR18" s="400"/>
      <c r="VOS18" s="400"/>
      <c r="VOT18" s="400"/>
      <c r="VOU18" s="400"/>
      <c r="VOV18" s="400"/>
      <c r="VOW18" s="400"/>
      <c r="VOX18" s="400"/>
      <c r="VOY18" s="400"/>
      <c r="VOZ18" s="400"/>
      <c r="VPA18" s="400"/>
      <c r="VPB18" s="400"/>
      <c r="VPC18" s="400"/>
      <c r="VPD18" s="400"/>
      <c r="VPE18" s="400"/>
      <c r="VPF18" s="400"/>
      <c r="VPG18" s="400"/>
      <c r="VPH18" s="400"/>
      <c r="VPI18" s="400"/>
      <c r="VPJ18" s="400"/>
      <c r="VPK18" s="400"/>
      <c r="VPL18" s="400"/>
      <c r="VPM18" s="400"/>
      <c r="VPN18" s="400"/>
      <c r="VPO18" s="400"/>
      <c r="VPP18" s="400"/>
      <c r="VPQ18" s="400"/>
      <c r="VPR18" s="400"/>
      <c r="VPS18" s="400"/>
      <c r="VPT18" s="400"/>
      <c r="VPU18" s="400"/>
      <c r="VPV18" s="400"/>
      <c r="VPW18" s="400"/>
      <c r="VPX18" s="400"/>
      <c r="VPY18" s="400"/>
      <c r="VPZ18" s="400"/>
      <c r="VQA18" s="400"/>
      <c r="VQB18" s="400"/>
      <c r="VQC18" s="400"/>
      <c r="VQD18" s="400"/>
      <c r="VQE18" s="400"/>
      <c r="VQF18" s="400"/>
      <c r="VQG18" s="400"/>
      <c r="VQH18" s="400"/>
      <c r="VQI18" s="400"/>
      <c r="VQJ18" s="400"/>
      <c r="VQK18" s="400"/>
      <c r="VQL18" s="400"/>
      <c r="VQM18" s="400"/>
      <c r="VQN18" s="400"/>
      <c r="VQO18" s="400"/>
      <c r="VQP18" s="400"/>
      <c r="VQQ18" s="400"/>
      <c r="VQR18" s="400"/>
      <c r="VQS18" s="400"/>
      <c r="VQT18" s="400"/>
      <c r="VQU18" s="400"/>
      <c r="VQV18" s="400"/>
      <c r="VQW18" s="400"/>
      <c r="VQX18" s="400"/>
      <c r="VQY18" s="400"/>
      <c r="VQZ18" s="400"/>
      <c r="VRA18" s="400"/>
      <c r="VRB18" s="400"/>
      <c r="VRC18" s="400"/>
      <c r="VRD18" s="400"/>
      <c r="VRE18" s="400"/>
      <c r="VRF18" s="400"/>
      <c r="VRG18" s="400"/>
      <c r="VRH18" s="400"/>
      <c r="VRI18" s="400"/>
      <c r="VRJ18" s="400"/>
      <c r="VRK18" s="400"/>
      <c r="VRL18" s="400"/>
      <c r="VRM18" s="400"/>
      <c r="VRN18" s="400"/>
      <c r="VRO18" s="400"/>
      <c r="VRP18" s="400"/>
      <c r="VRQ18" s="400"/>
      <c r="VRR18" s="400"/>
      <c r="VRS18" s="400"/>
      <c r="VRT18" s="400"/>
      <c r="VRU18" s="400"/>
      <c r="VRV18" s="400"/>
      <c r="VRW18" s="400"/>
      <c r="VRX18" s="400"/>
      <c r="VRY18" s="400"/>
      <c r="VRZ18" s="400"/>
      <c r="VSA18" s="400"/>
      <c r="VSB18" s="400"/>
      <c r="VSC18" s="400"/>
      <c r="VSD18" s="400"/>
      <c r="VSE18" s="400"/>
      <c r="VSF18" s="400"/>
      <c r="VSG18" s="400"/>
      <c r="VSH18" s="400"/>
      <c r="VSI18" s="400"/>
      <c r="VSJ18" s="400"/>
      <c r="VSK18" s="400"/>
      <c r="VSL18" s="400"/>
      <c r="VSM18" s="400"/>
      <c r="VSN18" s="400"/>
      <c r="VSO18" s="400"/>
      <c r="VSP18" s="400"/>
      <c r="VSQ18" s="400"/>
      <c r="VSR18" s="400"/>
      <c r="VSS18" s="400"/>
      <c r="VST18" s="400"/>
      <c r="VSU18" s="400"/>
      <c r="VSV18" s="400"/>
      <c r="VSW18" s="400"/>
      <c r="VSX18" s="400"/>
      <c r="VSY18" s="400"/>
      <c r="VSZ18" s="400"/>
      <c r="VTA18" s="400"/>
      <c r="VTB18" s="400"/>
      <c r="VTC18" s="400"/>
      <c r="VTD18" s="400"/>
      <c r="VTE18" s="400"/>
      <c r="VTF18" s="400"/>
      <c r="VTG18" s="400"/>
      <c r="VTH18" s="400"/>
      <c r="VTI18" s="400"/>
      <c r="VTJ18" s="400"/>
      <c r="VTK18" s="400"/>
      <c r="VTL18" s="400"/>
      <c r="VTM18" s="400"/>
      <c r="VTN18" s="400"/>
      <c r="VTO18" s="400"/>
      <c r="VTP18" s="400"/>
      <c r="VTQ18" s="400"/>
      <c r="VTR18" s="400"/>
      <c r="VTS18" s="400"/>
      <c r="VTT18" s="400"/>
      <c r="VTU18" s="400"/>
      <c r="VTV18" s="400"/>
      <c r="VTW18" s="400"/>
      <c r="VTX18" s="400"/>
      <c r="VTY18" s="400"/>
      <c r="VTZ18" s="400"/>
      <c r="VUA18" s="400"/>
      <c r="VUB18" s="400"/>
      <c r="VUC18" s="400"/>
      <c r="VUD18" s="400"/>
      <c r="VUE18" s="400"/>
      <c r="VUF18" s="400"/>
      <c r="VUG18" s="400"/>
      <c r="VUH18" s="400"/>
      <c r="VUI18" s="400"/>
      <c r="VUJ18" s="400"/>
      <c r="VUK18" s="400"/>
      <c r="VUL18" s="400"/>
      <c r="VUM18" s="400"/>
      <c r="VUN18" s="400"/>
      <c r="VUO18" s="400"/>
      <c r="VUP18" s="400"/>
      <c r="VUQ18" s="400"/>
      <c r="VUR18" s="400"/>
      <c r="VUS18" s="400"/>
      <c r="VUT18" s="400"/>
      <c r="VUU18" s="400"/>
      <c r="VUV18" s="400"/>
      <c r="VUW18" s="400"/>
      <c r="VUX18" s="400"/>
      <c r="VUY18" s="400"/>
      <c r="VUZ18" s="400"/>
      <c r="VVA18" s="400"/>
      <c r="VVB18" s="400"/>
      <c r="VVC18" s="400"/>
      <c r="VVD18" s="400"/>
      <c r="VVE18" s="400"/>
      <c r="VVF18" s="400"/>
      <c r="VVG18" s="400"/>
      <c r="VVH18" s="400"/>
      <c r="VVI18" s="400"/>
      <c r="VVJ18" s="400"/>
      <c r="VVK18" s="400"/>
      <c r="VVL18" s="400"/>
      <c r="VVM18" s="400"/>
      <c r="VVN18" s="400"/>
      <c r="VVO18" s="400"/>
      <c r="VVP18" s="400"/>
      <c r="VVQ18" s="400"/>
      <c r="VVR18" s="400"/>
      <c r="VVS18" s="400"/>
      <c r="VVT18" s="400"/>
      <c r="VVU18" s="400"/>
      <c r="VVV18" s="400"/>
      <c r="VVW18" s="400"/>
      <c r="VVX18" s="400"/>
      <c r="VVY18" s="400"/>
      <c r="VVZ18" s="400"/>
      <c r="VWA18" s="400"/>
      <c r="VWB18" s="400"/>
      <c r="VWC18" s="400"/>
      <c r="VWD18" s="400"/>
      <c r="VWE18" s="400"/>
      <c r="VWF18" s="400"/>
      <c r="VWG18" s="400"/>
      <c r="VWH18" s="400"/>
      <c r="VWI18" s="400"/>
      <c r="VWJ18" s="400"/>
      <c r="VWK18" s="400"/>
      <c r="VWL18" s="400"/>
      <c r="VWM18" s="400"/>
      <c r="VWN18" s="400"/>
      <c r="VWO18" s="400"/>
      <c r="VWP18" s="400"/>
      <c r="VWQ18" s="400"/>
      <c r="VWR18" s="400"/>
      <c r="VWS18" s="400"/>
      <c r="VWT18" s="400"/>
      <c r="VWU18" s="400"/>
      <c r="VWV18" s="400"/>
      <c r="VWW18" s="400"/>
      <c r="VWX18" s="400"/>
      <c r="VWY18" s="400"/>
      <c r="VWZ18" s="400"/>
      <c r="VXA18" s="400"/>
      <c r="VXB18" s="400"/>
      <c r="VXC18" s="400"/>
      <c r="VXD18" s="400"/>
      <c r="VXE18" s="400"/>
      <c r="VXF18" s="400"/>
      <c r="VXG18" s="400"/>
      <c r="VXH18" s="400"/>
      <c r="VXI18" s="400"/>
      <c r="VXJ18" s="400"/>
      <c r="VXK18" s="400"/>
      <c r="VXL18" s="400"/>
      <c r="VXM18" s="400"/>
      <c r="VXN18" s="400"/>
      <c r="VXO18" s="400"/>
      <c r="VXP18" s="400"/>
      <c r="VXQ18" s="400"/>
      <c r="VXR18" s="400"/>
      <c r="VXS18" s="400"/>
      <c r="VXT18" s="400"/>
      <c r="VXU18" s="400"/>
      <c r="VXV18" s="400"/>
      <c r="VXW18" s="400"/>
      <c r="VXX18" s="400"/>
      <c r="VXY18" s="400"/>
      <c r="VXZ18" s="400"/>
      <c r="VYA18" s="400"/>
      <c r="VYB18" s="400"/>
      <c r="VYC18" s="400"/>
      <c r="VYD18" s="400"/>
      <c r="VYE18" s="400"/>
      <c r="VYF18" s="400"/>
      <c r="VYG18" s="400"/>
      <c r="VYH18" s="400"/>
      <c r="VYI18" s="400"/>
      <c r="VYJ18" s="400"/>
      <c r="VYK18" s="400"/>
      <c r="VYL18" s="400"/>
      <c r="VYM18" s="400"/>
      <c r="VYN18" s="400"/>
      <c r="VYO18" s="400"/>
      <c r="VYP18" s="400"/>
      <c r="VYQ18" s="400"/>
      <c r="VYR18" s="400"/>
      <c r="VYS18" s="400"/>
      <c r="VYT18" s="400"/>
      <c r="VYU18" s="400"/>
      <c r="VYV18" s="400"/>
      <c r="VYW18" s="400"/>
      <c r="VYX18" s="400"/>
      <c r="VYY18" s="400"/>
      <c r="VYZ18" s="400"/>
      <c r="VZA18" s="400"/>
      <c r="VZB18" s="400"/>
      <c r="VZC18" s="400"/>
      <c r="VZD18" s="400"/>
      <c r="VZE18" s="400"/>
      <c r="VZF18" s="400"/>
      <c r="VZG18" s="400"/>
      <c r="VZH18" s="400"/>
      <c r="VZI18" s="400"/>
      <c r="VZJ18" s="400"/>
      <c r="VZK18" s="400"/>
      <c r="VZL18" s="400"/>
      <c r="VZM18" s="400"/>
      <c r="VZN18" s="400"/>
      <c r="VZO18" s="400"/>
      <c r="VZP18" s="400"/>
      <c r="VZQ18" s="400"/>
      <c r="VZR18" s="400"/>
      <c r="VZS18" s="400"/>
      <c r="VZT18" s="400"/>
      <c r="VZU18" s="400"/>
      <c r="VZV18" s="400"/>
      <c r="VZW18" s="400"/>
      <c r="VZX18" s="400"/>
      <c r="VZY18" s="400"/>
      <c r="VZZ18" s="400"/>
      <c r="WAA18" s="400"/>
      <c r="WAB18" s="400"/>
      <c r="WAC18" s="400"/>
      <c r="WAD18" s="400"/>
      <c r="WAE18" s="400"/>
      <c r="WAF18" s="400"/>
      <c r="WAG18" s="400"/>
      <c r="WAH18" s="400"/>
      <c r="WAI18" s="400"/>
      <c r="WAJ18" s="400"/>
      <c r="WAK18" s="400"/>
      <c r="WAL18" s="400"/>
      <c r="WAM18" s="400"/>
      <c r="WAN18" s="400"/>
      <c r="WAO18" s="400"/>
      <c r="WAP18" s="400"/>
      <c r="WAQ18" s="400"/>
      <c r="WAR18" s="400"/>
      <c r="WAS18" s="400"/>
      <c r="WAT18" s="400"/>
      <c r="WAU18" s="400"/>
      <c r="WAV18" s="400"/>
      <c r="WAW18" s="400"/>
      <c r="WAX18" s="400"/>
      <c r="WAY18" s="400"/>
      <c r="WAZ18" s="400"/>
      <c r="WBA18" s="400"/>
      <c r="WBB18" s="400"/>
      <c r="WBC18" s="400"/>
      <c r="WBD18" s="400"/>
      <c r="WBE18" s="400"/>
      <c r="WBF18" s="400"/>
      <c r="WBG18" s="400"/>
      <c r="WBH18" s="400"/>
      <c r="WBI18" s="400"/>
      <c r="WBJ18" s="400"/>
      <c r="WBK18" s="400"/>
      <c r="WBL18" s="400"/>
      <c r="WBM18" s="400"/>
      <c r="WBN18" s="400"/>
      <c r="WBO18" s="400"/>
      <c r="WBP18" s="400"/>
      <c r="WBQ18" s="400"/>
      <c r="WBR18" s="400"/>
      <c r="WBS18" s="400"/>
      <c r="WBT18" s="400"/>
      <c r="WBU18" s="400"/>
      <c r="WBV18" s="400"/>
      <c r="WBW18" s="400"/>
      <c r="WBX18" s="400"/>
      <c r="WBY18" s="400"/>
      <c r="WBZ18" s="400"/>
      <c r="WCA18" s="400"/>
      <c r="WCB18" s="400"/>
      <c r="WCC18" s="400"/>
      <c r="WCD18" s="400"/>
      <c r="WCE18" s="400"/>
      <c r="WCF18" s="400"/>
      <c r="WCG18" s="400"/>
      <c r="WCH18" s="400"/>
      <c r="WCI18" s="400"/>
      <c r="WCJ18" s="400"/>
      <c r="WCK18" s="400"/>
      <c r="WCL18" s="400"/>
      <c r="WCM18" s="400"/>
      <c r="WCN18" s="400"/>
      <c r="WCO18" s="400"/>
      <c r="WCP18" s="400"/>
      <c r="WCQ18" s="400"/>
      <c r="WCR18" s="400"/>
      <c r="WCS18" s="400"/>
      <c r="WCT18" s="400"/>
      <c r="WCU18" s="400"/>
      <c r="WCV18" s="400"/>
      <c r="WCW18" s="400"/>
      <c r="WCX18" s="400"/>
      <c r="WCY18" s="400"/>
      <c r="WCZ18" s="400"/>
      <c r="WDA18" s="400"/>
      <c r="WDB18" s="400"/>
      <c r="WDC18" s="400"/>
      <c r="WDD18" s="400"/>
      <c r="WDE18" s="400"/>
      <c r="WDF18" s="400"/>
      <c r="WDG18" s="400"/>
      <c r="WDH18" s="400"/>
      <c r="WDI18" s="400"/>
      <c r="WDJ18" s="400"/>
      <c r="WDK18" s="400"/>
      <c r="WDL18" s="400"/>
      <c r="WDM18" s="400"/>
      <c r="WDN18" s="400"/>
      <c r="WDO18" s="400"/>
      <c r="WDP18" s="400"/>
      <c r="WDQ18" s="400"/>
      <c r="WDR18" s="400"/>
      <c r="WDS18" s="400"/>
      <c r="WDT18" s="400"/>
      <c r="WDU18" s="400"/>
      <c r="WDV18" s="400"/>
      <c r="WDW18" s="400"/>
      <c r="WDX18" s="400"/>
      <c r="WDY18" s="400"/>
      <c r="WDZ18" s="400"/>
      <c r="WEA18" s="400"/>
      <c r="WEB18" s="400"/>
      <c r="WEC18" s="400"/>
      <c r="WED18" s="400"/>
      <c r="WEE18" s="400"/>
      <c r="WEF18" s="400"/>
      <c r="WEG18" s="400"/>
      <c r="WEH18" s="400"/>
      <c r="WEI18" s="400"/>
      <c r="WEJ18" s="400"/>
      <c r="WEK18" s="400"/>
      <c r="WEL18" s="400"/>
      <c r="WEM18" s="400"/>
      <c r="WEN18" s="400"/>
      <c r="WEO18" s="400"/>
      <c r="WEP18" s="400"/>
      <c r="WEQ18" s="400"/>
      <c r="WER18" s="400"/>
      <c r="WES18" s="400"/>
      <c r="WET18" s="400"/>
      <c r="WEU18" s="400"/>
      <c r="WEV18" s="400"/>
      <c r="WEW18" s="400"/>
      <c r="WEX18" s="400"/>
      <c r="WEY18" s="400"/>
      <c r="WEZ18" s="400"/>
      <c r="WFA18" s="400"/>
      <c r="WFB18" s="400"/>
      <c r="WFC18" s="400"/>
      <c r="WFD18" s="400"/>
      <c r="WFE18" s="400"/>
      <c r="WFF18" s="400"/>
      <c r="WFG18" s="400"/>
      <c r="WFH18" s="400"/>
      <c r="WFI18" s="400"/>
      <c r="WFJ18" s="400"/>
      <c r="WFK18" s="400"/>
      <c r="WFL18" s="400"/>
      <c r="WFM18" s="400"/>
      <c r="WFN18" s="400"/>
      <c r="WFO18" s="400"/>
      <c r="WFP18" s="400"/>
      <c r="WFQ18" s="400"/>
      <c r="WFR18" s="400"/>
      <c r="WFS18" s="400"/>
      <c r="WFT18" s="400"/>
      <c r="WFU18" s="400"/>
      <c r="WFV18" s="400"/>
      <c r="WFW18" s="400"/>
      <c r="WFX18" s="400"/>
      <c r="WFY18" s="400"/>
      <c r="WFZ18" s="400"/>
      <c r="WGA18" s="400"/>
      <c r="WGB18" s="400"/>
      <c r="WGC18" s="400"/>
      <c r="WGD18" s="400"/>
      <c r="WGE18" s="400"/>
      <c r="WGF18" s="400"/>
      <c r="WGG18" s="400"/>
      <c r="WGH18" s="400"/>
      <c r="WGI18" s="400"/>
      <c r="WGJ18" s="400"/>
      <c r="WGK18" s="400"/>
      <c r="WGL18" s="400"/>
      <c r="WGM18" s="400"/>
      <c r="WGN18" s="400"/>
      <c r="WGO18" s="400"/>
      <c r="WGP18" s="400"/>
      <c r="WGQ18" s="400"/>
      <c r="WGR18" s="400"/>
      <c r="WGS18" s="400"/>
      <c r="WGT18" s="400"/>
      <c r="WGU18" s="400"/>
      <c r="WGV18" s="400"/>
      <c r="WGW18" s="400"/>
      <c r="WGX18" s="400"/>
      <c r="WGY18" s="400"/>
      <c r="WGZ18" s="400"/>
      <c r="WHA18" s="400"/>
      <c r="WHB18" s="400"/>
      <c r="WHC18" s="400"/>
      <c r="WHD18" s="400"/>
      <c r="WHE18" s="400"/>
      <c r="WHF18" s="400"/>
      <c r="WHG18" s="400"/>
      <c r="WHH18" s="400"/>
      <c r="WHI18" s="400"/>
      <c r="WHJ18" s="400"/>
      <c r="WHK18" s="400"/>
      <c r="WHL18" s="400"/>
      <c r="WHM18" s="400"/>
      <c r="WHN18" s="400"/>
      <c r="WHO18" s="400"/>
      <c r="WHP18" s="400"/>
      <c r="WHQ18" s="400"/>
      <c r="WHR18" s="400"/>
      <c r="WHS18" s="400"/>
      <c r="WHT18" s="400"/>
      <c r="WHU18" s="400"/>
      <c r="WHV18" s="400"/>
      <c r="WHW18" s="400"/>
      <c r="WHX18" s="400"/>
      <c r="WHY18" s="400"/>
      <c r="WHZ18" s="400"/>
      <c r="WIA18" s="400"/>
      <c r="WIB18" s="400"/>
      <c r="WIC18" s="400"/>
      <c r="WID18" s="400"/>
      <c r="WIE18" s="400"/>
      <c r="WIF18" s="400"/>
      <c r="WIG18" s="400"/>
      <c r="WIH18" s="400"/>
      <c r="WII18" s="400"/>
      <c r="WIJ18" s="400"/>
      <c r="WIK18" s="400"/>
      <c r="WIL18" s="400"/>
      <c r="WIM18" s="400"/>
      <c r="WIN18" s="400"/>
      <c r="WIO18" s="400"/>
      <c r="WIP18" s="400"/>
      <c r="WIQ18" s="400"/>
      <c r="WIR18" s="400"/>
      <c r="WIS18" s="400"/>
      <c r="WIT18" s="400"/>
      <c r="WIU18" s="400"/>
      <c r="WIV18" s="400"/>
      <c r="WIW18" s="400"/>
      <c r="WIX18" s="400"/>
      <c r="WIY18" s="400"/>
      <c r="WIZ18" s="400"/>
      <c r="WJA18" s="400"/>
      <c r="WJB18" s="400"/>
      <c r="WJC18" s="400"/>
      <c r="WJD18" s="400"/>
      <c r="WJE18" s="400"/>
      <c r="WJF18" s="400"/>
      <c r="WJG18" s="400"/>
      <c r="WJH18" s="400"/>
      <c r="WJI18" s="400"/>
      <c r="WJJ18" s="400"/>
      <c r="WJK18" s="400"/>
      <c r="WJL18" s="400"/>
      <c r="WJM18" s="400"/>
      <c r="WJN18" s="400"/>
      <c r="WJO18" s="400"/>
      <c r="WJP18" s="400"/>
      <c r="WJQ18" s="400"/>
      <c r="WJR18" s="400"/>
      <c r="WJS18" s="400"/>
      <c r="WJT18" s="400"/>
      <c r="WJU18" s="400"/>
      <c r="WJV18" s="400"/>
      <c r="WJW18" s="400"/>
      <c r="WJX18" s="400"/>
      <c r="WJY18" s="400"/>
      <c r="WJZ18" s="400"/>
      <c r="WKA18" s="400"/>
      <c r="WKB18" s="400"/>
      <c r="WKC18" s="400"/>
      <c r="WKD18" s="400"/>
      <c r="WKE18" s="400"/>
      <c r="WKF18" s="400"/>
      <c r="WKG18" s="400"/>
      <c r="WKH18" s="400"/>
      <c r="WKI18" s="400"/>
      <c r="WKJ18" s="400"/>
      <c r="WKK18" s="400"/>
      <c r="WKL18" s="400"/>
      <c r="WKM18" s="400"/>
      <c r="WKN18" s="400"/>
      <c r="WKO18" s="400"/>
      <c r="WKP18" s="400"/>
      <c r="WKQ18" s="400"/>
      <c r="WKR18" s="400"/>
      <c r="WKS18" s="400"/>
      <c r="WKT18" s="400"/>
      <c r="WKU18" s="400"/>
      <c r="WKV18" s="400"/>
      <c r="WKW18" s="400"/>
      <c r="WKX18" s="400"/>
      <c r="WKY18" s="400"/>
      <c r="WKZ18" s="400"/>
      <c r="WLA18" s="400"/>
      <c r="WLB18" s="400"/>
      <c r="WLC18" s="400"/>
      <c r="WLD18" s="400"/>
      <c r="WLE18" s="400"/>
      <c r="WLF18" s="400"/>
      <c r="WLG18" s="400"/>
      <c r="WLH18" s="400"/>
      <c r="WLI18" s="400"/>
      <c r="WLJ18" s="400"/>
      <c r="WLK18" s="400"/>
      <c r="WLL18" s="400"/>
      <c r="WLM18" s="400"/>
      <c r="WLN18" s="400"/>
      <c r="WLO18" s="400"/>
      <c r="WLP18" s="400"/>
      <c r="WLQ18" s="400"/>
      <c r="WLR18" s="400"/>
      <c r="WLS18" s="400"/>
      <c r="WLT18" s="400"/>
      <c r="WLU18" s="400"/>
      <c r="WLV18" s="400"/>
      <c r="WLW18" s="400"/>
      <c r="WLX18" s="400"/>
      <c r="WLY18" s="400"/>
      <c r="WLZ18" s="400"/>
      <c r="WMA18" s="400"/>
      <c r="WMB18" s="400"/>
      <c r="WMC18" s="400"/>
      <c r="WMD18" s="400"/>
      <c r="WME18" s="400"/>
      <c r="WMF18" s="400"/>
      <c r="WMG18" s="400"/>
      <c r="WMH18" s="400"/>
      <c r="WMI18" s="400"/>
      <c r="WMJ18" s="400"/>
      <c r="WMK18" s="400"/>
      <c r="WML18" s="400"/>
      <c r="WMM18" s="400"/>
      <c r="WMN18" s="400"/>
      <c r="WMO18" s="400"/>
      <c r="WMP18" s="400"/>
      <c r="WMQ18" s="400"/>
      <c r="WMR18" s="400"/>
      <c r="WMS18" s="400"/>
      <c r="WMT18" s="400"/>
      <c r="WMU18" s="400"/>
      <c r="WMV18" s="400"/>
      <c r="WMW18" s="400"/>
      <c r="WMX18" s="400"/>
      <c r="WMY18" s="400"/>
      <c r="WMZ18" s="400"/>
      <c r="WNA18" s="400"/>
      <c r="WNB18" s="400"/>
      <c r="WNC18" s="400"/>
      <c r="WND18" s="400"/>
      <c r="WNE18" s="400"/>
      <c r="WNF18" s="400"/>
      <c r="WNG18" s="400"/>
      <c r="WNH18" s="400"/>
      <c r="WNI18" s="400"/>
      <c r="WNJ18" s="400"/>
      <c r="WNK18" s="400"/>
      <c r="WNL18" s="400"/>
      <c r="WNM18" s="400"/>
      <c r="WNN18" s="400"/>
      <c r="WNO18" s="400"/>
      <c r="WNP18" s="400"/>
      <c r="WNQ18" s="400"/>
      <c r="WNR18" s="400"/>
      <c r="WNS18" s="400"/>
      <c r="WNT18" s="400"/>
      <c r="WNU18" s="400"/>
      <c r="WNV18" s="400"/>
      <c r="WNW18" s="400"/>
      <c r="WNX18" s="400"/>
      <c r="WNY18" s="400"/>
      <c r="WNZ18" s="400"/>
      <c r="WOA18" s="400"/>
      <c r="WOB18" s="400"/>
      <c r="WOC18" s="400"/>
      <c r="WOD18" s="400"/>
      <c r="WOE18" s="400"/>
      <c r="WOF18" s="400"/>
      <c r="WOG18" s="400"/>
      <c r="WOH18" s="400"/>
      <c r="WOI18" s="400"/>
      <c r="WOJ18" s="400"/>
      <c r="WOK18" s="400"/>
      <c r="WOL18" s="400"/>
      <c r="WOM18" s="400"/>
      <c r="WON18" s="400"/>
      <c r="WOO18" s="400"/>
      <c r="WOP18" s="400"/>
      <c r="WOQ18" s="400"/>
      <c r="WOR18" s="400"/>
      <c r="WOS18" s="400"/>
      <c r="WOT18" s="400"/>
      <c r="WOU18" s="400"/>
      <c r="WOV18" s="400"/>
      <c r="WOW18" s="400"/>
      <c r="WOX18" s="400"/>
      <c r="WOY18" s="400"/>
      <c r="WOZ18" s="400"/>
      <c r="WPA18" s="400"/>
      <c r="WPB18" s="400"/>
      <c r="WPC18" s="400"/>
      <c r="WPD18" s="400"/>
      <c r="WPE18" s="400"/>
      <c r="WPF18" s="400"/>
      <c r="WPG18" s="400"/>
      <c r="WPH18" s="400"/>
      <c r="WPI18" s="400"/>
      <c r="WPJ18" s="400"/>
      <c r="WPK18" s="400"/>
      <c r="WPL18" s="400"/>
      <c r="WPM18" s="400"/>
      <c r="WPN18" s="400"/>
      <c r="WPO18" s="400"/>
      <c r="WPP18" s="400"/>
      <c r="WPQ18" s="400"/>
      <c r="WPR18" s="400"/>
      <c r="WPS18" s="400"/>
      <c r="WPT18" s="400"/>
      <c r="WPU18" s="400"/>
      <c r="WPV18" s="400"/>
      <c r="WPW18" s="400"/>
      <c r="WPX18" s="400"/>
      <c r="WPY18" s="400"/>
      <c r="WPZ18" s="400"/>
      <c r="WQA18" s="400"/>
      <c r="WQB18" s="400"/>
      <c r="WQC18" s="400"/>
      <c r="WQD18" s="400"/>
      <c r="WQE18" s="400"/>
      <c r="WQF18" s="400"/>
      <c r="WQG18" s="400"/>
      <c r="WQH18" s="400"/>
      <c r="WQI18" s="400"/>
      <c r="WQJ18" s="400"/>
      <c r="WQK18" s="400"/>
      <c r="WQL18" s="400"/>
      <c r="WQM18" s="400"/>
      <c r="WQN18" s="400"/>
      <c r="WQO18" s="400"/>
      <c r="WQP18" s="400"/>
      <c r="WQQ18" s="400"/>
      <c r="WQR18" s="400"/>
      <c r="WQS18" s="400"/>
      <c r="WQT18" s="400"/>
      <c r="WQU18" s="400"/>
      <c r="WQV18" s="400"/>
      <c r="WQW18" s="400"/>
      <c r="WQX18" s="400"/>
      <c r="WQY18" s="400"/>
      <c r="WQZ18" s="400"/>
      <c r="WRA18" s="400"/>
      <c r="WRB18" s="400"/>
      <c r="WRC18" s="400"/>
      <c r="WRD18" s="400"/>
      <c r="WRE18" s="400"/>
      <c r="WRF18" s="400"/>
      <c r="WRG18" s="400"/>
      <c r="WRH18" s="400"/>
      <c r="WRI18" s="400"/>
      <c r="WRJ18" s="400"/>
      <c r="WRK18" s="400"/>
      <c r="WRL18" s="400"/>
      <c r="WRM18" s="400"/>
      <c r="WRN18" s="400"/>
      <c r="WRO18" s="400"/>
      <c r="WRP18" s="400"/>
      <c r="WRQ18" s="400"/>
      <c r="WRR18" s="400"/>
      <c r="WRS18" s="400"/>
      <c r="WRT18" s="400"/>
      <c r="WRU18" s="400"/>
      <c r="WRV18" s="400"/>
      <c r="WRW18" s="400"/>
      <c r="WRX18" s="400"/>
      <c r="WRY18" s="400"/>
      <c r="WRZ18" s="400"/>
      <c r="WSA18" s="400"/>
      <c r="WSB18" s="400"/>
      <c r="WSC18" s="400"/>
      <c r="WSD18" s="400"/>
      <c r="WSE18" s="400"/>
      <c r="WSF18" s="400"/>
      <c r="WSG18" s="400"/>
      <c r="WSH18" s="400"/>
      <c r="WSI18" s="400"/>
      <c r="WSJ18" s="400"/>
      <c r="WSK18" s="400"/>
      <c r="WSL18" s="400"/>
      <c r="WSM18" s="400"/>
      <c r="WSN18" s="400"/>
      <c r="WSO18" s="400"/>
      <c r="WSP18" s="400"/>
      <c r="WSQ18" s="400"/>
      <c r="WSR18" s="400"/>
      <c r="WSS18" s="400"/>
      <c r="WST18" s="400"/>
      <c r="WSU18" s="400"/>
      <c r="WSV18" s="400"/>
      <c r="WSW18" s="400"/>
      <c r="WSX18" s="400"/>
      <c r="WSY18" s="400"/>
      <c r="WSZ18" s="400"/>
      <c r="WTA18" s="400"/>
      <c r="WTB18" s="400"/>
      <c r="WTC18" s="400"/>
      <c r="WTD18" s="400"/>
      <c r="WTE18" s="400"/>
      <c r="WTF18" s="400"/>
      <c r="WTG18" s="400"/>
      <c r="WTH18" s="400"/>
      <c r="WTI18" s="400"/>
      <c r="WTJ18" s="400"/>
      <c r="WTK18" s="400"/>
      <c r="WTL18" s="400"/>
      <c r="WTM18" s="400"/>
      <c r="WTN18" s="400"/>
      <c r="WTO18" s="400"/>
      <c r="WTP18" s="400"/>
      <c r="WTQ18" s="400"/>
      <c r="WTR18" s="400"/>
      <c r="WTS18" s="400"/>
      <c r="WTT18" s="400"/>
      <c r="WTU18" s="400"/>
      <c r="WTV18" s="400"/>
      <c r="WTW18" s="400"/>
      <c r="WTX18" s="400"/>
      <c r="WTY18" s="400"/>
      <c r="WTZ18" s="400"/>
      <c r="WUA18" s="400"/>
      <c r="WUB18" s="400"/>
      <c r="WUC18" s="400"/>
      <c r="WUD18" s="400"/>
      <c r="WUE18" s="400"/>
      <c r="WUF18" s="400"/>
      <c r="WUG18" s="400"/>
      <c r="WUH18" s="400"/>
      <c r="WUI18" s="400"/>
      <c r="WUJ18" s="400"/>
      <c r="WUK18" s="400"/>
      <c r="WUL18" s="400"/>
      <c r="WUM18" s="400"/>
      <c r="WUN18" s="400"/>
      <c r="WUO18" s="400"/>
      <c r="WUP18" s="400"/>
      <c r="WUQ18" s="400"/>
      <c r="WUR18" s="400"/>
      <c r="WUS18" s="400"/>
      <c r="WUT18" s="400"/>
      <c r="WUU18" s="400"/>
      <c r="WUV18" s="400"/>
      <c r="WUW18" s="400"/>
      <c r="WUX18" s="400"/>
      <c r="WUY18" s="400"/>
      <c r="WUZ18" s="400"/>
      <c r="WVA18" s="400"/>
      <c r="WVB18" s="400"/>
      <c r="WVC18" s="400"/>
      <c r="WVD18" s="400"/>
      <c r="WVE18" s="400"/>
      <c r="WVF18" s="400"/>
      <c r="WVG18" s="400"/>
      <c r="WVH18" s="400"/>
      <c r="WVI18" s="400"/>
      <c r="WVJ18" s="400"/>
      <c r="WVK18" s="400"/>
      <c r="WVL18" s="400"/>
      <c r="WVM18" s="400"/>
      <c r="WVN18" s="400"/>
      <c r="WVO18" s="400"/>
      <c r="WVP18" s="400"/>
      <c r="WVQ18" s="400"/>
      <c r="WVR18" s="400"/>
      <c r="WVS18" s="400"/>
      <c r="WVT18" s="400"/>
      <c r="WVU18" s="400"/>
      <c r="WVV18" s="400"/>
      <c r="WVW18" s="400"/>
      <c r="WVX18" s="400"/>
      <c r="WVY18" s="400"/>
      <c r="WVZ18" s="400"/>
      <c r="WWA18" s="400"/>
      <c r="WWB18" s="400"/>
      <c r="WWC18" s="400"/>
      <c r="WWD18" s="400"/>
      <c r="WWE18" s="400"/>
      <c r="WWF18" s="400"/>
      <c r="WWG18" s="400"/>
      <c r="WWH18" s="400"/>
      <c r="WWI18" s="400"/>
      <c r="WWJ18" s="400"/>
      <c r="WWK18" s="400"/>
      <c r="WWL18" s="400"/>
      <c r="WWM18" s="400"/>
      <c r="WWN18" s="400"/>
      <c r="WWO18" s="400"/>
      <c r="WWP18" s="400"/>
      <c r="WWQ18" s="400"/>
      <c r="WWR18" s="400"/>
      <c r="WWS18" s="400"/>
      <c r="WWT18" s="400"/>
      <c r="WWU18" s="400"/>
      <c r="WWV18" s="400"/>
      <c r="WWW18" s="400"/>
      <c r="WWX18" s="400"/>
      <c r="WWY18" s="400"/>
      <c r="WWZ18" s="400"/>
      <c r="WXA18" s="400"/>
      <c r="WXB18" s="400"/>
      <c r="WXC18" s="400"/>
      <c r="WXD18" s="400"/>
      <c r="WXE18" s="400"/>
      <c r="WXF18" s="400"/>
      <c r="WXG18" s="400"/>
      <c r="WXH18" s="400"/>
      <c r="WXI18" s="400"/>
      <c r="WXJ18" s="400"/>
      <c r="WXK18" s="400"/>
      <c r="WXL18" s="400"/>
      <c r="WXM18" s="400"/>
      <c r="WXN18" s="400"/>
      <c r="WXO18" s="400"/>
      <c r="WXP18" s="400"/>
      <c r="WXQ18" s="400"/>
      <c r="WXR18" s="400"/>
      <c r="WXS18" s="400"/>
      <c r="WXT18" s="400"/>
      <c r="WXU18" s="400"/>
      <c r="WXV18" s="400"/>
      <c r="WXW18" s="400"/>
      <c r="WXX18" s="400"/>
      <c r="WXY18" s="400"/>
      <c r="WXZ18" s="400"/>
      <c r="WYA18" s="400"/>
      <c r="WYB18" s="400"/>
      <c r="WYC18" s="400"/>
      <c r="WYD18" s="400"/>
      <c r="WYE18" s="400"/>
      <c r="WYF18" s="400"/>
      <c r="WYG18" s="400"/>
      <c r="WYH18" s="400"/>
      <c r="WYI18" s="400"/>
      <c r="WYJ18" s="400"/>
      <c r="WYK18" s="400"/>
      <c r="WYL18" s="400"/>
      <c r="WYM18" s="400"/>
      <c r="WYN18" s="400"/>
      <c r="WYO18" s="400"/>
      <c r="WYP18" s="400"/>
      <c r="WYQ18" s="400"/>
      <c r="WYR18" s="400"/>
      <c r="WYS18" s="400"/>
      <c r="WYT18" s="400"/>
      <c r="WYU18" s="400"/>
      <c r="WYV18" s="400"/>
      <c r="WYW18" s="400"/>
      <c r="WYX18" s="400"/>
      <c r="WYY18" s="400"/>
      <c r="WYZ18" s="400"/>
      <c r="WZA18" s="400"/>
      <c r="WZB18" s="400"/>
      <c r="WZC18" s="400"/>
      <c r="WZD18" s="400"/>
      <c r="WZE18" s="400"/>
      <c r="WZF18" s="400"/>
      <c r="WZG18" s="400"/>
      <c r="WZH18" s="400"/>
      <c r="WZI18" s="400"/>
      <c r="WZJ18" s="400"/>
      <c r="WZK18" s="400"/>
      <c r="WZL18" s="400"/>
      <c r="WZM18" s="400"/>
      <c r="WZN18" s="400"/>
      <c r="WZO18" s="400"/>
      <c r="WZP18" s="400"/>
      <c r="WZQ18" s="400"/>
      <c r="WZR18" s="400"/>
      <c r="WZS18" s="400"/>
      <c r="WZT18" s="400"/>
      <c r="WZU18" s="400"/>
      <c r="WZV18" s="400"/>
      <c r="WZW18" s="400"/>
      <c r="WZX18" s="400"/>
      <c r="WZY18" s="400"/>
      <c r="WZZ18" s="400"/>
      <c r="XAA18" s="400"/>
      <c r="XAB18" s="400"/>
      <c r="XAC18" s="400"/>
      <c r="XAD18" s="400"/>
      <c r="XAE18" s="400"/>
      <c r="XAF18" s="400"/>
      <c r="XAG18" s="400"/>
      <c r="XAH18" s="400"/>
      <c r="XAI18" s="400"/>
      <c r="XAJ18" s="400"/>
      <c r="XAK18" s="400"/>
      <c r="XAL18" s="400"/>
      <c r="XAM18" s="400"/>
      <c r="XAN18" s="400"/>
      <c r="XAO18" s="400"/>
      <c r="XAP18" s="400"/>
      <c r="XAQ18" s="400"/>
      <c r="XAR18" s="400"/>
      <c r="XAS18" s="400"/>
      <c r="XAT18" s="400"/>
      <c r="XAU18" s="400"/>
      <c r="XAV18" s="400"/>
      <c r="XAW18" s="400"/>
      <c r="XAX18" s="400"/>
      <c r="XAY18" s="400"/>
      <c r="XAZ18" s="400"/>
      <c r="XBA18" s="400"/>
      <c r="XBB18" s="400"/>
      <c r="XBC18" s="400"/>
      <c r="XBD18" s="400"/>
      <c r="XBE18" s="400"/>
      <c r="XBF18" s="400"/>
      <c r="XBG18" s="400"/>
      <c r="XBH18" s="400"/>
      <c r="XBI18" s="400"/>
      <c r="XBJ18" s="400"/>
      <c r="XBK18" s="400"/>
      <c r="XBL18" s="400"/>
      <c r="XBM18" s="400"/>
      <c r="XBN18" s="400"/>
      <c r="XBO18" s="400"/>
      <c r="XBP18" s="400"/>
      <c r="XBQ18" s="400"/>
      <c r="XBR18" s="400"/>
      <c r="XBS18" s="400"/>
      <c r="XBT18" s="400"/>
      <c r="XBU18" s="400"/>
      <c r="XBV18" s="400"/>
      <c r="XBW18" s="400"/>
      <c r="XBX18" s="400"/>
      <c r="XBY18" s="400"/>
      <c r="XBZ18" s="400"/>
      <c r="XCA18" s="400"/>
      <c r="XCB18" s="400"/>
      <c r="XCC18" s="400"/>
      <c r="XCD18" s="400"/>
      <c r="XCE18" s="400"/>
      <c r="XCF18" s="400"/>
      <c r="XCG18" s="400"/>
      <c r="XCH18" s="400"/>
      <c r="XCI18" s="400"/>
      <c r="XCJ18" s="400"/>
      <c r="XCK18" s="400"/>
      <c r="XCL18" s="400"/>
      <c r="XCM18" s="400"/>
      <c r="XCN18" s="400"/>
      <c r="XCO18" s="400"/>
      <c r="XCP18" s="400"/>
      <c r="XCQ18" s="400"/>
      <c r="XCR18" s="400"/>
      <c r="XCS18" s="400"/>
      <c r="XCT18" s="400"/>
      <c r="XCU18" s="400"/>
      <c r="XCV18" s="400"/>
      <c r="XCW18" s="400"/>
      <c r="XCX18" s="400"/>
      <c r="XCY18" s="400"/>
      <c r="XCZ18" s="400"/>
      <c r="XDA18" s="400"/>
      <c r="XDB18" s="400"/>
      <c r="XDC18" s="400"/>
      <c r="XDD18" s="400"/>
      <c r="XDE18" s="400"/>
      <c r="XDF18" s="400"/>
      <c r="XDG18" s="400"/>
      <c r="XDH18" s="400"/>
      <c r="XDI18" s="400"/>
      <c r="XDJ18" s="400"/>
      <c r="XDK18" s="400"/>
      <c r="XDL18" s="400"/>
      <c r="XDM18" s="400"/>
      <c r="XDN18" s="400"/>
      <c r="XDO18" s="400"/>
      <c r="XDP18" s="400"/>
      <c r="XDQ18" s="400"/>
      <c r="XDR18" s="400"/>
      <c r="XDS18" s="400"/>
      <c r="XDT18" s="400"/>
      <c r="XDU18" s="400"/>
      <c r="XDV18" s="400"/>
      <c r="XDW18" s="400"/>
      <c r="XDX18" s="400"/>
      <c r="XDY18" s="400"/>
      <c r="XDZ18" s="400"/>
      <c r="XEA18" s="400"/>
      <c r="XEB18" s="400"/>
      <c r="XEC18" s="400"/>
      <c r="XED18" s="400"/>
      <c r="XEE18" s="400"/>
      <c r="XEF18" s="400"/>
      <c r="XEG18" s="400"/>
      <c r="XEH18" s="400"/>
      <c r="XEI18" s="400"/>
      <c r="XEJ18" s="400"/>
      <c r="XEK18" s="400"/>
      <c r="XEL18" s="400"/>
      <c r="XEM18" s="400"/>
      <c r="XEN18" s="400"/>
      <c r="XEO18" s="400"/>
      <c r="XEP18" s="400"/>
      <c r="XEQ18" s="400"/>
      <c r="XER18" s="400"/>
      <c r="XES18" s="400"/>
      <c r="XET18" s="400"/>
      <c r="XEU18" s="400"/>
      <c r="XEV18" s="400"/>
      <c r="XEW18" s="400"/>
      <c r="XEX18" s="400"/>
      <c r="XEY18" s="400"/>
    </row>
    <row r="19" spans="1:16379" s="239" customFormat="1" ht="33" customHeight="1">
      <c r="A19" s="2761">
        <v>406</v>
      </c>
      <c r="B19" s="1982"/>
      <c r="C19" s="2754"/>
      <c r="D19" s="2754"/>
      <c r="E19" s="2762" t="s">
        <v>2800</v>
      </c>
      <c r="F19" s="2762"/>
      <c r="G19" s="2762"/>
      <c r="H19" s="2762"/>
      <c r="I19" s="2762"/>
      <c r="J19" s="2762"/>
      <c r="K19" s="2762"/>
      <c r="L19" s="398"/>
      <c r="M19" s="2766"/>
      <c r="N19" s="2763"/>
      <c r="O19" s="2767"/>
      <c r="P19" s="2768"/>
      <c r="Q19" s="2763">
        <f>SUMIF('1402'!$B$6:$B$590,$A19,'1402'!$W$6:$W$590)</f>
        <v>295781</v>
      </c>
      <c r="R19" s="2767"/>
      <c r="S19" s="2768">
        <v>371674</v>
      </c>
      <c r="T19" s="1407"/>
      <c r="U19" s="1407"/>
    </row>
    <row r="20" spans="1:16379" s="239" customFormat="1" ht="39.75" customHeight="1" thickBot="1">
      <c r="A20" s="2752"/>
      <c r="B20" s="2766"/>
      <c r="C20" s="2754"/>
      <c r="D20" s="2754"/>
      <c r="E20" s="2766"/>
      <c r="F20" s="2766"/>
      <c r="G20" s="2766"/>
      <c r="H20" s="2766"/>
      <c r="I20" s="2766"/>
      <c r="J20" s="2766"/>
      <c r="K20" s="2766"/>
      <c r="L20" s="2769"/>
      <c r="M20" s="2766"/>
      <c r="N20" s="2770"/>
      <c r="O20" s="2763"/>
      <c r="P20" s="2771"/>
      <c r="Q20" s="2772">
        <f>SUM(Q16:Q19)</f>
        <v>420916</v>
      </c>
      <c r="R20" s="2763"/>
      <c r="S20" s="2773">
        <f>SUM(S16:S19)</f>
        <v>413808</v>
      </c>
      <c r="T20" s="2156"/>
      <c r="U20" s="2156"/>
    </row>
    <row r="21" spans="1:16379" s="250" customFormat="1" ht="29.25" customHeight="1" thickTop="1">
      <c r="A21" s="2774"/>
      <c r="B21" s="1949"/>
      <c r="C21" s="2754"/>
      <c r="D21" s="2754"/>
      <c r="E21" s="398"/>
      <c r="F21" s="398"/>
      <c r="G21" s="398"/>
      <c r="H21" s="398"/>
      <c r="I21" s="398"/>
      <c r="J21" s="398"/>
      <c r="K21" s="1949"/>
      <c r="L21" s="2775"/>
      <c r="M21" s="2776"/>
      <c r="N21" s="2775"/>
      <c r="O21" s="2775"/>
      <c r="P21" s="398"/>
      <c r="Q21" s="2776"/>
      <c r="R21" s="2777"/>
      <c r="S21" s="2777"/>
      <c r="T21" s="2744"/>
      <c r="U21" s="2744"/>
    </row>
    <row r="22" spans="1:16379" s="239" customFormat="1" ht="41.25" customHeight="1">
      <c r="A22" s="3551" t="s">
        <v>2785</v>
      </c>
      <c r="B22" s="3551"/>
      <c r="C22" s="3551"/>
      <c r="D22" s="2778"/>
      <c r="E22" s="3555" t="s">
        <v>2823</v>
      </c>
      <c r="F22" s="3555"/>
      <c r="G22" s="3555"/>
      <c r="H22" s="3555"/>
      <c r="I22" s="3555"/>
      <c r="J22" s="3555"/>
      <c r="K22" s="3555"/>
      <c r="L22" s="3555"/>
      <c r="M22" s="3555"/>
      <c r="N22" s="3555"/>
      <c r="O22" s="3555"/>
      <c r="P22" s="3555"/>
      <c r="Q22" s="3555"/>
      <c r="R22" s="3555"/>
      <c r="S22" s="3555"/>
      <c r="T22" s="2694"/>
      <c r="U22" s="2694"/>
    </row>
    <row r="23" spans="1:16379" s="1251" customFormat="1" ht="33.75" customHeight="1">
      <c r="A23" s="2779"/>
      <c r="B23" s="2780"/>
      <c r="C23" s="2781" t="s">
        <v>2786</v>
      </c>
      <c r="D23" s="2781"/>
      <c r="E23" s="2695" t="s">
        <v>2520</v>
      </c>
      <c r="F23" s="2695"/>
      <c r="G23" s="2695"/>
      <c r="H23" s="2695"/>
      <c r="I23" s="2695"/>
      <c r="J23" s="2695"/>
      <c r="K23" s="2780"/>
      <c r="L23" s="2782"/>
      <c r="M23" s="2783"/>
      <c r="N23" s="2784"/>
      <c r="O23" s="2784"/>
      <c r="P23" s="2785"/>
      <c r="Q23" s="2786"/>
      <c r="R23" s="2787"/>
      <c r="S23" s="2787"/>
      <c r="T23" s="2745"/>
      <c r="U23" s="2745"/>
    </row>
    <row r="24" spans="1:16379" s="250" customFormat="1" ht="35.25" customHeight="1">
      <c r="A24" s="2774"/>
      <c r="B24" s="2777"/>
      <c r="C24" s="2777"/>
      <c r="D24" s="2777"/>
      <c r="E24" s="2777"/>
      <c r="F24" s="2777"/>
      <c r="G24" s="2777"/>
      <c r="H24" s="2777"/>
      <c r="I24" s="2777"/>
      <c r="J24" s="2777"/>
      <c r="K24" s="2777"/>
      <c r="L24" s="2788"/>
      <c r="M24" s="1949"/>
      <c r="N24" s="3554"/>
      <c r="O24" s="3554"/>
      <c r="P24" s="3554"/>
      <c r="Q24" s="3554" t="s">
        <v>1879</v>
      </c>
      <c r="R24" s="3554"/>
      <c r="S24" s="3554"/>
      <c r="T24" s="2742"/>
      <c r="U24" s="2742"/>
    </row>
    <row r="25" spans="1:16379" s="250" customFormat="1" ht="35.25" customHeight="1">
      <c r="A25" s="2774"/>
      <c r="B25" s="2777"/>
      <c r="C25" s="2789"/>
      <c r="D25" s="2789"/>
      <c r="E25" s="2777"/>
      <c r="F25" s="2777"/>
      <c r="G25" s="2777"/>
      <c r="H25" s="2777"/>
      <c r="I25" s="2777"/>
      <c r="J25" s="2777"/>
      <c r="K25" s="2777"/>
      <c r="L25" s="2788"/>
      <c r="M25" s="1949"/>
      <c r="N25" s="2758"/>
      <c r="O25" s="2790"/>
      <c r="P25" s="2758"/>
      <c r="Q25" s="2760">
        <v>1402</v>
      </c>
      <c r="R25" s="2759"/>
      <c r="S25" s="2760">
        <v>1401</v>
      </c>
      <c r="T25" s="2743"/>
      <c r="U25" s="2743"/>
    </row>
    <row r="26" spans="1:16379" s="1201" customFormat="1" ht="35.25" customHeight="1">
      <c r="A26" s="2761"/>
      <c r="B26" s="2791"/>
      <c r="C26" s="2792"/>
      <c r="D26" s="2792"/>
      <c r="E26" s="2793" t="s">
        <v>1044</v>
      </c>
      <c r="F26" s="2793"/>
      <c r="G26" s="2793"/>
      <c r="H26" s="2793"/>
      <c r="I26" s="2793"/>
      <c r="J26" s="2793"/>
      <c r="K26" s="2791"/>
      <c r="L26" s="2791"/>
      <c r="M26" s="2792"/>
      <c r="N26" s="2794"/>
      <c r="O26" s="2795"/>
      <c r="P26" s="2795"/>
      <c r="Q26" s="2794">
        <f>S30</f>
        <v>5177903</v>
      </c>
      <c r="R26" s="2795"/>
      <c r="S26" s="2795">
        <v>3819465</v>
      </c>
      <c r="T26" s="1409"/>
      <c r="U26" s="1409"/>
    </row>
    <row r="27" spans="1:16379" s="1201" customFormat="1" ht="35.25" customHeight="1">
      <c r="A27" s="2761"/>
      <c r="B27" s="2791"/>
      <c r="C27" s="2792"/>
      <c r="D27" s="2792"/>
      <c r="E27" s="2793" t="s">
        <v>2547</v>
      </c>
      <c r="F27" s="2793"/>
      <c r="G27" s="2793"/>
      <c r="H27" s="2793"/>
      <c r="I27" s="2793"/>
      <c r="J27" s="2793"/>
      <c r="K27" s="2791"/>
      <c r="L27" s="2791"/>
      <c r="M27" s="2792"/>
      <c r="N27" s="2794"/>
      <c r="O27" s="2795"/>
      <c r="P27" s="2795"/>
      <c r="Q27" s="2794">
        <v>-153241</v>
      </c>
      <c r="R27" s="2795"/>
      <c r="S27" s="2795">
        <v>-120929</v>
      </c>
      <c r="T27" s="1409"/>
      <c r="U27" s="1409"/>
    </row>
    <row r="28" spans="1:16379" s="1201" customFormat="1" ht="35.25" customHeight="1">
      <c r="A28" s="2761"/>
      <c r="B28" s="2791"/>
      <c r="C28" s="2792"/>
      <c r="D28" s="2792"/>
      <c r="E28" s="2793" t="s">
        <v>2548</v>
      </c>
      <c r="F28" s="2793"/>
      <c r="G28" s="2793"/>
      <c r="H28" s="2793"/>
      <c r="I28" s="2793"/>
      <c r="J28" s="2793"/>
      <c r="K28" s="2791"/>
      <c r="L28" s="2791"/>
      <c r="M28" s="2792"/>
      <c r="N28" s="2794"/>
      <c r="O28" s="2795"/>
      <c r="P28" s="2795"/>
      <c r="Q28" s="2794">
        <v>1538854</v>
      </c>
      <c r="R28" s="2795"/>
      <c r="S28" s="2795">
        <v>1479367</v>
      </c>
      <c r="T28" s="1409"/>
      <c r="U28" s="1409"/>
    </row>
    <row r="29" spans="1:16379" s="1201" customFormat="1" ht="35.25" customHeight="1">
      <c r="A29" s="2761"/>
      <c r="B29" s="2791"/>
      <c r="C29" s="2792"/>
      <c r="D29" s="2792"/>
      <c r="E29" s="2793" t="s">
        <v>2725</v>
      </c>
      <c r="F29" s="2793"/>
      <c r="G29" s="2793"/>
      <c r="H29" s="2793"/>
      <c r="I29" s="2793"/>
      <c r="J29" s="2793"/>
      <c r="K29" s="2791"/>
      <c r="L29" s="2791"/>
      <c r="M29" s="2792"/>
      <c r="N29" s="2794"/>
      <c r="O29" s="2795"/>
      <c r="P29" s="2795"/>
      <c r="Q29" s="2794">
        <v>8439</v>
      </c>
      <c r="R29" s="2795"/>
      <c r="S29" s="2795">
        <v>0</v>
      </c>
      <c r="T29" s="1409"/>
      <c r="U29" s="1409"/>
    </row>
    <row r="30" spans="1:16379" s="1201" customFormat="1" ht="44.25" customHeight="1" thickBot="1">
      <c r="A30" s="2761">
        <v>1013</v>
      </c>
      <c r="B30" s="2791"/>
      <c r="C30" s="2792"/>
      <c r="D30" s="2792"/>
      <c r="E30" s="2791"/>
      <c r="F30" s="2791"/>
      <c r="G30" s="2791"/>
      <c r="H30" s="2791"/>
      <c r="I30" s="2791"/>
      <c r="J30" s="2791"/>
      <c r="K30" s="2791"/>
      <c r="L30" s="2791"/>
      <c r="M30" s="2792"/>
      <c r="N30" s="2796"/>
      <c r="O30" s="2795"/>
      <c r="P30" s="2795"/>
      <c r="Q30" s="2797">
        <f>SUMIF('1402'!$B$6:$B$590,$A30,'1402'!$W$6:$W$590)</f>
        <v>6571955</v>
      </c>
      <c r="R30" s="2795"/>
      <c r="S30" s="2798">
        <f>SUM(S26:S28)</f>
        <v>5177903</v>
      </c>
      <c r="T30" s="1409"/>
      <c r="U30" s="1409"/>
    </row>
    <row r="31" spans="1:16379" s="1201" customFormat="1" ht="26.25" customHeight="1" thickTop="1">
      <c r="A31" s="2048"/>
      <c r="B31" s="2720" t="s">
        <v>2332</v>
      </c>
      <c r="C31" s="2725"/>
      <c r="D31" s="2725"/>
      <c r="E31" s="2720"/>
      <c r="F31" s="2720"/>
      <c r="G31" s="2720"/>
      <c r="H31" s="2720"/>
      <c r="I31" s="2720"/>
      <c r="J31" s="2720"/>
      <c r="K31" s="2720"/>
      <c r="L31" s="2720"/>
      <c r="M31" s="2725"/>
      <c r="N31" s="1737"/>
      <c r="O31" s="1409"/>
      <c r="P31" s="1409"/>
      <c r="Q31" s="2726"/>
      <c r="R31" s="2725"/>
      <c r="S31" s="2725"/>
      <c r="T31" s="2725"/>
      <c r="U31" s="2725"/>
    </row>
    <row r="32" spans="1:16379" s="2589" customFormat="1">
      <c r="A32" s="2588"/>
      <c r="B32" s="2727"/>
      <c r="C32" s="2728" t="s">
        <v>1646</v>
      </c>
      <c r="D32" s="2729"/>
      <c r="E32" s="2728" t="s">
        <v>2333</v>
      </c>
      <c r="F32" s="2730"/>
      <c r="G32" s="2728" t="s">
        <v>2353</v>
      </c>
      <c r="H32" s="2730"/>
      <c r="I32" s="2728" t="s">
        <v>2604</v>
      </c>
      <c r="J32" s="2730"/>
      <c r="K32" s="2728" t="s">
        <v>2605</v>
      </c>
      <c r="L32" s="1737"/>
      <c r="M32" s="2723" t="s">
        <v>2350</v>
      </c>
      <c r="N32" s="1737"/>
      <c r="O32" s="2157" t="s">
        <v>2349</v>
      </c>
      <c r="P32" s="1409"/>
      <c r="Q32" s="2723" t="s">
        <v>679</v>
      </c>
      <c r="R32" s="2731"/>
      <c r="S32" s="2723" t="s">
        <v>2351</v>
      </c>
      <c r="T32" s="2724"/>
      <c r="U32" s="2723" t="s">
        <v>2451</v>
      </c>
    </row>
    <row r="33" spans="1:21" s="1201" customFormat="1" ht="26.25" customHeight="1">
      <c r="A33" s="2048"/>
      <c r="B33" s="2720"/>
      <c r="C33" s="2721">
        <v>1395</v>
      </c>
      <c r="D33" s="2721"/>
      <c r="E33" s="2732">
        <v>292185</v>
      </c>
      <c r="F33" s="2732"/>
      <c r="G33" s="2732">
        <f>329510-300000</f>
        <v>29510</v>
      </c>
      <c r="H33" s="2721"/>
      <c r="I33" s="2732">
        <f>249165-227826</f>
        <v>21339</v>
      </c>
      <c r="J33" s="2721"/>
      <c r="K33" s="2732">
        <f>I33+G33-K30</f>
        <v>50849</v>
      </c>
      <c r="L33" s="2733"/>
      <c r="M33" s="2732">
        <v>14349</v>
      </c>
      <c r="N33" s="1409"/>
      <c r="O33" s="2732">
        <v>12998</v>
      </c>
      <c r="P33" s="1737"/>
      <c r="Q33" s="1409">
        <f>O33+M33</f>
        <v>27347</v>
      </c>
      <c r="R33" s="1409"/>
      <c r="S33" s="1409">
        <f>Q33-K33</f>
        <v>-23502</v>
      </c>
      <c r="T33" s="1409"/>
      <c r="U33" s="1409" t="s">
        <v>2452</v>
      </c>
    </row>
    <row r="34" spans="1:21" s="1201" customFormat="1" ht="26.25" customHeight="1">
      <c r="A34" s="2048"/>
      <c r="B34" s="2720"/>
      <c r="C34" s="2721">
        <v>1396</v>
      </c>
      <c r="D34" s="2721"/>
      <c r="E34" s="2732">
        <v>466614</v>
      </c>
      <c r="F34" s="2732"/>
      <c r="G34" s="2732">
        <v>264092</v>
      </c>
      <c r="H34" s="2721"/>
      <c r="I34" s="2732">
        <v>464114</v>
      </c>
      <c r="J34" s="2721"/>
      <c r="K34" s="2732">
        <f t="shared" ref="K34:K41" si="0">I34+G34</f>
        <v>728206</v>
      </c>
      <c r="L34" s="2733"/>
      <c r="M34" s="2732">
        <v>864298</v>
      </c>
      <c r="N34" s="1409"/>
      <c r="O34" s="2732">
        <v>900738</v>
      </c>
      <c r="P34" s="1737"/>
      <c r="Q34" s="1409">
        <f t="shared" ref="Q34:Q36" si="1">O34+M34</f>
        <v>1765036</v>
      </c>
      <c r="R34" s="1409"/>
      <c r="S34" s="1409">
        <f t="shared" ref="S34:S38" si="2">Q34-K34</f>
        <v>1036830</v>
      </c>
      <c r="T34" s="1409"/>
      <c r="U34" s="1409" t="s">
        <v>2453</v>
      </c>
    </row>
    <row r="35" spans="1:21" s="1201" customFormat="1" ht="26.25" customHeight="1">
      <c r="A35" s="2048"/>
      <c r="B35" s="2720"/>
      <c r="C35" s="2721">
        <v>1397</v>
      </c>
      <c r="D35" s="2721"/>
      <c r="E35" s="2732">
        <v>376418</v>
      </c>
      <c r="F35" s="2732"/>
      <c r="G35" s="2721"/>
      <c r="H35" s="2721"/>
      <c r="I35" s="2732">
        <v>390861</v>
      </c>
      <c r="J35" s="2721"/>
      <c r="K35" s="2732">
        <f t="shared" si="0"/>
        <v>390861</v>
      </c>
      <c r="L35" s="2733"/>
      <c r="M35" s="2732">
        <v>22643</v>
      </c>
      <c r="N35" s="1409"/>
      <c r="O35" s="2732">
        <v>13182</v>
      </c>
      <c r="P35" s="1737"/>
      <c r="Q35" s="1409">
        <f t="shared" si="1"/>
        <v>35825</v>
      </c>
      <c r="R35" s="1409"/>
      <c r="S35" s="1409">
        <f t="shared" si="2"/>
        <v>-355036</v>
      </c>
      <c r="T35" s="1409"/>
      <c r="U35" s="1409" t="s">
        <v>2452</v>
      </c>
    </row>
    <row r="36" spans="1:21" s="1201" customFormat="1" ht="26.25" customHeight="1">
      <c r="A36" s="2048"/>
      <c r="B36" s="2720"/>
      <c r="C36" s="2721">
        <v>1398</v>
      </c>
      <c r="D36" s="2721"/>
      <c r="E36" s="2732">
        <v>519093</v>
      </c>
      <c r="F36" s="2732"/>
      <c r="G36" s="2721"/>
      <c r="H36" s="2721"/>
      <c r="I36" s="2732">
        <v>500431</v>
      </c>
      <c r="J36" s="2721"/>
      <c r="K36" s="2732">
        <f t="shared" si="0"/>
        <v>500431</v>
      </c>
      <c r="L36" s="2733"/>
      <c r="M36" s="2732">
        <v>1268071</v>
      </c>
      <c r="N36" s="1409"/>
      <c r="O36" s="2732">
        <v>892382</v>
      </c>
      <c r="P36" s="1737"/>
      <c r="Q36" s="1409">
        <f t="shared" si="1"/>
        <v>2160453</v>
      </c>
      <c r="R36" s="1409"/>
      <c r="S36" s="1409">
        <f t="shared" si="2"/>
        <v>1660022</v>
      </c>
      <c r="T36" s="1409"/>
      <c r="U36" s="1409" t="s">
        <v>2454</v>
      </c>
    </row>
    <row r="37" spans="1:21" s="1201" customFormat="1" ht="26.25" customHeight="1">
      <c r="A37" s="2048"/>
      <c r="B37" s="2720"/>
      <c r="C37" s="2721">
        <v>1399</v>
      </c>
      <c r="D37" s="2721"/>
      <c r="E37" s="2732">
        <v>814661</v>
      </c>
      <c r="F37" s="2732"/>
      <c r="G37" s="2721"/>
      <c r="H37" s="2721"/>
      <c r="I37" s="2732">
        <v>825221</v>
      </c>
      <c r="J37" s="2721"/>
      <c r="K37" s="2732">
        <f t="shared" si="0"/>
        <v>825221</v>
      </c>
      <c r="L37" s="2733"/>
      <c r="M37" s="2732">
        <v>1579917</v>
      </c>
      <c r="N37" s="1409"/>
      <c r="O37" s="2732">
        <v>565880</v>
      </c>
      <c r="P37" s="1737"/>
      <c r="Q37" s="1409">
        <f>O37+M37</f>
        <v>2145797</v>
      </c>
      <c r="R37" s="1409"/>
      <c r="S37" s="1409">
        <f t="shared" si="2"/>
        <v>1320576</v>
      </c>
      <c r="T37" s="1409"/>
      <c r="U37" s="1409" t="s">
        <v>2454</v>
      </c>
    </row>
    <row r="38" spans="1:21" s="1201" customFormat="1" ht="26.25" customHeight="1">
      <c r="A38" s="2048"/>
      <c r="B38" s="2720"/>
      <c r="C38" s="2721">
        <v>1400</v>
      </c>
      <c r="D38" s="2721"/>
      <c r="E38" s="2732">
        <v>1063281</v>
      </c>
      <c r="F38" s="2732"/>
      <c r="G38" s="2721"/>
      <c r="H38" s="2721"/>
      <c r="I38" s="2732">
        <v>1323897</v>
      </c>
      <c r="J38" s="2721"/>
      <c r="K38" s="2732">
        <f t="shared" si="0"/>
        <v>1323897</v>
      </c>
      <c r="L38" s="2733"/>
      <c r="M38" s="2732">
        <v>2436718</v>
      </c>
      <c r="N38" s="1409"/>
      <c r="O38" s="2732">
        <v>4531282</v>
      </c>
      <c r="P38" s="1737"/>
      <c r="Q38" s="1409">
        <f t="shared" ref="Q38:Q39" si="3">O38+M38</f>
        <v>6968000</v>
      </c>
      <c r="R38" s="1409"/>
      <c r="S38" s="1409">
        <f t="shared" si="2"/>
        <v>5644103</v>
      </c>
      <c r="T38" s="1409"/>
      <c r="U38" s="1409" t="s">
        <v>2644</v>
      </c>
    </row>
    <row r="39" spans="1:21" s="1201" customFormat="1" ht="26.25" customHeight="1">
      <c r="A39" s="2048"/>
      <c r="B39" s="2720"/>
      <c r="C39" s="2734">
        <v>1401</v>
      </c>
      <c r="D39" s="2721"/>
      <c r="E39" s="2735">
        <v>1080812</v>
      </c>
      <c r="F39" s="2735"/>
      <c r="G39" s="2734"/>
      <c r="H39" s="2734"/>
      <c r="I39" s="2732">
        <v>1358438</v>
      </c>
      <c r="J39" s="2721"/>
      <c r="K39" s="2732">
        <f t="shared" si="0"/>
        <v>1358438</v>
      </c>
      <c r="L39" s="2736"/>
      <c r="M39" s="2735">
        <v>0</v>
      </c>
      <c r="N39" s="1409"/>
      <c r="O39" s="2735">
        <v>0</v>
      </c>
      <c r="P39" s="1737"/>
      <c r="Q39" s="1409">
        <f t="shared" si="3"/>
        <v>0</v>
      </c>
      <c r="R39" s="1409"/>
      <c r="S39" s="1409">
        <v>0</v>
      </c>
      <c r="T39" s="1409"/>
      <c r="U39" s="1409" t="s">
        <v>2838</v>
      </c>
    </row>
    <row r="40" spans="1:21" s="1201" customFormat="1" ht="26.25" customHeight="1">
      <c r="A40" s="2048"/>
      <c r="B40" s="2720"/>
      <c r="C40" s="2734">
        <v>1402</v>
      </c>
      <c r="D40" s="2721"/>
      <c r="E40" s="2735">
        <v>1362421</v>
      </c>
      <c r="F40" s="2735"/>
      <c r="G40" s="2732">
        <v>8439</v>
      </c>
      <c r="H40" s="2734"/>
      <c r="I40" s="2732">
        <v>1385613</v>
      </c>
      <c r="J40" s="2721"/>
      <c r="K40" s="2732">
        <f t="shared" si="0"/>
        <v>1394052</v>
      </c>
      <c r="L40" s="2736"/>
      <c r="M40" s="2735"/>
      <c r="N40" s="1409"/>
      <c r="O40" s="2735"/>
      <c r="P40" s="1737"/>
      <c r="Q40" s="1409"/>
      <c r="R40" s="1409"/>
      <c r="S40" s="1409"/>
      <c r="T40" s="1409"/>
      <c r="U40" s="1409" t="s">
        <v>2682</v>
      </c>
    </row>
    <row r="41" spans="1:21" s="1201" customFormat="1" ht="26.25" customHeight="1">
      <c r="A41" s="2048"/>
      <c r="B41" s="2720"/>
      <c r="C41" s="2737" t="s">
        <v>1775</v>
      </c>
      <c r="D41" s="2721"/>
      <c r="E41" s="2738">
        <v>573962</v>
      </c>
      <c r="F41" s="2735"/>
      <c r="G41" s="2737"/>
      <c r="H41" s="2734"/>
      <c r="I41" s="2738">
        <v>0</v>
      </c>
      <c r="J41" s="2734"/>
      <c r="K41" s="2738">
        <f t="shared" si="0"/>
        <v>0</v>
      </c>
      <c r="L41" s="2736"/>
      <c r="M41" s="2738">
        <v>0</v>
      </c>
      <c r="N41" s="1409"/>
      <c r="O41" s="2738">
        <v>0</v>
      </c>
      <c r="P41" s="1737"/>
      <c r="Q41" s="2157">
        <v>0</v>
      </c>
      <c r="R41" s="1409"/>
      <c r="S41" s="2157">
        <v>0</v>
      </c>
      <c r="T41" s="1409"/>
      <c r="U41" s="1409"/>
    </row>
    <row r="42" spans="1:21" s="1201" customFormat="1" ht="34.5" thickBot="1">
      <c r="A42" s="2048"/>
      <c r="B42" s="2720"/>
      <c r="C42" s="2734"/>
      <c r="D42" s="2721"/>
      <c r="E42" s="2739">
        <f>SUM(E33:E41)</f>
        <v>6549447</v>
      </c>
      <c r="F42" s="2721"/>
      <c r="G42" s="2739">
        <f>SUM(G33:G41)</f>
        <v>302041</v>
      </c>
      <c r="H42" s="2732"/>
      <c r="I42" s="2739">
        <f>SUM(I33:I41)</f>
        <v>6269914</v>
      </c>
      <c r="J42" s="2732"/>
      <c r="K42" s="2740">
        <f>SUM(K33:K41)</f>
        <v>6571955</v>
      </c>
      <c r="L42" s="2720"/>
      <c r="M42" s="2739">
        <f>SUM(M33:M41)</f>
        <v>6185996</v>
      </c>
      <c r="N42" s="1737"/>
      <c r="O42" s="1410">
        <f>SUM(O33:O41)</f>
        <v>6916462</v>
      </c>
      <c r="P42" s="1409"/>
      <c r="Q42" s="1410">
        <f>SUM(Q33:Q39)</f>
        <v>13102458</v>
      </c>
      <c r="R42" s="2725"/>
      <c r="S42" s="1410">
        <f>SUM(S33:S39)</f>
        <v>9282993</v>
      </c>
      <c r="T42" s="1409"/>
      <c r="U42" s="1409"/>
    </row>
    <row r="43" spans="1:21" s="1201" customFormat="1" ht="34.5" thickTop="1">
      <c r="A43" s="2048"/>
      <c r="B43" s="2720"/>
      <c r="C43" s="2734"/>
      <c r="D43" s="2721"/>
      <c r="E43" s="2735"/>
      <c r="F43" s="2721"/>
      <c r="G43" s="2735"/>
      <c r="H43" s="2732"/>
      <c r="I43" s="2735"/>
      <c r="J43" s="2732"/>
      <c r="K43" s="3158"/>
      <c r="L43" s="2720"/>
      <c r="M43" s="2735"/>
      <c r="N43" s="1737"/>
      <c r="O43" s="1409"/>
      <c r="P43" s="1409"/>
      <c r="Q43" s="1409"/>
      <c r="R43" s="2725"/>
      <c r="S43" s="1409"/>
      <c r="T43" s="1409"/>
      <c r="U43" s="1409"/>
    </row>
    <row r="44" spans="1:21" s="1201" customFormat="1" ht="213" customHeight="1">
      <c r="A44" s="2048"/>
      <c r="B44" s="1408"/>
      <c r="C44" s="367" t="s">
        <v>2789</v>
      </c>
      <c r="D44" s="1406"/>
      <c r="E44" s="3548" t="s">
        <v>2522</v>
      </c>
      <c r="F44" s="3548"/>
      <c r="G44" s="3548"/>
      <c r="H44" s="3548"/>
      <c r="I44" s="3548"/>
      <c r="J44" s="3548"/>
      <c r="K44" s="3548"/>
      <c r="L44" s="3548"/>
      <c r="M44" s="3548"/>
      <c r="N44" s="3548"/>
      <c r="O44" s="3548"/>
      <c r="P44" s="3548"/>
      <c r="Q44" s="3548"/>
      <c r="R44" s="3548"/>
      <c r="S44" s="3548"/>
      <c r="T44" s="3548"/>
      <c r="U44" s="3548"/>
    </row>
    <row r="45" spans="1:21" s="1201" customFormat="1" ht="230.25" customHeight="1">
      <c r="A45" s="2048"/>
      <c r="B45" s="3552" t="s">
        <v>2790</v>
      </c>
      <c r="C45" s="3552"/>
      <c r="D45" s="1411" t="s">
        <v>2051</v>
      </c>
      <c r="E45" s="3545" t="s">
        <v>2821</v>
      </c>
      <c r="F45" s="3545"/>
      <c r="G45" s="3545"/>
      <c r="H45" s="3545"/>
      <c r="I45" s="3545"/>
      <c r="J45" s="3545"/>
      <c r="K45" s="3545"/>
      <c r="L45" s="3545"/>
      <c r="M45" s="3545"/>
      <c r="N45" s="3545"/>
      <c r="O45" s="3545"/>
      <c r="P45" s="3545"/>
      <c r="Q45" s="3545"/>
      <c r="R45" s="3545"/>
      <c r="S45" s="3545"/>
      <c r="T45" s="3545"/>
      <c r="U45" s="3545"/>
    </row>
    <row r="46" spans="1:21" s="1201" customFormat="1" ht="105.75" customHeight="1">
      <c r="A46" s="1251"/>
      <c r="B46" s="2720"/>
      <c r="C46" s="2986" t="s">
        <v>2791</v>
      </c>
      <c r="D46" s="2657"/>
      <c r="E46" s="3546" t="s">
        <v>2545</v>
      </c>
      <c r="F46" s="3546"/>
      <c r="G46" s="3546"/>
      <c r="H46" s="3546"/>
      <c r="I46" s="3546"/>
      <c r="J46" s="3546"/>
      <c r="K46" s="3546"/>
      <c r="L46" s="3546"/>
      <c r="M46" s="3546"/>
      <c r="N46" s="3546"/>
      <c r="O46" s="3546"/>
      <c r="P46" s="3546"/>
      <c r="Q46" s="3546"/>
      <c r="R46" s="3546"/>
      <c r="S46" s="3546"/>
      <c r="T46" s="3546"/>
      <c r="U46" s="3546"/>
    </row>
    <row r="47" spans="1:21" s="1201" customFormat="1" ht="81.75" customHeight="1">
      <c r="A47" s="2048"/>
      <c r="B47" s="3552" t="s">
        <v>2792</v>
      </c>
      <c r="C47" s="3552"/>
      <c r="D47" s="2147"/>
      <c r="E47" s="3547" t="s">
        <v>2822</v>
      </c>
      <c r="F47" s="3547"/>
      <c r="G47" s="3547"/>
      <c r="H47" s="3547"/>
      <c r="I47" s="3547"/>
      <c r="J47" s="3547"/>
      <c r="K47" s="3547"/>
      <c r="L47" s="3547"/>
      <c r="M47" s="3547"/>
      <c r="N47" s="3547"/>
      <c r="O47" s="3547"/>
      <c r="P47" s="3547"/>
      <c r="Q47" s="3547"/>
      <c r="R47" s="3547"/>
      <c r="S47" s="3547"/>
      <c r="T47" s="3547"/>
      <c r="U47" s="3547"/>
    </row>
    <row r="48" spans="1:21" ht="252.75" customHeight="1">
      <c r="B48" s="2722"/>
      <c r="C48" s="3270" t="s">
        <v>2788</v>
      </c>
      <c r="D48" s="1411"/>
      <c r="E48" s="3553" t="s">
        <v>2801</v>
      </c>
      <c r="F48" s="3553"/>
      <c r="G48" s="3553"/>
      <c r="H48" s="3553"/>
      <c r="I48" s="3553"/>
      <c r="J48" s="3553"/>
      <c r="K48" s="3553"/>
      <c r="L48" s="3553"/>
      <c r="M48" s="3553"/>
      <c r="N48" s="3553"/>
      <c r="O48" s="3553"/>
      <c r="P48" s="3553"/>
      <c r="Q48" s="3553"/>
      <c r="R48" s="3553"/>
      <c r="S48" s="3553"/>
      <c r="T48" s="3553"/>
      <c r="U48" s="3553"/>
    </row>
    <row r="49" spans="1:21" ht="35.25" hidden="1" customHeight="1">
      <c r="C49" s="397" t="s">
        <v>1708</v>
      </c>
      <c r="D49" s="397"/>
      <c r="E49" s="3549" t="s">
        <v>1699</v>
      </c>
      <c r="F49" s="3549"/>
      <c r="G49" s="3549"/>
      <c r="H49" s="3549"/>
      <c r="I49" s="3549"/>
      <c r="J49" s="3549"/>
      <c r="K49" s="3549"/>
      <c r="L49" s="3549"/>
      <c r="M49" s="3549"/>
      <c r="N49" s="3549"/>
      <c r="O49" s="3549"/>
      <c r="P49" s="3549"/>
    </row>
    <row r="50" spans="1:21" s="1348" customFormat="1" ht="15" hidden="1" customHeight="1">
      <c r="A50" s="369"/>
      <c r="B50" s="109"/>
      <c r="C50" s="397"/>
      <c r="D50" s="397"/>
      <c r="E50" s="1347"/>
      <c r="F50" s="2145"/>
      <c r="G50" s="2145"/>
      <c r="H50" s="2159"/>
      <c r="I50" s="2159"/>
      <c r="J50" s="2145"/>
      <c r="K50" s="1347"/>
      <c r="L50" s="1347"/>
      <c r="M50" s="2149"/>
      <c r="N50" s="1347"/>
      <c r="O50" s="1347"/>
      <c r="P50" s="1347"/>
      <c r="T50" s="2655"/>
      <c r="U50" s="2655"/>
    </row>
    <row r="51" spans="1:21" s="2696" customFormat="1" ht="39.75">
      <c r="A51" s="3536">
        <v>21</v>
      </c>
      <c r="B51" s="3536"/>
      <c r="C51" s="3536"/>
      <c r="D51" s="3536"/>
      <c r="E51" s="3536"/>
      <c r="F51" s="3536"/>
      <c r="G51" s="3536"/>
      <c r="H51" s="3536"/>
      <c r="I51" s="3536"/>
      <c r="J51" s="3536"/>
      <c r="K51" s="3536"/>
      <c r="L51" s="3536"/>
      <c r="M51" s="3536"/>
      <c r="N51" s="3536"/>
      <c r="O51" s="3536"/>
      <c r="P51" s="3536"/>
      <c r="Q51" s="3536"/>
      <c r="R51" s="3536"/>
      <c r="S51" s="3536"/>
      <c r="T51" s="3536"/>
      <c r="U51" s="3536"/>
    </row>
    <row r="60" spans="1:21" ht="21">
      <c r="B60" s="150"/>
      <c r="C60" s="150"/>
      <c r="D60" s="2146"/>
      <c r="P60" s="150">
        <v>-7717613</v>
      </c>
    </row>
  </sheetData>
  <mergeCells count="19">
    <mergeCell ref="E22:S22"/>
    <mergeCell ref="Q24:S24"/>
    <mergeCell ref="Q13:S13"/>
    <mergeCell ref="A51:U51"/>
    <mergeCell ref="A1:U1"/>
    <mergeCell ref="E45:U45"/>
    <mergeCell ref="E46:U46"/>
    <mergeCell ref="E47:U47"/>
    <mergeCell ref="E44:U44"/>
    <mergeCell ref="A2:U2"/>
    <mergeCell ref="A3:U3"/>
    <mergeCell ref="E49:P49"/>
    <mergeCell ref="E5:P5"/>
    <mergeCell ref="A22:C22"/>
    <mergeCell ref="B45:C45"/>
    <mergeCell ref="B47:C47"/>
    <mergeCell ref="E48:U48"/>
    <mergeCell ref="N13:P13"/>
    <mergeCell ref="N24:P24"/>
  </mergeCells>
  <printOptions horizontalCentered="1" verticalCentered="1"/>
  <pageMargins left="0" right="0" top="0" bottom="0" header="0" footer="0"/>
  <pageSetup paperSize="9" scale="34"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N42"/>
  <sheetViews>
    <sheetView rightToLeft="1" view="pageBreakPreview" topLeftCell="A29" zoomScale="60" zoomScaleNormal="100" zoomScalePageLayoutView="70" workbookViewId="0">
      <selection activeCell="D11" sqref="D11"/>
    </sheetView>
  </sheetViews>
  <sheetFormatPr defaultColWidth="1.375" defaultRowHeight="26.25"/>
  <cols>
    <col min="1" max="1" width="3.125" style="1662" customWidth="1"/>
    <col min="2" max="2" width="12" style="1222" hidden="1" customWidth="1"/>
    <col min="3" max="3" width="21.75" style="150" customWidth="1"/>
    <col min="4" max="4" width="50.75" style="150" bestFit="1" customWidth="1"/>
    <col min="5" max="5" width="8.875" style="150" customWidth="1"/>
    <col min="6" max="6" width="7.375" style="150" customWidth="1"/>
    <col min="7" max="7" width="16.75" style="150" customWidth="1"/>
    <col min="8" max="8" width="4" style="150" customWidth="1"/>
    <col min="9" max="9" width="14.625" style="150" bestFit="1" customWidth="1"/>
    <col min="10" max="10" width="1.375" style="150"/>
    <col min="11" max="11" width="1.75" style="150" bestFit="1" customWidth="1"/>
    <col min="12" max="12" width="1.375" style="150"/>
    <col min="13" max="13" width="2.75" style="150" bestFit="1" customWidth="1"/>
    <col min="14" max="15" width="1.375" style="150"/>
    <col min="16" max="16" width="13.125" style="150" bestFit="1" customWidth="1"/>
    <col min="17" max="17" width="9.375" style="150" bestFit="1" customWidth="1"/>
    <col min="18" max="18" width="13.125" style="150" bestFit="1" customWidth="1"/>
    <col min="19" max="28" width="1.375" style="150"/>
    <col min="29" max="40" width="7.75" style="150" bestFit="1" customWidth="1"/>
    <col min="41" max="16384" width="1.375" style="150"/>
  </cols>
  <sheetData>
    <row r="1" spans="1:20" s="408" customFormat="1" ht="39" customHeight="1">
      <c r="A1" s="3533" t="str">
        <f>مفروضات!A1</f>
        <v>شركت خطوط لوله و مخابرات نفت ايران (سهامي خاص)</v>
      </c>
      <c r="B1" s="3533"/>
      <c r="C1" s="3533"/>
      <c r="D1" s="3533"/>
      <c r="E1" s="3533"/>
      <c r="F1" s="3533"/>
      <c r="G1" s="3533"/>
      <c r="H1" s="3533"/>
      <c r="I1" s="3533"/>
    </row>
    <row r="2" spans="1:20" s="408" customFormat="1" ht="39.75" customHeight="1">
      <c r="A2" s="3533" t="str">
        <f>مفروضات!A2</f>
        <v>يادداشت هاي توضيحي صورت هاي مالي</v>
      </c>
      <c r="B2" s="3533"/>
      <c r="C2" s="3533"/>
      <c r="D2" s="3533"/>
      <c r="E2" s="3533"/>
      <c r="F2" s="3533"/>
      <c r="G2" s="3533"/>
      <c r="H2" s="3533"/>
      <c r="I2" s="3533"/>
    </row>
    <row r="3" spans="1:20" s="408" customFormat="1" ht="37.5" customHeight="1">
      <c r="A3" s="3533" t="str">
        <f>mafrozat!A3</f>
        <v xml:space="preserve"> سال مالي منتهي به 29 اسفند 1402</v>
      </c>
      <c r="B3" s="3533"/>
      <c r="C3" s="3533"/>
      <c r="D3" s="3533"/>
      <c r="E3" s="3533"/>
      <c r="F3" s="3533"/>
      <c r="G3" s="3533"/>
      <c r="H3" s="3533"/>
      <c r="I3" s="3533"/>
    </row>
    <row r="4" spans="1:20" s="408" customFormat="1" ht="37.5" customHeight="1">
      <c r="A4" s="3225"/>
      <c r="B4" s="2692"/>
      <c r="C4" s="2692"/>
      <c r="D4" s="2692"/>
      <c r="E4" s="2692"/>
      <c r="F4" s="2692"/>
      <c r="G4" s="2692"/>
      <c r="H4" s="2692"/>
      <c r="I4" s="2692"/>
    </row>
    <row r="5" spans="1:20" s="2696" customFormat="1" ht="35.25" customHeight="1">
      <c r="A5" s="369"/>
      <c r="B5" s="367"/>
      <c r="C5" s="3560" t="s">
        <v>1921</v>
      </c>
      <c r="D5" s="3560"/>
      <c r="E5" s="2719"/>
      <c r="F5" s="2719"/>
      <c r="G5" s="2719"/>
      <c r="H5" s="2719"/>
      <c r="I5" s="2719"/>
      <c r="J5" s="2719"/>
      <c r="K5" s="2719"/>
      <c r="L5" s="2719"/>
      <c r="M5" s="3540"/>
      <c r="N5" s="3540"/>
      <c r="O5" s="3540"/>
      <c r="S5" s="2656"/>
      <c r="T5" s="2656"/>
    </row>
    <row r="6" spans="1:20" s="2696" customFormat="1" ht="39.75">
      <c r="A6" s="369"/>
      <c r="B6" s="367"/>
      <c r="C6" s="2693"/>
      <c r="D6" s="2693"/>
      <c r="E6" s="2693"/>
      <c r="F6" s="2693"/>
      <c r="G6" s="3559" t="s">
        <v>1879</v>
      </c>
      <c r="H6" s="3559"/>
      <c r="I6" s="3559"/>
      <c r="J6" s="2693"/>
      <c r="K6" s="2693"/>
      <c r="L6" s="2693"/>
      <c r="M6" s="2691"/>
      <c r="N6" s="2691"/>
      <c r="O6" s="2691"/>
      <c r="S6" s="2656"/>
      <c r="T6" s="2656"/>
    </row>
    <row r="7" spans="1:20" s="2696" customFormat="1" ht="33.75">
      <c r="A7" s="369"/>
      <c r="B7" s="119"/>
      <c r="C7" s="367"/>
      <c r="D7" s="402"/>
      <c r="E7" s="402"/>
      <c r="F7" s="402"/>
      <c r="G7" s="2716">
        <v>1402</v>
      </c>
      <c r="H7" s="2717"/>
      <c r="I7" s="2718">
        <v>1401</v>
      </c>
      <c r="J7" s="403"/>
      <c r="K7" s="403"/>
      <c r="M7" s="2150"/>
      <c r="N7" s="1815"/>
      <c r="O7" s="1815"/>
      <c r="S7" s="1815"/>
      <c r="T7" s="1815"/>
    </row>
    <row r="8" spans="1:20" s="2696" customFormat="1" ht="33.75" customHeight="1">
      <c r="A8" s="369"/>
      <c r="B8" s="119"/>
      <c r="C8" s="367"/>
      <c r="D8" s="404" t="s">
        <v>2052</v>
      </c>
      <c r="E8" s="404"/>
      <c r="F8" s="404"/>
      <c r="G8" s="979"/>
      <c r="H8" s="980"/>
      <c r="I8" s="979"/>
      <c r="J8" s="405"/>
      <c r="K8" s="403"/>
      <c r="M8" s="2151"/>
      <c r="N8" s="2152"/>
      <c r="O8" s="2151"/>
      <c r="S8" s="399"/>
      <c r="T8" s="399"/>
    </row>
    <row r="9" spans="1:20" s="3269" customFormat="1" ht="33.75" customHeight="1">
      <c r="A9" s="369">
        <v>419</v>
      </c>
      <c r="B9" s="119"/>
      <c r="C9" s="367"/>
      <c r="D9" s="2158" t="s">
        <v>2737</v>
      </c>
      <c r="E9" s="404"/>
      <c r="F9" s="404"/>
      <c r="G9" s="583">
        <f>SUMIF('1402'!$B$6:$B$590,$A9,'1402'!$W$6:$W$590)</f>
        <v>1207952</v>
      </c>
      <c r="H9" s="980"/>
      <c r="I9" s="579">
        <v>0</v>
      </c>
      <c r="J9" s="405"/>
      <c r="K9" s="403"/>
      <c r="M9" s="2151"/>
      <c r="N9" s="2152"/>
      <c r="O9" s="2151"/>
      <c r="S9" s="399"/>
      <c r="T9" s="399"/>
    </row>
    <row r="10" spans="1:20" s="2696" customFormat="1" ht="42.75" customHeight="1">
      <c r="A10" s="920">
        <v>420</v>
      </c>
      <c r="C10" s="367"/>
      <c r="D10" s="2158" t="s">
        <v>2751</v>
      </c>
      <c r="E10" s="2158"/>
      <c r="F10" s="2158"/>
      <c r="G10" s="583">
        <f>SUMIF('1402'!$B$6:$B$590,$A10,'1402'!$W$6:$W$590)</f>
        <v>444761</v>
      </c>
      <c r="H10" s="581"/>
      <c r="I10" s="583">
        <v>17078</v>
      </c>
      <c r="J10" s="400"/>
      <c r="K10" s="406"/>
      <c r="M10" s="778"/>
      <c r="N10" s="2153"/>
      <c r="O10" s="778"/>
      <c r="S10" s="778"/>
      <c r="T10" s="778"/>
    </row>
    <row r="11" spans="1:20" s="2696" customFormat="1" ht="73.5" customHeight="1">
      <c r="A11" s="920">
        <v>421</v>
      </c>
      <c r="C11" s="367"/>
      <c r="D11" s="3291" t="s">
        <v>2756</v>
      </c>
      <c r="E11" s="3291"/>
      <c r="F11" s="1495"/>
      <c r="G11" s="583">
        <f>SUMIF('1402'!$B$6:$B$590,$A11,'1402'!$W$6:$W$590)</f>
        <v>3917</v>
      </c>
      <c r="H11" s="581"/>
      <c r="I11" s="583">
        <v>5223</v>
      </c>
      <c r="J11" s="400"/>
      <c r="K11" s="407"/>
      <c r="M11" s="778"/>
      <c r="N11" s="2153"/>
      <c r="O11" s="778"/>
      <c r="S11" s="778"/>
      <c r="T11" s="778"/>
    </row>
    <row r="12" spans="1:20" s="2696" customFormat="1" ht="34.5" thickBot="1">
      <c r="A12" s="369"/>
      <c r="B12" s="109"/>
      <c r="C12" s="367"/>
      <c r="G12" s="2713">
        <f>SUM(G9:G11)</f>
        <v>1656630</v>
      </c>
      <c r="H12" s="2714"/>
      <c r="I12" s="2715">
        <f>SUM(I9:I11)</f>
        <v>22301</v>
      </c>
      <c r="M12" s="779"/>
      <c r="N12" s="2154"/>
      <c r="O12" s="2155"/>
      <c r="S12" s="2155"/>
      <c r="T12" s="2155"/>
    </row>
    <row r="13" spans="1:20" s="2696" customFormat="1" ht="35.25" customHeight="1" thickTop="1">
      <c r="A13" s="369"/>
      <c r="B13" s="109"/>
      <c r="C13" s="367"/>
      <c r="G13" s="779"/>
      <c r="H13" s="780"/>
      <c r="I13" s="2155"/>
      <c r="M13" s="779"/>
      <c r="N13" s="2154"/>
      <c r="O13" s="2155"/>
      <c r="S13" s="2155"/>
      <c r="T13" s="2155"/>
    </row>
    <row r="14" spans="1:20" ht="36.75" customHeight="1">
      <c r="C14" s="3562" t="s">
        <v>2571</v>
      </c>
      <c r="D14" s="3562"/>
      <c r="E14" s="427"/>
      <c r="F14" s="427"/>
      <c r="G14" s="3558" t="s">
        <v>1879</v>
      </c>
      <c r="H14" s="3558"/>
      <c r="I14" s="3558"/>
      <c r="J14" s="428"/>
      <c r="K14" s="428"/>
      <c r="L14" s="428"/>
      <c r="M14" s="428"/>
      <c r="N14" s="428"/>
      <c r="O14" s="429"/>
    </row>
    <row r="15" spans="1:20" s="893" customFormat="1" ht="33" hidden="1" customHeight="1">
      <c r="A15" s="1665"/>
      <c r="B15" s="1223"/>
      <c r="C15" s="908" t="s">
        <v>1631</v>
      </c>
      <c r="D15" s="903"/>
      <c r="E15" s="903"/>
      <c r="F15" s="903"/>
      <c r="G15" s="418" t="s">
        <v>675</v>
      </c>
      <c r="H15" s="418"/>
      <c r="I15" s="418" t="s">
        <v>675</v>
      </c>
      <c r="J15" s="909"/>
      <c r="K15" s="909"/>
      <c r="L15" s="909"/>
      <c r="M15" s="909"/>
      <c r="N15" s="909"/>
      <c r="O15" s="846"/>
    </row>
    <row r="16" spans="1:20" s="893" customFormat="1" ht="33" hidden="1" customHeight="1">
      <c r="A16" s="1665"/>
      <c r="B16" s="1223"/>
      <c r="C16" s="908" t="s">
        <v>1649</v>
      </c>
      <c r="D16" s="903"/>
      <c r="E16" s="903"/>
      <c r="F16" s="903"/>
      <c r="G16" s="879">
        <v>0</v>
      </c>
      <c r="H16" s="910"/>
      <c r="I16" s="583">
        <v>0</v>
      </c>
      <c r="J16" s="909"/>
      <c r="K16" s="909"/>
      <c r="L16" s="909"/>
      <c r="M16" s="909"/>
      <c r="N16" s="909"/>
      <c r="O16" s="846"/>
    </row>
    <row r="17" spans="1:40" s="893" customFormat="1" ht="33" hidden="1" customHeight="1">
      <c r="A17" s="1665"/>
      <c r="B17" s="1223"/>
      <c r="C17" s="908" t="s">
        <v>674</v>
      </c>
      <c r="D17" s="903"/>
      <c r="E17" s="903"/>
      <c r="F17" s="903"/>
      <c r="G17" s="885">
        <v>0</v>
      </c>
      <c r="H17" s="910"/>
      <c r="I17" s="585">
        <v>0</v>
      </c>
      <c r="J17" s="909"/>
      <c r="K17" s="909"/>
      <c r="L17" s="909"/>
      <c r="M17" s="909"/>
      <c r="N17" s="909"/>
      <c r="O17" s="846"/>
    </row>
    <row r="18" spans="1:40" s="893" customFormat="1" ht="33" hidden="1" customHeight="1">
      <c r="A18" s="1665"/>
      <c r="B18" s="1223"/>
      <c r="C18" s="908"/>
      <c r="D18" s="903"/>
      <c r="E18" s="903"/>
      <c r="F18" s="903"/>
      <c r="G18" s="1386">
        <v>0</v>
      </c>
      <c r="H18" s="911"/>
      <c r="I18" s="1835">
        <v>0</v>
      </c>
      <c r="J18" s="909"/>
      <c r="K18" s="909"/>
      <c r="L18" s="909"/>
      <c r="M18" s="909"/>
      <c r="N18" s="909"/>
      <c r="O18" s="846"/>
    </row>
    <row r="19" spans="1:40" s="893" customFormat="1" ht="28.5" customHeight="1">
      <c r="A19" s="1665"/>
      <c r="B19" s="1223"/>
      <c r="C19" s="908"/>
      <c r="D19" s="903"/>
      <c r="E19" s="903"/>
      <c r="F19" s="903"/>
      <c r="G19" s="415">
        <v>1402</v>
      </c>
      <c r="H19" s="418"/>
      <c r="I19" s="415">
        <v>1401</v>
      </c>
      <c r="J19" s="909"/>
      <c r="K19" s="909"/>
      <c r="L19" s="909"/>
      <c r="M19" s="909"/>
      <c r="N19" s="909"/>
      <c r="O19" s="846"/>
    </row>
    <row r="20" spans="1:40" s="893" customFormat="1" ht="42.75" hidden="1" customHeight="1">
      <c r="A20" s="3226"/>
      <c r="B20" s="1221"/>
      <c r="C20" s="1357"/>
      <c r="D20" s="1357"/>
      <c r="E20" s="912"/>
      <c r="F20" s="903"/>
      <c r="G20" s="913"/>
      <c r="H20" s="913"/>
      <c r="I20" s="913"/>
      <c r="J20" s="909"/>
      <c r="K20" s="914"/>
      <c r="L20" s="915"/>
      <c r="M20" s="914"/>
      <c r="N20" s="909"/>
      <c r="O20" s="846"/>
    </row>
    <row r="21" spans="1:40" s="893" customFormat="1" ht="40.5" customHeight="1">
      <c r="A21" s="3226">
        <v>602</v>
      </c>
      <c r="B21" s="907"/>
      <c r="D21" s="897" t="s">
        <v>1903</v>
      </c>
      <c r="E21" s="584"/>
      <c r="F21" s="917"/>
      <c r="G21" s="584">
        <f>G39</f>
        <v>0</v>
      </c>
      <c r="H21" s="918"/>
      <c r="I21" s="368">
        <v>50000</v>
      </c>
      <c r="J21" s="909"/>
      <c r="K21" s="909"/>
      <c r="L21" s="915"/>
      <c r="M21" s="914"/>
      <c r="N21" s="907"/>
      <c r="O21" s="846"/>
      <c r="Q21" s="1080">
        <f>G21-I21</f>
        <v>-50000</v>
      </c>
    </row>
    <row r="22" spans="1:40" s="893" customFormat="1" ht="40.5" hidden="1" customHeight="1">
      <c r="A22" s="3226"/>
      <c r="B22" s="907"/>
      <c r="D22" s="897" t="s">
        <v>1902</v>
      </c>
      <c r="E22" s="584"/>
      <c r="F22" s="917"/>
      <c r="G22" s="584">
        <v>0</v>
      </c>
      <c r="H22" s="918"/>
      <c r="I22" s="368">
        <v>0</v>
      </c>
      <c r="J22" s="909"/>
      <c r="K22" s="909"/>
      <c r="L22" s="915"/>
      <c r="M22" s="914"/>
      <c r="N22" s="907"/>
      <c r="O22" s="846"/>
      <c r="Q22" s="1080"/>
    </row>
    <row r="23" spans="1:40" s="893" customFormat="1" ht="40.5" customHeight="1">
      <c r="A23" s="3226">
        <v>603</v>
      </c>
      <c r="B23" s="907"/>
      <c r="D23" s="897" t="s">
        <v>1463</v>
      </c>
      <c r="E23" s="916"/>
      <c r="F23" s="917"/>
      <c r="G23" s="584">
        <f>SUMIF('1402'!$B$6:$B$590,$A23,'1402'!$W$6:$W$590)</f>
        <v>480005</v>
      </c>
      <c r="H23" s="918"/>
      <c r="I23" s="584">
        <v>243771</v>
      </c>
      <c r="J23" s="909"/>
      <c r="K23" s="909"/>
      <c r="L23" s="915"/>
      <c r="M23" s="914"/>
      <c r="N23" s="907"/>
      <c r="O23" s="846"/>
    </row>
    <row r="24" spans="1:40" s="893" customFormat="1" ht="40.5" customHeight="1">
      <c r="A24" s="3226">
        <v>607</v>
      </c>
      <c r="B24" s="907"/>
      <c r="D24" s="897" t="s">
        <v>1645</v>
      </c>
      <c r="E24" s="916"/>
      <c r="F24" s="917"/>
      <c r="G24" s="584">
        <f>SUMIF('1402'!$B$6:$B$590,$A24,'1402'!$W$6:$W$590)</f>
        <v>1578</v>
      </c>
      <c r="H24" s="918"/>
      <c r="I24" s="584">
        <v>109781</v>
      </c>
      <c r="J24" s="909"/>
      <c r="K24" s="909"/>
      <c r="L24" s="915"/>
      <c r="M24" s="919"/>
      <c r="N24" s="902"/>
      <c r="O24" s="920"/>
      <c r="R24" s="1258"/>
    </row>
    <row r="25" spans="1:40" s="893" customFormat="1" ht="40.5" customHeight="1">
      <c r="A25" s="3226">
        <v>606</v>
      </c>
      <c r="B25" s="907"/>
      <c r="D25" s="897" t="s">
        <v>919</v>
      </c>
      <c r="E25" s="916"/>
      <c r="F25" s="917"/>
      <c r="G25" s="584">
        <f>SUMIF('1402'!$B$6:$B$590,$A25,'1402'!$W$6:$W$590)</f>
        <v>65733</v>
      </c>
      <c r="H25" s="918"/>
      <c r="I25" s="584">
        <v>53395</v>
      </c>
      <c r="J25" s="909"/>
      <c r="K25" s="909"/>
      <c r="L25" s="915"/>
      <c r="M25" s="914"/>
      <c r="N25" s="907"/>
      <c r="O25" s="846"/>
      <c r="Q25" s="1048"/>
      <c r="AC25" s="1048">
        <f>AE25+AE24+AE23+AE21</f>
        <v>0</v>
      </c>
      <c r="AD25" s="1048">
        <f t="shared" ref="AD25:AN25" si="0">AF25+AF24+AF23+AF21</f>
        <v>0</v>
      </c>
      <c r="AE25" s="1048">
        <f t="shared" si="0"/>
        <v>0</v>
      </c>
      <c r="AF25" s="1048">
        <f t="shared" si="0"/>
        <v>0</v>
      </c>
      <c r="AG25" s="1048">
        <f t="shared" si="0"/>
        <v>0</v>
      </c>
      <c r="AH25" s="1048">
        <f t="shared" si="0"/>
        <v>0</v>
      </c>
      <c r="AI25" s="1048">
        <f t="shared" si="0"/>
        <v>0</v>
      </c>
      <c r="AJ25" s="1048">
        <f t="shared" si="0"/>
        <v>0</v>
      </c>
      <c r="AK25" s="1048">
        <f t="shared" si="0"/>
        <v>0</v>
      </c>
      <c r="AL25" s="1048">
        <f t="shared" si="0"/>
        <v>0</v>
      </c>
      <c r="AM25" s="1048">
        <f t="shared" si="0"/>
        <v>0</v>
      </c>
      <c r="AN25" s="1048">
        <f t="shared" si="0"/>
        <v>0</v>
      </c>
    </row>
    <row r="26" spans="1:40" s="893" customFormat="1" ht="40.5" customHeight="1">
      <c r="A26" s="3226">
        <v>604</v>
      </c>
      <c r="B26" s="1553"/>
      <c r="D26" s="897" t="s">
        <v>70</v>
      </c>
      <c r="E26" s="1048"/>
      <c r="F26" s="917"/>
      <c r="G26" s="584">
        <f>SUMIF('1402'!$B$6:$B$590,$A26,'1402'!$W$6:$W$590)</f>
        <v>64</v>
      </c>
      <c r="H26" s="580"/>
      <c r="I26" s="584">
        <v>108</v>
      </c>
      <c r="J26" s="909"/>
      <c r="K26" s="909"/>
      <c r="L26" s="915"/>
      <c r="M26" s="914"/>
      <c r="N26" s="907"/>
      <c r="O26" s="846"/>
      <c r="Q26" s="1049"/>
      <c r="R26" s="1049"/>
      <c r="U26" s="1049"/>
      <c r="V26" s="1049"/>
      <c r="W26" s="1049"/>
      <c r="X26" s="1049"/>
      <c r="Y26" s="1049"/>
      <c r="Z26" s="1049"/>
      <c r="AA26" s="1049"/>
      <c r="AB26" s="1049"/>
      <c r="AC26" s="1049">
        <f>AG25+AG24+AG23+AG21</f>
        <v>0</v>
      </c>
      <c r="AD26" s="1049">
        <f t="shared" ref="AD26:AN26" si="1">AH25+AH24+AH23+AH21</f>
        <v>0</v>
      </c>
      <c r="AE26" s="1049">
        <f t="shared" si="1"/>
        <v>0</v>
      </c>
      <c r="AF26" s="1049">
        <f t="shared" si="1"/>
        <v>0</v>
      </c>
      <c r="AG26" s="1049">
        <f t="shared" si="1"/>
        <v>0</v>
      </c>
      <c r="AH26" s="1049">
        <f t="shared" si="1"/>
        <v>0</v>
      </c>
      <c r="AI26" s="1049">
        <f t="shared" si="1"/>
        <v>0</v>
      </c>
      <c r="AJ26" s="1049">
        <f t="shared" si="1"/>
        <v>0</v>
      </c>
      <c r="AK26" s="1049">
        <f t="shared" si="1"/>
        <v>0</v>
      </c>
      <c r="AL26" s="1049">
        <f t="shared" si="1"/>
        <v>0</v>
      </c>
      <c r="AM26" s="1049">
        <f t="shared" si="1"/>
        <v>0</v>
      </c>
      <c r="AN26" s="1049">
        <f t="shared" si="1"/>
        <v>0</v>
      </c>
    </row>
    <row r="27" spans="1:40" s="893" customFormat="1" ht="40.5" customHeight="1" thickBot="1">
      <c r="A27" s="3226"/>
      <c r="B27" s="907"/>
      <c r="D27" s="897" t="s">
        <v>677</v>
      </c>
      <c r="E27" s="1049"/>
      <c r="F27" s="903"/>
      <c r="G27" s="1058">
        <f>SUM(G21:G26)</f>
        <v>547380</v>
      </c>
      <c r="H27" s="580"/>
      <c r="I27" s="1058">
        <f>SUM(I21:I26)</f>
        <v>457055</v>
      </c>
      <c r="J27" s="904"/>
      <c r="K27" s="904"/>
      <c r="L27" s="905"/>
      <c r="M27" s="919"/>
      <c r="N27" s="902"/>
      <c r="O27" s="920"/>
      <c r="Q27" s="1050">
        <f>G27-G21</f>
        <v>547380</v>
      </c>
      <c r="R27" s="1215">
        <f>I27-I21</f>
        <v>407055</v>
      </c>
      <c r="U27" s="1049"/>
      <c r="V27" s="1049"/>
      <c r="W27" s="1049"/>
      <c r="X27" s="1049"/>
      <c r="Y27" s="1049"/>
      <c r="Z27" s="1049"/>
      <c r="AA27" s="1049"/>
      <c r="AB27" s="1049"/>
      <c r="AC27" s="1049">
        <f>AC25-AC26</f>
        <v>0</v>
      </c>
      <c r="AD27" s="1049">
        <f t="shared" ref="AD27:AN27" si="2">AD25-AD26</f>
        <v>0</v>
      </c>
      <c r="AE27" s="1049">
        <f t="shared" si="2"/>
        <v>0</v>
      </c>
      <c r="AF27" s="1049">
        <f t="shared" si="2"/>
        <v>0</v>
      </c>
      <c r="AG27" s="1049">
        <f t="shared" si="2"/>
        <v>0</v>
      </c>
      <c r="AH27" s="1049">
        <f t="shared" si="2"/>
        <v>0</v>
      </c>
      <c r="AI27" s="1049">
        <f t="shared" si="2"/>
        <v>0</v>
      </c>
      <c r="AJ27" s="1050">
        <f t="shared" si="2"/>
        <v>0</v>
      </c>
      <c r="AK27" s="1050">
        <f t="shared" si="2"/>
        <v>0</v>
      </c>
      <c r="AL27" s="1050">
        <f t="shared" si="2"/>
        <v>0</v>
      </c>
      <c r="AM27" s="1050">
        <f t="shared" si="2"/>
        <v>0</v>
      </c>
      <c r="AN27" s="1050">
        <f t="shared" si="2"/>
        <v>0</v>
      </c>
    </row>
    <row r="28" spans="1:40" ht="30" customHeight="1" thickTop="1">
      <c r="E28" s="1050"/>
      <c r="G28" s="1057"/>
      <c r="H28" s="583"/>
      <c r="I28" s="1056"/>
      <c r="Q28" s="1081"/>
    </row>
    <row r="29" spans="1:40" ht="53.25" customHeight="1">
      <c r="C29" s="3556" t="s">
        <v>1987</v>
      </c>
      <c r="D29" s="3556"/>
      <c r="E29" s="3556"/>
      <c r="F29" s="3556"/>
      <c r="G29" s="3556"/>
      <c r="H29" s="3556"/>
      <c r="I29" s="3556"/>
    </row>
    <row r="30" spans="1:40" s="893" customFormat="1" ht="44.25" customHeight="1">
      <c r="A30" s="1665"/>
      <c r="B30" s="1223"/>
      <c r="G30" s="3558" t="s">
        <v>1879</v>
      </c>
      <c r="H30" s="3558"/>
      <c r="I30" s="3558"/>
    </row>
    <row r="31" spans="1:40" s="893" customFormat="1" ht="28.5">
      <c r="A31" s="1665"/>
      <c r="B31" s="1223"/>
      <c r="G31" s="415">
        <v>1402</v>
      </c>
      <c r="H31" s="1860"/>
      <c r="I31" s="415">
        <v>1401</v>
      </c>
    </row>
    <row r="32" spans="1:40" s="893" customFormat="1" ht="50.25" customHeight="1">
      <c r="A32" s="1665"/>
      <c r="B32" s="1223"/>
      <c r="C32" s="896"/>
      <c r="D32" s="896" t="s">
        <v>1898</v>
      </c>
      <c r="E32" s="584"/>
      <c r="F32" s="897"/>
      <c r="G32" s="579">
        <v>145000</v>
      </c>
      <c r="H32" s="582"/>
      <c r="I32" s="579">
        <v>723225</v>
      </c>
    </row>
    <row r="33" spans="1:15" s="893" customFormat="1" ht="50.25" customHeight="1">
      <c r="A33" s="1665"/>
      <c r="B33" s="1223"/>
      <c r="C33" s="896"/>
      <c r="D33" s="896" t="s">
        <v>2364</v>
      </c>
      <c r="E33" s="584"/>
      <c r="F33" s="897"/>
      <c r="G33" s="579">
        <v>71814</v>
      </c>
      <c r="H33" s="582"/>
      <c r="I33" s="579">
        <v>50000</v>
      </c>
    </row>
    <row r="34" spans="1:15" s="893" customFormat="1" ht="50.25" hidden="1" customHeight="1">
      <c r="A34" s="1665"/>
      <c r="B34" s="1223"/>
      <c r="C34" s="896"/>
      <c r="D34" s="896"/>
      <c r="E34" s="584"/>
      <c r="F34" s="897"/>
      <c r="G34" s="579"/>
      <c r="H34" s="582"/>
      <c r="I34" s="579">
        <v>0</v>
      </c>
    </row>
    <row r="35" spans="1:15" s="893" customFormat="1" ht="50.25" customHeight="1">
      <c r="A35" s="1665"/>
      <c r="B35" s="1223"/>
      <c r="C35" s="896"/>
      <c r="D35" s="901" t="s">
        <v>2253</v>
      </c>
      <c r="E35" s="584"/>
      <c r="F35" s="897"/>
      <c r="G35" s="579">
        <v>0</v>
      </c>
      <c r="H35" s="1721"/>
      <c r="I35" s="579">
        <v>-533225</v>
      </c>
    </row>
    <row r="36" spans="1:15" s="893" customFormat="1" ht="50.25" customHeight="1">
      <c r="A36" s="1665"/>
      <c r="B36" s="2055"/>
      <c r="C36" s="2054"/>
      <c r="D36" s="901" t="s">
        <v>2254</v>
      </c>
      <c r="E36" s="584"/>
      <c r="F36" s="897"/>
      <c r="G36" s="579">
        <v>0</v>
      </c>
      <c r="H36" s="1721"/>
      <c r="I36" s="579">
        <v>-95000</v>
      </c>
    </row>
    <row r="37" spans="1:15" s="893" customFormat="1" ht="50.25" customHeight="1">
      <c r="A37" s="1665"/>
      <c r="B37" s="1223"/>
      <c r="C37" s="896"/>
      <c r="D37" s="1246" t="s">
        <v>679</v>
      </c>
      <c r="E37" s="1247"/>
      <c r="F37" s="1248"/>
      <c r="G37" s="1249">
        <f>SUM(G32:G36)</f>
        <v>216814</v>
      </c>
      <c r="H37" s="1721"/>
      <c r="I37" s="1249">
        <f>SUM(I32:I36)</f>
        <v>145000</v>
      </c>
    </row>
    <row r="38" spans="1:15" s="893" customFormat="1" ht="50.25" customHeight="1">
      <c r="A38" s="3226"/>
      <c r="B38" s="907"/>
      <c r="D38" s="897" t="s">
        <v>2549</v>
      </c>
      <c r="E38" s="584"/>
      <c r="F38" s="903"/>
      <c r="G38" s="2086">
        <f>-'1402'!W440</f>
        <v>-216814</v>
      </c>
      <c r="H38" s="1721"/>
      <c r="I38" s="2086">
        <v>-95000</v>
      </c>
      <c r="J38" s="904"/>
      <c r="K38" s="904"/>
      <c r="L38" s="905"/>
      <c r="M38" s="906"/>
      <c r="N38" s="907"/>
      <c r="O38" s="846"/>
    </row>
    <row r="39" spans="1:15" s="893" customFormat="1" ht="50.25" customHeight="1" thickBot="1">
      <c r="A39" s="3226"/>
      <c r="B39" s="907"/>
      <c r="D39" s="1200"/>
      <c r="E39" s="903"/>
      <c r="F39" s="903"/>
      <c r="G39" s="1961">
        <f>G37+G38</f>
        <v>0</v>
      </c>
      <c r="H39" s="581"/>
      <c r="I39" s="1961">
        <f>SUM(I37:I38)</f>
        <v>50000</v>
      </c>
      <c r="J39" s="904"/>
      <c r="K39" s="904"/>
      <c r="L39" s="905"/>
      <c r="M39" s="906"/>
      <c r="N39" s="907"/>
      <c r="O39" s="846"/>
    </row>
    <row r="40" spans="1:15" s="893" customFormat="1" ht="32.25" customHeight="1" thickTop="1">
      <c r="A40" s="3226"/>
      <c r="B40" s="907"/>
      <c r="D40" s="897"/>
      <c r="E40" s="1558">
        <v>1097085</v>
      </c>
      <c r="F40" s="903"/>
      <c r="G40" s="1057"/>
      <c r="H40" s="581"/>
      <c r="I40" s="1075"/>
      <c r="J40" s="904"/>
      <c r="K40" s="904"/>
      <c r="L40" s="905"/>
      <c r="M40" s="906"/>
      <c r="N40" s="907"/>
      <c r="O40" s="846"/>
    </row>
    <row r="41" spans="1:15" ht="43.5" customHeight="1">
      <c r="A41" s="2056"/>
      <c r="B41" s="1791"/>
      <c r="C41" s="3557"/>
      <c r="D41" s="3557"/>
      <c r="E41" s="3557"/>
      <c r="F41" s="3557"/>
      <c r="G41" s="3557"/>
      <c r="H41" s="3557"/>
      <c r="I41" s="3557"/>
    </row>
    <row r="42" spans="1:15" ht="84" customHeight="1">
      <c r="C42" s="3561">
        <v>22</v>
      </c>
      <c r="D42" s="3561"/>
      <c r="E42" s="3561"/>
      <c r="F42" s="3561"/>
      <c r="G42" s="3561"/>
      <c r="H42" s="3561"/>
      <c r="I42" s="3561"/>
    </row>
  </sheetData>
  <mergeCells count="12">
    <mergeCell ref="M5:O5"/>
    <mergeCell ref="G6:I6"/>
    <mergeCell ref="C5:D5"/>
    <mergeCell ref="C42:I42"/>
    <mergeCell ref="C14:D14"/>
    <mergeCell ref="A1:I1"/>
    <mergeCell ref="A2:I2"/>
    <mergeCell ref="A3:I3"/>
    <mergeCell ref="C29:I29"/>
    <mergeCell ref="C41:I41"/>
    <mergeCell ref="G14:I14"/>
    <mergeCell ref="G30:I30"/>
  </mergeCells>
  <printOptions horizontalCentered="1" verticalCentered="1"/>
  <pageMargins left="0" right="0" top="0.31496062992125984" bottom="0.19685039370078741" header="0.15748031496062992" footer="0.19685039370078741"/>
  <pageSetup paperSize="9" scale="5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O40"/>
  <sheetViews>
    <sheetView rightToLeft="1" view="pageBreakPreview" zoomScale="60" zoomScaleNormal="100" workbookViewId="0">
      <selection activeCell="F17" sqref="F17"/>
    </sheetView>
  </sheetViews>
  <sheetFormatPr defaultColWidth="1.375" defaultRowHeight="26.25"/>
  <cols>
    <col min="1" max="1" width="13.75" style="817" customWidth="1"/>
    <col min="2" max="2" width="4.25" style="409" customWidth="1"/>
    <col min="3" max="3" width="4.25" style="150" customWidth="1"/>
    <col min="4" max="4" width="44.875" style="150" customWidth="1"/>
    <col min="5" max="5" width="22.625" style="150" customWidth="1"/>
    <col min="6" max="6" width="25.875" style="150" customWidth="1"/>
    <col min="7" max="7" width="6.875" style="150" customWidth="1"/>
    <col min="8" max="8" width="9.625" style="150" customWidth="1"/>
    <col min="9" max="9" width="3.75" style="150" customWidth="1"/>
    <col min="10" max="10" width="11.625" style="150" customWidth="1"/>
    <col min="11" max="11" width="3.25" style="150" customWidth="1"/>
    <col min="12" max="12" width="17.125" style="150" customWidth="1"/>
    <col min="13" max="13" width="2.125" style="150" customWidth="1"/>
    <col min="14" max="14" width="18" style="150" customWidth="1"/>
    <col min="15" max="15" width="1.375" style="150"/>
    <col min="16" max="16" width="1.75" style="150" bestFit="1" customWidth="1"/>
    <col min="17" max="17" width="1.375" style="150"/>
    <col min="18" max="18" width="2.75" style="150" bestFit="1" customWidth="1"/>
    <col min="19" max="16384" width="1.375" style="150"/>
  </cols>
  <sheetData>
    <row r="1" spans="1:15" s="149" customFormat="1" ht="43.5" customHeight="1">
      <c r="A1" s="3567" t="str">
        <f>مفروضات!A1</f>
        <v>شركت خطوط لوله و مخابرات نفت ايران (سهامي خاص)</v>
      </c>
      <c r="B1" s="3567"/>
      <c r="C1" s="3567"/>
      <c r="D1" s="3567"/>
      <c r="E1" s="3567"/>
      <c r="F1" s="3567"/>
      <c r="G1" s="3567"/>
      <c r="H1" s="3567"/>
      <c r="I1" s="3567"/>
      <c r="J1" s="3567"/>
      <c r="K1" s="3567"/>
      <c r="L1" s="3567"/>
      <c r="M1" s="3567"/>
      <c r="N1" s="3567"/>
    </row>
    <row r="2" spans="1:15" s="149" customFormat="1" ht="43.5" customHeight="1">
      <c r="A2" s="3567" t="str">
        <f>مفروضات!A2</f>
        <v>يادداشت هاي توضيحي صورت هاي مالي</v>
      </c>
      <c r="B2" s="3567"/>
      <c r="C2" s="3567"/>
      <c r="D2" s="3567"/>
      <c r="E2" s="3567"/>
      <c r="F2" s="3567"/>
      <c r="G2" s="3567"/>
      <c r="H2" s="3567"/>
      <c r="I2" s="3567"/>
      <c r="J2" s="3567"/>
      <c r="K2" s="3567"/>
      <c r="L2" s="3567"/>
      <c r="M2" s="3567"/>
      <c r="N2" s="3567"/>
    </row>
    <row r="3" spans="1:15" s="149" customFormat="1" ht="43.5" customHeight="1">
      <c r="A3" s="3568" t="str">
        <f>مفروضات!A3</f>
        <v xml:space="preserve"> سال مالي منتهي به 29 اسفند 1401</v>
      </c>
      <c r="B3" s="3568"/>
      <c r="C3" s="3568"/>
      <c r="D3" s="3568"/>
      <c r="E3" s="3568"/>
      <c r="F3" s="3568"/>
      <c r="G3" s="3568"/>
      <c r="H3" s="3568"/>
      <c r="I3" s="3568"/>
      <c r="J3" s="3568"/>
      <c r="K3" s="3568"/>
      <c r="L3" s="3568"/>
      <c r="M3" s="3568"/>
      <c r="N3" s="3568"/>
    </row>
    <row r="4" spans="1:15" s="408" customFormat="1" ht="36.75" customHeight="1">
      <c r="A4" s="818"/>
      <c r="B4" s="675"/>
      <c r="C4" s="675"/>
      <c r="D4" s="675"/>
      <c r="E4" s="675"/>
      <c r="F4" s="675"/>
      <c r="G4" s="675"/>
      <c r="H4" s="675"/>
      <c r="I4" s="675"/>
      <c r="J4" s="675"/>
      <c r="K4" s="675"/>
      <c r="L4" s="675"/>
      <c r="M4" s="675"/>
      <c r="N4" s="675"/>
    </row>
    <row r="5" spans="1:15" ht="35.25" customHeight="1"/>
    <row r="6" spans="1:15" s="564" customFormat="1" ht="35.25" customHeight="1">
      <c r="A6" s="819"/>
      <c r="B6" s="498"/>
      <c r="C6" s="367" t="s">
        <v>1420</v>
      </c>
      <c r="D6" s="176" t="s">
        <v>1508</v>
      </c>
      <c r="E6" s="176"/>
      <c r="F6" s="176"/>
      <c r="L6" s="170" t="str">
        <f>مفروضات!A8</f>
        <v>1401/12/29</v>
      </c>
      <c r="N6" s="170" t="str">
        <f>مفروضات!C8</f>
        <v>1400/12/30</v>
      </c>
    </row>
    <row r="7" spans="1:15" s="564" customFormat="1" ht="35.25" customHeight="1">
      <c r="A7" s="819"/>
      <c r="C7" s="173"/>
      <c r="D7" s="173"/>
      <c r="E7" s="173"/>
      <c r="F7" s="173"/>
      <c r="G7" s="171"/>
      <c r="H7" s="171"/>
      <c r="I7" s="171"/>
      <c r="L7" s="172" t="s">
        <v>675</v>
      </c>
      <c r="N7" s="172" t="str">
        <f>L7</f>
        <v>ميليون ريال</v>
      </c>
      <c r="O7" s="173"/>
    </row>
    <row r="8" spans="1:15" s="564" customFormat="1" ht="35.25" customHeight="1">
      <c r="A8" s="819"/>
      <c r="C8" s="176"/>
      <c r="D8" s="176" t="s">
        <v>1207</v>
      </c>
      <c r="E8" s="176"/>
      <c r="F8" s="176"/>
      <c r="G8" s="171"/>
      <c r="H8" s="171"/>
      <c r="I8" s="171"/>
      <c r="L8" s="711">
        <f>N11</f>
        <v>155157</v>
      </c>
      <c r="M8" s="175"/>
      <c r="N8" s="711">
        <v>16834</v>
      </c>
      <c r="O8" s="173"/>
    </row>
    <row r="9" spans="1:15" s="564" customFormat="1" ht="35.25" customHeight="1">
      <c r="A9" s="819"/>
      <c r="C9" s="176"/>
      <c r="D9" s="176" t="s">
        <v>1399</v>
      </c>
      <c r="E9" s="176"/>
      <c r="F9" s="176"/>
      <c r="G9" s="171"/>
      <c r="H9" s="171"/>
      <c r="I9" s="171"/>
      <c r="L9" s="711">
        <v>0</v>
      </c>
      <c r="M9" s="175"/>
      <c r="N9" s="711">
        <v>-8010</v>
      </c>
      <c r="O9" s="173"/>
    </row>
    <row r="10" spans="1:15" s="564" customFormat="1" ht="35.25" customHeight="1">
      <c r="A10" s="819"/>
      <c r="C10" s="176"/>
      <c r="D10" s="176" t="s">
        <v>1608</v>
      </c>
      <c r="E10" s="176"/>
      <c r="F10" s="176"/>
      <c r="L10" s="711">
        <f>'95'!S424-L8</f>
        <v>112019</v>
      </c>
      <c r="M10" s="710"/>
      <c r="N10" s="711">
        <v>146333</v>
      </c>
    </row>
    <row r="11" spans="1:15" s="564" customFormat="1" ht="35.25" customHeight="1" thickBot="1">
      <c r="A11" s="819"/>
      <c r="C11" s="3566"/>
      <c r="D11" s="3566"/>
      <c r="E11" s="678"/>
      <c r="F11" s="678"/>
      <c r="L11" s="431">
        <f>SUM(L8:L10)</f>
        <v>267176</v>
      </c>
      <c r="M11" s="432"/>
      <c r="N11" s="431">
        <f>SUM(N8:N10)</f>
        <v>155157</v>
      </c>
    </row>
    <row r="12" spans="1:15" ht="27" thickTop="1"/>
    <row r="13" spans="1:15" ht="37.5">
      <c r="A13" s="3423"/>
      <c r="B13" s="3423"/>
      <c r="C13" s="3423"/>
      <c r="D13" s="3423"/>
      <c r="E13" s="3423"/>
      <c r="F13" s="3423"/>
      <c r="G13" s="3423"/>
      <c r="H13" s="3423"/>
      <c r="I13" s="3423"/>
      <c r="J13" s="3423"/>
      <c r="K13" s="3423"/>
      <c r="L13" s="3423"/>
      <c r="M13" s="3423"/>
      <c r="N13" s="3423"/>
    </row>
    <row r="40" spans="1:10">
      <c r="A40" s="3563"/>
      <c r="B40" s="3564"/>
      <c r="C40" s="3565"/>
      <c r="D40" s="3565"/>
      <c r="E40" s="3565"/>
      <c r="F40" s="3565"/>
      <c r="G40" s="3565"/>
      <c r="H40" s="3565"/>
      <c r="I40" s="3565"/>
      <c r="J40" s="3565"/>
    </row>
  </sheetData>
  <mergeCells count="6">
    <mergeCell ref="A40:J40"/>
    <mergeCell ref="A13:N13"/>
    <mergeCell ref="C11:D11"/>
    <mergeCell ref="A1:N1"/>
    <mergeCell ref="A2:N2"/>
    <mergeCell ref="A3:N3"/>
  </mergeCells>
  <pageMargins left="0.47" right="0.70866141732283472" top="0.74803149606299213" bottom="0.74803149606299213" header="0.31496062992125984" footer="0.31496062992125984"/>
  <pageSetup paperSize="9" scale="48"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Q45"/>
  <sheetViews>
    <sheetView rightToLeft="1" view="pageBreakPreview" topLeftCell="A20" zoomScale="77" zoomScaleNormal="70" zoomScaleSheetLayoutView="77" zoomScalePageLayoutView="70" workbookViewId="0">
      <selection activeCell="T37" sqref="T37"/>
    </sheetView>
  </sheetViews>
  <sheetFormatPr defaultColWidth="1.375" defaultRowHeight="26.25"/>
  <cols>
    <col min="1" max="1" width="0.875" style="1662" customWidth="1"/>
    <col min="2" max="2" width="3.125" style="1222" customWidth="1"/>
    <col min="3" max="3" width="8.375" style="1222" customWidth="1"/>
    <col min="4" max="4" width="19.625" style="1314" customWidth="1"/>
    <col min="5" max="5" width="1.25" style="1843" customWidth="1"/>
    <col min="6" max="6" width="30.625" style="1314" customWidth="1"/>
    <col min="7" max="7" width="2.625" style="1843" customWidth="1"/>
    <col min="8" max="8" width="20.5" style="1314" customWidth="1"/>
    <col min="9" max="9" width="9.375" style="1314" customWidth="1"/>
    <col min="10" max="10" width="19.375" style="1314" customWidth="1"/>
    <col min="11" max="11" width="1.125" style="1314" customWidth="1"/>
    <col min="12" max="12" width="15.75" style="1314" customWidth="1"/>
    <col min="13" max="13" width="1.375" style="1314"/>
    <col min="14" max="14" width="1.75" style="1314" bestFit="1" customWidth="1"/>
    <col min="15" max="15" width="1.375" style="1314"/>
    <col min="16" max="16" width="2.75" style="1314" bestFit="1" customWidth="1"/>
    <col min="17" max="19" width="1.375" style="1314"/>
    <col min="20" max="20" width="21.625" style="1314" customWidth="1"/>
    <col min="21" max="21" width="18.125" style="1314" customWidth="1"/>
    <col min="22" max="31" width="1.375" style="1314"/>
    <col min="32" max="33" width="8.5" style="1314" bestFit="1" customWidth="1"/>
    <col min="34" max="43" width="7.75" style="1314" bestFit="1" customWidth="1"/>
    <col min="44" max="16384" width="1.375" style="1314"/>
  </cols>
  <sheetData>
    <row r="1" spans="1:12" s="408" customFormat="1" ht="29.25" customHeight="1">
      <c r="A1" s="3573" t="str">
        <f>مفروضات!A1</f>
        <v>شركت خطوط لوله و مخابرات نفت ايران (سهامي خاص)</v>
      </c>
      <c r="B1" s="3573"/>
      <c r="C1" s="3573"/>
      <c r="D1" s="3573"/>
      <c r="E1" s="3573"/>
      <c r="F1" s="3573"/>
      <c r="G1" s="3573"/>
      <c r="H1" s="3573"/>
      <c r="I1" s="3573"/>
      <c r="J1" s="3573"/>
      <c r="K1" s="3573"/>
      <c r="L1" s="3573"/>
    </row>
    <row r="2" spans="1:12" s="408" customFormat="1" ht="27" customHeight="1">
      <c r="A2" s="3573" t="str">
        <f>مفروضات!A2</f>
        <v>يادداشت هاي توضيحي صورت هاي مالي</v>
      </c>
      <c r="B2" s="3573"/>
      <c r="C2" s="3573"/>
      <c r="D2" s="3573"/>
      <c r="E2" s="3573"/>
      <c r="F2" s="3573"/>
      <c r="G2" s="3573"/>
      <c r="H2" s="3573"/>
      <c r="I2" s="3573"/>
      <c r="J2" s="3573"/>
      <c r="K2" s="3573"/>
      <c r="L2" s="3573"/>
    </row>
    <row r="3" spans="1:12" s="408" customFormat="1" ht="26.25" customHeight="1">
      <c r="A3" s="3573" t="str">
        <f>mafrozat!A3</f>
        <v xml:space="preserve"> سال مالي منتهي به 29 اسفند 1402</v>
      </c>
      <c r="B3" s="3573"/>
      <c r="C3" s="3573"/>
      <c r="D3" s="3573"/>
      <c r="E3" s="3573"/>
      <c r="F3" s="3573"/>
      <c r="G3" s="3573"/>
      <c r="H3" s="3573"/>
      <c r="I3" s="3573"/>
      <c r="J3" s="3573"/>
      <c r="K3" s="3573"/>
      <c r="L3" s="3573"/>
    </row>
    <row r="4" spans="1:12" s="408" customFormat="1" ht="43.5" customHeight="1">
      <c r="A4" s="2647"/>
      <c r="B4" s="2647"/>
      <c r="C4" s="2647"/>
      <c r="D4" s="2647"/>
      <c r="E4" s="2647"/>
      <c r="F4" s="2647"/>
      <c r="G4" s="2647"/>
      <c r="H4" s="2647"/>
      <c r="I4" s="2647"/>
      <c r="J4" s="2647"/>
      <c r="K4" s="2647"/>
      <c r="L4" s="2647"/>
    </row>
    <row r="5" spans="1:12" ht="45.75" customHeight="1">
      <c r="C5" s="1217" t="s">
        <v>1433</v>
      </c>
      <c r="D5" s="3052" t="s">
        <v>1388</v>
      </c>
      <c r="E5" s="410"/>
      <c r="F5" s="1429"/>
      <c r="G5" s="1429"/>
      <c r="H5" s="411"/>
      <c r="I5" s="411"/>
    </row>
    <row r="6" spans="1:12" s="2645" customFormat="1" ht="39.75">
      <c r="A6" s="1662"/>
      <c r="B6" s="1222"/>
      <c r="C6" s="1428"/>
      <c r="D6" s="410"/>
      <c r="E6" s="410"/>
      <c r="F6" s="1429"/>
      <c r="G6" s="1429"/>
      <c r="H6" s="411"/>
      <c r="I6" s="411"/>
      <c r="J6" s="3576" t="s">
        <v>1879</v>
      </c>
      <c r="K6" s="3576"/>
      <c r="L6" s="3576"/>
    </row>
    <row r="7" spans="1:12" ht="27.75" customHeight="1">
      <c r="A7" s="1663"/>
      <c r="B7" s="1218"/>
      <c r="C7" s="1218"/>
      <c r="D7" s="412"/>
      <c r="E7" s="412"/>
      <c r="F7" s="412"/>
      <c r="G7" s="412"/>
      <c r="H7" s="413"/>
      <c r="I7" s="414"/>
      <c r="J7" s="1574">
        <v>1402</v>
      </c>
      <c r="K7" s="416"/>
      <c r="L7" s="415">
        <v>1401</v>
      </c>
    </row>
    <row r="8" spans="1:12" ht="21.75" hidden="1" customHeight="1">
      <c r="A8" s="1663"/>
      <c r="B8" s="1218"/>
      <c r="C8" s="1218"/>
      <c r="D8" s="417"/>
      <c r="E8" s="417"/>
      <c r="F8" s="412"/>
      <c r="G8" s="412"/>
      <c r="H8" s="412"/>
      <c r="I8" s="412"/>
      <c r="J8" s="418"/>
      <c r="K8" s="418"/>
      <c r="L8" s="418"/>
    </row>
    <row r="9" spans="1:12" ht="33" customHeight="1">
      <c r="A9" s="1663">
        <v>501</v>
      </c>
      <c r="B9" s="1219"/>
      <c r="C9" s="1219"/>
      <c r="D9" s="419" t="s">
        <v>1461</v>
      </c>
      <c r="E9" s="419"/>
      <c r="H9" s="1349"/>
      <c r="I9" s="420"/>
      <c r="J9" s="1379">
        <f>SUMIF('1402'!$B$6:$B$590,$A9,'1402'!$W$6:$W$590)-J11+1379975-45922</f>
        <v>5990636</v>
      </c>
      <c r="K9" s="1383"/>
      <c r="L9" s="1379">
        <v>5026325</v>
      </c>
    </row>
    <row r="10" spans="1:12" ht="32.25" customHeight="1">
      <c r="A10" s="1663">
        <v>504</v>
      </c>
      <c r="B10" s="1219"/>
      <c r="C10" s="1219"/>
      <c r="D10" s="419" t="s">
        <v>2523</v>
      </c>
      <c r="E10" s="419"/>
      <c r="H10" s="421"/>
      <c r="I10" s="420"/>
      <c r="J10" s="1379">
        <f>SUMIF('1402'!$B$6:$B$590,$A10,'1402'!$W$6:$W$590)</f>
        <v>12679</v>
      </c>
      <c r="K10" s="1383"/>
      <c r="L10" s="1379">
        <v>13712</v>
      </c>
    </row>
    <row r="11" spans="1:12" ht="32.25" customHeight="1">
      <c r="A11" s="1663"/>
      <c r="B11" s="1219"/>
      <c r="C11" s="1219"/>
      <c r="D11" s="419" t="s">
        <v>1462</v>
      </c>
      <c r="E11" s="419"/>
      <c r="H11" s="420"/>
      <c r="I11" s="420"/>
      <c r="J11" s="1379">
        <v>945293</v>
      </c>
      <c r="K11" s="1384"/>
      <c r="L11" s="1379">
        <v>50760</v>
      </c>
    </row>
    <row r="12" spans="1:12" s="1399" customFormat="1" ht="32.25" customHeight="1">
      <c r="A12" s="1663">
        <v>505</v>
      </c>
      <c r="B12" s="1219"/>
      <c r="C12" s="1219"/>
      <c r="D12" s="419" t="s">
        <v>1901</v>
      </c>
      <c r="E12" s="419"/>
      <c r="G12" s="1843"/>
      <c r="H12" s="420"/>
      <c r="I12" s="420"/>
      <c r="J12" s="1379">
        <f>SUMIF('1402'!$B$6:$B$590,$A12,'1402'!$W$6:$W$590)+J20-3030</f>
        <v>48952</v>
      </c>
      <c r="K12" s="1384"/>
      <c r="L12" s="1379">
        <v>87053</v>
      </c>
    </row>
    <row r="13" spans="1:12" ht="32.25" customHeight="1">
      <c r="A13" s="1663"/>
      <c r="B13" s="1218"/>
      <c r="C13" s="1218"/>
      <c r="D13" s="422"/>
      <c r="E13" s="422"/>
      <c r="F13" s="412"/>
      <c r="G13" s="412"/>
      <c r="H13" s="1562"/>
      <c r="I13" s="423"/>
      <c r="J13" s="2649">
        <f>SUM(J9:J12)</f>
        <v>6997560</v>
      </c>
      <c r="K13" s="583"/>
      <c r="L13" s="2649">
        <f>SUM(L9:L12)</f>
        <v>5177850</v>
      </c>
    </row>
    <row r="14" spans="1:12" s="2645" customFormat="1" ht="32.25" customHeight="1">
      <c r="A14" s="1663"/>
      <c r="B14" s="1218"/>
      <c r="C14" s="1218"/>
      <c r="D14" s="419" t="s">
        <v>2448</v>
      </c>
      <c r="E14" s="419"/>
      <c r="F14" s="412"/>
      <c r="G14" s="412"/>
      <c r="H14" s="1562"/>
      <c r="I14" s="423"/>
      <c r="J14" s="2651">
        <f>-1379975</f>
        <v>-1379975</v>
      </c>
      <c r="K14" s="583"/>
      <c r="L14" s="2651">
        <v>-692986</v>
      </c>
    </row>
    <row r="15" spans="1:12" s="2645" customFormat="1" ht="32.25" customHeight="1" thickBot="1">
      <c r="A15" s="1663"/>
      <c r="B15" s="1218"/>
      <c r="C15" s="1218"/>
      <c r="D15" s="422"/>
      <c r="E15" s="422"/>
      <c r="F15" s="412"/>
      <c r="G15" s="412"/>
      <c r="H15" s="1562"/>
      <c r="I15" s="423"/>
      <c r="J15" s="2104">
        <f>SUM(J13:J14)</f>
        <v>5617585</v>
      </c>
      <c r="K15" s="583"/>
      <c r="L15" s="2104">
        <f>SUM(L13:L14)</f>
        <v>4484864</v>
      </c>
    </row>
    <row r="16" spans="1:12" ht="21" customHeight="1" thickTop="1">
      <c r="A16" s="1663"/>
      <c r="B16" s="1218"/>
      <c r="C16" s="1220"/>
      <c r="D16" s="424"/>
      <c r="E16" s="424"/>
      <c r="F16" s="412"/>
      <c r="G16" s="412"/>
      <c r="H16" s="1385">
        <f>J13-L13</f>
        <v>1819710</v>
      </c>
      <c r="I16" s="412"/>
      <c r="J16" s="412"/>
      <c r="K16" s="412"/>
      <c r="L16" s="425"/>
    </row>
    <row r="17" spans="1:43" s="1399" customFormat="1" ht="30.75" customHeight="1">
      <c r="A17" s="1663"/>
      <c r="B17" s="1218"/>
      <c r="C17" s="3575" t="s">
        <v>2054</v>
      </c>
      <c r="D17" s="3575"/>
      <c r="E17" s="3575"/>
      <c r="F17" s="3575"/>
      <c r="G17" s="3575"/>
      <c r="H17" s="3575"/>
      <c r="I17" s="1849"/>
      <c r="J17" s="3577" t="s">
        <v>1879</v>
      </c>
      <c r="K17" s="3577"/>
      <c r="L17" s="3577"/>
    </row>
    <row r="18" spans="1:43" s="1843" customFormat="1" ht="23.25" customHeight="1">
      <c r="A18" s="1663"/>
      <c r="B18" s="1218"/>
      <c r="C18" s="1849"/>
      <c r="D18" s="1850" t="s">
        <v>2055</v>
      </c>
      <c r="E18" s="1851"/>
      <c r="F18" s="1850" t="s">
        <v>2056</v>
      </c>
      <c r="G18" s="1851"/>
      <c r="H18" s="1850" t="s">
        <v>2299</v>
      </c>
      <c r="I18" s="1849"/>
      <c r="J18" s="1850">
        <v>1402</v>
      </c>
      <c r="K18" s="1849"/>
      <c r="L18" s="1850">
        <v>1401</v>
      </c>
    </row>
    <row r="19" spans="1:43" s="1843" customFormat="1" ht="24.75" customHeight="1">
      <c r="A19" s="1663"/>
      <c r="B19" s="1218"/>
      <c r="C19" s="1849"/>
      <c r="D19" s="363" t="s">
        <v>2733</v>
      </c>
      <c r="E19" s="1849"/>
      <c r="F19" s="363" t="s">
        <v>2057</v>
      </c>
      <c r="G19" s="1849"/>
      <c r="H19" s="1852">
        <v>55471</v>
      </c>
      <c r="I19" s="1852"/>
      <c r="J19" s="1853">
        <f>45922+3030</f>
        <v>48952</v>
      </c>
      <c r="K19" s="1849"/>
      <c r="L19" s="1853">
        <v>87053</v>
      </c>
    </row>
    <row r="20" spans="1:43" s="1843" customFormat="1" ht="30.75" customHeight="1" thickBot="1">
      <c r="A20" s="1663"/>
      <c r="B20" s="1218"/>
      <c r="C20" s="1849"/>
      <c r="D20" s="1849"/>
      <c r="E20" s="1849"/>
      <c r="F20" s="1849"/>
      <c r="G20" s="1849"/>
      <c r="H20" s="1852"/>
      <c r="I20" s="1852"/>
      <c r="J20" s="2104">
        <f>SUM(J19:J19)</f>
        <v>48952</v>
      </c>
      <c r="K20" s="1853">
        <f>SUM(K19:K19)</f>
        <v>0</v>
      </c>
      <c r="L20" s="2104">
        <f>SUM(L19:L19)</f>
        <v>87053</v>
      </c>
    </row>
    <row r="21" spans="1:43" s="1843" customFormat="1" ht="28.5" customHeight="1" thickTop="1">
      <c r="A21" s="1663"/>
      <c r="B21" s="1218"/>
      <c r="C21" s="1847"/>
      <c r="D21" s="1847"/>
      <c r="E21" s="1847"/>
      <c r="F21" s="1847"/>
      <c r="G21" s="1847"/>
      <c r="H21" s="1848"/>
      <c r="I21" s="1848"/>
      <c r="J21" s="1848"/>
      <c r="K21" s="1847"/>
      <c r="L21" s="1847"/>
    </row>
    <row r="22" spans="1:43" s="214" customFormat="1" ht="35.25" customHeight="1">
      <c r="A22" s="1664"/>
      <c r="B22" s="1395"/>
      <c r="C22" s="3574" t="s">
        <v>2688</v>
      </c>
      <c r="D22" s="3574"/>
      <c r="E22" s="3574"/>
      <c r="F22" s="3574"/>
      <c r="G22" s="3574"/>
      <c r="H22" s="3574"/>
      <c r="I22" s="3574"/>
      <c r="J22" s="3574"/>
      <c r="K22" s="3574"/>
      <c r="L22" s="3574"/>
    </row>
    <row r="23" spans="1:43" ht="18.75" customHeight="1">
      <c r="C23" s="1217"/>
      <c r="D23" s="426"/>
      <c r="E23" s="426"/>
      <c r="F23" s="427"/>
      <c r="G23" s="427"/>
      <c r="H23" s="427"/>
      <c r="I23" s="427"/>
      <c r="J23" s="416"/>
      <c r="K23" s="1387"/>
      <c r="L23" s="416"/>
      <c r="M23" s="428"/>
      <c r="N23" s="428"/>
      <c r="O23" s="428"/>
      <c r="P23" s="428"/>
      <c r="Q23" s="428"/>
      <c r="R23" s="429"/>
    </row>
    <row r="24" spans="1:43" s="893" customFormat="1" ht="33" hidden="1" customHeight="1">
      <c r="A24" s="1665"/>
      <c r="B24" s="1223"/>
      <c r="C24" s="908"/>
      <c r="D24" s="908"/>
      <c r="E24" s="908"/>
      <c r="F24" s="903"/>
      <c r="G24" s="903"/>
      <c r="H24" s="903"/>
      <c r="I24" s="903"/>
      <c r="J24" s="1388"/>
      <c r="K24" s="418"/>
      <c r="L24" s="1388"/>
      <c r="M24" s="909"/>
      <c r="N24" s="909"/>
      <c r="O24" s="909"/>
      <c r="P24" s="909"/>
      <c r="Q24" s="909"/>
      <c r="R24" s="846"/>
    </row>
    <row r="25" spans="1:43" s="893" customFormat="1" ht="33" hidden="1" customHeight="1">
      <c r="A25" s="1665"/>
      <c r="B25" s="1223"/>
      <c r="C25" s="908"/>
      <c r="D25" s="908"/>
      <c r="E25" s="908"/>
      <c r="F25" s="903"/>
      <c r="G25" s="903" t="s">
        <v>2060</v>
      </c>
      <c r="H25" s="903"/>
      <c r="I25" s="903"/>
      <c r="J25" s="879"/>
      <c r="K25" s="910"/>
      <c r="L25" s="583"/>
      <c r="M25" s="909"/>
      <c r="N25" s="909"/>
      <c r="O25" s="909"/>
      <c r="P25" s="909"/>
      <c r="Q25" s="909"/>
      <c r="R25" s="846"/>
    </row>
    <row r="26" spans="1:43" s="893" customFormat="1" ht="33" hidden="1" customHeight="1">
      <c r="A26" s="1665"/>
      <c r="B26" s="1223"/>
      <c r="C26" s="908"/>
      <c r="D26" s="908"/>
      <c r="E26" s="908"/>
      <c r="F26" s="903"/>
      <c r="G26" s="903"/>
      <c r="H26" s="903"/>
      <c r="I26" s="903"/>
      <c r="J26" s="879"/>
      <c r="K26" s="910"/>
      <c r="L26" s="1389"/>
      <c r="M26" s="909"/>
      <c r="N26" s="909"/>
      <c r="O26" s="909"/>
      <c r="P26" s="909"/>
      <c r="Q26" s="909"/>
      <c r="R26" s="846"/>
    </row>
    <row r="27" spans="1:43" s="893" customFormat="1" ht="36.75" customHeight="1">
      <c r="A27" s="1661"/>
      <c r="B27" s="1239"/>
      <c r="C27" s="499" t="s">
        <v>1922</v>
      </c>
      <c r="D27" s="302"/>
      <c r="E27" s="302"/>
      <c r="F27" s="302"/>
      <c r="G27" s="302"/>
      <c r="H27" s="302"/>
      <c r="I27" s="302"/>
      <c r="J27" s="3578" t="s">
        <v>1879</v>
      </c>
      <c r="K27" s="3578"/>
      <c r="L27" s="3578"/>
      <c r="M27" s="909"/>
      <c r="N27" s="914"/>
      <c r="O27" s="915"/>
      <c r="P27" s="914"/>
      <c r="Q27" s="909"/>
      <c r="R27" s="846"/>
    </row>
    <row r="28" spans="1:43" s="893" customFormat="1" ht="45.75" customHeight="1">
      <c r="A28" s="1666"/>
      <c r="B28" s="1240"/>
      <c r="C28" s="351"/>
      <c r="D28" s="351"/>
      <c r="E28" s="351"/>
      <c r="F28" s="351"/>
      <c r="G28" s="351"/>
      <c r="H28" s="351"/>
      <c r="I28" s="352"/>
      <c r="J28" s="1557">
        <f>J7</f>
        <v>1402</v>
      </c>
      <c r="K28" s="1023"/>
      <c r="L28" s="1022">
        <v>1401</v>
      </c>
      <c r="M28" s="909"/>
      <c r="N28" s="909"/>
      <c r="O28" s="915"/>
      <c r="P28" s="914"/>
      <c r="Q28" s="907"/>
      <c r="R28" s="846"/>
      <c r="T28" s="1080" t="e">
        <f>#REF!-#REF!</f>
        <v>#REF!</v>
      </c>
    </row>
    <row r="29" spans="1:43" s="893" customFormat="1" ht="33" hidden="1" customHeight="1">
      <c r="A29" s="1661"/>
      <c r="B29" s="1241"/>
      <c r="C29" s="354"/>
      <c r="D29" s="355"/>
      <c r="E29" s="355"/>
      <c r="F29" s="355"/>
      <c r="G29" s="355"/>
      <c r="H29" s="355"/>
      <c r="I29" s="355"/>
      <c r="J29" s="979"/>
      <c r="K29" s="980"/>
      <c r="L29" s="979"/>
      <c r="M29" s="909"/>
      <c r="N29" s="909"/>
      <c r="O29" s="915"/>
      <c r="P29" s="914"/>
      <c r="Q29" s="907"/>
      <c r="R29" s="846"/>
    </row>
    <row r="30" spans="1:43" s="893" customFormat="1" ht="33" customHeight="1">
      <c r="A30" s="1667">
        <v>301</v>
      </c>
      <c r="B30" s="1216"/>
      <c r="C30" s="358"/>
      <c r="D30" s="359" t="s">
        <v>1499</v>
      </c>
      <c r="E30" s="359"/>
      <c r="F30" s="359"/>
      <c r="G30" s="359"/>
      <c r="H30" s="359"/>
      <c r="I30" s="360"/>
      <c r="J30" s="1379">
        <f>SUMIF('1402'!$B$6:$B$590,$A30,'1402'!$W$6:$W$590)</f>
        <v>780755</v>
      </c>
      <c r="K30" s="361"/>
      <c r="L30" s="1380">
        <v>1609402</v>
      </c>
      <c r="M30" s="909"/>
      <c r="N30" s="909"/>
      <c r="O30" s="915"/>
      <c r="P30" s="919"/>
      <c r="Q30" s="902"/>
      <c r="R30" s="920"/>
      <c r="U30" s="1258" t="e">
        <f>#REF!-#REF!</f>
        <v>#REF!</v>
      </c>
    </row>
    <row r="31" spans="1:43" s="893" customFormat="1" ht="33" customHeight="1">
      <c r="A31" s="1667">
        <v>302</v>
      </c>
      <c r="B31" s="1216"/>
      <c r="C31" s="358"/>
      <c r="D31" s="359" t="s">
        <v>1650</v>
      </c>
      <c r="E31" s="359"/>
      <c r="F31" s="359"/>
      <c r="G31" s="359"/>
      <c r="H31" s="359"/>
      <c r="I31" s="360"/>
      <c r="J31" s="1379">
        <f>SUMIF('1402'!$B$6:$B$590,$A31,'1402'!$W$6:$W$590)</f>
        <v>1200</v>
      </c>
      <c r="K31" s="361"/>
      <c r="L31" s="1380">
        <v>1100</v>
      </c>
      <c r="M31" s="909"/>
      <c r="N31" s="909"/>
      <c r="O31" s="915"/>
      <c r="P31" s="914"/>
      <c r="Q31" s="907"/>
      <c r="R31" s="846"/>
      <c r="T31" s="1048" t="e">
        <f>#REF!+#REF!+#REF!+#REF!</f>
        <v>#REF!</v>
      </c>
      <c r="AF31" s="1048">
        <f>AH31+AH30+AH29+AH28</f>
        <v>0</v>
      </c>
      <c r="AG31" s="1048">
        <f t="shared" ref="AG31:AQ31" si="0">AI31+AI30+AI29+AI28</f>
        <v>0</v>
      </c>
      <c r="AH31" s="1048">
        <f t="shared" si="0"/>
        <v>0</v>
      </c>
      <c r="AI31" s="1048">
        <f t="shared" si="0"/>
        <v>0</v>
      </c>
      <c r="AJ31" s="1048">
        <f t="shared" si="0"/>
        <v>0</v>
      </c>
      <c r="AK31" s="1048">
        <f t="shared" si="0"/>
        <v>0</v>
      </c>
      <c r="AL31" s="1048">
        <f t="shared" si="0"/>
        <v>0</v>
      </c>
      <c r="AM31" s="1048">
        <f t="shared" si="0"/>
        <v>0</v>
      </c>
      <c r="AN31" s="1048">
        <f t="shared" si="0"/>
        <v>0</v>
      </c>
      <c r="AO31" s="1048">
        <f t="shared" si="0"/>
        <v>0</v>
      </c>
      <c r="AP31" s="1048">
        <f t="shared" si="0"/>
        <v>0</v>
      </c>
      <c r="AQ31" s="1048">
        <f t="shared" si="0"/>
        <v>0</v>
      </c>
    </row>
    <row r="32" spans="1:43" s="893" customFormat="1" ht="33" hidden="1" customHeight="1">
      <c r="A32" s="1667">
        <v>303</v>
      </c>
      <c r="B32" s="1216"/>
      <c r="C32" s="358"/>
      <c r="D32" s="359" t="s">
        <v>1272</v>
      </c>
      <c r="E32" s="359"/>
      <c r="F32" s="359"/>
      <c r="G32" s="359"/>
      <c r="H32" s="359"/>
      <c r="I32" s="360"/>
      <c r="J32" s="1380">
        <f>SUMIF('1402'!$B$6:$B$590,$A32,'1402'!$W$6:$W$590)</f>
        <v>0</v>
      </c>
      <c r="K32" s="361"/>
      <c r="L32" s="1380">
        <v>0</v>
      </c>
      <c r="M32" s="909"/>
      <c r="N32" s="909"/>
      <c r="O32" s="915"/>
      <c r="P32" s="914"/>
      <c r="Q32" s="907"/>
      <c r="R32" s="846"/>
      <c r="T32" s="1049" t="e">
        <f>#REF!+#REF!+#REF!+#REF!</f>
        <v>#REF!</v>
      </c>
      <c r="U32" s="1049">
        <f>715615-698324</f>
        <v>17291</v>
      </c>
      <c r="X32" s="1049"/>
      <c r="Y32" s="1049"/>
      <c r="Z32" s="1049"/>
      <c r="AA32" s="1049"/>
      <c r="AB32" s="1049"/>
      <c r="AC32" s="1049"/>
      <c r="AD32" s="1049"/>
      <c r="AE32" s="1049"/>
      <c r="AF32" s="1049">
        <f>AJ31+AJ30+AJ29+AJ28</f>
        <v>0</v>
      </c>
      <c r="AG32" s="1049">
        <f t="shared" ref="AG32:AQ32" si="1">AK31+AK30+AK29+AK28</f>
        <v>0</v>
      </c>
      <c r="AH32" s="1049">
        <f t="shared" si="1"/>
        <v>0</v>
      </c>
      <c r="AI32" s="1049">
        <f t="shared" si="1"/>
        <v>0</v>
      </c>
      <c r="AJ32" s="1049">
        <f t="shared" si="1"/>
        <v>0</v>
      </c>
      <c r="AK32" s="1049">
        <f t="shared" si="1"/>
        <v>0</v>
      </c>
      <c r="AL32" s="1049">
        <f t="shared" si="1"/>
        <v>0</v>
      </c>
      <c r="AM32" s="1049">
        <f t="shared" si="1"/>
        <v>0</v>
      </c>
      <c r="AN32" s="1049">
        <f t="shared" si="1"/>
        <v>0</v>
      </c>
      <c r="AO32" s="1049">
        <f t="shared" si="1"/>
        <v>0</v>
      </c>
      <c r="AP32" s="1049">
        <f t="shared" si="1"/>
        <v>0</v>
      </c>
      <c r="AQ32" s="1049">
        <f t="shared" si="1"/>
        <v>0</v>
      </c>
    </row>
    <row r="33" spans="1:43" s="893" customFormat="1" ht="30" customHeight="1" thickBot="1">
      <c r="A33" s="1661"/>
      <c r="B33" s="1242"/>
      <c r="C33" s="362"/>
      <c r="D33" s="363"/>
      <c r="E33" s="363"/>
      <c r="F33" s="363"/>
      <c r="G33" s="363"/>
      <c r="H33" s="363"/>
      <c r="I33" s="351"/>
      <c r="J33" s="1381">
        <f>SUM(J30:J32)</f>
        <v>781955</v>
      </c>
      <c r="K33" s="1382"/>
      <c r="L33" s="1381">
        <f>SUM(L30:L32)</f>
        <v>1610502</v>
      </c>
      <c r="M33" s="904"/>
      <c r="N33" s="904"/>
      <c r="O33" s="905"/>
      <c r="P33" s="919"/>
      <c r="Q33" s="902"/>
      <c r="R33" s="920"/>
      <c r="T33" s="1050" t="e">
        <f>T31-T32</f>
        <v>#REF!</v>
      </c>
      <c r="U33" s="1215" t="e">
        <f>T32-U32</f>
        <v>#REF!</v>
      </c>
      <c r="X33" s="1049"/>
      <c r="Y33" s="1049"/>
      <c r="Z33" s="1049"/>
      <c r="AA33" s="1049"/>
      <c r="AB33" s="1049"/>
      <c r="AC33" s="1049"/>
      <c r="AD33" s="1049"/>
      <c r="AE33" s="1049"/>
      <c r="AF33" s="1049">
        <f>AF31-AF32</f>
        <v>0</v>
      </c>
      <c r="AG33" s="1049">
        <f t="shared" ref="AG33:AQ33" si="2">AG31-AG32</f>
        <v>0</v>
      </c>
      <c r="AH33" s="1049">
        <f t="shared" si="2"/>
        <v>0</v>
      </c>
      <c r="AI33" s="1049">
        <f t="shared" si="2"/>
        <v>0</v>
      </c>
      <c r="AJ33" s="1049">
        <f t="shared" si="2"/>
        <v>0</v>
      </c>
      <c r="AK33" s="1049">
        <f t="shared" si="2"/>
        <v>0</v>
      </c>
      <c r="AL33" s="1049">
        <f t="shared" si="2"/>
        <v>0</v>
      </c>
      <c r="AM33" s="1050">
        <f t="shared" si="2"/>
        <v>0</v>
      </c>
      <c r="AN33" s="1050">
        <f t="shared" si="2"/>
        <v>0</v>
      </c>
      <c r="AO33" s="1050">
        <f t="shared" si="2"/>
        <v>0</v>
      </c>
      <c r="AP33" s="1050">
        <f t="shared" si="2"/>
        <v>0</v>
      </c>
      <c r="AQ33" s="1050">
        <f t="shared" si="2"/>
        <v>0</v>
      </c>
    </row>
    <row r="34" spans="1:43" ht="13.5" customHeight="1" thickTop="1">
      <c r="A34" s="1661"/>
      <c r="B34" s="1243"/>
      <c r="C34" s="356"/>
      <c r="D34" s="356"/>
      <c r="E34" s="356"/>
      <c r="F34" s="356"/>
      <c r="G34" s="356"/>
      <c r="H34" s="356"/>
      <c r="I34" s="364"/>
      <c r="J34" s="365"/>
      <c r="K34" s="366"/>
      <c r="L34" s="365"/>
      <c r="T34" s="1081" t="e">
        <f>T28+T33</f>
        <v>#REF!</v>
      </c>
    </row>
    <row r="35" spans="1:43" s="1372" customFormat="1" ht="3.75" customHeight="1">
      <c r="A35" s="1661"/>
      <c r="B35" s="1243"/>
      <c r="C35" s="356"/>
      <c r="D35" s="356"/>
      <c r="E35" s="356"/>
      <c r="F35" s="356"/>
      <c r="G35" s="356"/>
      <c r="H35" s="356"/>
      <c r="I35" s="364"/>
      <c r="J35" s="365"/>
      <c r="K35" s="366"/>
      <c r="L35" s="365"/>
      <c r="T35" s="1081"/>
    </row>
    <row r="36" spans="1:43" s="408" customFormat="1" ht="48" customHeight="1">
      <c r="A36" s="1668"/>
      <c r="B36" s="1476"/>
      <c r="C36" s="2652" t="s">
        <v>1929</v>
      </c>
      <c r="D36" s="2653" t="s">
        <v>1809</v>
      </c>
      <c r="E36" s="1490"/>
      <c r="F36" s="1477"/>
      <c r="G36" s="1477"/>
      <c r="H36" s="1478"/>
      <c r="I36" s="1478"/>
      <c r="J36" s="1478"/>
      <c r="K36" s="1478"/>
      <c r="L36" s="1478"/>
    </row>
    <row r="37" spans="1:43" s="893" customFormat="1" ht="156" customHeight="1">
      <c r="A37" s="847"/>
      <c r="B37" s="564"/>
      <c r="C37" s="1321"/>
      <c r="D37" s="3572" t="s">
        <v>2802</v>
      </c>
      <c r="E37" s="3572"/>
      <c r="F37" s="3572"/>
      <c r="G37" s="3572"/>
      <c r="H37" s="3572"/>
      <c r="I37" s="3572"/>
      <c r="J37" s="3572"/>
      <c r="K37" s="3572"/>
      <c r="L37" s="3572"/>
    </row>
    <row r="38" spans="1:43" s="893" customFormat="1" ht="16.5" customHeight="1">
      <c r="A38" s="847"/>
      <c r="B38" s="564"/>
      <c r="C38" s="1321"/>
      <c r="D38" s="2646"/>
      <c r="E38" s="2646"/>
      <c r="F38" s="2646"/>
      <c r="G38" s="2646"/>
      <c r="H38" s="2646"/>
      <c r="I38" s="2646"/>
      <c r="J38" s="2646"/>
      <c r="K38" s="2646"/>
      <c r="L38" s="2646"/>
    </row>
    <row r="39" spans="1:43" s="931" customFormat="1" ht="49.5" customHeight="1">
      <c r="A39" s="1669" t="s">
        <v>1856</v>
      </c>
      <c r="B39" s="1479"/>
      <c r="C39" s="2652" t="s">
        <v>1923</v>
      </c>
      <c r="D39" s="2653" t="s">
        <v>202</v>
      </c>
      <c r="E39" s="2653"/>
      <c r="F39" s="1485"/>
      <c r="G39" s="1480"/>
      <c r="H39" s="1480"/>
      <c r="I39" s="1480"/>
      <c r="J39" s="1481"/>
      <c r="K39" s="1480"/>
      <c r="L39" s="1482"/>
      <c r="M39" s="1483"/>
      <c r="N39" s="1483"/>
      <c r="O39" s="1483"/>
    </row>
    <row r="40" spans="1:43" s="1322" customFormat="1" ht="48" customHeight="1">
      <c r="A40" s="1670"/>
      <c r="B40" s="1321"/>
      <c r="C40" s="1484" t="s">
        <v>1924</v>
      </c>
      <c r="D40" s="3569" t="s">
        <v>1857</v>
      </c>
      <c r="E40" s="3569"/>
      <c r="F40" s="3569"/>
      <c r="G40" s="1844"/>
      <c r="H40" s="1485"/>
      <c r="I40" s="1485"/>
      <c r="J40" s="1485"/>
      <c r="K40" s="1485"/>
      <c r="L40" s="1486"/>
      <c r="M40" s="1487"/>
      <c r="N40" s="1487"/>
      <c r="O40" s="1487"/>
    </row>
    <row r="41" spans="1:43" s="563" customFormat="1" ht="120.75" customHeight="1">
      <c r="A41" s="847"/>
      <c r="B41" s="1489"/>
      <c r="C41" s="1489"/>
      <c r="D41" s="3571" t="s">
        <v>2617</v>
      </c>
      <c r="E41" s="3571"/>
      <c r="F41" s="3571"/>
      <c r="G41" s="3571"/>
      <c r="H41" s="3571"/>
      <c r="I41" s="3571"/>
      <c r="J41" s="3571"/>
      <c r="K41" s="3571"/>
      <c r="L41" s="3571"/>
      <c r="M41" s="168"/>
      <c r="N41" s="168"/>
      <c r="O41" s="168"/>
    </row>
    <row r="42" spans="1:43" s="1322" customFormat="1" ht="48" customHeight="1">
      <c r="A42" s="1472"/>
      <c r="B42" s="342"/>
      <c r="C42" s="1484" t="s">
        <v>1925</v>
      </c>
      <c r="D42" s="3569" t="s">
        <v>2359</v>
      </c>
      <c r="E42" s="3569"/>
      <c r="F42" s="3569"/>
      <c r="G42" s="1845"/>
      <c r="H42" s="803"/>
      <c r="I42" s="1485"/>
      <c r="J42" s="1442"/>
      <c r="K42" s="1485"/>
      <c r="L42" s="1488"/>
      <c r="M42" s="1487"/>
      <c r="N42" s="1487"/>
      <c r="O42" s="1487"/>
    </row>
    <row r="43" spans="1:43" s="563" customFormat="1" ht="90" customHeight="1">
      <c r="A43" s="847"/>
      <c r="B43" s="564"/>
      <c r="C43" s="1489"/>
      <c r="D43" s="3571" t="s">
        <v>2524</v>
      </c>
      <c r="E43" s="3571"/>
      <c r="F43" s="3571"/>
      <c r="G43" s="3571"/>
      <c r="H43" s="3571"/>
      <c r="I43" s="3571"/>
      <c r="J43" s="3571"/>
      <c r="K43" s="3571"/>
      <c r="L43" s="3571"/>
      <c r="M43" s="168"/>
      <c r="N43" s="168"/>
      <c r="O43" s="168"/>
    </row>
    <row r="44" spans="1:43" s="563" customFormat="1" ht="23.25" customHeight="1">
      <c r="A44" s="847"/>
      <c r="B44" s="564"/>
      <c r="C44" s="1489"/>
      <c r="D44" s="1443"/>
      <c r="E44" s="1846"/>
      <c r="F44" s="1443"/>
      <c r="G44" s="1846"/>
      <c r="H44" s="1443"/>
      <c r="I44" s="1443"/>
      <c r="J44" s="1443"/>
      <c r="K44" s="1443"/>
      <c r="L44" s="1443"/>
      <c r="M44" s="168"/>
      <c r="N44" s="168"/>
      <c r="O44" s="168"/>
    </row>
    <row r="45" spans="1:43" s="893" customFormat="1" ht="45" customHeight="1">
      <c r="A45" s="3570">
        <v>23</v>
      </c>
      <c r="B45" s="3570"/>
      <c r="C45" s="3570"/>
      <c r="D45" s="3570"/>
      <c r="E45" s="3570"/>
      <c r="F45" s="3570"/>
      <c r="G45" s="3570"/>
      <c r="H45" s="3570"/>
      <c r="I45" s="3570"/>
      <c r="J45" s="3570"/>
      <c r="K45" s="3570"/>
      <c r="L45" s="3570"/>
      <c r="M45" s="904"/>
      <c r="N45" s="904"/>
      <c r="O45" s="905"/>
      <c r="P45" s="906"/>
      <c r="Q45" s="907"/>
      <c r="R45" s="846"/>
    </row>
  </sheetData>
  <mergeCells count="14">
    <mergeCell ref="D37:L37"/>
    <mergeCell ref="A1:L1"/>
    <mergeCell ref="A2:L2"/>
    <mergeCell ref="A3:L3"/>
    <mergeCell ref="C22:L22"/>
    <mergeCell ref="C17:H17"/>
    <mergeCell ref="J6:L6"/>
    <mergeCell ref="J17:L17"/>
    <mergeCell ref="J27:L27"/>
    <mergeCell ref="D40:F40"/>
    <mergeCell ref="D42:F42"/>
    <mergeCell ref="A45:L45"/>
    <mergeCell ref="D41:L41"/>
    <mergeCell ref="D43:L43"/>
  </mergeCells>
  <printOptions horizontalCentered="1" verticalCentered="1"/>
  <pageMargins left="0.17" right="0.17" top="0.31496062992125984" bottom="0.18" header="0.15748031496062992" footer="0.17"/>
  <pageSetup paperSize="9" scale="54"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XEG225"/>
  <sheetViews>
    <sheetView rightToLeft="1" view="pageBreakPreview" topLeftCell="A49" zoomScale="70" zoomScaleNormal="50" zoomScaleSheetLayoutView="70" workbookViewId="0">
      <selection activeCell="A34" sqref="A1:A1048576"/>
    </sheetView>
  </sheetViews>
  <sheetFormatPr defaultColWidth="1.375" defaultRowHeight="32.25" customHeight="1"/>
  <cols>
    <col min="1" max="1" width="7.25" style="2241" customWidth="1"/>
    <col min="2" max="2" width="2" style="2241" customWidth="1"/>
    <col min="3" max="3" width="6.75" style="2242" customWidth="1"/>
    <col min="4" max="4" width="19.875" style="2243" customWidth="1"/>
    <col min="5" max="5" width="5.25" style="2243" customWidth="1"/>
    <col min="6" max="6" width="3" style="2243" customWidth="1"/>
    <col min="7" max="7" width="5.125" style="2243" customWidth="1"/>
    <col min="8" max="8" width="5" style="2243" hidden="1" customWidth="1"/>
    <col min="9" max="9" width="6.125" style="2243" customWidth="1"/>
    <col min="10" max="10" width="13.625" style="2363" customWidth="1"/>
    <col min="11" max="11" width="2.375" style="2363" customWidth="1"/>
    <col min="12" max="12" width="17.625" style="2363" customWidth="1"/>
    <col min="13" max="13" width="1.125" style="2363" customWidth="1"/>
    <col min="14" max="14" width="15.625" style="2363" customWidth="1"/>
    <col min="15" max="15" width="2.25" style="2363" customWidth="1"/>
    <col min="16" max="16" width="15.5" style="2363" customWidth="1"/>
    <col min="17" max="17" width="1.5" style="2363" customWidth="1"/>
    <col min="18" max="18" width="23.125" style="2363" customWidth="1"/>
    <col min="19" max="19" width="14.875" style="250" customWidth="1"/>
    <col min="20" max="16384" width="1.375" style="250"/>
  </cols>
  <sheetData>
    <row r="1" spans="1:19" s="476" customFormat="1" ht="32.25" customHeight="1">
      <c r="A1" s="3587" t="s">
        <v>612</v>
      </c>
      <c r="B1" s="3587"/>
      <c r="C1" s="3587"/>
      <c r="D1" s="3587"/>
      <c r="E1" s="3587"/>
      <c r="F1" s="3587"/>
      <c r="G1" s="3587"/>
      <c r="H1" s="3587"/>
      <c r="I1" s="3587"/>
      <c r="J1" s="3587"/>
      <c r="K1" s="3587"/>
      <c r="L1" s="3587"/>
      <c r="M1" s="3587"/>
      <c r="N1" s="3587"/>
      <c r="O1" s="3587"/>
      <c r="P1" s="3587"/>
      <c r="Q1" s="3587"/>
      <c r="R1" s="3587"/>
      <c r="S1" s="250"/>
    </row>
    <row r="2" spans="1:19" s="476" customFormat="1" ht="24.75" customHeight="1">
      <c r="A2" s="3587" t="str">
        <f>مفروضات!A2:C2</f>
        <v>يادداشت هاي توضيحي صورت هاي مالي</v>
      </c>
      <c r="B2" s="3587"/>
      <c r="C2" s="3587"/>
      <c r="D2" s="3587"/>
      <c r="E2" s="3587"/>
      <c r="F2" s="3587"/>
      <c r="G2" s="3587"/>
      <c r="H2" s="3587"/>
      <c r="I2" s="3587"/>
      <c r="J2" s="3587"/>
      <c r="K2" s="3587"/>
      <c r="L2" s="3587"/>
      <c r="M2" s="3587"/>
      <c r="N2" s="3587"/>
      <c r="O2" s="3587"/>
      <c r="P2" s="3587"/>
      <c r="Q2" s="3587"/>
      <c r="R2" s="3587"/>
      <c r="S2" s="250"/>
    </row>
    <row r="3" spans="1:19" s="476" customFormat="1" ht="41.25" customHeight="1">
      <c r="A3" s="3587" t="str">
        <f>mafrozat!A3</f>
        <v xml:space="preserve"> سال مالي منتهي به 29 اسفند 1402</v>
      </c>
      <c r="B3" s="3587"/>
      <c r="C3" s="3587"/>
      <c r="D3" s="3587"/>
      <c r="E3" s="3587"/>
      <c r="F3" s="3587"/>
      <c r="G3" s="3587"/>
      <c r="H3" s="3587"/>
      <c r="I3" s="3587"/>
      <c r="J3" s="3587"/>
      <c r="K3" s="3587"/>
      <c r="L3" s="3587"/>
      <c r="M3" s="3587"/>
      <c r="N3" s="3587"/>
      <c r="O3" s="3587"/>
      <c r="P3" s="3587"/>
      <c r="Q3" s="3587"/>
      <c r="R3" s="3587"/>
      <c r="S3" s="250"/>
    </row>
    <row r="4" spans="1:19" s="476" customFormat="1" ht="165" hidden="1" customHeight="1">
      <c r="A4" s="2358"/>
      <c r="B4" s="2358"/>
      <c r="C4" s="2358"/>
      <c r="D4" s="2358"/>
      <c r="E4" s="2358"/>
      <c r="F4" s="2358"/>
      <c r="G4" s="2358"/>
      <c r="H4" s="2358"/>
      <c r="I4" s="2358"/>
      <c r="J4" s="2360"/>
      <c r="K4" s="2360"/>
      <c r="L4" s="2360"/>
      <c r="M4" s="2360"/>
      <c r="N4" s="2360"/>
      <c r="O4" s="2360"/>
      <c r="P4" s="2360"/>
      <c r="Q4" s="2360"/>
      <c r="R4" s="2360"/>
      <c r="S4" s="250"/>
    </row>
    <row r="5" spans="1:19" s="476" customFormat="1" ht="96.75" hidden="1" customHeight="1">
      <c r="A5" s="2357"/>
      <c r="B5" s="2357"/>
      <c r="C5" s="2357"/>
      <c r="D5" s="2357"/>
      <c r="E5" s="2357"/>
      <c r="F5" s="2357"/>
      <c r="G5" s="2357"/>
      <c r="H5" s="2357"/>
      <c r="I5" s="2357"/>
      <c r="J5" s="2360"/>
      <c r="K5" s="2360"/>
      <c r="L5" s="2360"/>
      <c r="M5" s="2360"/>
      <c r="N5" s="2360"/>
      <c r="O5" s="2360"/>
      <c r="P5" s="2360"/>
      <c r="Q5" s="2360"/>
      <c r="R5" s="2360"/>
      <c r="S5" s="250"/>
    </row>
    <row r="6" spans="1:19" s="476" customFormat="1" ht="96.75" hidden="1" customHeight="1">
      <c r="A6" s="2357"/>
      <c r="B6" s="2357"/>
      <c r="C6" s="2357"/>
      <c r="D6" s="2357"/>
      <c r="E6" s="2357"/>
      <c r="F6" s="2357"/>
      <c r="G6" s="2357"/>
      <c r="H6" s="2357"/>
      <c r="I6" s="2357"/>
      <c r="J6" s="2360"/>
      <c r="K6" s="2360"/>
      <c r="L6" s="2360"/>
      <c r="M6" s="2360"/>
      <c r="N6" s="2360"/>
      <c r="O6" s="2360"/>
      <c r="P6" s="2360"/>
      <c r="Q6" s="2360"/>
      <c r="R6" s="2360"/>
      <c r="S6" s="250"/>
    </row>
    <row r="7" spans="1:19" s="476" customFormat="1" ht="96.75" hidden="1" customHeight="1">
      <c r="A7" s="2357"/>
      <c r="B7" s="2357"/>
      <c r="C7" s="2357"/>
      <c r="D7" s="2357"/>
      <c r="E7" s="2357"/>
      <c r="F7" s="2357"/>
      <c r="G7" s="2357"/>
      <c r="H7" s="2357"/>
      <c r="I7" s="2357"/>
      <c r="J7" s="2360"/>
      <c r="K7" s="2360"/>
      <c r="L7" s="2360"/>
      <c r="M7" s="2360"/>
      <c r="N7" s="2360"/>
      <c r="O7" s="2360"/>
      <c r="P7" s="2360"/>
      <c r="Q7" s="2360"/>
      <c r="R7" s="2360"/>
      <c r="S7" s="250"/>
    </row>
    <row r="8" spans="1:19" s="476" customFormat="1" ht="96.75" hidden="1" customHeight="1">
      <c r="A8" s="2357"/>
      <c r="B8" s="2357"/>
      <c r="C8" s="2357"/>
      <c r="D8" s="2357"/>
      <c r="E8" s="2357"/>
      <c r="F8" s="2357"/>
      <c r="G8" s="2357"/>
      <c r="H8" s="2357"/>
      <c r="I8" s="2357"/>
      <c r="J8" s="2360"/>
      <c r="K8" s="2360"/>
      <c r="L8" s="2360"/>
      <c r="M8" s="2360"/>
      <c r="N8" s="2360"/>
      <c r="O8" s="2360"/>
      <c r="P8" s="2360"/>
      <c r="Q8" s="2360"/>
      <c r="R8" s="2360"/>
      <c r="S8" s="250"/>
    </row>
    <row r="9" spans="1:19" s="476" customFormat="1" ht="96.75" hidden="1" customHeight="1">
      <c r="A9" s="2357"/>
      <c r="B9" s="2357"/>
      <c r="C9" s="2357"/>
      <c r="D9" s="2357"/>
      <c r="E9" s="2357"/>
      <c r="F9" s="2357"/>
      <c r="G9" s="2357"/>
      <c r="H9" s="2357"/>
      <c r="I9" s="2357"/>
      <c r="J9" s="2360"/>
      <c r="K9" s="2360"/>
      <c r="L9" s="2360"/>
      <c r="M9" s="2360"/>
      <c r="N9" s="2360"/>
      <c r="O9" s="2360"/>
      <c r="P9" s="2360"/>
      <c r="Q9" s="2360"/>
      <c r="R9" s="2360"/>
      <c r="S9" s="250"/>
    </row>
    <row r="10" spans="1:19" s="476" customFormat="1" ht="96.75" hidden="1" customHeight="1">
      <c r="A10" s="2357"/>
      <c r="B10" s="2357"/>
      <c r="C10" s="2357"/>
      <c r="D10" s="2357"/>
      <c r="E10" s="2357"/>
      <c r="F10" s="2357"/>
      <c r="G10" s="2357"/>
      <c r="H10" s="2357"/>
      <c r="I10" s="2357"/>
      <c r="J10" s="2360"/>
      <c r="K10" s="2360"/>
      <c r="L10" s="2360"/>
      <c r="M10" s="2360"/>
      <c r="N10" s="2360"/>
      <c r="O10" s="2360"/>
      <c r="P10" s="2360"/>
      <c r="Q10" s="2360"/>
      <c r="R10" s="2360"/>
      <c r="S10" s="250"/>
    </row>
    <row r="11" spans="1:19" s="476" customFormat="1" ht="96.75" hidden="1" customHeight="1">
      <c r="A11" s="2357"/>
      <c r="B11" s="2357"/>
      <c r="C11" s="2357"/>
      <c r="D11" s="2357"/>
      <c r="E11" s="2357"/>
      <c r="F11" s="2357"/>
      <c r="G11" s="2357"/>
      <c r="H11" s="2357"/>
      <c r="I11" s="2357"/>
      <c r="J11" s="2360"/>
      <c r="K11" s="2360"/>
      <c r="L11" s="2360"/>
      <c r="M11" s="2360"/>
      <c r="N11" s="2360"/>
      <c r="O11" s="2360"/>
      <c r="P11" s="2360"/>
      <c r="Q11" s="2360"/>
      <c r="R11" s="2360"/>
      <c r="S11" s="250"/>
    </row>
    <row r="12" spans="1:19" s="476" customFormat="1" ht="48" hidden="1" customHeight="1">
      <c r="A12" s="2263"/>
      <c r="B12" s="2263"/>
      <c r="C12" s="2263"/>
      <c r="D12" s="2263"/>
      <c r="E12" s="2263"/>
      <c r="F12" s="2263"/>
      <c r="G12" s="2263"/>
      <c r="H12" s="2263"/>
      <c r="I12" s="2263"/>
      <c r="J12" s="2361"/>
      <c r="K12" s="2361"/>
      <c r="L12" s="2361"/>
      <c r="M12" s="2361"/>
      <c r="N12" s="2361"/>
      <c r="O12" s="2361"/>
      <c r="P12" s="2361"/>
      <c r="Q12" s="2361"/>
      <c r="R12" s="2361"/>
      <c r="S12" s="250"/>
    </row>
    <row r="13" spans="1:19" s="476" customFormat="1" ht="48" hidden="1" customHeight="1">
      <c r="A13" s="2263"/>
      <c r="B13" s="2263"/>
      <c r="C13" s="2263"/>
      <c r="D13" s="2263"/>
      <c r="E13" s="2263"/>
      <c r="F13" s="2263"/>
      <c r="G13" s="2263"/>
      <c r="H13" s="2263"/>
      <c r="I13" s="2263"/>
      <c r="J13" s="2361"/>
      <c r="K13" s="2361"/>
      <c r="L13" s="2361"/>
      <c r="M13" s="2361"/>
      <c r="N13" s="2361"/>
      <c r="O13" s="2361"/>
      <c r="P13" s="2361"/>
      <c r="Q13" s="2361"/>
      <c r="R13" s="2361"/>
      <c r="S13" s="250"/>
    </row>
    <row r="14" spans="1:19" s="476" customFormat="1" ht="48" hidden="1" customHeight="1">
      <c r="A14" s="2263"/>
      <c r="B14" s="2263"/>
      <c r="C14" s="2263"/>
      <c r="D14" s="2263"/>
      <c r="E14" s="2263"/>
      <c r="F14" s="2263"/>
      <c r="G14" s="2263"/>
      <c r="H14" s="2263"/>
      <c r="I14" s="2263"/>
      <c r="J14" s="2361"/>
      <c r="K14" s="2361"/>
      <c r="L14" s="2361"/>
      <c r="M14" s="2361"/>
      <c r="N14" s="2361"/>
      <c r="O14" s="2361"/>
      <c r="P14" s="2361"/>
      <c r="Q14" s="2361"/>
      <c r="R14" s="2361"/>
      <c r="S14" s="250"/>
    </row>
    <row r="15" spans="1:19" s="476" customFormat="1" ht="48" hidden="1" customHeight="1">
      <c r="A15" s="2263"/>
      <c r="B15" s="2263"/>
      <c r="C15" s="2263"/>
      <c r="D15" s="2263"/>
      <c r="E15" s="2263"/>
      <c r="F15" s="2263"/>
      <c r="G15" s="2263"/>
      <c r="H15" s="2263"/>
      <c r="I15" s="2263"/>
      <c r="J15" s="2361"/>
      <c r="K15" s="2361"/>
      <c r="L15" s="2361"/>
      <c r="M15" s="2361"/>
      <c r="N15" s="2361"/>
      <c r="O15" s="2361"/>
      <c r="P15" s="2361"/>
      <c r="Q15" s="2361"/>
      <c r="R15" s="2361"/>
      <c r="S15" s="250"/>
    </row>
    <row r="16" spans="1:19" s="476" customFormat="1" ht="48" hidden="1" customHeight="1">
      <c r="A16" s="2263"/>
      <c r="B16" s="2263"/>
      <c r="C16" s="2263"/>
      <c r="D16" s="2263"/>
      <c r="E16" s="2263"/>
      <c r="F16" s="2263"/>
      <c r="G16" s="2263"/>
      <c r="H16" s="2263"/>
      <c r="I16" s="2263"/>
      <c r="J16" s="2361"/>
      <c r="K16" s="2361"/>
      <c r="L16" s="2361"/>
      <c r="M16" s="2361"/>
      <c r="N16" s="2361"/>
      <c r="O16" s="2361"/>
      <c r="P16" s="2361"/>
      <c r="Q16" s="2361"/>
      <c r="R16" s="2361"/>
      <c r="S16" s="250"/>
    </row>
    <row r="17" spans="1:19" s="476" customFormat="1" ht="42.75" hidden="1" customHeight="1">
      <c r="A17" s="2238"/>
      <c r="B17" s="2238"/>
      <c r="C17" s="2238"/>
      <c r="D17" s="2238"/>
      <c r="E17" s="2238"/>
      <c r="F17" s="2238"/>
      <c r="G17" s="2238"/>
      <c r="H17" s="2238"/>
      <c r="I17" s="2238"/>
      <c r="J17" s="2361"/>
      <c r="K17" s="2361"/>
      <c r="L17" s="2361"/>
      <c r="M17" s="2361"/>
      <c r="N17" s="2361"/>
      <c r="O17" s="2361"/>
      <c r="P17" s="2361"/>
      <c r="Q17" s="2361"/>
      <c r="R17" s="2361"/>
      <c r="S17" s="250"/>
    </row>
    <row r="18" spans="1:19" s="476" customFormat="1" ht="41.25" customHeight="1">
      <c r="A18" s="3600" t="s">
        <v>2434</v>
      </c>
      <c r="B18" s="3600"/>
      <c r="C18" s="3600"/>
      <c r="D18" s="2799" t="s">
        <v>2439</v>
      </c>
      <c r="E18" s="2746"/>
      <c r="F18" s="2746"/>
      <c r="G18" s="2746"/>
      <c r="H18" s="2576"/>
      <c r="I18" s="2576"/>
      <c r="J18" s="2362"/>
      <c r="K18" s="2362"/>
      <c r="L18" s="2362"/>
      <c r="M18" s="2362"/>
      <c r="N18" s="2362"/>
      <c r="O18" s="2362"/>
      <c r="P18" s="2362"/>
      <c r="Q18" s="2362"/>
      <c r="R18" s="2362"/>
      <c r="S18" s="250"/>
    </row>
    <row r="19" spans="1:19" s="476" customFormat="1" ht="54.75" hidden="1" customHeight="1">
      <c r="A19" s="2239"/>
      <c r="B19" s="2240"/>
      <c r="C19" s="2240"/>
      <c r="D19" s="2240"/>
      <c r="E19" s="2240"/>
      <c r="F19" s="2240"/>
      <c r="G19" s="2240"/>
      <c r="H19" s="2240"/>
      <c r="I19" s="2240"/>
      <c r="J19" s="2362"/>
      <c r="K19" s="2362"/>
      <c r="L19" s="2362"/>
      <c r="M19" s="2362"/>
      <c r="N19" s="2362"/>
      <c r="O19" s="2362"/>
      <c r="P19" s="2362"/>
      <c r="Q19" s="2362"/>
      <c r="R19" s="2362"/>
      <c r="S19" s="250"/>
    </row>
    <row r="20" spans="1:19" s="476" customFormat="1" ht="6" hidden="1" customHeight="1">
      <c r="A20" s="2239"/>
      <c r="B20" s="2240"/>
      <c r="C20" s="2240"/>
      <c r="D20" s="2240"/>
      <c r="E20" s="2240"/>
      <c r="F20" s="2240"/>
      <c r="G20" s="2240"/>
      <c r="H20" s="2240"/>
      <c r="I20" s="2240"/>
      <c r="J20" s="2362"/>
      <c r="K20" s="2362"/>
      <c r="L20" s="2362"/>
      <c r="M20" s="2362"/>
      <c r="N20" s="2362"/>
      <c r="O20" s="2362"/>
      <c r="P20" s="2362"/>
      <c r="Q20" s="2362"/>
      <c r="R20" s="2362"/>
      <c r="S20" s="250"/>
    </row>
    <row r="21" spans="1:19" s="476" customFormat="1" ht="6" hidden="1" customHeight="1">
      <c r="A21" s="2239"/>
      <c r="B21" s="2240"/>
      <c r="C21" s="2240"/>
      <c r="D21" s="2240"/>
      <c r="E21" s="2240"/>
      <c r="F21" s="2240"/>
      <c r="G21" s="2240"/>
      <c r="H21" s="2240"/>
      <c r="I21" s="2240"/>
      <c r="J21" s="2362"/>
      <c r="K21" s="2362"/>
      <c r="L21" s="2362"/>
      <c r="M21" s="2362"/>
      <c r="N21" s="2362"/>
      <c r="O21" s="2362"/>
      <c r="P21" s="2362"/>
      <c r="Q21" s="2362"/>
      <c r="R21" s="2362"/>
      <c r="S21" s="250"/>
    </row>
    <row r="22" spans="1:19" s="476" customFormat="1" ht="6" hidden="1" customHeight="1">
      <c r="A22" s="2239"/>
      <c r="B22" s="2240"/>
      <c r="C22" s="2240"/>
      <c r="D22" s="2240"/>
      <c r="E22" s="2240"/>
      <c r="F22" s="2240"/>
      <c r="G22" s="2240"/>
      <c r="H22" s="2240"/>
      <c r="I22" s="2240"/>
      <c r="J22" s="2362"/>
      <c r="K22" s="2362"/>
      <c r="L22" s="2362"/>
      <c r="M22" s="2362"/>
      <c r="N22" s="2362"/>
      <c r="O22" s="2362"/>
      <c r="P22" s="2362"/>
      <c r="Q22" s="2362"/>
      <c r="R22" s="2362"/>
      <c r="S22" s="250"/>
    </row>
    <row r="23" spans="1:19" s="476" customFormat="1" ht="6" hidden="1" customHeight="1">
      <c r="A23" s="2239"/>
      <c r="B23" s="2240"/>
      <c r="C23" s="2240"/>
      <c r="D23" s="2240"/>
      <c r="E23" s="2240"/>
      <c r="F23" s="2240"/>
      <c r="G23" s="2240"/>
      <c r="H23" s="2240"/>
      <c r="I23" s="2240"/>
      <c r="J23" s="2362"/>
      <c r="K23" s="2362"/>
      <c r="L23" s="2362"/>
      <c r="M23" s="2362"/>
      <c r="N23" s="2362"/>
      <c r="O23" s="2362"/>
      <c r="P23" s="2362"/>
      <c r="Q23" s="2362"/>
      <c r="R23" s="2362"/>
      <c r="S23" s="250"/>
    </row>
    <row r="24" spans="1:19" s="476" customFormat="1" ht="36" hidden="1" customHeight="1">
      <c r="A24" s="2241"/>
      <c r="B24" s="3589"/>
      <c r="C24" s="3589"/>
      <c r="D24" s="3589"/>
      <c r="E24" s="2240"/>
      <c r="F24" s="2240"/>
      <c r="G24" s="2240"/>
      <c r="H24" s="2240"/>
      <c r="I24" s="2240"/>
      <c r="J24" s="2362"/>
      <c r="K24" s="2362"/>
      <c r="L24" s="2362"/>
      <c r="M24" s="2362"/>
      <c r="N24" s="2362"/>
      <c r="O24" s="2362"/>
      <c r="P24" s="2362"/>
      <c r="Q24" s="2362"/>
      <c r="R24" s="2362"/>
      <c r="S24" s="250"/>
    </row>
    <row r="25" spans="1:19" s="2261" customFormat="1" ht="50.25" customHeight="1">
      <c r="A25" s="3586" t="s">
        <v>2440</v>
      </c>
      <c r="B25" s="3586"/>
      <c r="C25" s="3586"/>
      <c r="D25" s="3580" t="s">
        <v>1470</v>
      </c>
      <c r="E25" s="3580"/>
      <c r="F25" s="3580"/>
      <c r="G25" s="3580"/>
      <c r="H25" s="2457"/>
      <c r="I25" s="2457"/>
      <c r="J25" s="2457"/>
      <c r="K25" s="2457"/>
      <c r="L25" s="2457"/>
      <c r="M25" s="2457"/>
      <c r="N25" s="2457"/>
      <c r="O25" s="2457"/>
      <c r="P25" s="3585" t="s">
        <v>1879</v>
      </c>
      <c r="Q25" s="3585"/>
      <c r="R25" s="3585"/>
    </row>
    <row r="26" spans="1:19" s="2261" customFormat="1" ht="30" customHeight="1">
      <c r="A26" s="2444"/>
      <c r="B26" s="2444"/>
      <c r="C26" s="2443"/>
      <c r="D26" s="2458"/>
      <c r="E26" s="2459"/>
      <c r="F26" s="2459"/>
      <c r="G26" s="2460"/>
      <c r="H26" s="2460"/>
      <c r="I26" s="2460"/>
      <c r="J26" s="3594">
        <v>1402</v>
      </c>
      <c r="K26" s="3594"/>
      <c r="L26" s="3594"/>
      <c r="M26" s="3594"/>
      <c r="N26" s="3594"/>
      <c r="O26" s="3594"/>
      <c r="P26" s="3594"/>
      <c r="Q26" s="2461"/>
      <c r="R26" s="2462">
        <v>1401</v>
      </c>
    </row>
    <row r="27" spans="1:19" s="2261" customFormat="1" ht="29.25" customHeight="1">
      <c r="A27" s="2444"/>
      <c r="B27" s="2444"/>
      <c r="C27" s="2443"/>
      <c r="D27" s="2445"/>
      <c r="E27" s="2459"/>
      <c r="F27" s="2459"/>
      <c r="G27" s="2463"/>
      <c r="H27" s="2463"/>
      <c r="I27" s="2463"/>
      <c r="J27" s="2464" t="s">
        <v>2187</v>
      </c>
      <c r="K27" s="2463"/>
      <c r="L27" s="2464" t="s">
        <v>2186</v>
      </c>
      <c r="M27" s="2463"/>
      <c r="N27" s="2464" t="s">
        <v>2185</v>
      </c>
      <c r="O27" s="2463"/>
      <c r="P27" s="2462" t="s">
        <v>679</v>
      </c>
      <c r="Q27" s="2461"/>
      <c r="R27" s="2465" t="s">
        <v>679</v>
      </c>
    </row>
    <row r="28" spans="1:19" s="2261" customFormat="1" ht="29.25" customHeight="1">
      <c r="A28" s="2444"/>
      <c r="B28" s="2444"/>
      <c r="C28" s="2443"/>
      <c r="D28" s="2458" t="s">
        <v>2046</v>
      </c>
      <c r="E28" s="2459"/>
      <c r="F28" s="2459"/>
      <c r="G28" s="2463"/>
      <c r="H28" s="2463"/>
      <c r="I28" s="2463"/>
      <c r="J28" s="2463"/>
      <c r="K28" s="2463"/>
      <c r="L28" s="2463"/>
      <c r="M28" s="2463"/>
      <c r="N28" s="2463"/>
      <c r="O28" s="2463"/>
      <c r="P28" s="2461"/>
      <c r="Q28" s="2461"/>
      <c r="R28" s="2461"/>
    </row>
    <row r="29" spans="1:19" s="2261" customFormat="1" ht="29.25" customHeight="1">
      <c r="A29" s="2444"/>
      <c r="B29" s="2444"/>
      <c r="C29" s="2443"/>
      <c r="D29" s="2458" t="s">
        <v>2048</v>
      </c>
      <c r="E29" s="2459"/>
      <c r="F29" s="2459"/>
      <c r="G29" s="2466"/>
      <c r="H29" s="2466"/>
      <c r="I29" s="2466"/>
      <c r="J29" s="2467"/>
      <c r="K29" s="2467"/>
      <c r="L29" s="2467"/>
      <c r="M29" s="2467"/>
      <c r="N29" s="2467"/>
      <c r="O29" s="2467"/>
      <c r="P29" s="2460"/>
      <c r="Q29" s="2460"/>
      <c r="R29" s="2460"/>
    </row>
    <row r="30" spans="1:19" s="2261" customFormat="1" ht="29.25" customHeight="1">
      <c r="A30" s="2444"/>
      <c r="B30" s="2444"/>
      <c r="C30" s="2443"/>
      <c r="D30" s="2468" t="s">
        <v>2580</v>
      </c>
      <c r="E30" s="2459"/>
      <c r="F30" s="2459"/>
      <c r="G30" s="2469"/>
      <c r="H30" s="2466"/>
      <c r="I30" s="2466"/>
      <c r="J30" s="2463" t="s">
        <v>2582</v>
      </c>
      <c r="K30" s="2470"/>
      <c r="L30" s="2469">
        <f>P30</f>
        <v>753641</v>
      </c>
      <c r="M30" s="2470"/>
      <c r="N30" s="2470"/>
      <c r="O30" s="2470"/>
      <c r="P30" s="2471">
        <f>'25'!U16</f>
        <v>753641</v>
      </c>
      <c r="Q30" s="2471"/>
      <c r="R30" s="2471">
        <v>18103895</v>
      </c>
    </row>
    <row r="31" spans="1:19" s="2261" customFormat="1" ht="29.25" customHeight="1">
      <c r="A31" s="2444"/>
      <c r="B31" s="2444"/>
      <c r="C31" s="2443"/>
      <c r="D31" s="2468" t="s">
        <v>2779</v>
      </c>
      <c r="E31" s="2459"/>
      <c r="F31" s="2459"/>
      <c r="G31" s="2469"/>
      <c r="H31" s="2469"/>
      <c r="I31" s="2469"/>
      <c r="J31" s="2463" t="s">
        <v>2301</v>
      </c>
      <c r="K31" s="2470"/>
      <c r="L31" s="2472">
        <f>P56</f>
        <v>23969697</v>
      </c>
      <c r="M31" s="2470"/>
      <c r="N31" s="2473"/>
      <c r="O31" s="2470"/>
      <c r="P31" s="2472">
        <f>P56</f>
        <v>23969697</v>
      </c>
      <c r="Q31" s="2469"/>
      <c r="R31" s="2472">
        <v>5717713</v>
      </c>
    </row>
    <row r="32" spans="1:19" s="2261" customFormat="1" ht="29.25" customHeight="1">
      <c r="A32" s="2444"/>
      <c r="B32" s="2444"/>
      <c r="C32" s="2443"/>
      <c r="D32" s="2458"/>
      <c r="E32" s="2459"/>
      <c r="F32" s="2459"/>
      <c r="G32" s="2469"/>
      <c r="H32" s="2466"/>
      <c r="I32" s="2466"/>
      <c r="J32" s="2478"/>
      <c r="K32" s="2478"/>
      <c r="L32" s="2479">
        <f>SUM(L30:L31)</f>
        <v>24723338</v>
      </c>
      <c r="M32" s="2478"/>
      <c r="N32" s="2479"/>
      <c r="O32" s="2478"/>
      <c r="P32" s="2480">
        <f>SUM(P30:P31)</f>
        <v>24723338</v>
      </c>
      <c r="Q32" s="2471"/>
      <c r="R32" s="2480">
        <f>SUM(R30:R31)</f>
        <v>23821608</v>
      </c>
    </row>
    <row r="33" spans="1:18" s="2261" customFormat="1" ht="29.25" customHeight="1">
      <c r="A33" s="2444"/>
      <c r="B33" s="2444"/>
      <c r="C33" s="2443"/>
      <c r="D33" s="2458" t="s">
        <v>2049</v>
      </c>
      <c r="E33" s="2475"/>
      <c r="F33" s="2475"/>
      <c r="G33" s="2476"/>
      <c r="H33" s="2476"/>
      <c r="I33" s="2476"/>
      <c r="J33" s="2477"/>
      <c r="K33" s="2477"/>
      <c r="L33" s="2477"/>
      <c r="M33" s="2477"/>
      <c r="N33" s="2477"/>
      <c r="O33" s="2477"/>
      <c r="P33" s="2481"/>
      <c r="Q33" s="2481"/>
      <c r="R33" s="2481"/>
    </row>
    <row r="34" spans="1:18" s="2261" customFormat="1" ht="27.75" customHeight="1">
      <c r="A34" s="2482">
        <v>1012</v>
      </c>
      <c r="B34" s="2482"/>
      <c r="C34" s="2444"/>
      <c r="D34" s="2474" t="s">
        <v>2374</v>
      </c>
      <c r="E34" s="2483"/>
      <c r="F34" s="2483"/>
      <c r="G34" s="2469"/>
      <c r="H34" s="2484"/>
      <c r="I34" s="2484"/>
      <c r="J34" s="2463" t="s">
        <v>2378</v>
      </c>
      <c r="K34" s="2485"/>
      <c r="L34" s="2469"/>
      <c r="M34" s="2485"/>
      <c r="N34" s="2485"/>
      <c r="O34" s="2485"/>
      <c r="P34" s="2481">
        <f>-SUMIF('1402'!$B$4:$B$592,$A34,'1402'!$W$4:$W$592)</f>
        <v>1306919</v>
      </c>
      <c r="Q34" s="2481"/>
      <c r="R34" s="2486">
        <v>1309490</v>
      </c>
    </row>
    <row r="35" spans="1:18" s="2261" customFormat="1" ht="27.75" customHeight="1">
      <c r="A35" s="2482">
        <v>1028</v>
      </c>
      <c r="B35" s="2482"/>
      <c r="C35" s="2444"/>
      <c r="D35" s="2474" t="s">
        <v>2381</v>
      </c>
      <c r="E35" s="2483"/>
      <c r="F35" s="2483"/>
      <c r="G35" s="2469"/>
      <c r="H35" s="2484"/>
      <c r="I35" s="2484"/>
      <c r="J35" s="2463"/>
      <c r="K35" s="2485"/>
      <c r="L35" s="2469"/>
      <c r="M35" s="2485"/>
      <c r="N35" s="2485"/>
      <c r="O35" s="2485"/>
      <c r="P35" s="2481">
        <f>-SUMIF('1402'!$B$4:$B$592,$A35,'1402'!$W$4:$W$592)</f>
        <v>2072532</v>
      </c>
      <c r="Q35" s="2481"/>
      <c r="R35" s="2486">
        <v>381609</v>
      </c>
    </row>
    <row r="36" spans="1:18" s="2261" customFormat="1" ht="29.25" customHeight="1">
      <c r="A36" s="2482">
        <v>1007</v>
      </c>
      <c r="B36" s="2482"/>
      <c r="C36" s="2443"/>
      <c r="D36" s="2587" t="s">
        <v>2525</v>
      </c>
      <c r="E36" s="2587"/>
      <c r="F36" s="2587"/>
      <c r="G36" s="2587"/>
      <c r="H36" s="2587"/>
      <c r="I36" s="2587"/>
      <c r="J36" s="2587"/>
      <c r="K36" s="2485"/>
      <c r="L36" s="2469"/>
      <c r="M36" s="2481">
        <f>-SUMIF('1402'!$B$4:$B$592,$A36,'1402'!$W$4:$W$592)</f>
        <v>1807916</v>
      </c>
      <c r="N36" s="2485"/>
      <c r="O36" s="2485"/>
      <c r="P36" s="2481">
        <f>-SUMIF('1402'!$B$4:$B$592,$A36,'1402'!$W$4:$W$592)</f>
        <v>1807916</v>
      </c>
      <c r="Q36" s="2481"/>
      <c r="R36" s="2481">
        <v>4485430</v>
      </c>
    </row>
    <row r="37" spans="1:18" s="2261" customFormat="1" ht="30.75" customHeight="1">
      <c r="A37" s="2482"/>
      <c r="B37" s="2482"/>
      <c r="C37" s="2443"/>
      <c r="D37" s="2474" t="s">
        <v>2392</v>
      </c>
      <c r="E37" s="2483"/>
      <c r="F37" s="2483"/>
      <c r="G37" s="2469"/>
      <c r="H37" s="2484"/>
      <c r="I37" s="2484"/>
      <c r="J37" s="2463" t="s">
        <v>2375</v>
      </c>
      <c r="K37" s="2487"/>
      <c r="L37" s="2469">
        <v>5287786</v>
      </c>
      <c r="M37" s="2487"/>
      <c r="N37" s="2487">
        <v>2423318</v>
      </c>
      <c r="O37" s="2487"/>
      <c r="P37" s="2481">
        <f>'25'!O35</f>
        <v>7711104</v>
      </c>
      <c r="Q37" s="2481"/>
      <c r="R37" s="2481">
        <v>4224097</v>
      </c>
    </row>
    <row r="38" spans="1:18" s="2261" customFormat="1" ht="24" customHeight="1">
      <c r="A38" s="2482">
        <v>1010</v>
      </c>
      <c r="B38" s="2482"/>
      <c r="C38" s="2443"/>
      <c r="D38" s="2474" t="s">
        <v>2412</v>
      </c>
      <c r="E38" s="2483"/>
      <c r="F38" s="2483"/>
      <c r="G38" s="2469"/>
      <c r="H38" s="2484"/>
      <c r="I38" s="2484"/>
      <c r="J38" s="2488"/>
      <c r="K38" s="2488"/>
      <c r="L38" s="2469"/>
      <c r="M38" s="2488"/>
      <c r="N38" s="2488"/>
      <c r="O38" s="2488"/>
      <c r="P38" s="2481">
        <f>-SUMIF('1402'!$B$4:$B$592,$A38,'1402'!$W$4:$W$592)-1</f>
        <v>1296385</v>
      </c>
      <c r="Q38" s="2481"/>
      <c r="R38" s="2481">
        <v>1061515</v>
      </c>
    </row>
    <row r="39" spans="1:18" s="2261" customFormat="1" ht="24" customHeight="1">
      <c r="A39" s="2482">
        <v>1009</v>
      </c>
      <c r="B39" s="2482"/>
      <c r="C39" s="2443"/>
      <c r="D39" s="2474" t="s">
        <v>2433</v>
      </c>
      <c r="E39" s="2483"/>
      <c r="F39" s="2483"/>
      <c r="G39" s="2469"/>
      <c r="H39" s="2484"/>
      <c r="I39" s="2484"/>
      <c r="J39" s="2488"/>
      <c r="K39" s="2488"/>
      <c r="L39" s="2469"/>
      <c r="M39" s="2488"/>
      <c r="N39" s="2488"/>
      <c r="O39" s="2488"/>
      <c r="P39" s="2481">
        <f>-SUMIF('1402'!$B$4:$B$592,$A39,'1402'!$W$4:$W$592)</f>
        <v>141964</v>
      </c>
      <c r="Q39" s="2481"/>
      <c r="R39" s="2481">
        <v>329849</v>
      </c>
    </row>
    <row r="40" spans="1:18" s="2261" customFormat="1" ht="24" customHeight="1">
      <c r="A40" s="2482">
        <v>1020</v>
      </c>
      <c r="B40" s="2482"/>
      <c r="C40" s="2443"/>
      <c r="D40" s="2474" t="s">
        <v>633</v>
      </c>
      <c r="E40" s="2483"/>
      <c r="F40" s="2483"/>
      <c r="G40" s="2469"/>
      <c r="H40" s="2484"/>
      <c r="I40" s="2484"/>
      <c r="J40" s="2463" t="s">
        <v>2447</v>
      </c>
      <c r="K40" s="2488"/>
      <c r="L40" s="2469"/>
      <c r="M40" s="2488"/>
      <c r="N40" s="2488"/>
      <c r="O40" s="2488"/>
      <c r="P40" s="2481">
        <f>-SUMIF('1402'!$B$4:$B$592,$A40,'1402'!$W$4:$W$592)</f>
        <v>6911402</v>
      </c>
      <c r="Q40" s="2481"/>
      <c r="R40" s="2481">
        <v>413491</v>
      </c>
    </row>
    <row r="41" spans="1:18" s="2261" customFormat="1" ht="24" customHeight="1">
      <c r="A41" s="2482">
        <v>1031</v>
      </c>
      <c r="B41" s="2482"/>
      <c r="C41" s="2443"/>
      <c r="D41" s="2474" t="s">
        <v>2736</v>
      </c>
      <c r="E41" s="2483"/>
      <c r="F41" s="2483"/>
      <c r="G41" s="2469"/>
      <c r="H41" s="2484"/>
      <c r="I41" s="2484"/>
      <c r="J41" s="2463"/>
      <c r="K41" s="2488"/>
      <c r="L41" s="2469"/>
      <c r="M41" s="2488"/>
      <c r="N41" s="2488"/>
      <c r="O41" s="2488"/>
      <c r="P41" s="2481">
        <f>-SUMIF('1402'!$B$4:$B$592,$A41,'1402'!$W$4:$W$592)</f>
        <v>357119</v>
      </c>
      <c r="Q41" s="2481"/>
      <c r="R41" s="2481">
        <v>0</v>
      </c>
    </row>
    <row r="42" spans="1:18" s="2261" customFormat="1" ht="24" customHeight="1">
      <c r="A42" s="2482">
        <v>1017</v>
      </c>
      <c r="B42" s="2482"/>
      <c r="C42" s="2443"/>
      <c r="D42" s="2474" t="s">
        <v>2527</v>
      </c>
      <c r="E42" s="2483"/>
      <c r="F42" s="2483"/>
      <c r="G42" s="2469"/>
      <c r="H42" s="2484"/>
      <c r="I42" s="2484"/>
      <c r="J42" s="2488"/>
      <c r="K42" s="2488"/>
      <c r="L42" s="2469"/>
      <c r="M42" s="2488"/>
      <c r="N42" s="2488"/>
      <c r="O42" s="2488"/>
      <c r="P42" s="2481">
        <f>-SUMIF('1402'!$B$4:$B$592,$A42,'1402'!$W$4:$W$592)</f>
        <v>5363</v>
      </c>
      <c r="Q42" s="2481"/>
      <c r="R42" s="2481">
        <v>140</v>
      </c>
    </row>
    <row r="43" spans="1:18" s="2261" customFormat="1" ht="24" customHeight="1">
      <c r="A43" s="2482">
        <v>1011</v>
      </c>
      <c r="B43" s="2482"/>
      <c r="C43" s="2443"/>
      <c r="D43" s="2474" t="s">
        <v>229</v>
      </c>
      <c r="E43" s="2483"/>
      <c r="F43" s="2483"/>
      <c r="G43" s="2469"/>
      <c r="H43" s="2484"/>
      <c r="I43" s="2484"/>
      <c r="J43" s="2488"/>
      <c r="K43" s="2488"/>
      <c r="L43" s="2469"/>
      <c r="M43" s="2488"/>
      <c r="N43" s="2488"/>
      <c r="O43" s="2488"/>
      <c r="P43" s="2481">
        <f>-SUMIF('1402'!$B$4:$B$590,$A43,'1402'!$W$4:$W$590)</f>
        <v>31897</v>
      </c>
      <c r="Q43" s="2481"/>
      <c r="R43" s="2481">
        <v>25208</v>
      </c>
    </row>
    <row r="44" spans="1:18" s="2261" customFormat="1" ht="24" customHeight="1">
      <c r="A44" s="2482">
        <v>1015</v>
      </c>
      <c r="B44" s="2482"/>
      <c r="C44" s="2443"/>
      <c r="D44" s="2474" t="s">
        <v>817</v>
      </c>
      <c r="E44" s="2483"/>
      <c r="F44" s="2483"/>
      <c r="G44" s="2469"/>
      <c r="H44" s="2484"/>
      <c r="I44" s="2484"/>
      <c r="J44" s="2488"/>
      <c r="K44" s="2488"/>
      <c r="L44" s="2469"/>
      <c r="M44" s="2488"/>
      <c r="N44" s="2488"/>
      <c r="O44" s="2488"/>
      <c r="P44" s="2481">
        <f>-SUMIF('1402'!$B$4:$B$590,$A44,'1402'!$W$4:$W$590)</f>
        <v>17086</v>
      </c>
      <c r="Q44" s="2481"/>
      <c r="R44" s="2481">
        <v>9180</v>
      </c>
    </row>
    <row r="45" spans="1:18" s="2261" customFormat="1" ht="24" customHeight="1">
      <c r="A45" s="2482">
        <v>1018</v>
      </c>
      <c r="B45" s="2482"/>
      <c r="C45" s="2443"/>
      <c r="D45" s="2474" t="s">
        <v>626</v>
      </c>
      <c r="E45" s="2483"/>
      <c r="F45" s="2483"/>
      <c r="G45" s="2469"/>
      <c r="H45" s="2489"/>
      <c r="I45" s="2489"/>
      <c r="J45" s="2490"/>
      <c r="K45" s="2490"/>
      <c r="L45" s="2472"/>
      <c r="M45" s="2490"/>
      <c r="N45" s="2491"/>
      <c r="O45" s="2490"/>
      <c r="P45" s="2492">
        <f>-SUMIF('1402'!$B$4:$B$590,$A45,'1402'!$W$4:$W$590)</f>
        <v>351936</v>
      </c>
      <c r="Q45" s="2493"/>
      <c r="R45" s="2494">
        <v>251853</v>
      </c>
    </row>
    <row r="46" spans="1:18" s="2261" customFormat="1" ht="24" customHeight="1">
      <c r="A46" s="2444"/>
      <c r="B46" s="2444"/>
      <c r="C46" s="2443"/>
      <c r="D46" s="2458"/>
      <c r="E46" s="2458"/>
      <c r="F46" s="2458"/>
      <c r="G46" s="2495"/>
      <c r="H46" s="2456"/>
      <c r="I46" s="2456"/>
      <c r="J46" s="2478"/>
      <c r="K46" s="2478"/>
      <c r="L46" s="2479">
        <f>SUM(L34:L45)</f>
        <v>5287786</v>
      </c>
      <c r="M46" s="2478"/>
      <c r="N46" s="2479">
        <f>SUM(N34:N45)</f>
        <v>2423318</v>
      </c>
      <c r="O46" s="2478"/>
      <c r="P46" s="2496">
        <f>SUM(P34:P45)</f>
        <v>22011623</v>
      </c>
      <c r="Q46" s="2493"/>
      <c r="R46" s="2497">
        <f>SUM(R34:R45)</f>
        <v>12491862</v>
      </c>
    </row>
    <row r="47" spans="1:18" s="2261" customFormat="1" ht="24" customHeight="1" thickBot="1">
      <c r="A47" s="2444"/>
      <c r="B47" s="2498"/>
      <c r="C47" s="2499"/>
      <c r="D47" s="2437"/>
      <c r="E47" s="2437"/>
      <c r="F47" s="2437"/>
      <c r="G47" s="2500"/>
      <c r="H47" s="2500"/>
      <c r="I47" s="2500"/>
      <c r="J47" s="2501"/>
      <c r="K47" s="2501"/>
      <c r="L47" s="2502">
        <f>L46+L32</f>
        <v>30011124</v>
      </c>
      <c r="M47" s="2501"/>
      <c r="N47" s="2502">
        <f>N46</f>
        <v>2423318</v>
      </c>
      <c r="O47" s="2501"/>
      <c r="P47" s="2503">
        <f>P46+P32</f>
        <v>46734961</v>
      </c>
      <c r="Q47" s="2493"/>
      <c r="R47" s="2503">
        <f>R46+R32</f>
        <v>36313470</v>
      </c>
    </row>
    <row r="48" spans="1:18" s="2261" customFormat="1" ht="24" customHeight="1" thickTop="1">
      <c r="A48" s="2444"/>
      <c r="B48" s="2498"/>
      <c r="C48" s="2499"/>
      <c r="D48" s="2577"/>
      <c r="E48" s="2577"/>
      <c r="F48" s="2577"/>
      <c r="G48" s="2500"/>
      <c r="H48" s="2500"/>
      <c r="I48" s="2500"/>
      <c r="J48" s="2501"/>
      <c r="K48" s="2501"/>
      <c r="L48" s="2501"/>
      <c r="M48" s="2501"/>
      <c r="N48" s="2501"/>
      <c r="O48" s="2501"/>
      <c r="P48" s="2493"/>
      <c r="Q48" s="2493"/>
      <c r="R48" s="2493"/>
    </row>
    <row r="49" spans="1:26" s="2261" customFormat="1" ht="47.25" customHeight="1">
      <c r="A49" s="2444"/>
      <c r="B49" s="2498"/>
      <c r="C49" s="2499" t="s">
        <v>2376</v>
      </c>
      <c r="D49" s="2505" t="s">
        <v>2778</v>
      </c>
      <c r="E49" s="2437"/>
      <c r="F49" s="2437"/>
      <c r="G49" s="2500"/>
      <c r="H49" s="2500"/>
      <c r="I49" s="2500"/>
      <c r="J49" s="2500"/>
      <c r="K49" s="2500"/>
      <c r="L49" s="2500"/>
      <c r="M49" s="2500"/>
      <c r="N49" s="2500"/>
      <c r="O49" s="2500"/>
      <c r="P49" s="3585" t="s">
        <v>1879</v>
      </c>
      <c r="Q49" s="3585"/>
      <c r="R49" s="3585"/>
    </row>
    <row r="50" spans="1:26" s="2261" customFormat="1" ht="27.75" customHeight="1">
      <c r="A50" s="2444"/>
      <c r="B50" s="2498"/>
      <c r="C50" s="2499"/>
      <c r="D50" s="2437"/>
      <c r="E50" s="2437"/>
      <c r="F50" s="2437"/>
      <c r="G50" s="2460"/>
      <c r="H50" s="2460"/>
      <c r="I50" s="2460"/>
      <c r="J50" s="2460"/>
      <c r="K50" s="2460"/>
      <c r="L50" s="2460"/>
      <c r="M50" s="2460"/>
      <c r="N50" s="2460"/>
      <c r="O50" s="2460"/>
      <c r="P50" s="2462">
        <v>1402</v>
      </c>
      <c r="Q50" s="2461"/>
      <c r="R50" s="2462">
        <v>1401</v>
      </c>
    </row>
    <row r="51" spans="1:26" s="2261" customFormat="1" ht="27.75" customHeight="1">
      <c r="A51" s="2482">
        <v>1027</v>
      </c>
      <c r="B51" s="2444"/>
      <c r="C51" s="2443"/>
      <c r="D51" s="2468" t="s">
        <v>2780</v>
      </c>
      <c r="E51" s="2459"/>
      <c r="F51" s="2459"/>
      <c r="G51" s="2469"/>
      <c r="H51" s="2466"/>
      <c r="I51" s="2466"/>
      <c r="J51" s="2509"/>
      <c r="K51" s="2509"/>
      <c r="L51" s="2509"/>
      <c r="M51" s="2509"/>
      <c r="N51" s="2466"/>
      <c r="O51" s="2509"/>
      <c r="P51" s="2471">
        <f>-SUMIF('1402'!$B$4:$B$590,$A51,'1402'!$W$4:$W$590)</f>
        <v>21767940</v>
      </c>
      <c r="Q51" s="2471"/>
      <c r="R51" s="2471">
        <v>4012007</v>
      </c>
    </row>
    <row r="52" spans="1:26" s="2261" customFormat="1" ht="27.75" customHeight="1">
      <c r="A52" s="2482">
        <v>1021</v>
      </c>
      <c r="B52" s="2444"/>
      <c r="C52" s="2443"/>
      <c r="D52" s="2474" t="s">
        <v>2794</v>
      </c>
      <c r="E52" s="2459"/>
      <c r="F52" s="2459"/>
      <c r="G52" s="2469"/>
      <c r="H52" s="2466"/>
      <c r="I52" s="2466"/>
      <c r="J52" s="2509"/>
      <c r="K52" s="2509"/>
      <c r="L52" s="2509"/>
      <c r="M52" s="2509"/>
      <c r="N52" s="2466"/>
      <c r="O52" s="2509"/>
      <c r="P52" s="2471">
        <f>-SUMIF('1402'!$B$4:$B$590,$A52,'1402'!$W$4:$W$590)</f>
        <v>2032863</v>
      </c>
      <c r="Q52" s="2471"/>
      <c r="R52" s="2471">
        <v>1338542</v>
      </c>
    </row>
    <row r="53" spans="1:26" s="2261" customFormat="1" ht="27.75" customHeight="1">
      <c r="A53" s="2482">
        <v>1029</v>
      </c>
      <c r="B53" s="2444"/>
      <c r="C53" s="2443"/>
      <c r="D53" s="2474" t="s">
        <v>2724</v>
      </c>
      <c r="E53" s="2459"/>
      <c r="F53" s="2459"/>
      <c r="G53" s="2469"/>
      <c r="H53" s="2466"/>
      <c r="I53" s="2466"/>
      <c r="J53" s="2509"/>
      <c r="K53" s="2509"/>
      <c r="L53" s="2509"/>
      <c r="M53" s="2509"/>
      <c r="N53" s="2466"/>
      <c r="O53" s="2509"/>
      <c r="P53" s="2471">
        <f>-SUMIF('1402'!$B$4:$B$590,$A53,'1402'!$W$4:$W$590)</f>
        <v>51599</v>
      </c>
      <c r="Q53" s="2471"/>
      <c r="R53" s="2471">
        <v>0</v>
      </c>
    </row>
    <row r="54" spans="1:26" s="2261" customFormat="1" ht="27.75" customHeight="1">
      <c r="A54" s="2482">
        <v>1025</v>
      </c>
      <c r="B54" s="2444"/>
      <c r="C54" s="2443"/>
      <c r="D54" s="2474" t="s">
        <v>1594</v>
      </c>
      <c r="E54" s="2459"/>
      <c r="F54" s="2459"/>
      <c r="G54" s="2469"/>
      <c r="H54" s="2466"/>
      <c r="I54" s="2466"/>
      <c r="J54" s="2509"/>
      <c r="K54" s="2509"/>
      <c r="L54" s="2509"/>
      <c r="M54" s="2509"/>
      <c r="N54" s="2466"/>
      <c r="O54" s="2509"/>
      <c r="P54" s="2471">
        <f>-SUMIF('1402'!$B$4:$B$590,$A54,'1402'!$W$4:$W$590)</f>
        <v>13922</v>
      </c>
      <c r="Q54" s="2471"/>
      <c r="R54" s="2471">
        <v>49783</v>
      </c>
    </row>
    <row r="55" spans="1:26" s="2261" customFormat="1" ht="27.75" customHeight="1">
      <c r="A55" s="2482">
        <v>1001</v>
      </c>
      <c r="B55" s="2444"/>
      <c r="C55" s="2443"/>
      <c r="D55" s="2474" t="s">
        <v>2839</v>
      </c>
      <c r="E55" s="2459"/>
      <c r="F55" s="2459"/>
      <c r="G55" s="2469"/>
      <c r="H55" s="2466"/>
      <c r="I55" s="2466"/>
      <c r="J55" s="2509"/>
      <c r="K55" s="2509"/>
      <c r="L55" s="2509"/>
      <c r="M55" s="2509"/>
      <c r="N55" s="2466"/>
      <c r="O55" s="2509"/>
      <c r="P55" s="2471">
        <f>-SUMIF('1402'!$B$4:$B$590,$A55,'1402'!$W$4:$W$590)</f>
        <v>103373</v>
      </c>
      <c r="Q55" s="2471"/>
      <c r="R55" s="2471">
        <v>317381</v>
      </c>
    </row>
    <row r="56" spans="1:26" s="2261" customFormat="1" ht="27.75" customHeight="1" thickBot="1">
      <c r="A56" s="2444"/>
      <c r="B56" s="2444"/>
      <c r="C56" s="2443"/>
      <c r="D56" s="2474"/>
      <c r="E56" s="2475"/>
      <c r="F56" s="2475"/>
      <c r="G56" s="2510"/>
      <c r="H56" s="2476"/>
      <c r="I56" s="2476"/>
      <c r="J56" s="2511"/>
      <c r="K56" s="2511"/>
      <c r="L56" s="2511"/>
      <c r="M56" s="2511"/>
      <c r="N56" s="2511"/>
      <c r="O56" s="2511"/>
      <c r="P56" s="2512">
        <f>SUM(P51:P55)</f>
        <v>23969697</v>
      </c>
      <c r="Q56" s="2481"/>
      <c r="R56" s="2512">
        <f>SUM(R51:R55)</f>
        <v>5717713</v>
      </c>
    </row>
    <row r="57" spans="1:26" s="2261" customFormat="1" ht="69.75" customHeight="1" thickTop="1">
      <c r="A57" s="2444"/>
      <c r="B57" s="3601"/>
      <c r="C57" s="3601"/>
      <c r="D57" s="3601"/>
      <c r="E57" s="3601"/>
      <c r="F57" s="3601"/>
      <c r="G57" s="3601"/>
      <c r="H57" s="3601"/>
      <c r="I57" s="3601"/>
      <c r="J57" s="3601"/>
      <c r="K57" s="3601"/>
      <c r="L57" s="3601"/>
      <c r="M57" s="3601"/>
      <c r="N57" s="3601"/>
      <c r="O57" s="3601"/>
      <c r="P57" s="3601"/>
      <c r="Q57" s="3601"/>
      <c r="R57" s="3601"/>
      <c r="S57" s="2650"/>
      <c r="T57" s="2650"/>
      <c r="U57" s="2650"/>
      <c r="V57" s="2650"/>
      <c r="W57" s="2650"/>
      <c r="X57" s="2650"/>
      <c r="Y57" s="2650"/>
      <c r="Z57" s="2650"/>
    </row>
    <row r="58" spans="1:26" s="2261" customFormat="1" ht="24" customHeight="1">
      <c r="A58" s="2444"/>
      <c r="B58" s="2483"/>
      <c r="C58" s="2483"/>
      <c r="D58" s="2483"/>
      <c r="E58" s="2483"/>
      <c r="F58" s="2483"/>
      <c r="G58" s="2483"/>
      <c r="H58" s="2483"/>
      <c r="I58" s="2483" t="s">
        <v>677</v>
      </c>
      <c r="J58" s="2483"/>
      <c r="K58" s="2483"/>
      <c r="L58" s="2483"/>
      <c r="M58" s="2483"/>
      <c r="N58" s="2483"/>
      <c r="O58" s="2483"/>
      <c r="P58" s="2508"/>
      <c r="Q58" s="2508"/>
      <c r="R58" s="2508"/>
    </row>
    <row r="59" spans="1:26" s="2261" customFormat="1" ht="36" customHeight="1">
      <c r="A59" s="2444"/>
      <c r="B59" s="2444"/>
      <c r="C59" s="2443"/>
      <c r="D59" s="2474"/>
      <c r="E59" s="2475"/>
      <c r="F59" s="2475"/>
      <c r="G59" s="2510"/>
      <c r="H59" s="2476"/>
      <c r="I59" s="2476"/>
      <c r="J59" s="2511"/>
      <c r="K59" s="2511"/>
      <c r="L59" s="2511"/>
      <c r="M59" s="2511"/>
      <c r="N59" s="2511"/>
      <c r="O59" s="2511"/>
      <c r="P59" s="2481"/>
      <c r="Q59" s="2481"/>
      <c r="R59" s="2481"/>
    </row>
    <row r="60" spans="1:26" s="2261" customFormat="1" ht="47.25" customHeight="1">
      <c r="A60" s="3599">
        <v>24</v>
      </c>
      <c r="B60" s="3599"/>
      <c r="C60" s="3599"/>
      <c r="D60" s="3599"/>
      <c r="E60" s="3599"/>
      <c r="F60" s="3599"/>
      <c r="G60" s="3599"/>
      <c r="H60" s="3599"/>
      <c r="I60" s="3599"/>
      <c r="J60" s="3599"/>
      <c r="K60" s="3599"/>
      <c r="L60" s="3599"/>
      <c r="M60" s="3599"/>
      <c r="N60" s="3599"/>
      <c r="O60" s="3599"/>
      <c r="P60" s="3599"/>
      <c r="Q60" s="3599"/>
      <c r="R60" s="3599"/>
    </row>
    <row r="61" spans="1:26" ht="47.25" customHeight="1">
      <c r="A61" s="2250"/>
      <c r="B61" s="2250"/>
      <c r="C61" s="2250"/>
      <c r="D61" s="2250"/>
      <c r="E61" s="2250"/>
      <c r="F61" s="2250"/>
      <c r="G61" s="2250"/>
      <c r="H61" s="2250"/>
      <c r="I61" s="2250"/>
      <c r="J61" s="2373"/>
      <c r="K61" s="2373"/>
      <c r="L61" s="2373"/>
      <c r="M61" s="2373"/>
      <c r="N61" s="2373"/>
      <c r="O61" s="2373"/>
      <c r="P61" s="2373"/>
      <c r="Q61" s="2373"/>
      <c r="R61" s="2373"/>
    </row>
    <row r="62" spans="1:26" s="1949" customFormat="1" ht="48.75" customHeight="1">
      <c r="A62" s="3598" t="str">
        <f>مفروضات!A1</f>
        <v>شركت خطوط لوله و مخابرات نفت ايران (سهامي خاص)</v>
      </c>
      <c r="B62" s="3598"/>
      <c r="C62" s="3598"/>
      <c r="D62" s="3598"/>
      <c r="E62" s="3598"/>
      <c r="F62" s="3598"/>
      <c r="G62" s="3598"/>
      <c r="H62" s="3598"/>
      <c r="I62" s="3598"/>
      <c r="J62" s="3598"/>
      <c r="K62" s="3598"/>
      <c r="L62" s="3598"/>
      <c r="M62" s="3598"/>
      <c r="N62" s="3598"/>
      <c r="O62" s="3598"/>
      <c r="P62" s="3598"/>
      <c r="Q62" s="3598"/>
      <c r="R62" s="3598"/>
      <c r="S62" s="476"/>
    </row>
    <row r="63" spans="1:26" s="1949" customFormat="1" ht="48.75" customHeight="1">
      <c r="A63" s="3598" t="str">
        <f>مفروضات!A2</f>
        <v>يادداشت هاي توضيحي صورت هاي مالي</v>
      </c>
      <c r="B63" s="3598"/>
      <c r="C63" s="3598"/>
      <c r="D63" s="3598"/>
      <c r="E63" s="3598"/>
      <c r="F63" s="3598"/>
      <c r="G63" s="3598"/>
      <c r="H63" s="3598"/>
      <c r="I63" s="3598"/>
      <c r="J63" s="3598"/>
      <c r="K63" s="3598"/>
      <c r="L63" s="3598"/>
      <c r="M63" s="3598"/>
      <c r="N63" s="3598"/>
      <c r="O63" s="3598"/>
      <c r="P63" s="3598"/>
      <c r="Q63" s="3598"/>
      <c r="R63" s="3598"/>
      <c r="S63" s="921"/>
    </row>
    <row r="64" spans="1:26" s="1949" customFormat="1" ht="56.25" customHeight="1">
      <c r="A64" s="3598" t="str">
        <f>مفروضات!A3</f>
        <v xml:space="preserve"> سال مالي منتهي به 29 اسفند 1401</v>
      </c>
      <c r="B64" s="3598"/>
      <c r="C64" s="3598"/>
      <c r="D64" s="3598"/>
      <c r="E64" s="3598"/>
      <c r="F64" s="3598"/>
      <c r="G64" s="3598"/>
      <c r="H64" s="3598"/>
      <c r="I64" s="3598"/>
      <c r="J64" s="3598"/>
      <c r="K64" s="3598"/>
      <c r="L64" s="3598"/>
      <c r="M64" s="3598"/>
      <c r="N64" s="3598"/>
      <c r="O64" s="3598"/>
      <c r="P64" s="3598"/>
      <c r="Q64" s="3598"/>
      <c r="R64" s="3598"/>
      <c r="S64" s="476"/>
    </row>
    <row r="65" spans="1:18" s="2273" customFormat="1" ht="32.25" customHeight="1">
      <c r="A65" s="2267"/>
      <c r="B65" s="2267"/>
      <c r="C65" s="2268" t="s">
        <v>2391</v>
      </c>
      <c r="D65" s="2262" t="s">
        <v>2393</v>
      </c>
      <c r="E65" s="2269"/>
      <c r="F65" s="2269"/>
      <c r="G65" s="2271"/>
      <c r="H65" s="2270"/>
      <c r="I65" s="2270"/>
      <c r="J65" s="2371"/>
      <c r="K65" s="2371"/>
      <c r="L65" s="2371"/>
      <c r="M65" s="2371"/>
      <c r="N65" s="2371"/>
      <c r="O65" s="2371"/>
      <c r="P65" s="2366"/>
      <c r="Q65" s="2366"/>
      <c r="R65" s="2366"/>
    </row>
    <row r="66" spans="1:18" s="2273" customFormat="1" ht="32.25" customHeight="1">
      <c r="A66" s="2267"/>
      <c r="B66" s="2267"/>
      <c r="C66" s="2268"/>
      <c r="D66" s="2274"/>
      <c r="E66" s="3581"/>
      <c r="F66" s="3581"/>
      <c r="G66" s="3581"/>
      <c r="H66" s="2270"/>
      <c r="I66" s="2270"/>
      <c r="J66" s="3590" t="s">
        <v>2400</v>
      </c>
      <c r="K66" s="3590"/>
      <c r="L66" s="3590"/>
      <c r="M66" s="3590"/>
      <c r="N66" s="3590"/>
      <c r="O66" s="3590"/>
      <c r="P66" s="3590"/>
      <c r="Q66" s="3590"/>
      <c r="R66" s="3590"/>
    </row>
    <row r="67" spans="1:18" s="2273" customFormat="1" ht="32.25" customHeight="1">
      <c r="A67" s="2267"/>
      <c r="B67" s="2267"/>
      <c r="C67" s="2268"/>
      <c r="D67" s="2274"/>
      <c r="E67" s="2275" t="s">
        <v>2185</v>
      </c>
      <c r="F67" s="2274"/>
      <c r="G67" s="2276" t="s">
        <v>679</v>
      </c>
      <c r="H67" s="2270"/>
      <c r="I67" s="2270"/>
      <c r="J67" s="2374" t="s">
        <v>1763</v>
      </c>
      <c r="K67" s="2374"/>
      <c r="L67" s="2374" t="s">
        <v>2399</v>
      </c>
      <c r="M67" s="2374"/>
      <c r="N67" s="2374" t="s">
        <v>2185</v>
      </c>
      <c r="O67" s="2371"/>
      <c r="P67" s="2372" t="s">
        <v>2410</v>
      </c>
      <c r="Q67" s="2366"/>
      <c r="R67" s="2372" t="s">
        <v>2398</v>
      </c>
    </row>
    <row r="68" spans="1:18" s="2273" customFormat="1" ht="32.25" customHeight="1">
      <c r="A68" s="2278"/>
      <c r="B68" s="2278"/>
      <c r="C68" s="2279"/>
      <c r="D68" s="2274" t="s">
        <v>2183</v>
      </c>
      <c r="E68" s="2272" t="e">
        <f>#REF!+#REF!</f>
        <v>#REF!</v>
      </c>
      <c r="F68" s="2272"/>
      <c r="G68" s="2272" t="e">
        <f>#REF!+#REF!+#REF!</f>
        <v>#REF!</v>
      </c>
      <c r="H68" s="2280"/>
      <c r="I68" s="2270"/>
      <c r="J68" s="2366">
        <v>0</v>
      </c>
      <c r="K68" s="2366"/>
      <c r="L68" s="2366"/>
      <c r="M68" s="2366"/>
      <c r="N68" s="2366">
        <v>519327</v>
      </c>
      <c r="O68" s="2366"/>
      <c r="P68" s="2366">
        <v>555337</v>
      </c>
      <c r="Q68" s="2366"/>
      <c r="R68" s="2366">
        <f>P68+L68+J68</f>
        <v>555337</v>
      </c>
    </row>
    <row r="69" spans="1:18" s="2273" customFormat="1" ht="32.25" customHeight="1">
      <c r="A69" s="2278"/>
      <c r="B69" s="2278"/>
      <c r="C69" s="2279"/>
      <c r="D69" s="2274" t="s">
        <v>2184</v>
      </c>
      <c r="E69" s="2272">
        <f>23481+58702</f>
        <v>82183</v>
      </c>
      <c r="F69" s="2272"/>
      <c r="G69" s="2272" t="e">
        <f>#REF!+24206</f>
        <v>#REF!</v>
      </c>
      <c r="H69" s="2280"/>
      <c r="I69" s="2270"/>
      <c r="J69" s="2366"/>
      <c r="K69" s="2366"/>
      <c r="L69" s="2366"/>
      <c r="M69" s="2366"/>
      <c r="N69" s="2366">
        <v>253850</v>
      </c>
      <c r="O69" s="2366"/>
      <c r="P69" s="2366">
        <v>261105</v>
      </c>
      <c r="Q69" s="2366"/>
      <c r="R69" s="2366">
        <f t="shared" ref="R69:R75" si="0">P69+L69+J69</f>
        <v>261105</v>
      </c>
    </row>
    <row r="70" spans="1:18" s="2273" customFormat="1" ht="32.25" customHeight="1">
      <c r="A70" s="2278"/>
      <c r="B70" s="2278"/>
      <c r="C70" s="2279"/>
      <c r="D70" s="2274" t="s">
        <v>2245</v>
      </c>
      <c r="E70" s="2272">
        <v>0</v>
      </c>
      <c r="F70" s="2272"/>
      <c r="G70" s="2272" t="e">
        <f>#REF!+E70+#REF!+#REF!</f>
        <v>#REF!</v>
      </c>
      <c r="H70" s="2280"/>
      <c r="I70" s="2270"/>
      <c r="J70" s="2366"/>
      <c r="K70" s="2366"/>
      <c r="L70" s="2366"/>
      <c r="M70" s="2366"/>
      <c r="N70" s="2366"/>
      <c r="O70" s="2366"/>
      <c r="P70" s="2366">
        <v>0</v>
      </c>
      <c r="Q70" s="2366"/>
      <c r="R70" s="2366">
        <f t="shared" si="0"/>
        <v>0</v>
      </c>
    </row>
    <row r="71" spans="1:18" s="2273" customFormat="1" ht="32.25" customHeight="1">
      <c r="A71" s="2278"/>
      <c r="B71" s="2278"/>
      <c r="C71" s="2279"/>
      <c r="D71" s="2274" t="s">
        <v>2246</v>
      </c>
      <c r="E71" s="2272">
        <v>13443</v>
      </c>
      <c r="F71" s="2272"/>
      <c r="G71" s="2272" t="e">
        <f>#REF!+#REF!+#REF!</f>
        <v>#REF!</v>
      </c>
      <c r="H71" s="2280"/>
      <c r="I71" s="2270"/>
      <c r="J71" s="2366"/>
      <c r="K71" s="2365"/>
      <c r="L71" s="2366"/>
      <c r="M71" s="2365"/>
      <c r="N71" s="2366"/>
      <c r="O71" s="2365"/>
      <c r="P71" s="2366"/>
      <c r="Q71" s="2366"/>
      <c r="R71" s="2366">
        <f t="shared" si="0"/>
        <v>0</v>
      </c>
    </row>
    <row r="72" spans="1:18" s="2273" customFormat="1" ht="32.25" customHeight="1">
      <c r="A72" s="2278"/>
      <c r="B72" s="2278"/>
      <c r="C72" s="2279"/>
      <c r="D72" s="2274" t="s">
        <v>2247</v>
      </c>
      <c r="E72" s="2272">
        <v>0</v>
      </c>
      <c r="F72" s="2272"/>
      <c r="G72" s="2272" t="e">
        <f>#REF!+E72+#REF!+#REF!</f>
        <v>#REF!</v>
      </c>
      <c r="H72" s="2280"/>
      <c r="I72" s="2270"/>
      <c r="J72" s="2366"/>
      <c r="K72" s="2375"/>
      <c r="L72" s="2366"/>
      <c r="M72" s="2375"/>
      <c r="N72" s="2366"/>
      <c r="O72" s="2375"/>
      <c r="P72" s="2366"/>
      <c r="Q72" s="2366"/>
      <c r="R72" s="2366">
        <f t="shared" si="0"/>
        <v>0</v>
      </c>
    </row>
    <row r="73" spans="1:18" s="2273" customFormat="1" ht="32.25" customHeight="1">
      <c r="A73" s="2278"/>
      <c r="B73" s="2278"/>
      <c r="C73" s="2279"/>
      <c r="D73" s="2274" t="s">
        <v>2248</v>
      </c>
      <c r="E73" s="2272">
        <v>0</v>
      </c>
      <c r="F73" s="2272"/>
      <c r="G73" s="2272" t="e">
        <f>#REF!+E73+#REF!+#REF!</f>
        <v>#REF!</v>
      </c>
      <c r="H73" s="2281"/>
      <c r="I73" s="2270"/>
      <c r="J73" s="2366"/>
      <c r="K73" s="2375"/>
      <c r="L73" s="2366"/>
      <c r="M73" s="2375"/>
      <c r="N73" s="2366"/>
      <c r="O73" s="2375"/>
      <c r="P73" s="2366"/>
      <c r="Q73" s="2365"/>
      <c r="R73" s="2366">
        <f t="shared" si="0"/>
        <v>0</v>
      </c>
    </row>
    <row r="74" spans="1:18" s="2273" customFormat="1" ht="32.25" customHeight="1">
      <c r="A74" s="2278"/>
      <c r="B74" s="2278"/>
      <c r="C74" s="2279"/>
      <c r="D74" s="2274" t="s">
        <v>2250</v>
      </c>
      <c r="E74" s="2272">
        <v>0</v>
      </c>
      <c r="F74" s="2272"/>
      <c r="G74" s="2272" t="e">
        <f>#REF!+E74+#REF!+#REF!</f>
        <v>#REF!</v>
      </c>
      <c r="H74" s="2280"/>
      <c r="I74" s="2270"/>
      <c r="J74" s="2366"/>
      <c r="K74" s="2375"/>
      <c r="L74" s="2366"/>
      <c r="M74" s="2375"/>
      <c r="N74" s="2366"/>
      <c r="O74" s="2375"/>
      <c r="P74" s="2366">
        <v>167649</v>
      </c>
      <c r="Q74" s="2366"/>
      <c r="R74" s="2366">
        <f t="shared" si="0"/>
        <v>167649</v>
      </c>
    </row>
    <row r="75" spans="1:18" s="2273" customFormat="1" ht="32.25" customHeight="1">
      <c r="A75" s="2278"/>
      <c r="B75" s="2278"/>
      <c r="C75" s="2279"/>
      <c r="D75" s="2274" t="s">
        <v>1775</v>
      </c>
      <c r="E75" s="2282">
        <v>0</v>
      </c>
      <c r="F75" s="2272"/>
      <c r="G75" s="2282" t="e">
        <f>#REF!+E75+#REF!+#REF!</f>
        <v>#REF!</v>
      </c>
      <c r="H75" s="2280"/>
      <c r="I75" s="2270"/>
      <c r="J75" s="2376">
        <v>673470</v>
      </c>
      <c r="K75" s="2375"/>
      <c r="L75" s="2376">
        <v>793851</v>
      </c>
      <c r="M75" s="2375"/>
      <c r="N75" s="2376"/>
      <c r="O75" s="2375"/>
      <c r="P75" s="2376">
        <f>514168+712672</f>
        <v>1226840</v>
      </c>
      <c r="Q75" s="2377"/>
      <c r="R75" s="2376">
        <f t="shared" si="0"/>
        <v>2694161</v>
      </c>
    </row>
    <row r="76" spans="1:18" s="2273" customFormat="1" ht="35.25" customHeight="1">
      <c r="A76" s="2278">
        <v>1008</v>
      </c>
      <c r="B76" s="2267"/>
      <c r="C76" s="2279"/>
      <c r="D76" s="2274"/>
      <c r="E76" s="2277" t="e">
        <f>SUM(E68:E75)</f>
        <v>#REF!</v>
      </c>
      <c r="F76" s="2272"/>
      <c r="G76" s="2276">
        <f>-SUMIF('1402'!$B$4:$B$590,$A76,'1402'!$W$4:$W$590)</f>
        <v>7711104</v>
      </c>
      <c r="H76" s="2270"/>
      <c r="I76" s="2270"/>
      <c r="J76" s="2378">
        <f>SUM(J68:J75)</f>
        <v>673470</v>
      </c>
      <c r="K76" s="2379"/>
      <c r="L76" s="2378">
        <f>SUM(L68:L75)</f>
        <v>793851</v>
      </c>
      <c r="M76" s="2379"/>
      <c r="N76" s="2378">
        <f>SUM(N68:N75)</f>
        <v>773177</v>
      </c>
      <c r="O76" s="2379"/>
      <c r="P76" s="2372">
        <f>SUM(P68:P75)</f>
        <v>2210931</v>
      </c>
      <c r="Q76" s="2366">
        <f>SUM(Q68:Q75)</f>
        <v>0</v>
      </c>
      <c r="R76" s="2372">
        <f>SUM(R68:R75)</f>
        <v>3678252</v>
      </c>
    </row>
    <row r="77" spans="1:18" s="2273" customFormat="1" ht="51.75" customHeight="1">
      <c r="A77" s="2278"/>
      <c r="B77" s="2267"/>
      <c r="C77" s="2279"/>
      <c r="D77" s="2274"/>
      <c r="E77" s="2272"/>
      <c r="F77" s="2272"/>
      <c r="G77" s="2271"/>
      <c r="H77" s="2270"/>
      <c r="I77" s="2270"/>
      <c r="J77" s="2379"/>
      <c r="K77" s="2379"/>
      <c r="L77" s="2379"/>
      <c r="M77" s="2379"/>
      <c r="N77" s="2379"/>
      <c r="O77" s="2379"/>
      <c r="P77" s="2366"/>
      <c r="Q77" s="2366"/>
      <c r="R77" s="2366"/>
    </row>
    <row r="78" spans="1:18" s="2273" customFormat="1" ht="78.75" customHeight="1">
      <c r="A78" s="2267"/>
      <c r="B78" s="2289"/>
      <c r="C78" s="2290" t="s">
        <v>2414</v>
      </c>
      <c r="D78" s="3582" t="s">
        <v>2396</v>
      </c>
      <c r="E78" s="3582"/>
      <c r="F78" s="3582"/>
      <c r="G78" s="3582"/>
      <c r="H78" s="3582"/>
      <c r="I78" s="3582"/>
      <c r="J78" s="3582"/>
      <c r="K78" s="3582"/>
      <c r="L78" s="3582"/>
      <c r="M78" s="3582"/>
      <c r="N78" s="3582"/>
      <c r="O78" s="3582"/>
      <c r="P78" s="3582"/>
      <c r="Q78" s="3582"/>
      <c r="R78" s="3582"/>
    </row>
    <row r="79" spans="1:18" s="2273" customFormat="1" ht="82.5" customHeight="1">
      <c r="A79" s="2267"/>
      <c r="B79" s="2289"/>
      <c r="C79" s="3583" t="s">
        <v>2415</v>
      </c>
      <c r="D79" s="3583"/>
      <c r="E79" s="3583"/>
      <c r="F79" s="3583"/>
      <c r="G79" s="3583"/>
      <c r="H79" s="3583"/>
      <c r="I79" s="3583"/>
      <c r="J79" s="3583"/>
      <c r="K79" s="3583"/>
      <c r="L79" s="3583"/>
      <c r="M79" s="3583"/>
      <c r="N79" s="3583"/>
      <c r="O79" s="3583"/>
      <c r="P79" s="3583"/>
      <c r="Q79" s="3583"/>
      <c r="R79" s="3583"/>
    </row>
    <row r="80" spans="1:18" s="2273" customFormat="1" ht="59.25" customHeight="1">
      <c r="A80" s="2267"/>
      <c r="B80" s="2289"/>
      <c r="C80" s="3593" t="s">
        <v>2416</v>
      </c>
      <c r="D80" s="3593"/>
      <c r="E80" s="3593"/>
      <c r="F80" s="3593"/>
      <c r="G80" s="3593"/>
      <c r="H80" s="3593"/>
      <c r="I80" s="3593"/>
      <c r="J80" s="3593"/>
      <c r="K80" s="3593"/>
      <c r="L80" s="3593"/>
      <c r="M80" s="3593"/>
      <c r="N80" s="3593"/>
      <c r="O80" s="3593"/>
      <c r="P80" s="3593"/>
      <c r="Q80" s="3593"/>
      <c r="R80" s="2380"/>
    </row>
    <row r="81" spans="1:19" s="2161" customFormat="1" ht="56.25" customHeight="1">
      <c r="A81" s="2291"/>
      <c r="B81" s="2291"/>
      <c r="C81" s="2291"/>
      <c r="D81" s="2291"/>
      <c r="E81" s="2291"/>
      <c r="F81" s="2291"/>
      <c r="G81" s="2291"/>
      <c r="H81" s="2291"/>
      <c r="I81" s="2291"/>
      <c r="J81" s="2381"/>
      <c r="K81" s="2381"/>
      <c r="L81" s="2381"/>
      <c r="M81" s="2381"/>
      <c r="N81" s="2381"/>
      <c r="O81" s="2381"/>
      <c r="P81" s="2381"/>
      <c r="Q81" s="2381"/>
      <c r="R81" s="2381"/>
      <c r="S81" s="2279"/>
    </row>
    <row r="82" spans="1:19" s="2298" customFormat="1" ht="55.5">
      <c r="A82" s="2292"/>
      <c r="B82" s="2293"/>
      <c r="C82" s="2294" t="s">
        <v>2380</v>
      </c>
      <c r="D82" s="2294"/>
      <c r="E82" s="2295"/>
      <c r="F82" s="2295"/>
      <c r="G82" s="2296"/>
      <c r="H82" s="2297"/>
      <c r="I82" s="2280"/>
      <c r="J82" s="2382"/>
      <c r="K82" s="2382"/>
      <c r="L82" s="2382"/>
      <c r="M82" s="2382"/>
      <c r="N82" s="2382"/>
      <c r="O82" s="2382"/>
      <c r="P82" s="3592" t="s">
        <v>1879</v>
      </c>
      <c r="Q82" s="3592"/>
      <c r="R82" s="3592"/>
      <c r="S82" s="2279"/>
    </row>
    <row r="83" spans="1:19" s="1952" customFormat="1" ht="69">
      <c r="A83" s="2251"/>
      <c r="B83" s="2254"/>
      <c r="C83" s="2253"/>
      <c r="D83" s="2253"/>
      <c r="E83" s="2252"/>
      <c r="F83" s="2252"/>
      <c r="G83" s="2245"/>
      <c r="H83" s="2253"/>
      <c r="I83" s="2246"/>
      <c r="J83" s="2382"/>
      <c r="K83" s="2382"/>
      <c r="L83" s="2382"/>
      <c r="M83" s="2382"/>
      <c r="N83" s="2382"/>
      <c r="O83" s="2382"/>
      <c r="P83" s="2383">
        <v>1401</v>
      </c>
      <c r="Q83" s="2384"/>
      <c r="R83" s="2364">
        <v>1400</v>
      </c>
      <c r="S83" s="476"/>
    </row>
    <row r="84" spans="1:19" s="1952" customFormat="1" ht="69">
      <c r="A84" s="2251"/>
      <c r="B84" s="2254"/>
      <c r="C84" s="2253"/>
      <c r="D84" s="2253"/>
      <c r="E84" s="2252"/>
      <c r="F84" s="2252"/>
      <c r="G84" s="2248"/>
      <c r="H84" s="2253"/>
      <c r="I84" s="2246"/>
      <c r="J84" s="2382"/>
      <c r="K84" s="2382"/>
      <c r="L84" s="2382"/>
      <c r="M84" s="2382"/>
      <c r="N84" s="2382"/>
      <c r="O84" s="2382"/>
      <c r="P84" s="2385"/>
      <c r="Q84" s="2385"/>
      <c r="R84" s="2385"/>
      <c r="S84" s="481"/>
    </row>
    <row r="85" spans="1:19" s="1952" customFormat="1" ht="55.5">
      <c r="A85" s="2285"/>
      <c r="B85" s="2299"/>
      <c r="C85" s="2300" t="s">
        <v>1207</v>
      </c>
      <c r="D85" s="2288"/>
      <c r="E85" s="2286"/>
      <c r="F85" s="2286"/>
      <c r="G85" s="2265"/>
      <c r="H85" s="2287"/>
      <c r="I85" s="2266"/>
      <c r="J85" s="2382"/>
      <c r="K85" s="2382"/>
      <c r="L85" s="2382"/>
      <c r="M85" s="2382"/>
      <c r="N85" s="2382"/>
      <c r="O85" s="2382"/>
      <c r="P85" s="2367">
        <f>R94</f>
        <v>4447274</v>
      </c>
      <c r="Q85" s="2367"/>
      <c r="R85" s="2366">
        <v>434081</v>
      </c>
      <c r="S85" s="250"/>
    </row>
    <row r="86" spans="1:19" s="1952" customFormat="1" ht="55.5">
      <c r="A86" s="2285"/>
      <c r="B86" s="2299"/>
      <c r="C86" s="2300" t="s">
        <v>1394</v>
      </c>
      <c r="D86" s="2300"/>
      <c r="E86" s="2286"/>
      <c r="F86" s="2286"/>
      <c r="G86" s="2265"/>
      <c r="H86" s="2287"/>
      <c r="I86" s="2264"/>
      <c r="J86" s="2382"/>
      <c r="K86" s="2382"/>
      <c r="L86" s="2382"/>
      <c r="M86" s="2382"/>
      <c r="N86" s="2382"/>
      <c r="O86" s="2382"/>
      <c r="P86" s="2386">
        <v>42153000</v>
      </c>
      <c r="Q86" s="2386"/>
      <c r="R86" s="2366">
        <v>28731942</v>
      </c>
      <c r="S86" s="250"/>
    </row>
    <row r="87" spans="1:19" s="1952" customFormat="1" ht="55.5">
      <c r="A87" s="2285"/>
      <c r="B87" s="2299"/>
      <c r="C87" s="2300" t="s">
        <v>2408</v>
      </c>
      <c r="D87" s="2300"/>
      <c r="E87" s="2286"/>
      <c r="F87" s="2286"/>
      <c r="G87" s="2265"/>
      <c r="H87" s="2287"/>
      <c r="I87" s="2302"/>
      <c r="J87" s="2382"/>
      <c r="K87" s="2382"/>
      <c r="L87" s="2382"/>
      <c r="M87" s="2382"/>
      <c r="N87" s="2382"/>
      <c r="O87" s="2382"/>
      <c r="P87" s="2386">
        <v>-52546498</v>
      </c>
      <c r="Q87" s="2386"/>
      <c r="R87" s="2366">
        <v>-36477900</v>
      </c>
      <c r="S87" s="250"/>
    </row>
    <row r="88" spans="1:19" s="1952" customFormat="1" ht="55.5">
      <c r="A88" s="2285"/>
      <c r="B88" s="2299"/>
      <c r="C88" s="2300" t="s">
        <v>1397</v>
      </c>
      <c r="D88" s="2300"/>
      <c r="E88" s="2286"/>
      <c r="F88" s="2286"/>
      <c r="G88" s="2265"/>
      <c r="H88" s="2287"/>
      <c r="I88" s="2303"/>
      <c r="J88" s="2382"/>
      <c r="K88" s="2382"/>
      <c r="L88" s="2382"/>
      <c r="M88" s="2382"/>
      <c r="N88" s="2382"/>
      <c r="O88" s="2382"/>
      <c r="P88" s="2367">
        <v>0</v>
      </c>
      <c r="Q88" s="2367"/>
      <c r="R88" s="2366">
        <v>761362</v>
      </c>
      <c r="S88" s="250"/>
    </row>
    <row r="89" spans="1:19" s="1952" customFormat="1" ht="55.5">
      <c r="A89" s="2285"/>
      <c r="B89" s="2299"/>
      <c r="C89" s="2300" t="s">
        <v>1413</v>
      </c>
      <c r="D89" s="2300"/>
      <c r="E89" s="2286"/>
      <c r="F89" s="2286"/>
      <c r="G89" s="2265"/>
      <c r="H89" s="2287"/>
      <c r="I89" s="2283"/>
      <c r="J89" s="2382"/>
      <c r="K89" s="2382"/>
      <c r="L89" s="2382"/>
      <c r="M89" s="2382"/>
      <c r="N89" s="2382"/>
      <c r="O89" s="2382"/>
      <c r="P89" s="2367">
        <v>-761362</v>
      </c>
      <c r="Q89" s="2367"/>
      <c r="R89" s="2366">
        <v>481901</v>
      </c>
      <c r="S89" s="250"/>
    </row>
    <row r="90" spans="1:19" s="1952" customFormat="1" ht="55.5">
      <c r="A90" s="2285"/>
      <c r="B90" s="2299"/>
      <c r="C90" s="2300" t="s">
        <v>1873</v>
      </c>
      <c r="D90" s="2300"/>
      <c r="E90" s="2286"/>
      <c r="F90" s="2286"/>
      <c r="G90" s="2265"/>
      <c r="H90" s="2287"/>
      <c r="I90" s="2304"/>
      <c r="J90" s="2382"/>
      <c r="K90" s="2382"/>
      <c r="L90" s="2382"/>
      <c r="M90" s="2382"/>
      <c r="N90" s="2382"/>
      <c r="O90" s="2382"/>
      <c r="P90" s="2367">
        <v>2144429</v>
      </c>
      <c r="Q90" s="2367"/>
      <c r="R90" s="2366">
        <v>1710256</v>
      </c>
      <c r="S90" s="250"/>
    </row>
    <row r="91" spans="1:19" s="1952" customFormat="1" ht="55.5">
      <c r="A91" s="2285"/>
      <c r="B91" s="2299"/>
      <c r="C91" s="2300" t="s">
        <v>2394</v>
      </c>
      <c r="D91" s="2300"/>
      <c r="E91" s="2286"/>
      <c r="F91" s="2286"/>
      <c r="G91" s="2265"/>
      <c r="H91" s="2287"/>
      <c r="I91" s="2305"/>
      <c r="J91" s="2382"/>
      <c r="K91" s="2382"/>
      <c r="L91" s="2382"/>
      <c r="M91" s="2382"/>
      <c r="N91" s="2382"/>
      <c r="O91" s="2382"/>
      <c r="P91" s="2367">
        <v>4856707</v>
      </c>
      <c r="Q91" s="2367"/>
      <c r="R91" s="2366">
        <v>2902859</v>
      </c>
      <c r="S91" s="250"/>
    </row>
    <row r="92" spans="1:19" s="1952" customFormat="1" ht="43.5" customHeight="1">
      <c r="A92" s="2285"/>
      <c r="B92" s="2299"/>
      <c r="C92" s="2300" t="s">
        <v>2395</v>
      </c>
      <c r="D92" s="2300"/>
      <c r="E92" s="2286"/>
      <c r="F92" s="2286"/>
      <c r="G92" s="2265"/>
      <c r="H92" s="2287"/>
      <c r="I92" s="2284"/>
      <c r="J92" s="2382"/>
      <c r="K92" s="2382"/>
      <c r="L92" s="2382"/>
      <c r="M92" s="2382"/>
      <c r="N92" s="2382"/>
      <c r="O92" s="2382"/>
      <c r="P92" s="2367">
        <v>1746009</v>
      </c>
      <c r="Q92" s="2367"/>
      <c r="R92" s="2366">
        <v>1323334</v>
      </c>
      <c r="S92" s="250"/>
    </row>
    <row r="93" spans="1:19" s="1952" customFormat="1" ht="45" customHeight="1">
      <c r="A93" s="2285"/>
      <c r="B93" s="2299"/>
      <c r="C93" s="2300" t="s">
        <v>2379</v>
      </c>
      <c r="D93" s="2300"/>
      <c r="E93" s="2286"/>
      <c r="F93" s="2286"/>
      <c r="G93" s="2265"/>
      <c r="H93" s="2287"/>
      <c r="I93" s="2284"/>
      <c r="J93" s="2382"/>
      <c r="K93" s="2382"/>
      <c r="L93" s="2382"/>
      <c r="M93" s="2382"/>
      <c r="N93" s="2382"/>
      <c r="O93" s="2382"/>
      <c r="P93" s="2367">
        <f>P94-P85-P86-P87-P88-P89-P90-P91-P92</f>
        <v>-1285918</v>
      </c>
      <c r="Q93" s="2367"/>
      <c r="R93" s="2366">
        <v>4579439</v>
      </c>
      <c r="S93" s="250"/>
    </row>
    <row r="94" spans="1:19" s="1952" customFormat="1" ht="56.25" thickBot="1">
      <c r="A94" s="2306">
        <v>10040</v>
      </c>
      <c r="B94" s="2299"/>
      <c r="C94" s="2287"/>
      <c r="D94" s="2300"/>
      <c r="E94" s="2287"/>
      <c r="F94" s="2287"/>
      <c r="G94" s="2307"/>
      <c r="H94" s="2287"/>
      <c r="I94" s="2284"/>
      <c r="J94" s="2382"/>
      <c r="K94" s="2382"/>
      <c r="L94" s="2382"/>
      <c r="M94" s="2382"/>
      <c r="N94" s="2382"/>
      <c r="O94" s="2382"/>
      <c r="P94" s="2369">
        <f>-SUMIF('1402'!$B$6:$B$590,$A94,'1402'!$W$6:$W$590)</f>
        <v>753641</v>
      </c>
      <c r="Q94" s="2370"/>
      <c r="R94" s="2369">
        <f>SUM(R85:R93)</f>
        <v>4447274</v>
      </c>
      <c r="S94" s="250"/>
    </row>
    <row r="95" spans="1:19" s="1949" customFormat="1" ht="60.75" thickTop="1">
      <c r="A95" s="2308"/>
      <c r="B95" s="2284"/>
      <c r="C95" s="2284"/>
      <c r="D95" s="2284"/>
      <c r="E95" s="2284"/>
      <c r="F95" s="2284"/>
      <c r="G95" s="2284"/>
      <c r="H95" s="2284"/>
      <c r="I95" s="2287"/>
      <c r="J95" s="2381"/>
      <c r="K95" s="2381"/>
      <c r="L95" s="2381"/>
      <c r="M95" s="2381"/>
      <c r="N95" s="2381"/>
      <c r="O95" s="2381"/>
      <c r="P95" s="2381"/>
      <c r="Q95" s="2381"/>
      <c r="R95" s="2381"/>
      <c r="S95" s="250"/>
    </row>
    <row r="96" spans="1:19" s="1952" customFormat="1" ht="87" customHeight="1">
      <c r="A96" s="2309"/>
      <c r="B96" s="2310"/>
      <c r="C96" s="3597" t="s">
        <v>2422</v>
      </c>
      <c r="D96" s="3597"/>
      <c r="E96" s="3597"/>
      <c r="F96" s="3597"/>
      <c r="G96" s="3597"/>
      <c r="H96" s="3597"/>
      <c r="I96" s="3597"/>
      <c r="J96" s="3597"/>
      <c r="K96" s="3597"/>
      <c r="L96" s="3597"/>
      <c r="M96" s="3597"/>
      <c r="N96" s="3597"/>
      <c r="O96" s="3597"/>
      <c r="P96" s="3597"/>
      <c r="Q96" s="3597"/>
      <c r="R96" s="3597"/>
      <c r="S96" s="482"/>
    </row>
    <row r="97" spans="1:19" s="1949" customFormat="1" ht="55.5">
      <c r="A97" s="2285"/>
      <c r="B97" s="2260"/>
      <c r="C97" s="2311" t="s">
        <v>2417</v>
      </c>
      <c r="D97" s="2311"/>
      <c r="E97" s="2311"/>
      <c r="F97" s="2311"/>
      <c r="G97" s="2311"/>
      <c r="H97" s="2311"/>
      <c r="I97" s="2312"/>
      <c r="J97" s="2387"/>
      <c r="K97" s="2387"/>
      <c r="L97" s="2387"/>
      <c r="M97" s="2387"/>
      <c r="N97" s="2387"/>
      <c r="O97" s="2387"/>
      <c r="P97" s="2387"/>
      <c r="Q97" s="2387"/>
      <c r="R97" s="2388" t="s">
        <v>1879</v>
      </c>
      <c r="S97" s="250"/>
    </row>
    <row r="98" spans="1:19" s="1949" customFormat="1" ht="55.5">
      <c r="A98" s="2313"/>
      <c r="B98" s="2314"/>
      <c r="C98" s="2314"/>
      <c r="D98" s="2314"/>
      <c r="E98" s="2315"/>
      <c r="F98" s="2315"/>
      <c r="G98" s="2315"/>
      <c r="H98" s="2317"/>
      <c r="I98" s="2316"/>
      <c r="J98" s="3595">
        <v>1401</v>
      </c>
      <c r="K98" s="3595"/>
      <c r="L98" s="3595"/>
      <c r="M98" s="3595"/>
      <c r="N98" s="3595"/>
      <c r="O98" s="3595"/>
      <c r="P98" s="3595"/>
      <c r="Q98" s="2389"/>
      <c r="R98" s="2390">
        <v>1400</v>
      </c>
      <c r="S98" s="250"/>
    </row>
    <row r="99" spans="1:19" s="1949" customFormat="1" ht="64.5" customHeight="1">
      <c r="A99" s="2318"/>
      <c r="B99" s="2260"/>
      <c r="C99" s="2260"/>
      <c r="D99" s="2260"/>
      <c r="E99" s="2316"/>
      <c r="F99" s="2316"/>
      <c r="G99" s="2319"/>
      <c r="H99" s="2316"/>
      <c r="I99" s="2260"/>
      <c r="J99" s="2391" t="s">
        <v>1395</v>
      </c>
      <c r="K99" s="2391"/>
      <c r="L99" s="2392" t="s">
        <v>1271</v>
      </c>
      <c r="M99" s="2391"/>
      <c r="N99" s="2391" t="s">
        <v>1285</v>
      </c>
      <c r="O99" s="2391"/>
      <c r="P99" s="2392" t="s">
        <v>1287</v>
      </c>
      <c r="Q99" s="2393"/>
      <c r="R99" s="2394" t="s">
        <v>1724</v>
      </c>
      <c r="S99" s="250"/>
    </row>
    <row r="100" spans="1:19" s="1949" customFormat="1" ht="55.5" hidden="1">
      <c r="A100" s="2318"/>
      <c r="B100" s="2321"/>
      <c r="C100" s="2322" t="s">
        <v>1429</v>
      </c>
      <c r="D100" s="2322"/>
      <c r="E100" s="2324"/>
      <c r="F100" s="2324"/>
      <c r="G100" s="2323"/>
      <c r="H100" s="2323"/>
      <c r="I100" s="2260"/>
      <c r="J100" s="2395"/>
      <c r="K100" s="2395"/>
      <c r="L100" s="2395"/>
      <c r="M100" s="2395"/>
      <c r="N100" s="2395"/>
      <c r="O100" s="2395"/>
      <c r="P100" s="2395" t="e">
        <f>#REF!+G100+J100</f>
        <v>#REF!</v>
      </c>
      <c r="Q100" s="2395"/>
      <c r="R100" s="2395">
        <v>0</v>
      </c>
      <c r="S100" s="250"/>
    </row>
    <row r="101" spans="1:19" s="1949" customFormat="1" ht="55.5" hidden="1">
      <c r="A101" s="2318"/>
      <c r="B101" s="2321"/>
      <c r="C101" s="2322" t="s">
        <v>1430</v>
      </c>
      <c r="D101" s="2322"/>
      <c r="E101" s="2324"/>
      <c r="F101" s="2324"/>
      <c r="G101" s="2323"/>
      <c r="H101" s="2323"/>
      <c r="I101" s="2325"/>
      <c r="J101" s="2395"/>
      <c r="K101" s="2395"/>
      <c r="L101" s="2395"/>
      <c r="M101" s="2395"/>
      <c r="N101" s="2395"/>
      <c r="O101" s="2395"/>
      <c r="P101" s="2395" t="e">
        <f>#REF!+G101+J101</f>
        <v>#REF!</v>
      </c>
      <c r="Q101" s="2395"/>
      <c r="R101" s="2395">
        <v>0</v>
      </c>
      <c r="S101" s="250"/>
    </row>
    <row r="102" spans="1:19" s="1949" customFormat="1" ht="55.5" hidden="1">
      <c r="A102" s="2318"/>
      <c r="B102" s="2321"/>
      <c r="C102" s="2322" t="s">
        <v>1431</v>
      </c>
      <c r="D102" s="2322"/>
      <c r="E102" s="2324"/>
      <c r="F102" s="2324"/>
      <c r="G102" s="2323"/>
      <c r="H102" s="2323"/>
      <c r="I102" s="2260"/>
      <c r="J102" s="2395"/>
      <c r="K102" s="2395"/>
      <c r="L102" s="2395"/>
      <c r="M102" s="2395"/>
      <c r="N102" s="2395"/>
      <c r="O102" s="2395"/>
      <c r="P102" s="2395" t="e">
        <f>#REF!+G102+J102</f>
        <v>#REF!</v>
      </c>
      <c r="Q102" s="2395"/>
      <c r="R102" s="2395">
        <v>0</v>
      </c>
      <c r="S102" s="250"/>
    </row>
    <row r="103" spans="1:19" s="1949" customFormat="1" ht="55.5">
      <c r="A103" s="2318"/>
      <c r="B103" s="2321"/>
      <c r="C103" s="2322" t="s">
        <v>2370</v>
      </c>
      <c r="D103" s="2322"/>
      <c r="E103" s="2324"/>
      <c r="F103" s="2324"/>
      <c r="G103" s="2323"/>
      <c r="H103" s="2323"/>
      <c r="I103" s="2316"/>
      <c r="J103" s="2395">
        <v>0</v>
      </c>
      <c r="K103" s="2395"/>
      <c r="L103" s="2395">
        <v>1239811</v>
      </c>
      <c r="M103" s="2395"/>
      <c r="N103" s="2395">
        <v>0</v>
      </c>
      <c r="O103" s="2395"/>
      <c r="P103" s="2395">
        <f>N103+L103+J103</f>
        <v>1239811</v>
      </c>
      <c r="Q103" s="2395"/>
      <c r="R103" s="2395">
        <v>0</v>
      </c>
      <c r="S103" s="250"/>
    </row>
    <row r="104" spans="1:19" s="1949" customFormat="1" ht="55.5">
      <c r="A104" s="2318"/>
      <c r="B104" s="2321"/>
      <c r="C104" s="2260" t="s">
        <v>2381</v>
      </c>
      <c r="D104" s="2322"/>
      <c r="E104" s="2324"/>
      <c r="F104" s="2324"/>
      <c r="G104" s="2323"/>
      <c r="H104" s="2323"/>
      <c r="I104" s="2316"/>
      <c r="J104" s="2395">
        <v>429628</v>
      </c>
      <c r="K104" s="2395"/>
      <c r="L104" s="2395">
        <v>381609</v>
      </c>
      <c r="M104" s="2395"/>
      <c r="N104" s="2395">
        <v>-429628</v>
      </c>
      <c r="O104" s="2395"/>
      <c r="P104" s="2395">
        <f>N104+L104+J104</f>
        <v>381609</v>
      </c>
      <c r="Q104" s="2395"/>
      <c r="R104" s="2395">
        <v>429628</v>
      </c>
      <c r="S104" s="250"/>
    </row>
    <row r="105" spans="1:19" s="1949" customFormat="1" ht="55.5">
      <c r="A105" s="2318"/>
      <c r="B105" s="2321"/>
      <c r="C105" s="2326" t="s">
        <v>2313</v>
      </c>
      <c r="D105" s="2326"/>
      <c r="E105" s="2324"/>
      <c r="F105" s="2324"/>
      <c r="G105" s="2323"/>
      <c r="H105" s="2323"/>
      <c r="I105" s="2260"/>
      <c r="J105" s="2395">
        <v>0</v>
      </c>
      <c r="K105" s="2395"/>
      <c r="L105" s="2395">
        <v>69756</v>
      </c>
      <c r="M105" s="2395"/>
      <c r="N105" s="2395">
        <v>0</v>
      </c>
      <c r="O105" s="2395"/>
      <c r="P105" s="2395">
        <f>N105+L105+J105</f>
        <v>69756</v>
      </c>
      <c r="Q105" s="2395"/>
      <c r="R105" s="2395">
        <v>0</v>
      </c>
      <c r="S105" s="250"/>
    </row>
    <row r="106" spans="1:19" s="1949" customFormat="1" ht="55.5">
      <c r="A106" s="2318"/>
      <c r="B106" s="2321"/>
      <c r="C106" s="2326" t="s">
        <v>2423</v>
      </c>
      <c r="D106" s="2326"/>
      <c r="E106" s="2324"/>
      <c r="F106" s="2324"/>
      <c r="G106" s="2323"/>
      <c r="H106" s="2323"/>
      <c r="I106" s="2260"/>
      <c r="J106" s="2395">
        <v>24850</v>
      </c>
      <c r="K106" s="2395"/>
      <c r="L106" s="2395">
        <v>0</v>
      </c>
      <c r="M106" s="2395"/>
      <c r="N106" s="2395">
        <v>0</v>
      </c>
      <c r="O106" s="2395"/>
      <c r="P106" s="2395"/>
      <c r="Q106" s="2395"/>
      <c r="R106" s="2395">
        <v>24850</v>
      </c>
      <c r="S106" s="250"/>
    </row>
    <row r="107" spans="1:19" s="1949" customFormat="1" ht="55.5">
      <c r="A107" s="2318"/>
      <c r="B107" s="2321"/>
      <c r="C107" s="2322" t="s">
        <v>673</v>
      </c>
      <c r="D107" s="2322"/>
      <c r="E107" s="2324"/>
      <c r="F107" s="2324"/>
      <c r="G107" s="2323"/>
      <c r="H107" s="2323"/>
      <c r="I107" s="2260"/>
      <c r="J107" s="2395">
        <v>520</v>
      </c>
      <c r="K107" s="2395"/>
      <c r="L107" s="2395">
        <v>0</v>
      </c>
      <c r="M107" s="2395"/>
      <c r="N107" s="2395">
        <v>-520</v>
      </c>
      <c r="O107" s="2395"/>
      <c r="P107" s="2395">
        <f>N107+L107+J107</f>
        <v>0</v>
      </c>
      <c r="Q107" s="2395"/>
      <c r="R107" s="2395">
        <v>520</v>
      </c>
      <c r="S107" s="250"/>
    </row>
    <row r="108" spans="1:19" s="1949" customFormat="1" ht="56.25" thickBot="1">
      <c r="A108" s="2318">
        <v>1012</v>
      </c>
      <c r="B108" s="2260"/>
      <c r="C108" s="2260"/>
      <c r="D108" s="2260"/>
      <c r="E108" s="2327"/>
      <c r="F108" s="2327"/>
      <c r="G108" s="2327"/>
      <c r="H108" s="2327"/>
      <c r="I108" s="2328"/>
      <c r="J108" s="2396">
        <f>SUM(J100:J107)</f>
        <v>454998</v>
      </c>
      <c r="K108" s="2396"/>
      <c r="L108" s="2396">
        <f>SUM(L103:L107)</f>
        <v>1691176</v>
      </c>
      <c r="M108" s="2396"/>
      <c r="N108" s="2396">
        <f>SUM(N103:N107)</f>
        <v>-430148</v>
      </c>
      <c r="O108" s="2396"/>
      <c r="P108" s="2396">
        <f>-SUMIF('1402'!$B$6:$B$590,$A108,'1402'!$W$6:$W$590)</f>
        <v>1306919</v>
      </c>
      <c r="Q108" s="2397"/>
      <c r="R108" s="2396">
        <f>SUM(R100:R107)</f>
        <v>454998</v>
      </c>
      <c r="S108" s="250"/>
    </row>
    <row r="109" spans="1:19" s="1949" customFormat="1" ht="66.75" customHeight="1" thickTop="1">
      <c r="A109" s="2330"/>
      <c r="B109" s="2331"/>
      <c r="C109" s="2311" t="s">
        <v>2420</v>
      </c>
      <c r="D109" s="2260" t="s">
        <v>2421</v>
      </c>
      <c r="E109" s="2260"/>
      <c r="F109" s="2260"/>
      <c r="G109" s="2260"/>
      <c r="H109" s="2260"/>
      <c r="I109" s="2287"/>
      <c r="J109" s="2398"/>
      <c r="K109" s="2398"/>
      <c r="L109" s="2398"/>
      <c r="M109" s="2398"/>
      <c r="N109" s="2398"/>
      <c r="O109" s="2398"/>
      <c r="P109" s="2398"/>
      <c r="Q109" s="2398"/>
      <c r="R109" s="2398"/>
      <c r="S109" s="250"/>
    </row>
    <row r="110" spans="1:19" s="1949" customFormat="1" ht="37.5" hidden="1" customHeight="1">
      <c r="A110" s="2330"/>
      <c r="B110" s="2330"/>
      <c r="C110" s="2332"/>
      <c r="D110" s="2332"/>
      <c r="E110" s="2332"/>
      <c r="F110" s="2332"/>
      <c r="G110" s="2332"/>
      <c r="H110" s="2332"/>
      <c r="I110" s="2287"/>
      <c r="J110" s="2399"/>
      <c r="K110" s="2399"/>
      <c r="L110" s="2399"/>
      <c r="M110" s="2399"/>
      <c r="N110" s="2399"/>
      <c r="O110" s="2399"/>
      <c r="P110" s="2399"/>
      <c r="Q110" s="2399"/>
      <c r="R110" s="2399"/>
      <c r="S110" s="250"/>
    </row>
    <row r="111" spans="1:19" s="1949" customFormat="1" ht="55.5">
      <c r="A111" s="2330"/>
      <c r="B111" s="2330"/>
      <c r="C111" s="2332"/>
      <c r="D111" s="2332"/>
      <c r="E111" s="2332"/>
      <c r="F111" s="2332"/>
      <c r="G111" s="2332"/>
      <c r="H111" s="2332"/>
      <c r="I111" s="2287"/>
      <c r="J111" s="2399"/>
      <c r="K111" s="2399"/>
      <c r="L111" s="2399"/>
      <c r="M111" s="2399"/>
      <c r="N111" s="2399"/>
      <c r="O111" s="2399"/>
      <c r="P111" s="2399"/>
      <c r="Q111" s="2399"/>
      <c r="R111" s="2399"/>
      <c r="S111" s="250"/>
    </row>
    <row r="112" spans="1:19" s="1949" customFormat="1" ht="55.5">
      <c r="A112" s="2330"/>
      <c r="B112" s="563"/>
      <c r="C112" s="2311" t="s">
        <v>2418</v>
      </c>
      <c r="D112" s="2333" t="s">
        <v>2053</v>
      </c>
      <c r="E112" s="2260"/>
      <c r="F112" s="2260"/>
      <c r="G112" s="2334"/>
      <c r="H112" s="2333"/>
      <c r="I112" s="2287"/>
      <c r="J112" s="2400"/>
      <c r="K112" s="2400"/>
      <c r="L112" s="2400"/>
      <c r="M112" s="2400"/>
      <c r="N112" s="2400"/>
      <c r="O112" s="2400"/>
      <c r="P112" s="2400"/>
      <c r="Q112" s="2400"/>
      <c r="R112" s="2400"/>
      <c r="S112" s="451"/>
    </row>
    <row r="113" spans="1:19" s="1949" customFormat="1" ht="55.5">
      <c r="A113" s="2330"/>
      <c r="B113" s="563"/>
      <c r="C113" s="2311"/>
      <c r="D113" s="2333"/>
      <c r="E113" s="2260"/>
      <c r="F113" s="2260"/>
      <c r="G113" s="2334"/>
      <c r="H113" s="2333"/>
      <c r="I113" s="2287"/>
      <c r="J113" s="2400"/>
      <c r="K113" s="2400"/>
      <c r="L113" s="2400"/>
      <c r="M113" s="2400"/>
      <c r="N113" s="2400"/>
      <c r="O113" s="2400"/>
      <c r="P113" s="2388"/>
      <c r="Q113" s="2388"/>
      <c r="R113" s="2388" t="s">
        <v>1879</v>
      </c>
      <c r="S113" s="250"/>
    </row>
    <row r="114" spans="1:19" s="1949" customFormat="1" ht="55.5">
      <c r="A114" s="2330"/>
      <c r="B114" s="563"/>
      <c r="C114" s="563"/>
      <c r="D114" s="2260"/>
      <c r="E114" s="2335"/>
      <c r="F114" s="2335"/>
      <c r="G114" s="2312"/>
      <c r="H114" s="2312"/>
      <c r="I114" s="2287"/>
      <c r="J114" s="2401"/>
      <c r="K114" s="2401"/>
      <c r="L114" s="3584">
        <v>1401</v>
      </c>
      <c r="M114" s="3584"/>
      <c r="N114" s="3584"/>
      <c r="O114" s="3584"/>
      <c r="P114" s="3584"/>
      <c r="Q114" s="2401"/>
      <c r="R114" s="2390">
        <v>1400</v>
      </c>
      <c r="S114" s="250"/>
    </row>
    <row r="115" spans="1:19" s="1949" customFormat="1" ht="55.5">
      <c r="A115" s="2330"/>
      <c r="B115" s="563"/>
      <c r="C115" s="563"/>
      <c r="D115" s="2334"/>
      <c r="E115" s="2333"/>
      <c r="F115" s="2333"/>
      <c r="G115" s="2336"/>
      <c r="H115" s="2337"/>
      <c r="I115" s="2287"/>
      <c r="J115" s="2402"/>
      <c r="K115" s="2403"/>
      <c r="L115" s="2403" t="s">
        <v>2106</v>
      </c>
      <c r="M115" s="2403"/>
      <c r="N115" s="2403" t="s">
        <v>2107</v>
      </c>
      <c r="O115" s="2403"/>
      <c r="P115" s="2404" t="s">
        <v>2109</v>
      </c>
      <c r="Q115" s="2405"/>
      <c r="R115" s="2404" t="s">
        <v>2109</v>
      </c>
      <c r="S115" s="1277" t="e">
        <f>#REF!-#REF!</f>
        <v>#REF!</v>
      </c>
    </row>
    <row r="116" spans="1:19" s="1949" customFormat="1" ht="55.5">
      <c r="A116" s="2330"/>
      <c r="B116" s="563"/>
      <c r="C116" s="563"/>
      <c r="D116" s="2338" t="s">
        <v>1725</v>
      </c>
      <c r="E116" s="2339"/>
      <c r="F116" s="2339"/>
      <c r="G116" s="2340"/>
      <c r="H116" s="2339"/>
      <c r="I116" s="2287"/>
      <c r="J116" s="2406"/>
      <c r="K116" s="2406"/>
      <c r="L116" s="2406">
        <v>1077978</v>
      </c>
      <c r="M116" s="2406"/>
      <c r="N116" s="2406">
        <v>0</v>
      </c>
      <c r="O116" s="2406"/>
      <c r="P116" s="2406">
        <f>R119</f>
        <v>1077978</v>
      </c>
      <c r="Q116" s="2406"/>
      <c r="R116" s="2406">
        <v>1042604</v>
      </c>
      <c r="S116" s="250" t="s">
        <v>1946</v>
      </c>
    </row>
    <row r="117" spans="1:19" s="1949" customFormat="1" ht="55.5">
      <c r="A117" s="2330"/>
      <c r="B117" s="563"/>
      <c r="C117" s="563"/>
      <c r="D117" s="2338" t="s">
        <v>2108</v>
      </c>
      <c r="E117" s="2339"/>
      <c r="F117" s="2339"/>
      <c r="G117" s="2340"/>
      <c r="H117" s="2339"/>
      <c r="I117" s="2287"/>
      <c r="J117" s="2406"/>
      <c r="K117" s="2406"/>
      <c r="L117" s="2406">
        <v>-4848887</v>
      </c>
      <c r="M117" s="2406"/>
      <c r="N117" s="2406">
        <v>0</v>
      </c>
      <c r="O117" s="2406"/>
      <c r="P117" s="2406">
        <f>L117</f>
        <v>-4848887</v>
      </c>
      <c r="Q117" s="2406"/>
      <c r="R117" s="2406">
        <v>-2094980</v>
      </c>
      <c r="S117" s="1277" t="e">
        <f>#REF!+P40+P34</f>
        <v>#REF!</v>
      </c>
    </row>
    <row r="118" spans="1:19" s="1949" customFormat="1" ht="55.5">
      <c r="A118" s="2330"/>
      <c r="B118" s="563"/>
      <c r="C118" s="563"/>
      <c r="D118" s="2338" t="s">
        <v>1161</v>
      </c>
      <c r="E118" s="2339"/>
      <c r="F118" s="2339"/>
      <c r="G118" s="2340"/>
      <c r="H118" s="2341"/>
      <c r="I118" s="2287"/>
      <c r="J118" s="2406"/>
      <c r="K118" s="2407"/>
      <c r="L118" s="2407">
        <v>5031535</v>
      </c>
      <c r="M118" s="2407"/>
      <c r="N118" s="2407">
        <v>0</v>
      </c>
      <c r="O118" s="2407"/>
      <c r="P118" s="2407">
        <f>L118</f>
        <v>5031535</v>
      </c>
      <c r="Q118" s="2406"/>
      <c r="R118" s="2406">
        <v>2130354</v>
      </c>
      <c r="S118" s="482"/>
    </row>
    <row r="119" spans="1:19" s="1949" customFormat="1" ht="55.5">
      <c r="A119" s="2330"/>
      <c r="B119" s="563"/>
      <c r="C119" s="563"/>
      <c r="D119" s="2338"/>
      <c r="E119" s="2339"/>
      <c r="F119" s="2339"/>
      <c r="G119" s="2340"/>
      <c r="H119" s="2339"/>
      <c r="I119" s="2287"/>
      <c r="J119" s="2406"/>
      <c r="K119" s="2406"/>
      <c r="L119" s="2406">
        <f>SUM(L116:L118)</f>
        <v>1260626</v>
      </c>
      <c r="M119" s="2406"/>
      <c r="N119" s="2406">
        <f>SUM(N116:N118)</f>
        <v>0</v>
      </c>
      <c r="O119" s="2406"/>
      <c r="P119" s="2408">
        <f>SUM(P116:P118)</f>
        <v>1260626</v>
      </c>
      <c r="Q119" s="2408"/>
      <c r="R119" s="2409">
        <f>SUM(R116:R118)</f>
        <v>1077978</v>
      </c>
      <c r="S119" s="250"/>
    </row>
    <row r="120" spans="1:19" s="1949" customFormat="1" ht="55.5">
      <c r="A120" s="2330">
        <v>1004</v>
      </c>
      <c r="B120" s="2330">
        <v>1004</v>
      </c>
      <c r="C120" s="563"/>
      <c r="D120" s="2338" t="s">
        <v>1926</v>
      </c>
      <c r="E120" s="2339"/>
      <c r="F120" s="2339"/>
      <c r="G120" s="2342"/>
      <c r="H120" s="2341"/>
      <c r="I120" s="2284"/>
      <c r="J120" s="2410"/>
      <c r="K120" s="2411"/>
      <c r="L120" s="2411">
        <v>-847135</v>
      </c>
      <c r="M120" s="2411"/>
      <c r="N120" s="2411">
        <v>0</v>
      </c>
      <c r="O120" s="2411"/>
      <c r="P120" s="2412">
        <f>SUMIF('1402'!$B$4:$B$590,$A120,'1402'!$W$4:$W$590)</f>
        <v>-34706550</v>
      </c>
      <c r="Q120" s="2408"/>
      <c r="R120" s="2408">
        <v>-751216</v>
      </c>
      <c r="S120" s="250"/>
    </row>
    <row r="121" spans="1:19" s="1949" customFormat="1" ht="56.25" thickBot="1">
      <c r="A121" s="2330"/>
      <c r="B121" s="2330">
        <v>1020</v>
      </c>
      <c r="C121" s="563"/>
      <c r="D121" s="2338"/>
      <c r="E121" s="2339"/>
      <c r="F121" s="2339"/>
      <c r="G121" s="2342"/>
      <c r="H121" s="2343"/>
      <c r="I121" s="2344"/>
      <c r="J121" s="2410"/>
      <c r="K121" s="2413"/>
      <c r="L121" s="2413">
        <f>SUM(L119:L120)</f>
        <v>413491</v>
      </c>
      <c r="M121" s="2413"/>
      <c r="N121" s="2413">
        <v>0</v>
      </c>
      <c r="O121" s="2413"/>
      <c r="P121" s="2414">
        <f>P119+P120</f>
        <v>-33445924</v>
      </c>
      <c r="Q121" s="2408"/>
      <c r="R121" s="2414">
        <f>SUM(R119:R120)</f>
        <v>326762</v>
      </c>
      <c r="S121" s="250"/>
    </row>
    <row r="122" spans="1:19" s="1949" customFormat="1" ht="56.25" thickTop="1">
      <c r="A122" s="2330"/>
      <c r="B122" s="2330"/>
      <c r="C122" s="563"/>
      <c r="D122" s="2338"/>
      <c r="E122" s="2339"/>
      <c r="F122" s="2339"/>
      <c r="G122" s="2316"/>
      <c r="H122" s="2339"/>
      <c r="I122" s="2260"/>
      <c r="J122" s="2415"/>
      <c r="K122" s="2415"/>
      <c r="L122" s="2415"/>
      <c r="M122" s="2415"/>
      <c r="N122" s="2415"/>
      <c r="O122" s="2415"/>
      <c r="P122" s="2408"/>
      <c r="Q122" s="2408"/>
      <c r="R122" s="2408"/>
      <c r="S122" s="250"/>
    </row>
    <row r="123" spans="1:19" s="1949" customFormat="1" ht="55.5">
      <c r="A123" s="2330"/>
      <c r="B123" s="2330"/>
      <c r="C123" s="563"/>
      <c r="D123" s="2338"/>
      <c r="E123" s="2339"/>
      <c r="F123" s="2339"/>
      <c r="G123" s="2260"/>
      <c r="H123" s="2339"/>
      <c r="I123" s="2332"/>
      <c r="J123" s="2415"/>
      <c r="K123" s="2415"/>
      <c r="L123" s="2415"/>
      <c r="M123" s="2415"/>
      <c r="N123" s="2415"/>
      <c r="O123" s="2415"/>
      <c r="P123" s="2408"/>
      <c r="Q123" s="2408"/>
      <c r="R123" s="2408"/>
      <c r="S123" s="1942"/>
    </row>
    <row r="124" spans="1:19" s="1949" customFormat="1" ht="55.5">
      <c r="A124" s="2330"/>
      <c r="B124" s="2330"/>
      <c r="C124" s="563"/>
      <c r="D124" s="2338"/>
      <c r="E124" s="2339"/>
      <c r="F124" s="2339"/>
      <c r="G124" s="2260"/>
      <c r="H124" s="2339"/>
      <c r="I124" s="2332"/>
      <c r="J124" s="2415"/>
      <c r="K124" s="2415"/>
      <c r="L124" s="2415"/>
      <c r="M124" s="2415"/>
      <c r="N124" s="2415"/>
      <c r="O124" s="2415"/>
      <c r="P124" s="2408"/>
      <c r="Q124" s="2408"/>
      <c r="R124" s="2408"/>
      <c r="S124" s="250"/>
    </row>
    <row r="125" spans="1:19" s="1949" customFormat="1" ht="117" customHeight="1">
      <c r="A125" s="2330"/>
      <c r="B125" s="2330"/>
      <c r="C125" s="2345" t="s">
        <v>2419</v>
      </c>
      <c r="D125" s="3588" t="s">
        <v>2413</v>
      </c>
      <c r="E125" s="3588"/>
      <c r="F125" s="3588"/>
      <c r="G125" s="3588"/>
      <c r="H125" s="3588"/>
      <c r="I125" s="3588"/>
      <c r="J125" s="3588"/>
      <c r="K125" s="3588"/>
      <c r="L125" s="3588"/>
      <c r="M125" s="3588"/>
      <c r="N125" s="3588"/>
      <c r="O125" s="3588"/>
      <c r="P125" s="3588"/>
      <c r="Q125" s="3588"/>
      <c r="R125" s="3588"/>
      <c r="S125" s="250"/>
    </row>
    <row r="126" spans="1:19" s="1949" customFormat="1" ht="60">
      <c r="A126" s="2346"/>
      <c r="B126" s="1212"/>
      <c r="C126" s="2347"/>
      <c r="D126" s="1212"/>
      <c r="E126" s="1212"/>
      <c r="F126" s="1212"/>
      <c r="G126" s="1212"/>
      <c r="H126" s="1212"/>
      <c r="I126" s="2333"/>
      <c r="J126" s="2416"/>
      <c r="K126" s="2416"/>
      <c r="L126" s="2416"/>
      <c r="M126" s="2416"/>
      <c r="N126" s="2416"/>
      <c r="O126" s="2416"/>
      <c r="P126" s="2416"/>
      <c r="Q126" s="2416"/>
      <c r="R126" s="2416"/>
      <c r="S126" s="250"/>
    </row>
    <row r="127" spans="1:19" s="1949" customFormat="1" ht="55.5" hidden="1">
      <c r="A127" s="2318"/>
      <c r="B127" s="2301"/>
      <c r="C127" s="2260"/>
      <c r="D127" s="2260"/>
      <c r="E127" s="2348"/>
      <c r="F127" s="2348"/>
      <c r="G127" s="2348"/>
      <c r="H127" s="2348"/>
      <c r="I127" s="1212"/>
      <c r="J127" s="2417"/>
      <c r="K127" s="2417"/>
      <c r="L127" s="2417"/>
      <c r="M127" s="2417"/>
      <c r="N127" s="2417"/>
      <c r="O127" s="2417"/>
      <c r="P127" s="2417"/>
      <c r="Q127" s="2417"/>
      <c r="R127" s="2417"/>
      <c r="S127" s="250"/>
    </row>
    <row r="128" spans="1:19" s="1949" customFormat="1" ht="55.5" hidden="1">
      <c r="A128" s="2330"/>
      <c r="B128" s="2330"/>
      <c r="C128" s="3591"/>
      <c r="D128" s="3591"/>
      <c r="E128" s="2349"/>
      <c r="F128" s="2349"/>
      <c r="G128" s="2349"/>
      <c r="H128" s="2328"/>
      <c r="I128" s="2311"/>
      <c r="J128" s="2368"/>
      <c r="K128" s="2368"/>
      <c r="L128" s="2368"/>
      <c r="M128" s="2368"/>
      <c r="N128" s="2368"/>
      <c r="O128" s="2368"/>
      <c r="P128" s="2418"/>
      <c r="Q128" s="2419"/>
      <c r="R128" s="2390"/>
      <c r="S128" s="250"/>
    </row>
    <row r="129" spans="1:16361" s="1949" customFormat="1" ht="55.5" hidden="1">
      <c r="A129" s="2330"/>
      <c r="B129" s="2260"/>
      <c r="C129" s="563"/>
      <c r="D129" s="2260"/>
      <c r="E129" s="2316"/>
      <c r="F129" s="2316"/>
      <c r="G129" s="2316"/>
      <c r="H129" s="2260"/>
      <c r="I129" s="2317"/>
      <c r="J129" s="2398"/>
      <c r="K129" s="2398"/>
      <c r="L129" s="2398"/>
      <c r="M129" s="2398"/>
      <c r="N129" s="2398"/>
      <c r="O129" s="2398"/>
      <c r="P129" s="2420"/>
      <c r="Q129" s="2420"/>
      <c r="R129" s="2420"/>
      <c r="S129" s="250"/>
    </row>
    <row r="130" spans="1:16361" s="1949" customFormat="1" ht="409.5" hidden="1">
      <c r="A130" s="2306"/>
      <c r="B130" s="2260"/>
      <c r="C130" s="2350"/>
      <c r="D130" s="2351" t="s">
        <v>344</v>
      </c>
      <c r="E130" s="2352"/>
      <c r="F130" s="2352"/>
      <c r="G130" s="2352"/>
      <c r="H130" s="2350"/>
      <c r="I130" s="2320" t="s">
        <v>1286</v>
      </c>
      <c r="J130" s="2421"/>
      <c r="K130" s="2421"/>
      <c r="L130" s="2421"/>
      <c r="M130" s="2421"/>
      <c r="N130" s="2421"/>
      <c r="O130" s="2421"/>
      <c r="P130" s="2422"/>
      <c r="Q130" s="2422"/>
      <c r="R130" s="2422"/>
      <c r="S130" s="250"/>
    </row>
    <row r="131" spans="1:16361" s="1949" customFormat="1" ht="55.5" hidden="1">
      <c r="A131" s="2330"/>
      <c r="B131" s="2260"/>
      <c r="C131" s="2350"/>
      <c r="D131" s="2351" t="s">
        <v>1634</v>
      </c>
      <c r="E131" s="2352"/>
      <c r="F131" s="2352"/>
      <c r="G131" s="2352"/>
      <c r="H131" s="2350"/>
      <c r="I131" s="2323"/>
      <c r="J131" s="2421"/>
      <c r="K131" s="2421"/>
      <c r="L131" s="2421"/>
      <c r="M131" s="2421"/>
      <c r="N131" s="2421"/>
      <c r="O131" s="2421"/>
      <c r="P131" s="2422"/>
      <c r="Q131" s="2422"/>
      <c r="R131" s="2422"/>
      <c r="S131" s="250"/>
    </row>
    <row r="132" spans="1:16361" s="1949" customFormat="1" ht="55.5" hidden="1">
      <c r="A132" s="2330"/>
      <c r="B132" s="2260"/>
      <c r="C132" s="2350"/>
      <c r="D132" s="2351" t="s">
        <v>156</v>
      </c>
      <c r="E132" s="2352"/>
      <c r="F132" s="2352"/>
      <c r="G132" s="2352"/>
      <c r="H132" s="2350"/>
      <c r="I132" s="2323"/>
      <c r="J132" s="2421"/>
      <c r="K132" s="2421"/>
      <c r="L132" s="2421"/>
      <c r="M132" s="2421"/>
      <c r="N132" s="2421"/>
      <c r="O132" s="2421"/>
      <c r="P132" s="2422"/>
      <c r="Q132" s="2422"/>
      <c r="R132" s="2422"/>
      <c r="S132" s="250"/>
    </row>
    <row r="133" spans="1:16361" s="1949" customFormat="1" ht="55.5" hidden="1">
      <c r="A133" s="2330"/>
      <c r="B133" s="2260"/>
      <c r="C133" s="2350"/>
      <c r="D133" s="2351" t="s">
        <v>1633</v>
      </c>
      <c r="E133" s="2352"/>
      <c r="F133" s="2352"/>
      <c r="G133" s="2352"/>
      <c r="H133" s="2350"/>
      <c r="I133" s="2323"/>
      <c r="J133" s="2421"/>
      <c r="K133" s="2421"/>
      <c r="L133" s="2421"/>
      <c r="M133" s="2421"/>
      <c r="N133" s="2421"/>
      <c r="O133" s="2421"/>
      <c r="P133" s="2422"/>
      <c r="Q133" s="2422"/>
      <c r="R133" s="2422"/>
      <c r="S133" s="250"/>
    </row>
    <row r="134" spans="1:16361" s="1949" customFormat="1" ht="55.5" hidden="1">
      <c r="A134" s="2330"/>
      <c r="B134" s="2260"/>
      <c r="C134" s="2350"/>
      <c r="D134" s="2351" t="s">
        <v>1930</v>
      </c>
      <c r="E134" s="2352"/>
      <c r="F134" s="2352"/>
      <c r="G134" s="2352"/>
      <c r="H134" s="2350"/>
      <c r="I134" s="2323"/>
      <c r="J134" s="2421"/>
      <c r="K134" s="2421"/>
      <c r="L134" s="2421"/>
      <c r="M134" s="2421"/>
      <c r="N134" s="2421"/>
      <c r="O134" s="2421"/>
      <c r="P134" s="2422"/>
      <c r="Q134" s="2422"/>
      <c r="R134" s="2422"/>
      <c r="S134" s="250"/>
    </row>
    <row r="135" spans="1:16361" s="1949" customFormat="1" ht="55.5" hidden="1">
      <c r="A135" s="2330"/>
      <c r="B135" s="2260"/>
      <c r="C135" s="2350"/>
      <c r="D135" s="2351" t="s">
        <v>1594</v>
      </c>
      <c r="E135" s="2352"/>
      <c r="F135" s="2352"/>
      <c r="G135" s="2352"/>
      <c r="H135" s="2350"/>
      <c r="I135" s="2323"/>
      <c r="J135" s="2421"/>
      <c r="K135" s="2421"/>
      <c r="L135" s="2421"/>
      <c r="M135" s="2421"/>
      <c r="N135" s="2421"/>
      <c r="O135" s="2421"/>
      <c r="P135" s="2422"/>
      <c r="Q135" s="2422"/>
      <c r="R135" s="2422"/>
      <c r="S135" s="250"/>
    </row>
    <row r="136" spans="1:16361" s="1949" customFormat="1" ht="55.5" hidden="1">
      <c r="A136" s="2330"/>
      <c r="B136" s="2260"/>
      <c r="C136" s="2350"/>
      <c r="D136" s="2351" t="s">
        <v>1635</v>
      </c>
      <c r="E136" s="2352"/>
      <c r="F136" s="2352"/>
      <c r="G136" s="2352"/>
      <c r="H136" s="2350"/>
      <c r="I136" s="2323"/>
      <c r="J136" s="2421"/>
      <c r="K136" s="2421"/>
      <c r="L136" s="2421"/>
      <c r="M136" s="2421"/>
      <c r="N136" s="2421"/>
      <c r="O136" s="2421"/>
      <c r="P136" s="2422"/>
      <c r="Q136" s="2422"/>
      <c r="R136" s="2422"/>
      <c r="S136" s="250"/>
    </row>
    <row r="137" spans="1:16361" s="1949" customFormat="1" ht="55.5" hidden="1">
      <c r="A137" s="2330"/>
      <c r="B137" s="2260"/>
      <c r="C137" s="2350"/>
      <c r="D137" s="2351" t="s">
        <v>1875</v>
      </c>
      <c r="E137" s="2352"/>
      <c r="F137" s="2352"/>
      <c r="G137" s="2352"/>
      <c r="H137" s="2350"/>
      <c r="I137" s="2323"/>
      <c r="J137" s="2421"/>
      <c r="K137" s="2421"/>
      <c r="L137" s="2421"/>
      <c r="M137" s="2421"/>
      <c r="N137" s="2421"/>
      <c r="O137" s="2421"/>
      <c r="P137" s="2422"/>
      <c r="Q137" s="2422"/>
      <c r="R137" s="2422"/>
      <c r="S137" s="250"/>
    </row>
    <row r="138" spans="1:16361" s="1949" customFormat="1" ht="55.5" hidden="1">
      <c r="A138" s="2330"/>
      <c r="B138" s="2260"/>
      <c r="C138" s="2350"/>
      <c r="D138" s="2351" t="s">
        <v>1776</v>
      </c>
      <c r="E138" s="2352"/>
      <c r="F138" s="2352"/>
      <c r="G138" s="2352"/>
      <c r="H138" s="2350"/>
      <c r="I138" s="2323"/>
      <c r="J138" s="2421"/>
      <c r="K138" s="2421"/>
      <c r="L138" s="2421"/>
      <c r="M138" s="2421"/>
      <c r="N138" s="2421"/>
      <c r="O138" s="2421"/>
      <c r="P138" s="2422"/>
      <c r="Q138" s="2422"/>
      <c r="R138" s="2422"/>
      <c r="S138" s="250"/>
    </row>
    <row r="139" spans="1:16361" s="1949" customFormat="1" ht="56.25" hidden="1" thickBot="1">
      <c r="A139" s="2330"/>
      <c r="B139" s="2330"/>
      <c r="C139" s="2351"/>
      <c r="D139" s="2351" t="s">
        <v>528</v>
      </c>
      <c r="E139" s="2353"/>
      <c r="F139" s="2353"/>
      <c r="G139" s="2354"/>
      <c r="H139" s="2354"/>
      <c r="I139" s="2329">
        <f>SUM(I131:I138)</f>
        <v>0</v>
      </c>
      <c r="J139" s="2423"/>
      <c r="K139" s="2423"/>
      <c r="L139" s="2423"/>
      <c r="M139" s="2423"/>
      <c r="N139" s="2423"/>
      <c r="O139" s="2423"/>
      <c r="P139" s="2422"/>
      <c r="Q139" s="2422"/>
      <c r="R139" s="2424">
        <v>0</v>
      </c>
      <c r="S139" s="250"/>
    </row>
    <row r="140" spans="1:16361" s="1949" customFormat="1" ht="56.25" hidden="1" thickBot="1">
      <c r="A140" s="2330"/>
      <c r="B140" s="2328"/>
      <c r="C140" s="2328"/>
      <c r="D140" s="2328"/>
      <c r="E140" s="2349"/>
      <c r="F140" s="2349"/>
      <c r="G140" s="2349"/>
      <c r="H140" s="2328"/>
      <c r="I140" s="2348"/>
      <c r="J140" s="2368"/>
      <c r="K140" s="2368"/>
      <c r="L140" s="2368"/>
      <c r="M140" s="2368"/>
      <c r="N140" s="2368"/>
      <c r="O140" s="2368"/>
      <c r="P140" s="2425">
        <f>SUM(P130:P139)</f>
        <v>0</v>
      </c>
      <c r="Q140" s="2426"/>
      <c r="R140" s="2425">
        <f>SUM(R130:R139)</f>
        <v>0</v>
      </c>
      <c r="S140" s="250"/>
    </row>
    <row r="141" spans="1:16361" s="1949" customFormat="1" ht="55.5" hidden="1">
      <c r="A141" s="2330"/>
      <c r="B141" s="2328"/>
      <c r="C141" s="2328"/>
      <c r="D141" s="2328"/>
      <c r="E141" s="2349"/>
      <c r="F141" s="2349"/>
      <c r="G141" s="2349"/>
      <c r="H141" s="2328"/>
      <c r="I141" s="2260"/>
      <c r="J141" s="2368"/>
      <c r="K141" s="2368"/>
      <c r="L141" s="2368"/>
      <c r="M141" s="2368"/>
      <c r="N141" s="2368"/>
      <c r="O141" s="2368"/>
      <c r="P141" s="2377"/>
      <c r="Q141" s="2377"/>
      <c r="R141" s="2377"/>
      <c r="S141" s="250"/>
    </row>
    <row r="142" spans="1:16361" s="1949" customFormat="1" ht="25.5" customHeight="1">
      <c r="A142" s="2330"/>
      <c r="B142" s="2260"/>
      <c r="C142" s="2345"/>
      <c r="D142" s="2355"/>
      <c r="E142" s="2356"/>
      <c r="F142" s="2356"/>
      <c r="G142" s="2356"/>
      <c r="H142" s="2355"/>
      <c r="I142" s="2260"/>
      <c r="J142" s="2427"/>
      <c r="K142" s="2427"/>
      <c r="L142" s="2427"/>
      <c r="M142" s="2427"/>
      <c r="N142" s="2427"/>
      <c r="O142" s="2427"/>
      <c r="P142" s="2427"/>
      <c r="Q142" s="2427"/>
      <c r="R142" s="2427"/>
      <c r="S142" s="250"/>
    </row>
    <row r="143" spans="1:16361" s="1949" customFormat="1" ht="54" customHeight="1">
      <c r="A143" s="3596">
        <v>24</v>
      </c>
      <c r="B143" s="3596"/>
      <c r="C143" s="3596"/>
      <c r="D143" s="3596"/>
      <c r="E143" s="3596"/>
      <c r="F143" s="3596"/>
      <c r="G143" s="3596"/>
      <c r="H143" s="3596"/>
      <c r="I143" s="3596"/>
      <c r="J143" s="3596"/>
      <c r="K143" s="3596"/>
      <c r="L143" s="3596"/>
      <c r="M143" s="3596"/>
      <c r="N143" s="3596"/>
      <c r="O143" s="3596"/>
      <c r="P143" s="3596"/>
      <c r="Q143" s="3596"/>
      <c r="R143" s="3596"/>
      <c r="S143" s="250"/>
      <c r="T143" s="3579"/>
      <c r="U143" s="3579"/>
      <c r="V143" s="3579"/>
      <c r="W143" s="3579"/>
      <c r="X143" s="3579"/>
      <c r="Y143" s="3579"/>
      <c r="Z143" s="3579"/>
      <c r="AA143" s="3579"/>
      <c r="AB143" s="3579"/>
      <c r="AC143" s="3579"/>
      <c r="AD143" s="3579"/>
      <c r="AE143" s="3579"/>
      <c r="AF143" s="3579"/>
      <c r="AG143" s="3579"/>
      <c r="AH143" s="3579"/>
      <c r="AI143" s="3579"/>
      <c r="AJ143" s="3579"/>
      <c r="AK143" s="3579"/>
      <c r="AL143" s="3579"/>
      <c r="AM143" s="3579"/>
      <c r="AN143" s="3579"/>
      <c r="AO143" s="3579"/>
      <c r="AP143" s="3579"/>
      <c r="AQ143" s="3579"/>
      <c r="AR143" s="3579"/>
      <c r="AS143" s="3579"/>
      <c r="AT143" s="3579"/>
      <c r="AU143" s="3579"/>
      <c r="AV143" s="3579"/>
      <c r="AW143" s="3579"/>
      <c r="AX143" s="3579"/>
      <c r="AY143" s="3579"/>
      <c r="AZ143" s="3579"/>
      <c r="BA143" s="3579"/>
      <c r="BB143" s="3579"/>
      <c r="BC143" s="3579"/>
      <c r="BD143" s="3579"/>
      <c r="BE143" s="3579"/>
      <c r="BF143" s="3579"/>
      <c r="BG143" s="3579"/>
      <c r="BH143" s="3579"/>
      <c r="BI143" s="3579"/>
      <c r="BJ143" s="3579"/>
      <c r="BK143" s="3579"/>
      <c r="BL143" s="3579"/>
      <c r="BM143" s="3579"/>
      <c r="BN143" s="3579"/>
      <c r="BO143" s="3579"/>
      <c r="BP143" s="3579"/>
      <c r="BQ143" s="3579"/>
      <c r="BR143" s="3579"/>
      <c r="BS143" s="3579"/>
      <c r="BT143" s="3579"/>
      <c r="BU143" s="3579"/>
      <c r="BV143" s="3579"/>
      <c r="BW143" s="3579"/>
      <c r="BX143" s="3579"/>
      <c r="BY143" s="3579"/>
      <c r="BZ143" s="3579"/>
      <c r="CA143" s="3579"/>
      <c r="CB143" s="3579"/>
      <c r="CC143" s="3579"/>
      <c r="CD143" s="3579"/>
      <c r="CE143" s="3579"/>
      <c r="CF143" s="3579"/>
      <c r="CG143" s="3579"/>
      <c r="CH143" s="3579"/>
      <c r="CI143" s="3579"/>
      <c r="CJ143" s="3579"/>
      <c r="CK143" s="3579"/>
      <c r="CL143" s="3579"/>
      <c r="CM143" s="3579"/>
      <c r="CN143" s="3579"/>
      <c r="CO143" s="3579"/>
      <c r="CP143" s="3579"/>
      <c r="CQ143" s="3579"/>
      <c r="CR143" s="3579"/>
      <c r="CS143" s="3579"/>
      <c r="CT143" s="3579"/>
      <c r="CU143" s="3579"/>
      <c r="CV143" s="3579"/>
      <c r="CW143" s="3579"/>
      <c r="CX143" s="3579"/>
      <c r="CY143" s="3579"/>
      <c r="CZ143" s="3579"/>
      <c r="DA143" s="3579"/>
      <c r="DB143" s="3579"/>
      <c r="DC143" s="3579"/>
      <c r="DD143" s="3579"/>
      <c r="DE143" s="3579"/>
      <c r="DF143" s="3579"/>
      <c r="DG143" s="3579"/>
      <c r="DH143" s="3579"/>
      <c r="DI143" s="3579"/>
      <c r="DJ143" s="3579"/>
      <c r="DK143" s="3579"/>
      <c r="DL143" s="3579"/>
      <c r="DM143" s="3579"/>
      <c r="DN143" s="3579"/>
      <c r="DO143" s="3579"/>
      <c r="DP143" s="3579"/>
      <c r="DQ143" s="3579"/>
      <c r="DR143" s="3579"/>
      <c r="DS143" s="3579"/>
      <c r="DT143" s="3579"/>
      <c r="DU143" s="3579"/>
      <c r="DV143" s="3579"/>
      <c r="DW143" s="3579"/>
      <c r="DX143" s="3579"/>
      <c r="DY143" s="3579"/>
      <c r="DZ143" s="3579"/>
      <c r="EA143" s="3579"/>
      <c r="EB143" s="3579"/>
      <c r="EC143" s="3579"/>
      <c r="ED143" s="3579"/>
      <c r="EE143" s="3579"/>
      <c r="EF143" s="3579"/>
      <c r="EG143" s="3579"/>
      <c r="EH143" s="3579"/>
      <c r="EI143" s="3579"/>
      <c r="EJ143" s="3579"/>
      <c r="EK143" s="3579"/>
      <c r="EL143" s="3579"/>
      <c r="EM143" s="3579"/>
      <c r="EN143" s="3579"/>
      <c r="EO143" s="3579"/>
      <c r="EP143" s="3579"/>
      <c r="EQ143" s="3579"/>
      <c r="ER143" s="3579"/>
      <c r="ES143" s="3579"/>
      <c r="ET143" s="3579"/>
      <c r="EU143" s="3579"/>
      <c r="EV143" s="3579"/>
      <c r="EW143" s="3579"/>
      <c r="EX143" s="3579"/>
      <c r="EY143" s="3579"/>
      <c r="EZ143" s="3579"/>
      <c r="FA143" s="3579"/>
      <c r="FB143" s="3579"/>
      <c r="FC143" s="3579"/>
      <c r="FD143" s="3579"/>
      <c r="FE143" s="3579"/>
      <c r="FF143" s="3579"/>
      <c r="FG143" s="3579"/>
      <c r="FH143" s="3579"/>
      <c r="FI143" s="3579"/>
      <c r="FJ143" s="3579"/>
      <c r="FK143" s="3579"/>
      <c r="FL143" s="3579"/>
      <c r="FM143" s="3579"/>
      <c r="FN143" s="3579"/>
      <c r="FO143" s="3579"/>
      <c r="FP143" s="3579"/>
      <c r="FQ143" s="3579"/>
      <c r="FR143" s="3579"/>
      <c r="FS143" s="3579"/>
      <c r="FT143" s="3579"/>
      <c r="FU143" s="3579"/>
      <c r="FV143" s="3579"/>
      <c r="FW143" s="3579"/>
      <c r="FX143" s="3579"/>
      <c r="FY143" s="3579"/>
      <c r="FZ143" s="3579"/>
      <c r="GA143" s="3579"/>
      <c r="GB143" s="3579"/>
      <c r="GC143" s="3579"/>
      <c r="GD143" s="3579"/>
      <c r="GE143" s="3579"/>
      <c r="GF143" s="3579"/>
      <c r="GG143" s="3579"/>
      <c r="GH143" s="3579"/>
      <c r="GI143" s="3579"/>
      <c r="GJ143" s="3579"/>
      <c r="GK143" s="3579"/>
      <c r="GL143" s="3579"/>
      <c r="GM143" s="3579"/>
      <c r="GN143" s="3579"/>
      <c r="GO143" s="3579"/>
      <c r="GP143" s="3579"/>
      <c r="GQ143" s="3579"/>
      <c r="GR143" s="3579"/>
      <c r="GS143" s="3579"/>
      <c r="GT143" s="3579"/>
      <c r="GU143" s="3579"/>
      <c r="GV143" s="3579"/>
      <c r="GW143" s="3579"/>
      <c r="GX143" s="3579"/>
      <c r="GY143" s="3579"/>
      <c r="GZ143" s="3579"/>
      <c r="HA143" s="3579"/>
      <c r="HB143" s="3579"/>
      <c r="HC143" s="3579"/>
      <c r="HD143" s="3579"/>
      <c r="HE143" s="3579"/>
      <c r="HF143" s="3579"/>
      <c r="HG143" s="3579"/>
      <c r="HH143" s="3579"/>
      <c r="HI143" s="3579"/>
      <c r="HJ143" s="3579"/>
      <c r="HK143" s="3579"/>
      <c r="HL143" s="3579"/>
      <c r="HM143" s="3579"/>
      <c r="HN143" s="3579"/>
      <c r="HO143" s="3579"/>
      <c r="HP143" s="3579"/>
      <c r="HQ143" s="3579"/>
      <c r="HR143" s="3579"/>
      <c r="HS143" s="3579"/>
      <c r="HT143" s="3579"/>
      <c r="HU143" s="3579"/>
      <c r="HV143" s="3579"/>
      <c r="HW143" s="3579"/>
      <c r="HX143" s="3579"/>
      <c r="HY143" s="3579"/>
      <c r="HZ143" s="3579"/>
      <c r="IA143" s="3579"/>
      <c r="IB143" s="3579"/>
      <c r="IC143" s="3579"/>
      <c r="ID143" s="3579"/>
      <c r="IE143" s="3579"/>
      <c r="IF143" s="3579"/>
      <c r="IG143" s="3579"/>
      <c r="IH143" s="3579"/>
      <c r="II143" s="3579"/>
      <c r="IJ143" s="3579"/>
      <c r="IK143" s="3579"/>
      <c r="IL143" s="3579"/>
      <c r="IM143" s="3579"/>
      <c r="IN143" s="3579"/>
      <c r="IO143" s="3579"/>
      <c r="IP143" s="3579"/>
      <c r="IQ143" s="3579"/>
      <c r="IR143" s="3579"/>
      <c r="IS143" s="3579"/>
      <c r="IT143" s="3579"/>
      <c r="IU143" s="3579"/>
      <c r="IV143" s="3579"/>
      <c r="IW143" s="3579"/>
      <c r="IX143" s="3579"/>
      <c r="IY143" s="3579"/>
      <c r="IZ143" s="3579"/>
      <c r="JA143" s="3579"/>
      <c r="JB143" s="3579"/>
      <c r="JC143" s="3579"/>
      <c r="JD143" s="3579"/>
      <c r="JE143" s="3579"/>
      <c r="JF143" s="3579"/>
      <c r="JG143" s="3579"/>
      <c r="JH143" s="3579"/>
      <c r="JI143" s="3579"/>
      <c r="JJ143" s="3579"/>
      <c r="JK143" s="3579"/>
      <c r="JL143" s="3579"/>
      <c r="JM143" s="3579"/>
      <c r="JN143" s="3579"/>
      <c r="JO143" s="3579"/>
      <c r="JP143" s="3579"/>
      <c r="JQ143" s="3579"/>
      <c r="JR143" s="3579"/>
      <c r="JS143" s="3579"/>
      <c r="JT143" s="3579"/>
      <c r="JU143" s="3579"/>
      <c r="JV143" s="3579"/>
      <c r="JW143" s="3579"/>
      <c r="JX143" s="3579"/>
      <c r="JY143" s="3579"/>
      <c r="JZ143" s="3579"/>
      <c r="KA143" s="3579"/>
      <c r="KB143" s="3579"/>
      <c r="KC143" s="3579"/>
      <c r="KD143" s="3579"/>
      <c r="KE143" s="3579"/>
      <c r="KF143" s="3579"/>
      <c r="KG143" s="3579"/>
      <c r="KH143" s="3579"/>
      <c r="KI143" s="3579"/>
      <c r="KJ143" s="3579"/>
      <c r="KK143" s="3579"/>
      <c r="KL143" s="3579"/>
      <c r="KM143" s="3579"/>
      <c r="KN143" s="3579"/>
      <c r="KO143" s="3579"/>
      <c r="KP143" s="3579"/>
      <c r="KQ143" s="3579"/>
      <c r="KR143" s="3579"/>
      <c r="KS143" s="3579"/>
      <c r="KT143" s="3579"/>
      <c r="KU143" s="3579"/>
      <c r="KV143" s="3579"/>
      <c r="KW143" s="3579"/>
      <c r="KX143" s="3579"/>
      <c r="KY143" s="3579"/>
      <c r="KZ143" s="3579"/>
      <c r="LA143" s="3579"/>
      <c r="LB143" s="3579"/>
      <c r="LC143" s="3579"/>
      <c r="LD143" s="3579"/>
      <c r="LE143" s="3579"/>
      <c r="LF143" s="3579"/>
      <c r="LG143" s="3579"/>
      <c r="LH143" s="3579"/>
      <c r="LI143" s="3579"/>
      <c r="LJ143" s="3579"/>
      <c r="LK143" s="3579"/>
      <c r="LL143" s="3579"/>
      <c r="LM143" s="3579"/>
      <c r="LN143" s="3579"/>
      <c r="LO143" s="3579"/>
      <c r="LP143" s="3579"/>
      <c r="LQ143" s="3579"/>
      <c r="LR143" s="3579"/>
      <c r="LS143" s="3579"/>
      <c r="LT143" s="3579"/>
      <c r="LU143" s="3579"/>
      <c r="LV143" s="3579"/>
      <c r="LW143" s="3579"/>
      <c r="LX143" s="3579"/>
      <c r="LY143" s="3579"/>
      <c r="LZ143" s="3579"/>
      <c r="MA143" s="3579"/>
      <c r="MB143" s="3579"/>
      <c r="MC143" s="3579"/>
      <c r="MD143" s="3579"/>
      <c r="ME143" s="3579"/>
      <c r="MF143" s="3579"/>
      <c r="MG143" s="3579"/>
      <c r="MH143" s="3579"/>
      <c r="MI143" s="3579"/>
      <c r="MJ143" s="3579"/>
      <c r="MK143" s="3579"/>
      <c r="ML143" s="3579"/>
      <c r="MM143" s="3579"/>
      <c r="MN143" s="3579"/>
      <c r="MO143" s="3579"/>
      <c r="MP143" s="3579"/>
      <c r="MQ143" s="3579"/>
      <c r="MR143" s="3579"/>
      <c r="MS143" s="3579"/>
      <c r="MT143" s="3579"/>
      <c r="MU143" s="3579"/>
      <c r="MV143" s="3579"/>
      <c r="MW143" s="3579"/>
      <c r="MX143" s="3579"/>
      <c r="MY143" s="3579"/>
      <c r="MZ143" s="3579"/>
      <c r="NA143" s="3579"/>
      <c r="NB143" s="3579"/>
      <c r="NC143" s="3579"/>
      <c r="ND143" s="3579"/>
      <c r="NE143" s="3579"/>
      <c r="NF143" s="3579"/>
      <c r="NG143" s="3579"/>
      <c r="NH143" s="3579"/>
      <c r="NI143" s="3579"/>
      <c r="NJ143" s="3579"/>
      <c r="NK143" s="3579"/>
      <c r="NL143" s="3579"/>
      <c r="NM143" s="3579"/>
      <c r="NN143" s="3579"/>
      <c r="NO143" s="3579"/>
      <c r="NP143" s="3579"/>
      <c r="NQ143" s="3579"/>
      <c r="NR143" s="3579"/>
      <c r="NS143" s="3579"/>
      <c r="NT143" s="3579"/>
      <c r="NU143" s="3579"/>
      <c r="NV143" s="3579"/>
      <c r="NW143" s="3579"/>
      <c r="NX143" s="3579"/>
      <c r="NY143" s="3579"/>
      <c r="NZ143" s="3579"/>
      <c r="OA143" s="3579"/>
      <c r="OB143" s="3579"/>
      <c r="OC143" s="3579"/>
      <c r="OD143" s="3579"/>
      <c r="OE143" s="3579"/>
      <c r="OF143" s="3579"/>
      <c r="OG143" s="3579"/>
      <c r="OH143" s="3579"/>
      <c r="OI143" s="3579"/>
      <c r="OJ143" s="3579"/>
      <c r="OK143" s="3579"/>
      <c r="OL143" s="3579"/>
      <c r="OM143" s="3579"/>
      <c r="ON143" s="3579"/>
      <c r="OO143" s="3579"/>
      <c r="OP143" s="3579"/>
      <c r="OQ143" s="3579"/>
      <c r="OR143" s="3579"/>
      <c r="OS143" s="3579"/>
      <c r="OT143" s="3579"/>
      <c r="OU143" s="3579"/>
      <c r="OV143" s="3579"/>
      <c r="OW143" s="3579"/>
      <c r="OX143" s="3579"/>
      <c r="OY143" s="3579"/>
      <c r="OZ143" s="3579"/>
      <c r="PA143" s="3579"/>
      <c r="PB143" s="3579"/>
      <c r="PC143" s="3579"/>
      <c r="PD143" s="3579"/>
      <c r="PE143" s="3579"/>
      <c r="PF143" s="3579"/>
      <c r="PG143" s="3579"/>
      <c r="PH143" s="3579"/>
      <c r="PI143" s="3579"/>
      <c r="PJ143" s="3579"/>
      <c r="PK143" s="3579"/>
      <c r="PL143" s="3579"/>
      <c r="PM143" s="3579"/>
      <c r="PN143" s="3579"/>
      <c r="PO143" s="3579"/>
      <c r="PP143" s="3579"/>
      <c r="PQ143" s="3579"/>
      <c r="PR143" s="3579"/>
      <c r="PS143" s="3579"/>
      <c r="PT143" s="3579"/>
      <c r="PU143" s="3579"/>
      <c r="PV143" s="3579"/>
      <c r="PW143" s="3579"/>
      <c r="PX143" s="3579"/>
      <c r="PY143" s="3579"/>
      <c r="PZ143" s="3579"/>
      <c r="QA143" s="3579"/>
      <c r="QB143" s="3579"/>
      <c r="QC143" s="3579"/>
      <c r="QD143" s="3579"/>
      <c r="QE143" s="3579"/>
      <c r="QF143" s="3579"/>
      <c r="QG143" s="3579"/>
      <c r="QH143" s="3579"/>
      <c r="QI143" s="3579"/>
      <c r="QJ143" s="3579"/>
      <c r="QK143" s="3579"/>
      <c r="QL143" s="3579"/>
      <c r="QM143" s="3579"/>
      <c r="QN143" s="3579"/>
      <c r="QO143" s="3579"/>
      <c r="QP143" s="3579"/>
      <c r="QQ143" s="3579"/>
      <c r="QR143" s="3579"/>
      <c r="QS143" s="3579"/>
      <c r="QT143" s="3579"/>
      <c r="QU143" s="3579"/>
      <c r="QV143" s="3579"/>
      <c r="QW143" s="3579"/>
      <c r="QX143" s="3579"/>
      <c r="QY143" s="3579"/>
      <c r="QZ143" s="3579"/>
      <c r="RA143" s="3579"/>
      <c r="RB143" s="3579"/>
      <c r="RC143" s="3579"/>
      <c r="RD143" s="3579"/>
      <c r="RE143" s="3579"/>
      <c r="RF143" s="3579"/>
      <c r="RG143" s="3579"/>
      <c r="RH143" s="3579"/>
      <c r="RI143" s="3579"/>
      <c r="RJ143" s="3579"/>
      <c r="RK143" s="3579"/>
      <c r="RL143" s="3579"/>
      <c r="RM143" s="3579"/>
      <c r="RN143" s="3579"/>
      <c r="RO143" s="3579"/>
      <c r="RP143" s="3579"/>
      <c r="RQ143" s="3579"/>
      <c r="RR143" s="3579"/>
      <c r="RS143" s="3579"/>
      <c r="RT143" s="3579"/>
      <c r="RU143" s="3579"/>
      <c r="RV143" s="3579"/>
      <c r="RW143" s="3579"/>
      <c r="RX143" s="3579"/>
      <c r="RY143" s="3579"/>
      <c r="RZ143" s="3579"/>
      <c r="SA143" s="3579"/>
      <c r="SB143" s="3579"/>
      <c r="SC143" s="3579"/>
      <c r="SD143" s="3579"/>
      <c r="SE143" s="3579"/>
      <c r="SF143" s="3579"/>
      <c r="SG143" s="3579"/>
      <c r="SH143" s="3579"/>
      <c r="SI143" s="3579"/>
      <c r="SJ143" s="3579"/>
      <c r="SK143" s="3579"/>
      <c r="SL143" s="3579"/>
      <c r="SM143" s="3579"/>
      <c r="SN143" s="3579"/>
      <c r="SO143" s="3579"/>
      <c r="SP143" s="3579"/>
      <c r="SQ143" s="3579"/>
      <c r="SR143" s="3579"/>
      <c r="SS143" s="3579"/>
      <c r="ST143" s="3579"/>
      <c r="SU143" s="3579"/>
      <c r="SV143" s="3579"/>
      <c r="SW143" s="3579"/>
      <c r="SX143" s="3579"/>
      <c r="SY143" s="3579"/>
      <c r="SZ143" s="3579"/>
      <c r="TA143" s="3579"/>
      <c r="TB143" s="3579"/>
      <c r="TC143" s="3579"/>
      <c r="TD143" s="3579"/>
      <c r="TE143" s="3579"/>
      <c r="TF143" s="3579"/>
      <c r="TG143" s="3579"/>
      <c r="TH143" s="3579"/>
      <c r="TI143" s="3579"/>
      <c r="TJ143" s="3579"/>
      <c r="TK143" s="3579"/>
      <c r="TL143" s="3579"/>
      <c r="TM143" s="3579"/>
      <c r="TN143" s="3579"/>
      <c r="TO143" s="3579"/>
      <c r="TP143" s="3579"/>
      <c r="TQ143" s="3579"/>
      <c r="TR143" s="3579"/>
      <c r="TS143" s="3579"/>
      <c r="TT143" s="3579"/>
      <c r="TU143" s="3579"/>
      <c r="TV143" s="3579"/>
      <c r="TW143" s="3579"/>
      <c r="TX143" s="3579"/>
      <c r="TY143" s="3579"/>
      <c r="TZ143" s="3579"/>
      <c r="UA143" s="3579"/>
      <c r="UB143" s="3579"/>
      <c r="UC143" s="3579"/>
      <c r="UD143" s="3579"/>
      <c r="UE143" s="3579"/>
      <c r="UF143" s="3579"/>
      <c r="UG143" s="3579"/>
      <c r="UH143" s="3579"/>
      <c r="UI143" s="3579"/>
      <c r="UJ143" s="3579"/>
      <c r="UK143" s="3579"/>
      <c r="UL143" s="3579"/>
      <c r="UM143" s="3579"/>
      <c r="UN143" s="3579"/>
      <c r="UO143" s="3579"/>
      <c r="UP143" s="3579"/>
      <c r="UQ143" s="3579"/>
      <c r="UR143" s="3579"/>
      <c r="US143" s="3579"/>
      <c r="UT143" s="3579"/>
      <c r="UU143" s="3579"/>
      <c r="UV143" s="3579"/>
      <c r="UW143" s="3579"/>
      <c r="UX143" s="3579"/>
      <c r="UY143" s="3579"/>
      <c r="UZ143" s="3579"/>
      <c r="VA143" s="3579"/>
      <c r="VB143" s="3579"/>
      <c r="VC143" s="3579"/>
      <c r="VD143" s="3579"/>
      <c r="VE143" s="3579"/>
      <c r="VF143" s="3579"/>
      <c r="VG143" s="3579"/>
      <c r="VH143" s="3579"/>
      <c r="VI143" s="3579"/>
      <c r="VJ143" s="3579"/>
      <c r="VK143" s="3579"/>
      <c r="VL143" s="3579"/>
      <c r="VM143" s="3579"/>
      <c r="VN143" s="3579"/>
      <c r="VO143" s="3579"/>
      <c r="VP143" s="3579"/>
      <c r="VQ143" s="3579"/>
      <c r="VR143" s="3579"/>
      <c r="VS143" s="3579"/>
      <c r="VT143" s="3579"/>
      <c r="VU143" s="3579"/>
      <c r="VV143" s="3579"/>
      <c r="VW143" s="3579"/>
      <c r="VX143" s="3579"/>
      <c r="VY143" s="3579"/>
      <c r="VZ143" s="3579"/>
      <c r="WA143" s="3579"/>
      <c r="WB143" s="3579"/>
      <c r="WC143" s="3579"/>
      <c r="WD143" s="3579"/>
      <c r="WE143" s="3579"/>
      <c r="WF143" s="3579"/>
      <c r="WG143" s="3579"/>
      <c r="WH143" s="3579"/>
      <c r="WI143" s="3579"/>
      <c r="WJ143" s="3579"/>
      <c r="WK143" s="3579"/>
      <c r="WL143" s="3579"/>
      <c r="WM143" s="3579"/>
      <c r="WN143" s="3579"/>
      <c r="WO143" s="3579"/>
      <c r="WP143" s="3579"/>
      <c r="WQ143" s="3579"/>
      <c r="WR143" s="3579"/>
      <c r="WS143" s="3579"/>
      <c r="WT143" s="3579"/>
      <c r="WU143" s="3579"/>
      <c r="WV143" s="3579"/>
      <c r="WW143" s="3579"/>
      <c r="WX143" s="3579"/>
      <c r="WY143" s="3579"/>
      <c r="WZ143" s="3579"/>
      <c r="XA143" s="3579"/>
      <c r="XB143" s="3579"/>
      <c r="XC143" s="3579"/>
      <c r="XD143" s="3579"/>
      <c r="XE143" s="3579"/>
      <c r="XF143" s="3579"/>
      <c r="XG143" s="3579"/>
      <c r="XH143" s="3579"/>
      <c r="XI143" s="3579"/>
      <c r="XJ143" s="3579"/>
      <c r="XK143" s="3579"/>
      <c r="XL143" s="3579"/>
      <c r="XM143" s="3579"/>
      <c r="XN143" s="3579"/>
      <c r="XO143" s="3579"/>
      <c r="XP143" s="3579"/>
      <c r="XQ143" s="3579"/>
      <c r="XR143" s="3579"/>
      <c r="XS143" s="3579"/>
      <c r="XT143" s="3579"/>
      <c r="XU143" s="3579"/>
      <c r="XV143" s="3579"/>
      <c r="XW143" s="3579"/>
      <c r="XX143" s="3579"/>
      <c r="XY143" s="3579"/>
      <c r="XZ143" s="3579"/>
      <c r="YA143" s="3579"/>
      <c r="YB143" s="3579"/>
      <c r="YC143" s="3579"/>
      <c r="YD143" s="3579"/>
      <c r="YE143" s="3579"/>
      <c r="YF143" s="3579"/>
      <c r="YG143" s="3579"/>
      <c r="YH143" s="3579"/>
      <c r="YI143" s="3579"/>
      <c r="YJ143" s="3579"/>
      <c r="YK143" s="3579"/>
      <c r="YL143" s="3579"/>
      <c r="YM143" s="3579"/>
      <c r="YN143" s="3579"/>
      <c r="YO143" s="3579"/>
      <c r="YP143" s="3579"/>
      <c r="YQ143" s="3579"/>
      <c r="YR143" s="3579"/>
      <c r="YS143" s="3579"/>
      <c r="YT143" s="3579"/>
      <c r="YU143" s="3579"/>
      <c r="YV143" s="3579"/>
      <c r="YW143" s="3579"/>
      <c r="YX143" s="3579"/>
      <c r="YY143" s="3579"/>
      <c r="YZ143" s="3579"/>
      <c r="ZA143" s="3579"/>
      <c r="ZB143" s="3579"/>
      <c r="ZC143" s="3579"/>
      <c r="ZD143" s="3579"/>
      <c r="ZE143" s="3579"/>
      <c r="ZF143" s="3579"/>
      <c r="ZG143" s="3579"/>
      <c r="ZH143" s="3579"/>
      <c r="ZI143" s="3579"/>
      <c r="ZJ143" s="3579"/>
      <c r="ZK143" s="3579"/>
      <c r="ZL143" s="3579"/>
      <c r="ZM143" s="3579"/>
      <c r="ZN143" s="3579"/>
      <c r="ZO143" s="3579"/>
      <c r="ZP143" s="3579"/>
      <c r="ZQ143" s="3579"/>
      <c r="ZR143" s="3579"/>
      <c r="ZS143" s="3579"/>
      <c r="ZT143" s="3579"/>
      <c r="ZU143" s="3579"/>
      <c r="ZV143" s="3579"/>
      <c r="ZW143" s="3579"/>
      <c r="ZX143" s="3579"/>
      <c r="ZY143" s="3579"/>
      <c r="ZZ143" s="3579"/>
      <c r="AAA143" s="3579"/>
      <c r="AAB143" s="3579"/>
      <c r="AAC143" s="3579"/>
      <c r="AAD143" s="3579"/>
      <c r="AAE143" s="3579"/>
      <c r="AAF143" s="3579"/>
      <c r="AAG143" s="3579"/>
      <c r="AAH143" s="3579"/>
      <c r="AAI143" s="3579"/>
      <c r="AAJ143" s="3579"/>
      <c r="AAK143" s="3579"/>
      <c r="AAL143" s="3579"/>
      <c r="AAM143" s="3579"/>
      <c r="AAN143" s="3579"/>
      <c r="AAO143" s="3579"/>
      <c r="AAP143" s="3579"/>
      <c r="AAQ143" s="3579"/>
      <c r="AAR143" s="3579"/>
      <c r="AAS143" s="3579"/>
      <c r="AAT143" s="3579"/>
      <c r="AAU143" s="3579"/>
      <c r="AAV143" s="3579"/>
      <c r="AAW143" s="3579"/>
      <c r="AAX143" s="3579"/>
      <c r="AAY143" s="3579"/>
      <c r="AAZ143" s="3579"/>
      <c r="ABA143" s="3579"/>
      <c r="ABB143" s="3579"/>
      <c r="ABC143" s="3579"/>
      <c r="ABD143" s="3579"/>
      <c r="ABE143" s="3579"/>
      <c r="ABF143" s="3579"/>
      <c r="ABG143" s="3579"/>
      <c r="ABH143" s="3579"/>
      <c r="ABI143" s="3579"/>
      <c r="ABJ143" s="3579"/>
      <c r="ABK143" s="3579"/>
      <c r="ABL143" s="3579"/>
      <c r="ABM143" s="3579"/>
      <c r="ABN143" s="3579"/>
      <c r="ABO143" s="3579"/>
      <c r="ABP143" s="3579"/>
      <c r="ABQ143" s="3579"/>
      <c r="ABR143" s="3579"/>
      <c r="ABS143" s="3579"/>
      <c r="ABT143" s="3579"/>
      <c r="ABU143" s="3579"/>
      <c r="ABV143" s="3579"/>
      <c r="ABW143" s="3579"/>
      <c r="ABX143" s="3579"/>
      <c r="ABY143" s="3579"/>
      <c r="ABZ143" s="3579"/>
      <c r="ACA143" s="3579"/>
      <c r="ACB143" s="3579"/>
      <c r="ACC143" s="3579"/>
      <c r="ACD143" s="3579"/>
      <c r="ACE143" s="3579"/>
      <c r="ACF143" s="3579"/>
      <c r="ACG143" s="3579"/>
      <c r="ACH143" s="3579"/>
      <c r="ACI143" s="3579"/>
      <c r="ACJ143" s="3579"/>
      <c r="ACK143" s="3579"/>
      <c r="ACL143" s="3579"/>
      <c r="ACM143" s="3579"/>
      <c r="ACN143" s="3579"/>
      <c r="ACO143" s="3579"/>
      <c r="ACP143" s="3579"/>
      <c r="ACQ143" s="3579"/>
      <c r="ACR143" s="3579"/>
      <c r="ACS143" s="3579"/>
      <c r="ACT143" s="3579"/>
      <c r="ACU143" s="3579"/>
      <c r="ACV143" s="3579"/>
      <c r="ACW143" s="3579"/>
      <c r="ACX143" s="3579"/>
      <c r="ACY143" s="3579"/>
      <c r="ACZ143" s="3579"/>
      <c r="ADA143" s="3579"/>
      <c r="ADB143" s="3579"/>
      <c r="ADC143" s="3579"/>
      <c r="ADD143" s="3579"/>
      <c r="ADE143" s="3579"/>
      <c r="ADF143" s="3579"/>
      <c r="ADG143" s="3579"/>
      <c r="ADH143" s="3579"/>
      <c r="ADI143" s="3579"/>
      <c r="ADJ143" s="3579"/>
      <c r="ADK143" s="3579"/>
      <c r="ADL143" s="3579"/>
      <c r="ADM143" s="3579"/>
      <c r="ADN143" s="3579"/>
      <c r="ADO143" s="3579"/>
      <c r="ADP143" s="3579"/>
      <c r="ADQ143" s="3579"/>
      <c r="ADR143" s="3579"/>
      <c r="ADS143" s="3579"/>
      <c r="ADT143" s="3579"/>
      <c r="ADU143" s="3579"/>
      <c r="ADV143" s="3579"/>
      <c r="ADW143" s="3579"/>
      <c r="ADX143" s="3579"/>
      <c r="ADY143" s="3579"/>
      <c r="ADZ143" s="3579"/>
      <c r="AEA143" s="3579"/>
      <c r="AEB143" s="3579"/>
      <c r="AEC143" s="3579"/>
      <c r="AED143" s="3579"/>
      <c r="AEE143" s="3579"/>
      <c r="AEF143" s="3579"/>
      <c r="AEG143" s="3579"/>
      <c r="AEH143" s="3579"/>
      <c r="AEI143" s="3579"/>
      <c r="AEJ143" s="3579"/>
      <c r="AEK143" s="3579"/>
      <c r="AEL143" s="3579"/>
      <c r="AEM143" s="3579"/>
      <c r="AEN143" s="3579"/>
      <c r="AEO143" s="3579"/>
      <c r="AEP143" s="3579"/>
      <c r="AEQ143" s="3579"/>
      <c r="AER143" s="3579"/>
      <c r="AES143" s="3579"/>
      <c r="AET143" s="3579"/>
      <c r="AEU143" s="3579"/>
      <c r="AEV143" s="3579"/>
      <c r="AEW143" s="3579"/>
      <c r="AEX143" s="3579"/>
      <c r="AEY143" s="3579"/>
      <c r="AEZ143" s="3579"/>
      <c r="AFA143" s="3579"/>
      <c r="AFB143" s="3579"/>
      <c r="AFC143" s="3579"/>
      <c r="AFD143" s="3579"/>
      <c r="AFE143" s="3579"/>
      <c r="AFF143" s="3579"/>
      <c r="AFG143" s="3579"/>
      <c r="AFH143" s="3579"/>
      <c r="AFI143" s="3579"/>
      <c r="AFJ143" s="3579"/>
      <c r="AFK143" s="3579"/>
      <c r="AFL143" s="3579"/>
      <c r="AFM143" s="3579"/>
      <c r="AFN143" s="3579"/>
      <c r="AFO143" s="3579"/>
      <c r="AFP143" s="3579"/>
      <c r="AFQ143" s="3579"/>
      <c r="AFR143" s="3579"/>
      <c r="AFS143" s="3579"/>
      <c r="AFT143" s="3579"/>
      <c r="AFU143" s="3579"/>
      <c r="AFV143" s="3579"/>
      <c r="AFW143" s="3579"/>
      <c r="AFX143" s="3579"/>
      <c r="AFY143" s="3579"/>
      <c r="AFZ143" s="3579"/>
      <c r="AGA143" s="3579"/>
      <c r="AGB143" s="3579"/>
      <c r="AGC143" s="3579"/>
      <c r="AGD143" s="3579"/>
      <c r="AGE143" s="3579"/>
      <c r="AGF143" s="3579"/>
      <c r="AGG143" s="3579"/>
      <c r="AGH143" s="3579"/>
      <c r="AGI143" s="3579"/>
      <c r="AGJ143" s="3579"/>
      <c r="AGK143" s="3579"/>
      <c r="AGL143" s="3579"/>
      <c r="AGM143" s="3579"/>
      <c r="AGN143" s="3579"/>
      <c r="AGO143" s="3579"/>
      <c r="AGP143" s="3579"/>
      <c r="AGQ143" s="3579"/>
      <c r="AGR143" s="3579"/>
      <c r="AGS143" s="3579"/>
      <c r="AGT143" s="3579"/>
      <c r="AGU143" s="3579"/>
      <c r="AGV143" s="3579"/>
      <c r="AGW143" s="3579"/>
      <c r="AGX143" s="3579"/>
      <c r="AGY143" s="3579"/>
      <c r="AGZ143" s="3579"/>
      <c r="AHA143" s="3579"/>
      <c r="AHB143" s="3579"/>
      <c r="AHC143" s="3579"/>
      <c r="AHD143" s="3579"/>
      <c r="AHE143" s="3579"/>
      <c r="AHF143" s="3579"/>
      <c r="AHG143" s="3579"/>
      <c r="AHH143" s="3579"/>
      <c r="AHI143" s="3579"/>
      <c r="AHJ143" s="3579"/>
      <c r="AHK143" s="3579"/>
      <c r="AHL143" s="3579"/>
      <c r="AHM143" s="3579"/>
      <c r="AHN143" s="3579"/>
      <c r="AHO143" s="3579"/>
      <c r="AHP143" s="3579"/>
      <c r="AHQ143" s="3579"/>
      <c r="AHR143" s="3579"/>
      <c r="AHS143" s="3579"/>
      <c r="AHT143" s="3579"/>
      <c r="AHU143" s="3579"/>
      <c r="AHV143" s="3579"/>
      <c r="AHW143" s="3579"/>
      <c r="AHX143" s="3579"/>
      <c r="AHY143" s="3579"/>
      <c r="AHZ143" s="3579"/>
      <c r="AIA143" s="3579"/>
      <c r="AIB143" s="3579"/>
      <c r="AIC143" s="3579"/>
      <c r="AID143" s="3579"/>
      <c r="AIE143" s="3579"/>
      <c r="AIF143" s="3579"/>
      <c r="AIG143" s="3579"/>
      <c r="AIH143" s="3579"/>
      <c r="AII143" s="3579"/>
      <c r="AIJ143" s="3579"/>
      <c r="AIK143" s="3579"/>
      <c r="AIL143" s="3579"/>
      <c r="AIM143" s="3579"/>
      <c r="AIN143" s="3579"/>
      <c r="AIO143" s="3579"/>
      <c r="AIP143" s="3579"/>
      <c r="AIQ143" s="3579"/>
      <c r="AIR143" s="3579"/>
      <c r="AIS143" s="3579"/>
      <c r="AIT143" s="3579"/>
      <c r="AIU143" s="3579"/>
      <c r="AIV143" s="3579"/>
      <c r="AIW143" s="3579"/>
      <c r="AIX143" s="3579"/>
      <c r="AIY143" s="3579"/>
      <c r="AIZ143" s="3579"/>
      <c r="AJA143" s="3579"/>
      <c r="AJB143" s="3579"/>
      <c r="AJC143" s="3579"/>
      <c r="AJD143" s="3579"/>
      <c r="AJE143" s="3579"/>
      <c r="AJF143" s="3579"/>
      <c r="AJG143" s="3579"/>
      <c r="AJH143" s="3579"/>
      <c r="AJI143" s="3579"/>
      <c r="AJJ143" s="3579"/>
      <c r="AJK143" s="3579"/>
      <c r="AJL143" s="3579"/>
      <c r="AJM143" s="3579"/>
      <c r="AJN143" s="3579"/>
      <c r="AJO143" s="3579"/>
      <c r="AJP143" s="3579"/>
      <c r="AJQ143" s="3579"/>
      <c r="AJR143" s="3579"/>
      <c r="AJS143" s="3579"/>
      <c r="AJT143" s="3579"/>
      <c r="AJU143" s="3579"/>
      <c r="AJV143" s="3579"/>
      <c r="AJW143" s="3579"/>
      <c r="AJX143" s="3579"/>
      <c r="AJY143" s="3579"/>
      <c r="AJZ143" s="3579"/>
      <c r="AKA143" s="3579"/>
      <c r="AKB143" s="3579"/>
      <c r="AKC143" s="3579"/>
      <c r="AKD143" s="3579"/>
      <c r="AKE143" s="3579"/>
      <c r="AKF143" s="3579"/>
      <c r="AKG143" s="3579"/>
      <c r="AKH143" s="3579"/>
      <c r="AKI143" s="3579"/>
      <c r="AKJ143" s="3579"/>
      <c r="AKK143" s="3579"/>
      <c r="AKL143" s="3579"/>
      <c r="AKM143" s="3579"/>
      <c r="AKN143" s="3579"/>
      <c r="AKO143" s="3579"/>
      <c r="AKP143" s="3579"/>
      <c r="AKQ143" s="3579"/>
      <c r="AKR143" s="3579"/>
      <c r="AKS143" s="3579"/>
      <c r="AKT143" s="3579"/>
      <c r="AKU143" s="3579"/>
      <c r="AKV143" s="3579"/>
      <c r="AKW143" s="3579"/>
      <c r="AKX143" s="3579"/>
      <c r="AKY143" s="3579"/>
      <c r="AKZ143" s="3579"/>
      <c r="ALA143" s="3579"/>
      <c r="ALB143" s="3579"/>
      <c r="ALC143" s="3579"/>
      <c r="ALD143" s="3579"/>
      <c r="ALE143" s="3579"/>
      <c r="ALF143" s="3579"/>
      <c r="ALG143" s="3579"/>
      <c r="ALH143" s="3579"/>
      <c r="ALI143" s="3579"/>
      <c r="ALJ143" s="3579"/>
      <c r="ALK143" s="3579"/>
      <c r="ALL143" s="3579"/>
      <c r="ALM143" s="3579"/>
      <c r="ALN143" s="3579"/>
      <c r="ALO143" s="3579"/>
      <c r="ALP143" s="3579"/>
      <c r="ALQ143" s="3579"/>
      <c r="ALR143" s="3579"/>
      <c r="ALS143" s="3579"/>
      <c r="ALT143" s="3579"/>
      <c r="ALU143" s="3579"/>
      <c r="ALV143" s="3579"/>
      <c r="ALW143" s="3579"/>
      <c r="ALX143" s="3579"/>
      <c r="ALY143" s="3579"/>
      <c r="ALZ143" s="3579"/>
      <c r="AMA143" s="3579"/>
      <c r="AMB143" s="3579"/>
      <c r="AMC143" s="3579"/>
      <c r="AMD143" s="3579"/>
      <c r="AME143" s="3579"/>
      <c r="AMF143" s="3579"/>
      <c r="AMG143" s="3579"/>
      <c r="AMH143" s="3579"/>
      <c r="AMI143" s="3579"/>
      <c r="AMJ143" s="3579"/>
      <c r="AMK143" s="3579"/>
      <c r="AML143" s="3579"/>
      <c r="AMM143" s="3579"/>
      <c r="AMN143" s="3579"/>
      <c r="AMO143" s="3579"/>
      <c r="AMP143" s="3579"/>
      <c r="AMQ143" s="3579"/>
      <c r="AMR143" s="3579"/>
      <c r="AMS143" s="3579"/>
      <c r="AMT143" s="3579"/>
      <c r="AMU143" s="3579"/>
      <c r="AMV143" s="3579"/>
      <c r="AMW143" s="3579"/>
      <c r="AMX143" s="3579"/>
      <c r="AMY143" s="3579"/>
      <c r="AMZ143" s="3579"/>
      <c r="ANA143" s="3579"/>
      <c r="ANB143" s="3579"/>
      <c r="ANC143" s="3579"/>
      <c r="AND143" s="3579"/>
      <c r="ANE143" s="3579"/>
      <c r="ANF143" s="3579"/>
      <c r="ANG143" s="3579"/>
      <c r="ANH143" s="3579"/>
      <c r="ANI143" s="3579"/>
      <c r="ANJ143" s="3579"/>
      <c r="ANK143" s="3579"/>
      <c r="ANL143" s="3579"/>
      <c r="ANM143" s="3579"/>
      <c r="ANN143" s="3579"/>
      <c r="ANO143" s="3579"/>
      <c r="ANP143" s="3579"/>
      <c r="ANQ143" s="3579"/>
      <c r="ANR143" s="3579"/>
      <c r="ANS143" s="3579"/>
      <c r="ANT143" s="3579"/>
      <c r="ANU143" s="3579"/>
      <c r="ANV143" s="3579"/>
      <c r="ANW143" s="3579"/>
      <c r="ANX143" s="3579"/>
      <c r="ANY143" s="3579"/>
      <c r="ANZ143" s="3579"/>
      <c r="AOA143" s="3579"/>
      <c r="AOB143" s="3579"/>
      <c r="AOC143" s="3579"/>
      <c r="AOD143" s="3579"/>
      <c r="AOE143" s="3579"/>
      <c r="AOF143" s="3579"/>
      <c r="AOG143" s="3579"/>
      <c r="AOH143" s="3579"/>
      <c r="AOI143" s="3579"/>
      <c r="AOJ143" s="3579"/>
      <c r="AOK143" s="3579"/>
      <c r="AOL143" s="3579"/>
      <c r="AOM143" s="3579"/>
      <c r="AON143" s="3579"/>
      <c r="AOO143" s="3579"/>
      <c r="AOP143" s="3579"/>
      <c r="AOQ143" s="3579"/>
      <c r="AOR143" s="3579"/>
      <c r="AOS143" s="3579"/>
      <c r="AOT143" s="3579"/>
      <c r="AOU143" s="3579"/>
      <c r="AOV143" s="3579"/>
      <c r="AOW143" s="3579"/>
      <c r="AOX143" s="3579"/>
      <c r="AOY143" s="3579"/>
      <c r="AOZ143" s="3579"/>
      <c r="APA143" s="3579"/>
      <c r="APB143" s="3579"/>
      <c r="APC143" s="3579"/>
      <c r="APD143" s="3579"/>
      <c r="APE143" s="3579"/>
      <c r="APF143" s="3579"/>
      <c r="APG143" s="3579"/>
      <c r="APH143" s="3579"/>
      <c r="API143" s="3579"/>
      <c r="APJ143" s="3579"/>
      <c r="APK143" s="3579"/>
      <c r="APL143" s="3579"/>
      <c r="APM143" s="3579"/>
      <c r="APN143" s="3579"/>
      <c r="APO143" s="3579"/>
      <c r="APP143" s="3579"/>
      <c r="APQ143" s="3579"/>
      <c r="APR143" s="3579"/>
      <c r="APS143" s="3579"/>
      <c r="APT143" s="3579"/>
      <c r="APU143" s="3579"/>
      <c r="APV143" s="3579"/>
      <c r="APW143" s="3579"/>
      <c r="APX143" s="3579"/>
      <c r="APY143" s="3579"/>
      <c r="APZ143" s="3579"/>
      <c r="AQA143" s="3579"/>
      <c r="AQB143" s="3579"/>
      <c r="AQC143" s="3579"/>
      <c r="AQD143" s="3579"/>
      <c r="AQE143" s="3579"/>
      <c r="AQF143" s="3579"/>
      <c r="AQG143" s="3579"/>
      <c r="AQH143" s="3579"/>
      <c r="AQI143" s="3579"/>
      <c r="AQJ143" s="3579"/>
      <c r="AQK143" s="3579"/>
      <c r="AQL143" s="3579"/>
      <c r="AQM143" s="3579"/>
      <c r="AQN143" s="3579"/>
      <c r="AQO143" s="3579"/>
      <c r="AQP143" s="3579"/>
      <c r="AQQ143" s="3579"/>
      <c r="AQR143" s="3579"/>
      <c r="AQS143" s="3579"/>
      <c r="AQT143" s="3579"/>
      <c r="AQU143" s="3579"/>
      <c r="AQV143" s="3579"/>
      <c r="AQW143" s="3579"/>
      <c r="AQX143" s="3579"/>
      <c r="AQY143" s="3579"/>
      <c r="AQZ143" s="3579"/>
      <c r="ARA143" s="3579"/>
      <c r="ARB143" s="3579"/>
      <c r="ARC143" s="3579"/>
      <c r="ARD143" s="3579"/>
      <c r="ARE143" s="3579"/>
      <c r="ARF143" s="3579"/>
      <c r="ARG143" s="3579"/>
      <c r="ARH143" s="3579"/>
      <c r="ARI143" s="3579"/>
      <c r="ARJ143" s="3579"/>
      <c r="ARK143" s="3579"/>
      <c r="ARL143" s="3579"/>
      <c r="ARM143" s="3579"/>
      <c r="ARN143" s="3579"/>
      <c r="ARO143" s="3579"/>
      <c r="ARP143" s="3579"/>
      <c r="ARQ143" s="3579"/>
      <c r="ARR143" s="3579"/>
      <c r="ARS143" s="3579"/>
      <c r="ART143" s="3579"/>
      <c r="ARU143" s="3579"/>
      <c r="ARV143" s="3579"/>
      <c r="ARW143" s="3579"/>
      <c r="ARX143" s="3579"/>
      <c r="ARY143" s="3579"/>
      <c r="ARZ143" s="3579"/>
      <c r="ASA143" s="3579"/>
      <c r="ASB143" s="3579"/>
      <c r="ASC143" s="3579"/>
      <c r="ASD143" s="3579"/>
      <c r="ASE143" s="3579"/>
      <c r="ASF143" s="3579"/>
      <c r="ASG143" s="3579"/>
      <c r="ASH143" s="3579"/>
      <c r="ASI143" s="3579"/>
      <c r="ASJ143" s="3579"/>
      <c r="ASK143" s="3579"/>
      <c r="ASL143" s="3579"/>
      <c r="ASM143" s="3579"/>
      <c r="ASN143" s="3579"/>
      <c r="ASO143" s="3579"/>
      <c r="ASP143" s="3579"/>
      <c r="ASQ143" s="3579"/>
      <c r="ASR143" s="3579"/>
      <c r="ASS143" s="3579"/>
      <c r="AST143" s="3579"/>
      <c r="ASU143" s="3579"/>
      <c r="ASV143" s="3579"/>
      <c r="ASW143" s="3579"/>
      <c r="ASX143" s="3579"/>
      <c r="ASY143" s="3579"/>
      <c r="ASZ143" s="3579"/>
      <c r="ATA143" s="3579"/>
      <c r="ATB143" s="3579"/>
      <c r="ATC143" s="3579"/>
      <c r="ATD143" s="3579"/>
      <c r="ATE143" s="3579"/>
      <c r="ATF143" s="3579"/>
      <c r="ATG143" s="3579"/>
      <c r="ATH143" s="3579"/>
      <c r="ATI143" s="3579"/>
      <c r="ATJ143" s="3579"/>
      <c r="ATK143" s="3579"/>
      <c r="ATL143" s="3579"/>
      <c r="ATM143" s="3579"/>
      <c r="ATN143" s="3579"/>
      <c r="ATO143" s="3579"/>
      <c r="ATP143" s="3579"/>
      <c r="ATQ143" s="3579"/>
      <c r="ATR143" s="3579"/>
      <c r="ATS143" s="3579"/>
      <c r="ATT143" s="3579"/>
      <c r="ATU143" s="3579"/>
      <c r="ATV143" s="3579"/>
      <c r="ATW143" s="3579"/>
      <c r="ATX143" s="3579"/>
      <c r="ATY143" s="3579"/>
      <c r="ATZ143" s="3579"/>
      <c r="AUA143" s="3579"/>
      <c r="AUB143" s="3579"/>
      <c r="AUC143" s="3579"/>
      <c r="AUD143" s="3579"/>
      <c r="AUE143" s="3579"/>
      <c r="AUF143" s="3579"/>
      <c r="AUG143" s="3579"/>
      <c r="AUH143" s="3579"/>
      <c r="AUI143" s="3579"/>
      <c r="AUJ143" s="3579"/>
      <c r="AUK143" s="3579"/>
      <c r="AUL143" s="3579"/>
      <c r="AUM143" s="3579"/>
      <c r="AUN143" s="3579"/>
      <c r="AUO143" s="3579"/>
      <c r="AUP143" s="3579"/>
      <c r="AUQ143" s="3579"/>
      <c r="AUR143" s="3579"/>
      <c r="AUS143" s="3579"/>
      <c r="AUT143" s="3579"/>
      <c r="AUU143" s="3579"/>
      <c r="AUV143" s="3579"/>
      <c r="AUW143" s="3579"/>
      <c r="AUX143" s="3579"/>
      <c r="AUY143" s="3579"/>
      <c r="AUZ143" s="3579"/>
      <c r="AVA143" s="3579"/>
      <c r="AVB143" s="3579"/>
      <c r="AVC143" s="3579"/>
      <c r="AVD143" s="3579"/>
      <c r="AVE143" s="3579"/>
      <c r="AVF143" s="3579"/>
      <c r="AVG143" s="3579"/>
      <c r="AVH143" s="3579"/>
      <c r="AVI143" s="3579"/>
      <c r="AVJ143" s="3579"/>
      <c r="AVK143" s="3579"/>
      <c r="AVL143" s="3579"/>
      <c r="AVM143" s="3579"/>
      <c r="AVN143" s="3579"/>
      <c r="AVO143" s="3579"/>
      <c r="AVP143" s="3579"/>
      <c r="AVQ143" s="3579"/>
      <c r="AVR143" s="3579"/>
      <c r="AVS143" s="3579"/>
      <c r="AVT143" s="3579"/>
      <c r="AVU143" s="3579"/>
      <c r="AVV143" s="3579"/>
      <c r="AVW143" s="3579"/>
      <c r="AVX143" s="3579"/>
      <c r="AVY143" s="3579"/>
      <c r="AVZ143" s="3579"/>
      <c r="AWA143" s="3579"/>
      <c r="AWB143" s="3579"/>
      <c r="AWC143" s="3579"/>
      <c r="AWD143" s="3579"/>
      <c r="AWE143" s="3579"/>
      <c r="AWF143" s="3579"/>
      <c r="AWG143" s="3579"/>
      <c r="AWH143" s="3579"/>
      <c r="AWI143" s="3579"/>
      <c r="AWJ143" s="3579"/>
      <c r="AWK143" s="3579"/>
      <c r="AWL143" s="3579"/>
      <c r="AWM143" s="3579"/>
      <c r="AWN143" s="3579"/>
      <c r="AWO143" s="3579"/>
      <c r="AWP143" s="3579"/>
      <c r="AWQ143" s="3579"/>
      <c r="AWR143" s="3579"/>
      <c r="AWS143" s="3579"/>
      <c r="AWT143" s="3579"/>
      <c r="AWU143" s="3579"/>
      <c r="AWV143" s="3579"/>
      <c r="AWW143" s="3579"/>
      <c r="AWX143" s="3579"/>
      <c r="AWY143" s="3579"/>
      <c r="AWZ143" s="3579"/>
      <c r="AXA143" s="3579"/>
      <c r="AXB143" s="3579"/>
      <c r="AXC143" s="3579"/>
      <c r="AXD143" s="3579"/>
      <c r="AXE143" s="3579"/>
      <c r="AXF143" s="3579"/>
      <c r="AXG143" s="3579"/>
      <c r="AXH143" s="3579"/>
      <c r="AXI143" s="3579"/>
      <c r="AXJ143" s="3579"/>
      <c r="AXK143" s="3579"/>
      <c r="AXL143" s="3579"/>
      <c r="AXM143" s="3579"/>
      <c r="AXN143" s="3579"/>
      <c r="AXO143" s="3579"/>
      <c r="AXP143" s="3579"/>
      <c r="AXQ143" s="3579"/>
      <c r="AXR143" s="3579"/>
      <c r="AXS143" s="3579"/>
      <c r="AXT143" s="3579"/>
      <c r="AXU143" s="3579"/>
      <c r="AXV143" s="3579"/>
      <c r="AXW143" s="3579"/>
      <c r="AXX143" s="3579"/>
      <c r="AXY143" s="3579"/>
      <c r="AXZ143" s="3579"/>
      <c r="AYA143" s="3579"/>
      <c r="AYB143" s="3579"/>
      <c r="AYC143" s="3579"/>
      <c r="AYD143" s="3579"/>
      <c r="AYE143" s="3579"/>
      <c r="AYF143" s="3579"/>
      <c r="AYG143" s="3579"/>
      <c r="AYH143" s="3579"/>
      <c r="AYI143" s="3579"/>
      <c r="AYJ143" s="3579"/>
      <c r="AYK143" s="3579"/>
      <c r="AYL143" s="3579"/>
      <c r="AYM143" s="3579"/>
      <c r="AYN143" s="3579"/>
      <c r="AYO143" s="3579"/>
      <c r="AYP143" s="3579"/>
      <c r="AYQ143" s="3579"/>
      <c r="AYR143" s="3579"/>
      <c r="AYS143" s="3579"/>
      <c r="AYT143" s="3579"/>
      <c r="AYU143" s="3579"/>
      <c r="AYV143" s="3579"/>
      <c r="AYW143" s="3579"/>
      <c r="AYX143" s="3579"/>
      <c r="AYY143" s="3579"/>
      <c r="AYZ143" s="3579"/>
      <c r="AZA143" s="3579"/>
      <c r="AZB143" s="3579"/>
      <c r="AZC143" s="3579"/>
      <c r="AZD143" s="3579"/>
      <c r="AZE143" s="3579"/>
      <c r="AZF143" s="3579"/>
      <c r="AZG143" s="3579"/>
      <c r="AZH143" s="3579"/>
      <c r="AZI143" s="3579"/>
      <c r="AZJ143" s="3579"/>
      <c r="AZK143" s="3579"/>
      <c r="AZL143" s="3579"/>
      <c r="AZM143" s="3579"/>
      <c r="AZN143" s="3579"/>
      <c r="AZO143" s="3579"/>
      <c r="AZP143" s="3579"/>
      <c r="AZQ143" s="3579"/>
      <c r="AZR143" s="3579"/>
      <c r="AZS143" s="3579"/>
      <c r="AZT143" s="3579"/>
      <c r="AZU143" s="3579"/>
      <c r="AZV143" s="3579"/>
      <c r="AZW143" s="3579"/>
      <c r="AZX143" s="3579"/>
      <c r="AZY143" s="3579"/>
      <c r="AZZ143" s="3579"/>
      <c r="BAA143" s="3579"/>
      <c r="BAB143" s="3579"/>
      <c r="BAC143" s="3579"/>
      <c r="BAD143" s="3579"/>
      <c r="BAE143" s="3579"/>
      <c r="BAF143" s="3579"/>
      <c r="BAG143" s="3579"/>
      <c r="BAH143" s="3579"/>
      <c r="BAI143" s="3579"/>
      <c r="BAJ143" s="3579"/>
      <c r="BAK143" s="3579"/>
      <c r="BAL143" s="3579"/>
      <c r="BAM143" s="3579"/>
      <c r="BAN143" s="3579"/>
      <c r="BAO143" s="3579"/>
      <c r="BAP143" s="3579"/>
      <c r="BAQ143" s="3579"/>
      <c r="BAR143" s="3579"/>
      <c r="BAS143" s="3579"/>
      <c r="BAT143" s="3579"/>
      <c r="BAU143" s="3579"/>
      <c r="BAV143" s="3579"/>
      <c r="BAW143" s="3579"/>
      <c r="BAX143" s="3579"/>
      <c r="BAY143" s="3579"/>
      <c r="BAZ143" s="3579"/>
      <c r="BBA143" s="3579"/>
      <c r="BBB143" s="3579"/>
      <c r="BBC143" s="3579"/>
      <c r="BBD143" s="3579"/>
      <c r="BBE143" s="3579"/>
      <c r="BBF143" s="3579"/>
      <c r="BBG143" s="3579"/>
      <c r="BBH143" s="3579"/>
      <c r="BBI143" s="3579"/>
      <c r="BBJ143" s="3579"/>
      <c r="BBK143" s="3579"/>
      <c r="BBL143" s="3579"/>
      <c r="BBM143" s="3579"/>
      <c r="BBN143" s="3579"/>
      <c r="BBO143" s="3579"/>
      <c r="BBP143" s="3579"/>
      <c r="BBQ143" s="3579"/>
      <c r="BBR143" s="3579"/>
      <c r="BBS143" s="3579"/>
      <c r="BBT143" s="3579"/>
      <c r="BBU143" s="3579"/>
      <c r="BBV143" s="3579"/>
      <c r="BBW143" s="3579"/>
      <c r="BBX143" s="3579"/>
      <c r="BBY143" s="3579"/>
      <c r="BBZ143" s="3579"/>
      <c r="BCA143" s="3579"/>
      <c r="BCB143" s="3579"/>
      <c r="BCC143" s="3579"/>
      <c r="BCD143" s="3579"/>
      <c r="BCE143" s="3579"/>
      <c r="BCF143" s="3579"/>
      <c r="BCG143" s="3579"/>
      <c r="BCH143" s="3579"/>
      <c r="BCI143" s="3579"/>
      <c r="BCJ143" s="3579"/>
      <c r="BCK143" s="3579"/>
      <c r="BCL143" s="3579"/>
      <c r="BCM143" s="3579"/>
      <c r="BCN143" s="3579"/>
      <c r="BCO143" s="3579"/>
      <c r="BCP143" s="3579"/>
      <c r="BCQ143" s="3579"/>
      <c r="BCR143" s="3579"/>
      <c r="BCS143" s="3579"/>
      <c r="BCT143" s="3579"/>
      <c r="BCU143" s="3579"/>
      <c r="BCV143" s="3579"/>
      <c r="BCW143" s="3579"/>
      <c r="BCX143" s="3579"/>
      <c r="BCY143" s="3579"/>
      <c r="BCZ143" s="3579"/>
      <c r="BDA143" s="3579"/>
      <c r="BDB143" s="3579"/>
      <c r="BDC143" s="3579"/>
      <c r="BDD143" s="3579"/>
      <c r="BDE143" s="3579"/>
      <c r="BDF143" s="3579"/>
      <c r="BDG143" s="3579"/>
      <c r="BDH143" s="3579"/>
      <c r="BDI143" s="3579"/>
      <c r="BDJ143" s="3579"/>
      <c r="BDK143" s="3579"/>
      <c r="BDL143" s="3579"/>
      <c r="BDM143" s="3579"/>
      <c r="BDN143" s="3579"/>
      <c r="BDO143" s="3579"/>
      <c r="BDP143" s="3579"/>
      <c r="BDQ143" s="3579"/>
      <c r="BDR143" s="3579"/>
      <c r="BDS143" s="3579"/>
      <c r="BDT143" s="3579"/>
      <c r="BDU143" s="3579"/>
      <c r="BDV143" s="3579"/>
      <c r="BDW143" s="3579"/>
      <c r="BDX143" s="3579"/>
      <c r="BDY143" s="3579"/>
      <c r="BDZ143" s="3579"/>
      <c r="BEA143" s="3579"/>
      <c r="BEB143" s="3579"/>
      <c r="BEC143" s="3579"/>
      <c r="BED143" s="3579"/>
      <c r="BEE143" s="3579"/>
      <c r="BEF143" s="3579"/>
      <c r="BEG143" s="3579"/>
      <c r="BEH143" s="3579"/>
      <c r="BEI143" s="3579"/>
      <c r="BEJ143" s="3579"/>
      <c r="BEK143" s="3579"/>
      <c r="BEL143" s="3579"/>
      <c r="BEM143" s="3579"/>
      <c r="BEN143" s="3579"/>
      <c r="BEO143" s="3579"/>
      <c r="BEP143" s="3579"/>
      <c r="BEQ143" s="3579"/>
      <c r="BER143" s="3579"/>
      <c r="BES143" s="3579"/>
      <c r="BET143" s="3579"/>
      <c r="BEU143" s="3579"/>
      <c r="BEV143" s="3579"/>
      <c r="BEW143" s="3579"/>
      <c r="BEX143" s="3579"/>
      <c r="BEY143" s="3579"/>
      <c r="BEZ143" s="3579"/>
      <c r="BFA143" s="3579"/>
      <c r="BFB143" s="3579"/>
      <c r="BFC143" s="3579"/>
      <c r="BFD143" s="3579"/>
      <c r="BFE143" s="3579"/>
      <c r="BFF143" s="3579"/>
      <c r="BFG143" s="3579"/>
      <c r="BFH143" s="3579"/>
      <c r="BFI143" s="3579"/>
      <c r="BFJ143" s="3579"/>
      <c r="BFK143" s="3579"/>
      <c r="BFL143" s="3579"/>
      <c r="BFM143" s="3579"/>
      <c r="BFN143" s="3579"/>
      <c r="BFO143" s="3579"/>
      <c r="BFP143" s="3579"/>
      <c r="BFQ143" s="3579"/>
      <c r="BFR143" s="3579"/>
      <c r="BFS143" s="3579"/>
      <c r="BFT143" s="3579"/>
      <c r="BFU143" s="3579"/>
      <c r="BFV143" s="3579"/>
      <c r="BFW143" s="3579"/>
      <c r="BFX143" s="3579"/>
      <c r="BFY143" s="3579"/>
      <c r="BFZ143" s="3579"/>
      <c r="BGA143" s="3579"/>
      <c r="BGB143" s="3579"/>
      <c r="BGC143" s="3579"/>
      <c r="BGD143" s="3579"/>
      <c r="BGE143" s="3579"/>
      <c r="BGF143" s="3579"/>
      <c r="BGG143" s="3579"/>
      <c r="BGH143" s="3579"/>
      <c r="BGI143" s="3579"/>
      <c r="BGJ143" s="3579"/>
      <c r="BGK143" s="3579"/>
      <c r="BGL143" s="3579"/>
      <c r="BGM143" s="3579"/>
      <c r="BGN143" s="3579"/>
      <c r="BGO143" s="3579"/>
      <c r="BGP143" s="3579"/>
      <c r="BGQ143" s="3579"/>
      <c r="BGR143" s="3579"/>
      <c r="BGS143" s="3579"/>
      <c r="BGT143" s="3579"/>
      <c r="BGU143" s="3579"/>
      <c r="BGV143" s="3579"/>
      <c r="BGW143" s="3579"/>
      <c r="BGX143" s="3579"/>
      <c r="BGY143" s="3579"/>
      <c r="BGZ143" s="3579"/>
      <c r="BHA143" s="3579"/>
      <c r="BHB143" s="3579"/>
      <c r="BHC143" s="3579"/>
      <c r="BHD143" s="3579"/>
      <c r="BHE143" s="3579"/>
      <c r="BHF143" s="3579"/>
      <c r="BHG143" s="3579"/>
      <c r="BHH143" s="3579"/>
      <c r="BHI143" s="3579"/>
      <c r="BHJ143" s="3579"/>
      <c r="BHK143" s="3579"/>
      <c r="BHL143" s="3579"/>
      <c r="BHM143" s="3579"/>
      <c r="BHN143" s="3579"/>
      <c r="BHO143" s="3579"/>
      <c r="BHP143" s="3579"/>
      <c r="BHQ143" s="3579"/>
      <c r="BHR143" s="3579"/>
      <c r="BHS143" s="3579"/>
      <c r="BHT143" s="3579"/>
      <c r="BHU143" s="3579"/>
      <c r="BHV143" s="3579"/>
      <c r="BHW143" s="3579"/>
      <c r="BHX143" s="3579"/>
      <c r="BHY143" s="3579"/>
      <c r="BHZ143" s="3579"/>
      <c r="BIA143" s="3579"/>
      <c r="BIB143" s="3579"/>
      <c r="BIC143" s="3579"/>
      <c r="BID143" s="3579"/>
      <c r="BIE143" s="3579"/>
      <c r="BIF143" s="3579"/>
      <c r="BIG143" s="3579"/>
      <c r="BIH143" s="3579"/>
      <c r="BII143" s="3579"/>
      <c r="BIJ143" s="3579"/>
      <c r="BIK143" s="3579"/>
      <c r="BIL143" s="3579"/>
      <c r="BIM143" s="3579"/>
      <c r="BIN143" s="3579"/>
      <c r="BIO143" s="3579"/>
      <c r="BIP143" s="3579"/>
      <c r="BIQ143" s="3579"/>
      <c r="BIR143" s="3579"/>
      <c r="BIS143" s="3579"/>
      <c r="BIT143" s="3579"/>
      <c r="BIU143" s="3579"/>
      <c r="BIV143" s="3579"/>
      <c r="BIW143" s="3579"/>
      <c r="BIX143" s="3579"/>
      <c r="BIY143" s="3579"/>
      <c r="BIZ143" s="3579"/>
      <c r="BJA143" s="3579"/>
      <c r="BJB143" s="3579"/>
      <c r="BJC143" s="3579"/>
      <c r="BJD143" s="3579"/>
      <c r="BJE143" s="3579"/>
      <c r="BJF143" s="3579"/>
      <c r="BJG143" s="3579"/>
      <c r="BJH143" s="3579"/>
      <c r="BJI143" s="3579"/>
      <c r="BJJ143" s="3579"/>
      <c r="BJK143" s="3579"/>
      <c r="BJL143" s="3579"/>
      <c r="BJM143" s="3579"/>
      <c r="BJN143" s="3579"/>
      <c r="BJO143" s="3579"/>
      <c r="BJP143" s="3579"/>
      <c r="BJQ143" s="3579"/>
      <c r="BJR143" s="3579"/>
      <c r="BJS143" s="3579"/>
      <c r="BJT143" s="3579"/>
      <c r="BJU143" s="3579"/>
      <c r="BJV143" s="3579"/>
      <c r="BJW143" s="3579"/>
      <c r="BJX143" s="3579"/>
      <c r="BJY143" s="3579"/>
      <c r="BJZ143" s="3579"/>
      <c r="BKA143" s="3579"/>
      <c r="BKB143" s="3579"/>
      <c r="BKC143" s="3579"/>
      <c r="BKD143" s="3579"/>
      <c r="BKE143" s="3579"/>
      <c r="BKF143" s="3579"/>
      <c r="BKG143" s="3579"/>
      <c r="BKH143" s="3579"/>
      <c r="BKI143" s="3579"/>
      <c r="BKJ143" s="3579"/>
      <c r="BKK143" s="3579"/>
      <c r="BKL143" s="3579"/>
      <c r="BKM143" s="3579"/>
      <c r="BKN143" s="3579"/>
      <c r="BKO143" s="3579"/>
      <c r="BKP143" s="3579"/>
      <c r="BKQ143" s="3579"/>
      <c r="BKR143" s="3579"/>
      <c r="BKS143" s="3579"/>
      <c r="BKT143" s="3579"/>
      <c r="BKU143" s="3579"/>
      <c r="BKV143" s="3579"/>
      <c r="BKW143" s="3579"/>
      <c r="BKX143" s="3579"/>
      <c r="BKY143" s="3579"/>
      <c r="BKZ143" s="3579"/>
      <c r="BLA143" s="3579"/>
      <c r="BLB143" s="3579"/>
      <c r="BLC143" s="3579"/>
      <c r="BLD143" s="3579"/>
      <c r="BLE143" s="3579"/>
      <c r="BLF143" s="3579"/>
      <c r="BLG143" s="3579"/>
      <c r="BLH143" s="3579"/>
      <c r="BLI143" s="3579"/>
      <c r="BLJ143" s="3579"/>
      <c r="BLK143" s="3579"/>
      <c r="BLL143" s="3579"/>
      <c r="BLM143" s="3579"/>
      <c r="BLN143" s="3579"/>
      <c r="BLO143" s="3579"/>
      <c r="BLP143" s="3579"/>
      <c r="BLQ143" s="3579"/>
      <c r="BLR143" s="3579"/>
      <c r="BLS143" s="3579"/>
      <c r="BLT143" s="3579"/>
      <c r="BLU143" s="3579"/>
      <c r="BLV143" s="3579"/>
      <c r="BLW143" s="3579"/>
      <c r="BLX143" s="3579"/>
      <c r="BLY143" s="3579"/>
      <c r="BLZ143" s="3579"/>
      <c r="BMA143" s="3579"/>
      <c r="BMB143" s="3579"/>
      <c r="BMC143" s="3579"/>
      <c r="BMD143" s="3579"/>
      <c r="BME143" s="3579"/>
      <c r="BMF143" s="3579"/>
      <c r="BMG143" s="3579"/>
      <c r="BMH143" s="3579"/>
      <c r="BMI143" s="3579"/>
      <c r="BMJ143" s="3579"/>
      <c r="BMK143" s="3579"/>
      <c r="BML143" s="3579"/>
      <c r="BMM143" s="3579"/>
      <c r="BMN143" s="3579"/>
      <c r="BMO143" s="3579"/>
      <c r="BMP143" s="3579"/>
      <c r="BMQ143" s="3579"/>
      <c r="BMR143" s="3579"/>
      <c r="BMS143" s="3579"/>
      <c r="BMT143" s="3579"/>
      <c r="BMU143" s="3579"/>
      <c r="BMV143" s="3579"/>
      <c r="BMW143" s="3579"/>
      <c r="BMX143" s="3579"/>
      <c r="BMY143" s="3579"/>
      <c r="BMZ143" s="3579"/>
      <c r="BNA143" s="3579"/>
      <c r="BNB143" s="3579"/>
      <c r="BNC143" s="3579"/>
      <c r="BND143" s="3579"/>
      <c r="BNE143" s="3579"/>
      <c r="BNF143" s="3579"/>
      <c r="BNG143" s="3579"/>
      <c r="BNH143" s="3579"/>
      <c r="BNI143" s="3579"/>
      <c r="BNJ143" s="3579"/>
      <c r="BNK143" s="3579"/>
      <c r="BNL143" s="3579"/>
      <c r="BNM143" s="3579"/>
      <c r="BNN143" s="3579"/>
      <c r="BNO143" s="3579"/>
      <c r="BNP143" s="3579"/>
      <c r="BNQ143" s="3579"/>
      <c r="BNR143" s="3579"/>
      <c r="BNS143" s="3579"/>
      <c r="BNT143" s="3579"/>
      <c r="BNU143" s="3579"/>
      <c r="BNV143" s="3579"/>
      <c r="BNW143" s="3579"/>
      <c r="BNX143" s="3579"/>
      <c r="BNY143" s="3579"/>
      <c r="BNZ143" s="3579"/>
      <c r="BOA143" s="3579"/>
      <c r="BOB143" s="3579"/>
      <c r="BOC143" s="3579"/>
      <c r="BOD143" s="3579"/>
      <c r="BOE143" s="3579"/>
      <c r="BOF143" s="3579"/>
      <c r="BOG143" s="3579"/>
      <c r="BOH143" s="3579"/>
      <c r="BOI143" s="3579"/>
      <c r="BOJ143" s="3579"/>
      <c r="BOK143" s="3579"/>
      <c r="BOL143" s="3579"/>
      <c r="BOM143" s="3579"/>
      <c r="BON143" s="3579"/>
      <c r="BOO143" s="3579"/>
      <c r="BOP143" s="3579"/>
      <c r="BOQ143" s="3579"/>
      <c r="BOR143" s="3579"/>
      <c r="BOS143" s="3579"/>
      <c r="BOT143" s="3579"/>
      <c r="BOU143" s="3579"/>
      <c r="BOV143" s="3579"/>
      <c r="BOW143" s="3579"/>
      <c r="BOX143" s="3579"/>
      <c r="BOY143" s="3579"/>
      <c r="BOZ143" s="3579"/>
      <c r="BPA143" s="3579"/>
      <c r="BPB143" s="3579"/>
      <c r="BPC143" s="3579"/>
      <c r="BPD143" s="3579"/>
      <c r="BPE143" s="3579"/>
      <c r="BPF143" s="3579"/>
      <c r="BPG143" s="3579"/>
      <c r="BPH143" s="3579"/>
      <c r="BPI143" s="3579"/>
      <c r="BPJ143" s="3579"/>
      <c r="BPK143" s="3579"/>
      <c r="BPL143" s="3579"/>
      <c r="BPM143" s="3579"/>
      <c r="BPN143" s="3579"/>
      <c r="BPO143" s="3579"/>
      <c r="BPP143" s="3579"/>
      <c r="BPQ143" s="3579"/>
      <c r="BPR143" s="3579"/>
      <c r="BPS143" s="3579"/>
      <c r="BPT143" s="3579"/>
      <c r="BPU143" s="3579"/>
      <c r="BPV143" s="3579"/>
      <c r="BPW143" s="3579"/>
      <c r="BPX143" s="3579"/>
      <c r="BPY143" s="3579"/>
      <c r="BPZ143" s="3579"/>
      <c r="BQA143" s="3579"/>
      <c r="BQB143" s="3579"/>
      <c r="BQC143" s="3579"/>
      <c r="BQD143" s="3579"/>
      <c r="BQE143" s="3579"/>
      <c r="BQF143" s="3579"/>
      <c r="BQG143" s="3579"/>
      <c r="BQH143" s="3579"/>
      <c r="BQI143" s="3579"/>
      <c r="BQJ143" s="3579"/>
      <c r="BQK143" s="3579"/>
      <c r="BQL143" s="3579"/>
      <c r="BQM143" s="3579"/>
      <c r="BQN143" s="3579"/>
      <c r="BQO143" s="3579"/>
      <c r="BQP143" s="3579"/>
      <c r="BQQ143" s="3579"/>
      <c r="BQR143" s="3579"/>
      <c r="BQS143" s="3579"/>
      <c r="BQT143" s="3579"/>
      <c r="BQU143" s="3579"/>
      <c r="BQV143" s="3579"/>
      <c r="BQW143" s="3579"/>
      <c r="BQX143" s="3579"/>
      <c r="BQY143" s="3579"/>
      <c r="BQZ143" s="3579"/>
      <c r="BRA143" s="3579"/>
      <c r="BRB143" s="3579"/>
      <c r="BRC143" s="3579"/>
      <c r="BRD143" s="3579"/>
      <c r="BRE143" s="3579"/>
      <c r="BRF143" s="3579"/>
      <c r="BRG143" s="3579"/>
      <c r="BRH143" s="3579"/>
      <c r="BRI143" s="3579"/>
      <c r="BRJ143" s="3579"/>
      <c r="BRK143" s="3579"/>
      <c r="BRL143" s="3579"/>
      <c r="BRM143" s="3579"/>
      <c r="BRN143" s="3579"/>
      <c r="BRO143" s="3579"/>
      <c r="BRP143" s="3579"/>
      <c r="BRQ143" s="3579"/>
      <c r="BRR143" s="3579"/>
      <c r="BRS143" s="3579"/>
      <c r="BRT143" s="3579"/>
      <c r="BRU143" s="3579"/>
      <c r="BRV143" s="3579"/>
      <c r="BRW143" s="3579"/>
      <c r="BRX143" s="3579"/>
      <c r="BRY143" s="3579"/>
      <c r="BRZ143" s="3579"/>
      <c r="BSA143" s="3579"/>
      <c r="BSB143" s="3579"/>
      <c r="BSC143" s="3579"/>
      <c r="BSD143" s="3579"/>
      <c r="BSE143" s="3579"/>
      <c r="BSF143" s="3579"/>
      <c r="BSG143" s="3579"/>
      <c r="BSH143" s="3579"/>
      <c r="BSI143" s="3579"/>
      <c r="BSJ143" s="3579"/>
      <c r="BSK143" s="3579"/>
      <c r="BSL143" s="3579"/>
      <c r="BSM143" s="3579"/>
      <c r="BSN143" s="3579"/>
      <c r="BSO143" s="3579"/>
      <c r="BSP143" s="3579"/>
      <c r="BSQ143" s="3579"/>
      <c r="BSR143" s="3579"/>
      <c r="BSS143" s="3579"/>
      <c r="BST143" s="3579"/>
      <c r="BSU143" s="3579"/>
      <c r="BSV143" s="3579"/>
      <c r="BSW143" s="3579"/>
      <c r="BSX143" s="3579"/>
      <c r="BSY143" s="3579"/>
      <c r="BSZ143" s="3579"/>
      <c r="BTA143" s="3579"/>
      <c r="BTB143" s="3579"/>
      <c r="BTC143" s="3579"/>
      <c r="BTD143" s="3579"/>
      <c r="BTE143" s="3579"/>
      <c r="BTF143" s="3579"/>
      <c r="BTG143" s="3579"/>
      <c r="BTH143" s="3579"/>
      <c r="BTI143" s="3579"/>
      <c r="BTJ143" s="3579"/>
      <c r="BTK143" s="3579"/>
      <c r="BTL143" s="3579"/>
      <c r="BTM143" s="3579"/>
      <c r="BTN143" s="3579"/>
      <c r="BTO143" s="3579"/>
      <c r="BTP143" s="3579"/>
      <c r="BTQ143" s="3579"/>
      <c r="BTR143" s="3579"/>
      <c r="BTS143" s="3579"/>
      <c r="BTT143" s="3579"/>
      <c r="BTU143" s="3579"/>
      <c r="BTV143" s="3579"/>
      <c r="BTW143" s="3579"/>
      <c r="BTX143" s="3579"/>
      <c r="BTY143" s="3579"/>
      <c r="BTZ143" s="3579"/>
      <c r="BUA143" s="3579"/>
      <c r="BUB143" s="3579"/>
      <c r="BUC143" s="3579"/>
      <c r="BUD143" s="3579"/>
      <c r="BUE143" s="3579"/>
      <c r="BUF143" s="3579"/>
      <c r="BUG143" s="3579"/>
      <c r="BUH143" s="3579"/>
      <c r="BUI143" s="3579"/>
      <c r="BUJ143" s="3579"/>
      <c r="BUK143" s="3579"/>
      <c r="BUL143" s="3579"/>
      <c r="BUM143" s="3579"/>
      <c r="BUN143" s="3579"/>
      <c r="BUO143" s="3579"/>
      <c r="BUP143" s="3579"/>
      <c r="BUQ143" s="3579"/>
      <c r="BUR143" s="3579"/>
      <c r="BUS143" s="3579"/>
      <c r="BUT143" s="3579"/>
      <c r="BUU143" s="3579"/>
      <c r="BUV143" s="3579"/>
      <c r="BUW143" s="3579"/>
      <c r="BUX143" s="3579"/>
      <c r="BUY143" s="3579"/>
      <c r="BUZ143" s="3579"/>
      <c r="BVA143" s="3579"/>
      <c r="BVB143" s="3579"/>
      <c r="BVC143" s="3579"/>
      <c r="BVD143" s="3579"/>
      <c r="BVE143" s="3579"/>
      <c r="BVF143" s="3579"/>
      <c r="BVG143" s="3579"/>
      <c r="BVH143" s="3579"/>
      <c r="BVI143" s="3579"/>
      <c r="BVJ143" s="3579"/>
      <c r="BVK143" s="3579"/>
      <c r="BVL143" s="3579"/>
      <c r="BVM143" s="3579"/>
      <c r="BVN143" s="3579"/>
      <c r="BVO143" s="3579"/>
      <c r="BVP143" s="3579"/>
      <c r="BVQ143" s="3579"/>
      <c r="BVR143" s="3579"/>
      <c r="BVS143" s="3579"/>
      <c r="BVT143" s="3579"/>
      <c r="BVU143" s="3579"/>
      <c r="BVV143" s="3579"/>
      <c r="BVW143" s="3579"/>
      <c r="BVX143" s="3579"/>
      <c r="BVY143" s="3579"/>
      <c r="BVZ143" s="3579"/>
      <c r="BWA143" s="3579"/>
      <c r="BWB143" s="3579"/>
      <c r="BWC143" s="3579"/>
      <c r="BWD143" s="3579"/>
      <c r="BWE143" s="3579"/>
      <c r="BWF143" s="3579"/>
      <c r="BWG143" s="3579"/>
      <c r="BWH143" s="3579"/>
      <c r="BWI143" s="3579"/>
      <c r="BWJ143" s="3579"/>
      <c r="BWK143" s="3579"/>
      <c r="BWL143" s="3579"/>
      <c r="BWM143" s="3579"/>
      <c r="BWN143" s="3579"/>
      <c r="BWO143" s="3579"/>
      <c r="BWP143" s="3579"/>
      <c r="BWQ143" s="3579"/>
      <c r="BWR143" s="3579"/>
      <c r="BWS143" s="3579"/>
      <c r="BWT143" s="3579"/>
      <c r="BWU143" s="3579"/>
      <c r="BWV143" s="3579"/>
      <c r="BWW143" s="3579"/>
      <c r="BWX143" s="3579"/>
      <c r="BWY143" s="3579"/>
      <c r="BWZ143" s="3579"/>
      <c r="BXA143" s="3579"/>
      <c r="BXB143" s="3579"/>
      <c r="BXC143" s="3579"/>
      <c r="BXD143" s="3579"/>
      <c r="BXE143" s="3579"/>
      <c r="BXF143" s="3579"/>
      <c r="BXG143" s="3579"/>
      <c r="BXH143" s="3579"/>
      <c r="BXI143" s="3579"/>
      <c r="BXJ143" s="3579"/>
      <c r="BXK143" s="3579"/>
      <c r="BXL143" s="3579"/>
      <c r="BXM143" s="3579"/>
      <c r="BXN143" s="3579"/>
      <c r="BXO143" s="3579"/>
      <c r="BXP143" s="3579"/>
      <c r="BXQ143" s="3579"/>
      <c r="BXR143" s="3579"/>
      <c r="BXS143" s="3579"/>
      <c r="BXT143" s="3579"/>
      <c r="BXU143" s="3579"/>
      <c r="BXV143" s="3579"/>
      <c r="BXW143" s="3579"/>
      <c r="BXX143" s="3579"/>
      <c r="BXY143" s="3579"/>
      <c r="BXZ143" s="3579"/>
      <c r="BYA143" s="3579"/>
      <c r="BYB143" s="3579"/>
      <c r="BYC143" s="3579"/>
      <c r="BYD143" s="3579"/>
      <c r="BYE143" s="3579"/>
      <c r="BYF143" s="3579"/>
      <c r="BYG143" s="3579"/>
      <c r="BYH143" s="3579"/>
      <c r="BYI143" s="3579"/>
      <c r="BYJ143" s="3579"/>
      <c r="BYK143" s="3579"/>
      <c r="BYL143" s="3579"/>
      <c r="BYM143" s="3579"/>
      <c r="BYN143" s="3579"/>
      <c r="BYO143" s="3579"/>
      <c r="BYP143" s="3579"/>
      <c r="BYQ143" s="3579"/>
      <c r="BYR143" s="3579"/>
      <c r="BYS143" s="3579"/>
      <c r="BYT143" s="3579"/>
      <c r="BYU143" s="3579"/>
      <c r="BYV143" s="3579"/>
      <c r="BYW143" s="3579"/>
      <c r="BYX143" s="3579"/>
      <c r="BYY143" s="3579"/>
      <c r="BYZ143" s="3579"/>
      <c r="BZA143" s="3579"/>
      <c r="BZB143" s="3579"/>
      <c r="BZC143" s="3579"/>
      <c r="BZD143" s="3579"/>
      <c r="BZE143" s="3579"/>
      <c r="BZF143" s="3579"/>
      <c r="BZG143" s="3579"/>
      <c r="BZH143" s="3579"/>
      <c r="BZI143" s="3579"/>
      <c r="BZJ143" s="3579"/>
      <c r="BZK143" s="3579"/>
      <c r="BZL143" s="3579"/>
      <c r="BZM143" s="3579"/>
      <c r="BZN143" s="3579"/>
      <c r="BZO143" s="3579"/>
      <c r="BZP143" s="3579"/>
      <c r="BZQ143" s="3579"/>
      <c r="BZR143" s="3579"/>
      <c r="BZS143" s="3579"/>
      <c r="BZT143" s="3579"/>
      <c r="BZU143" s="3579"/>
      <c r="BZV143" s="3579"/>
      <c r="BZW143" s="3579"/>
      <c r="BZX143" s="3579"/>
      <c r="BZY143" s="3579"/>
      <c r="BZZ143" s="3579"/>
      <c r="CAA143" s="3579"/>
      <c r="CAB143" s="3579"/>
      <c r="CAC143" s="3579"/>
      <c r="CAD143" s="3579"/>
      <c r="CAE143" s="3579"/>
      <c r="CAF143" s="3579"/>
      <c r="CAG143" s="3579"/>
      <c r="CAH143" s="3579"/>
      <c r="CAI143" s="3579"/>
      <c r="CAJ143" s="3579"/>
      <c r="CAK143" s="3579"/>
      <c r="CAL143" s="3579"/>
      <c r="CAM143" s="3579"/>
      <c r="CAN143" s="3579"/>
      <c r="CAO143" s="3579"/>
      <c r="CAP143" s="3579"/>
      <c r="CAQ143" s="3579"/>
      <c r="CAR143" s="3579"/>
      <c r="CAS143" s="3579"/>
      <c r="CAT143" s="3579"/>
      <c r="CAU143" s="3579"/>
      <c r="CAV143" s="3579"/>
      <c r="CAW143" s="3579"/>
      <c r="CAX143" s="3579"/>
      <c r="CAY143" s="3579"/>
      <c r="CAZ143" s="3579"/>
      <c r="CBA143" s="3579"/>
      <c r="CBB143" s="3579"/>
      <c r="CBC143" s="3579"/>
      <c r="CBD143" s="3579"/>
      <c r="CBE143" s="3579"/>
      <c r="CBF143" s="3579"/>
      <c r="CBG143" s="3579"/>
      <c r="CBH143" s="3579"/>
      <c r="CBI143" s="3579"/>
      <c r="CBJ143" s="3579"/>
      <c r="CBK143" s="3579"/>
      <c r="CBL143" s="3579"/>
      <c r="CBM143" s="3579"/>
      <c r="CBN143" s="3579"/>
      <c r="CBO143" s="3579"/>
      <c r="CBP143" s="3579"/>
      <c r="CBQ143" s="3579"/>
      <c r="CBR143" s="3579"/>
      <c r="CBS143" s="3579"/>
      <c r="CBT143" s="3579"/>
      <c r="CBU143" s="3579"/>
      <c r="CBV143" s="3579"/>
      <c r="CBW143" s="3579"/>
      <c r="CBX143" s="3579"/>
      <c r="CBY143" s="3579"/>
      <c r="CBZ143" s="3579"/>
      <c r="CCA143" s="3579"/>
      <c r="CCB143" s="3579"/>
      <c r="CCC143" s="3579"/>
      <c r="CCD143" s="3579"/>
      <c r="CCE143" s="3579"/>
      <c r="CCF143" s="3579"/>
      <c r="CCG143" s="3579"/>
      <c r="CCH143" s="3579"/>
      <c r="CCI143" s="3579"/>
      <c r="CCJ143" s="3579"/>
      <c r="CCK143" s="3579"/>
      <c r="CCL143" s="3579"/>
      <c r="CCM143" s="3579"/>
      <c r="CCN143" s="3579"/>
      <c r="CCO143" s="3579"/>
      <c r="CCP143" s="3579"/>
      <c r="CCQ143" s="3579"/>
      <c r="CCR143" s="3579"/>
      <c r="CCS143" s="3579"/>
      <c r="CCT143" s="3579"/>
      <c r="CCU143" s="3579"/>
      <c r="CCV143" s="3579"/>
      <c r="CCW143" s="3579"/>
      <c r="CCX143" s="3579"/>
      <c r="CCY143" s="3579"/>
      <c r="CCZ143" s="3579"/>
      <c r="CDA143" s="3579"/>
      <c r="CDB143" s="3579"/>
      <c r="CDC143" s="3579"/>
      <c r="CDD143" s="3579"/>
      <c r="CDE143" s="3579"/>
      <c r="CDF143" s="3579"/>
      <c r="CDG143" s="3579"/>
      <c r="CDH143" s="3579"/>
      <c r="CDI143" s="3579"/>
      <c r="CDJ143" s="3579"/>
      <c r="CDK143" s="3579"/>
      <c r="CDL143" s="3579"/>
      <c r="CDM143" s="3579"/>
      <c r="CDN143" s="3579"/>
      <c r="CDO143" s="3579"/>
      <c r="CDP143" s="3579"/>
      <c r="CDQ143" s="3579"/>
      <c r="CDR143" s="3579"/>
      <c r="CDS143" s="3579"/>
      <c r="CDT143" s="3579"/>
      <c r="CDU143" s="3579"/>
      <c r="CDV143" s="3579"/>
      <c r="CDW143" s="3579"/>
      <c r="CDX143" s="3579"/>
      <c r="CDY143" s="3579"/>
      <c r="CDZ143" s="3579"/>
      <c r="CEA143" s="3579"/>
      <c r="CEB143" s="3579"/>
      <c r="CEC143" s="3579"/>
      <c r="CED143" s="3579"/>
      <c r="CEE143" s="3579"/>
      <c r="CEF143" s="3579"/>
      <c r="CEG143" s="3579"/>
      <c r="CEH143" s="3579"/>
      <c r="CEI143" s="3579"/>
      <c r="CEJ143" s="3579"/>
      <c r="CEK143" s="3579"/>
      <c r="CEL143" s="3579"/>
      <c r="CEM143" s="3579"/>
      <c r="CEN143" s="3579"/>
      <c r="CEO143" s="3579"/>
      <c r="CEP143" s="3579"/>
      <c r="CEQ143" s="3579"/>
      <c r="CER143" s="3579"/>
      <c r="CES143" s="3579"/>
      <c r="CET143" s="3579"/>
      <c r="CEU143" s="3579"/>
      <c r="CEV143" s="3579"/>
      <c r="CEW143" s="3579"/>
      <c r="CEX143" s="3579"/>
      <c r="CEY143" s="3579"/>
      <c r="CEZ143" s="3579"/>
      <c r="CFA143" s="3579"/>
      <c r="CFB143" s="3579"/>
      <c r="CFC143" s="3579"/>
      <c r="CFD143" s="3579"/>
      <c r="CFE143" s="3579"/>
      <c r="CFF143" s="3579"/>
      <c r="CFG143" s="3579"/>
      <c r="CFH143" s="3579"/>
      <c r="CFI143" s="3579"/>
      <c r="CFJ143" s="3579"/>
      <c r="CFK143" s="3579"/>
      <c r="CFL143" s="3579"/>
      <c r="CFM143" s="3579"/>
      <c r="CFN143" s="3579"/>
      <c r="CFO143" s="3579"/>
      <c r="CFP143" s="3579"/>
      <c r="CFQ143" s="3579"/>
      <c r="CFR143" s="3579"/>
      <c r="CFS143" s="3579"/>
      <c r="CFT143" s="3579"/>
      <c r="CFU143" s="3579"/>
      <c r="CFV143" s="3579"/>
      <c r="CFW143" s="3579"/>
      <c r="CFX143" s="3579"/>
      <c r="CFY143" s="3579"/>
      <c r="CFZ143" s="3579"/>
      <c r="CGA143" s="3579"/>
      <c r="CGB143" s="3579"/>
      <c r="CGC143" s="3579"/>
      <c r="CGD143" s="3579"/>
      <c r="CGE143" s="3579"/>
      <c r="CGF143" s="3579"/>
      <c r="CGG143" s="3579"/>
      <c r="CGH143" s="3579"/>
      <c r="CGI143" s="3579"/>
      <c r="CGJ143" s="3579"/>
      <c r="CGK143" s="3579"/>
      <c r="CGL143" s="3579"/>
      <c r="CGM143" s="3579"/>
      <c r="CGN143" s="3579"/>
      <c r="CGO143" s="3579"/>
      <c r="CGP143" s="3579"/>
      <c r="CGQ143" s="3579"/>
      <c r="CGR143" s="3579"/>
      <c r="CGS143" s="3579"/>
      <c r="CGT143" s="3579"/>
      <c r="CGU143" s="3579"/>
      <c r="CGV143" s="3579"/>
      <c r="CGW143" s="3579"/>
      <c r="CGX143" s="3579"/>
      <c r="CGY143" s="3579"/>
      <c r="CGZ143" s="3579"/>
      <c r="CHA143" s="3579"/>
      <c r="CHB143" s="3579"/>
      <c r="CHC143" s="3579"/>
      <c r="CHD143" s="3579"/>
      <c r="CHE143" s="3579"/>
      <c r="CHF143" s="3579"/>
      <c r="CHG143" s="3579"/>
      <c r="CHH143" s="3579"/>
      <c r="CHI143" s="3579"/>
      <c r="CHJ143" s="3579"/>
      <c r="CHK143" s="3579"/>
      <c r="CHL143" s="3579"/>
      <c r="CHM143" s="3579"/>
      <c r="CHN143" s="3579"/>
      <c r="CHO143" s="3579"/>
      <c r="CHP143" s="3579"/>
      <c r="CHQ143" s="3579"/>
      <c r="CHR143" s="3579"/>
      <c r="CHS143" s="3579"/>
      <c r="CHT143" s="3579"/>
      <c r="CHU143" s="3579"/>
      <c r="CHV143" s="3579"/>
      <c r="CHW143" s="3579"/>
      <c r="CHX143" s="3579"/>
      <c r="CHY143" s="3579"/>
      <c r="CHZ143" s="3579"/>
      <c r="CIA143" s="3579"/>
      <c r="CIB143" s="3579"/>
      <c r="CIC143" s="3579"/>
      <c r="CID143" s="3579"/>
      <c r="CIE143" s="3579"/>
      <c r="CIF143" s="3579"/>
      <c r="CIG143" s="3579"/>
      <c r="CIH143" s="3579"/>
      <c r="CII143" s="3579"/>
      <c r="CIJ143" s="3579"/>
      <c r="CIK143" s="3579"/>
      <c r="CIL143" s="3579"/>
      <c r="CIM143" s="3579"/>
      <c r="CIN143" s="3579"/>
      <c r="CIO143" s="3579"/>
      <c r="CIP143" s="3579"/>
      <c r="CIQ143" s="3579"/>
      <c r="CIR143" s="3579"/>
      <c r="CIS143" s="3579"/>
      <c r="CIT143" s="3579"/>
      <c r="CIU143" s="3579"/>
      <c r="CIV143" s="3579"/>
      <c r="CIW143" s="3579"/>
      <c r="CIX143" s="3579"/>
      <c r="CIY143" s="3579"/>
      <c r="CIZ143" s="3579"/>
      <c r="CJA143" s="3579"/>
      <c r="CJB143" s="3579"/>
      <c r="CJC143" s="3579"/>
      <c r="CJD143" s="3579"/>
      <c r="CJE143" s="3579"/>
      <c r="CJF143" s="3579"/>
      <c r="CJG143" s="3579"/>
      <c r="CJH143" s="3579"/>
      <c r="CJI143" s="3579"/>
      <c r="CJJ143" s="3579"/>
      <c r="CJK143" s="3579"/>
      <c r="CJL143" s="3579"/>
      <c r="CJM143" s="3579"/>
      <c r="CJN143" s="3579"/>
      <c r="CJO143" s="3579"/>
      <c r="CJP143" s="3579"/>
      <c r="CJQ143" s="3579"/>
      <c r="CJR143" s="3579"/>
      <c r="CJS143" s="3579"/>
      <c r="CJT143" s="3579"/>
      <c r="CJU143" s="3579"/>
      <c r="CJV143" s="3579"/>
      <c r="CJW143" s="3579"/>
      <c r="CJX143" s="3579"/>
      <c r="CJY143" s="3579"/>
      <c r="CJZ143" s="3579"/>
      <c r="CKA143" s="3579"/>
      <c r="CKB143" s="3579"/>
      <c r="CKC143" s="3579"/>
      <c r="CKD143" s="3579"/>
      <c r="CKE143" s="3579"/>
      <c r="CKF143" s="3579"/>
      <c r="CKG143" s="3579"/>
      <c r="CKH143" s="3579"/>
      <c r="CKI143" s="3579"/>
      <c r="CKJ143" s="3579"/>
      <c r="CKK143" s="3579"/>
      <c r="CKL143" s="3579"/>
      <c r="CKM143" s="3579"/>
      <c r="CKN143" s="3579"/>
      <c r="CKO143" s="3579"/>
      <c r="CKP143" s="3579"/>
      <c r="CKQ143" s="3579"/>
      <c r="CKR143" s="3579"/>
      <c r="CKS143" s="3579"/>
      <c r="CKT143" s="3579"/>
      <c r="CKU143" s="3579"/>
      <c r="CKV143" s="3579"/>
      <c r="CKW143" s="3579"/>
      <c r="CKX143" s="3579"/>
      <c r="CKY143" s="3579"/>
      <c r="CKZ143" s="3579"/>
      <c r="CLA143" s="3579"/>
      <c r="CLB143" s="3579"/>
      <c r="CLC143" s="3579"/>
      <c r="CLD143" s="3579"/>
      <c r="CLE143" s="3579"/>
      <c r="CLF143" s="3579"/>
      <c r="CLG143" s="3579"/>
      <c r="CLH143" s="3579"/>
      <c r="CLI143" s="3579"/>
      <c r="CLJ143" s="3579"/>
      <c r="CLK143" s="3579"/>
      <c r="CLL143" s="3579"/>
      <c r="CLM143" s="3579"/>
      <c r="CLN143" s="3579"/>
      <c r="CLO143" s="3579"/>
      <c r="CLP143" s="3579"/>
      <c r="CLQ143" s="3579"/>
      <c r="CLR143" s="3579"/>
      <c r="CLS143" s="3579"/>
      <c r="CLT143" s="3579"/>
      <c r="CLU143" s="3579"/>
      <c r="CLV143" s="3579"/>
      <c r="CLW143" s="3579"/>
      <c r="CLX143" s="3579"/>
      <c r="CLY143" s="3579"/>
      <c r="CLZ143" s="3579"/>
      <c r="CMA143" s="3579"/>
      <c r="CMB143" s="3579"/>
      <c r="CMC143" s="3579"/>
      <c r="CMD143" s="3579"/>
      <c r="CME143" s="3579"/>
      <c r="CMF143" s="3579"/>
      <c r="CMG143" s="3579"/>
      <c r="CMH143" s="3579"/>
      <c r="CMI143" s="3579"/>
      <c r="CMJ143" s="3579"/>
      <c r="CMK143" s="3579"/>
      <c r="CML143" s="3579"/>
      <c r="CMM143" s="3579"/>
      <c r="CMN143" s="3579"/>
      <c r="CMO143" s="3579"/>
      <c r="CMP143" s="3579"/>
      <c r="CMQ143" s="3579"/>
      <c r="CMR143" s="3579"/>
      <c r="CMS143" s="3579"/>
      <c r="CMT143" s="3579"/>
      <c r="CMU143" s="3579"/>
      <c r="CMV143" s="3579"/>
      <c r="CMW143" s="3579"/>
      <c r="CMX143" s="3579"/>
      <c r="CMY143" s="3579"/>
      <c r="CMZ143" s="3579"/>
      <c r="CNA143" s="3579"/>
      <c r="CNB143" s="3579"/>
      <c r="CNC143" s="3579"/>
      <c r="CND143" s="3579"/>
      <c r="CNE143" s="3579"/>
      <c r="CNF143" s="3579"/>
      <c r="CNG143" s="3579"/>
      <c r="CNH143" s="3579"/>
      <c r="CNI143" s="3579"/>
      <c r="CNJ143" s="3579"/>
      <c r="CNK143" s="3579"/>
      <c r="CNL143" s="3579"/>
      <c r="CNM143" s="3579"/>
      <c r="CNN143" s="3579"/>
      <c r="CNO143" s="3579"/>
      <c r="CNP143" s="3579"/>
      <c r="CNQ143" s="3579"/>
      <c r="CNR143" s="3579"/>
      <c r="CNS143" s="3579"/>
      <c r="CNT143" s="3579"/>
      <c r="CNU143" s="3579"/>
      <c r="CNV143" s="3579"/>
      <c r="CNW143" s="3579"/>
      <c r="CNX143" s="3579"/>
      <c r="CNY143" s="3579"/>
      <c r="CNZ143" s="3579"/>
      <c r="COA143" s="3579"/>
      <c r="COB143" s="3579"/>
      <c r="COC143" s="3579"/>
      <c r="COD143" s="3579"/>
      <c r="COE143" s="3579"/>
      <c r="COF143" s="3579"/>
      <c r="COG143" s="3579"/>
      <c r="COH143" s="3579"/>
      <c r="COI143" s="3579"/>
      <c r="COJ143" s="3579"/>
      <c r="COK143" s="3579"/>
      <c r="COL143" s="3579"/>
      <c r="COM143" s="3579"/>
      <c r="CON143" s="3579"/>
      <c r="COO143" s="3579"/>
      <c r="COP143" s="3579"/>
      <c r="COQ143" s="3579"/>
      <c r="COR143" s="3579"/>
      <c r="COS143" s="3579"/>
      <c r="COT143" s="3579"/>
      <c r="COU143" s="3579"/>
      <c r="COV143" s="3579"/>
      <c r="COW143" s="3579"/>
      <c r="COX143" s="3579"/>
      <c r="COY143" s="3579"/>
      <c r="COZ143" s="3579"/>
      <c r="CPA143" s="3579"/>
      <c r="CPB143" s="3579"/>
      <c r="CPC143" s="3579"/>
      <c r="CPD143" s="3579"/>
      <c r="CPE143" s="3579"/>
      <c r="CPF143" s="3579"/>
      <c r="CPG143" s="3579"/>
      <c r="CPH143" s="3579"/>
      <c r="CPI143" s="3579"/>
      <c r="CPJ143" s="3579"/>
      <c r="CPK143" s="3579"/>
      <c r="CPL143" s="3579"/>
      <c r="CPM143" s="3579"/>
      <c r="CPN143" s="3579"/>
      <c r="CPO143" s="3579"/>
      <c r="CPP143" s="3579"/>
      <c r="CPQ143" s="3579"/>
      <c r="CPR143" s="3579"/>
      <c r="CPS143" s="3579"/>
      <c r="CPT143" s="3579"/>
      <c r="CPU143" s="3579"/>
      <c r="CPV143" s="3579"/>
      <c r="CPW143" s="3579"/>
      <c r="CPX143" s="3579"/>
      <c r="CPY143" s="3579"/>
      <c r="CPZ143" s="3579"/>
      <c r="CQA143" s="3579"/>
      <c r="CQB143" s="3579"/>
      <c r="CQC143" s="3579"/>
      <c r="CQD143" s="3579"/>
      <c r="CQE143" s="3579"/>
      <c r="CQF143" s="3579"/>
      <c r="CQG143" s="3579"/>
      <c r="CQH143" s="3579"/>
      <c r="CQI143" s="3579"/>
      <c r="CQJ143" s="3579"/>
      <c r="CQK143" s="3579"/>
      <c r="CQL143" s="3579"/>
      <c r="CQM143" s="3579"/>
      <c r="CQN143" s="3579"/>
      <c r="CQO143" s="3579"/>
      <c r="CQP143" s="3579"/>
      <c r="CQQ143" s="3579"/>
      <c r="CQR143" s="3579"/>
      <c r="CQS143" s="3579"/>
      <c r="CQT143" s="3579"/>
      <c r="CQU143" s="3579"/>
      <c r="CQV143" s="3579"/>
      <c r="CQW143" s="3579"/>
      <c r="CQX143" s="3579"/>
      <c r="CQY143" s="3579"/>
      <c r="CQZ143" s="3579"/>
      <c r="CRA143" s="3579"/>
      <c r="CRB143" s="3579"/>
      <c r="CRC143" s="3579"/>
      <c r="CRD143" s="3579"/>
      <c r="CRE143" s="3579"/>
      <c r="CRF143" s="3579"/>
      <c r="CRG143" s="3579"/>
      <c r="CRH143" s="3579"/>
      <c r="CRI143" s="3579"/>
      <c r="CRJ143" s="3579"/>
      <c r="CRK143" s="3579"/>
      <c r="CRL143" s="3579"/>
      <c r="CRM143" s="3579"/>
      <c r="CRN143" s="3579"/>
      <c r="CRO143" s="3579"/>
      <c r="CRP143" s="3579"/>
      <c r="CRQ143" s="3579"/>
      <c r="CRR143" s="3579"/>
      <c r="CRS143" s="3579"/>
      <c r="CRT143" s="3579"/>
      <c r="CRU143" s="3579"/>
      <c r="CRV143" s="3579"/>
      <c r="CRW143" s="3579"/>
      <c r="CRX143" s="3579"/>
      <c r="CRY143" s="3579"/>
      <c r="CRZ143" s="3579"/>
      <c r="CSA143" s="3579"/>
      <c r="CSB143" s="3579"/>
      <c r="CSC143" s="3579"/>
      <c r="CSD143" s="3579"/>
      <c r="CSE143" s="3579"/>
      <c r="CSF143" s="3579"/>
      <c r="CSG143" s="3579"/>
      <c r="CSH143" s="3579"/>
      <c r="CSI143" s="3579"/>
      <c r="CSJ143" s="3579"/>
      <c r="CSK143" s="3579"/>
      <c r="CSL143" s="3579"/>
      <c r="CSM143" s="3579"/>
      <c r="CSN143" s="3579"/>
      <c r="CSO143" s="3579"/>
      <c r="CSP143" s="3579"/>
      <c r="CSQ143" s="3579"/>
      <c r="CSR143" s="3579"/>
      <c r="CSS143" s="3579"/>
      <c r="CST143" s="3579"/>
      <c r="CSU143" s="3579"/>
      <c r="CSV143" s="3579"/>
      <c r="CSW143" s="3579"/>
      <c r="CSX143" s="3579"/>
      <c r="CSY143" s="3579"/>
      <c r="CSZ143" s="3579"/>
      <c r="CTA143" s="3579"/>
      <c r="CTB143" s="3579"/>
      <c r="CTC143" s="3579"/>
      <c r="CTD143" s="3579"/>
      <c r="CTE143" s="3579"/>
      <c r="CTF143" s="3579"/>
      <c r="CTG143" s="3579"/>
      <c r="CTH143" s="3579"/>
      <c r="CTI143" s="3579"/>
      <c r="CTJ143" s="3579"/>
      <c r="CTK143" s="3579"/>
      <c r="CTL143" s="3579"/>
      <c r="CTM143" s="3579"/>
      <c r="CTN143" s="3579"/>
      <c r="CTO143" s="3579"/>
      <c r="CTP143" s="3579"/>
      <c r="CTQ143" s="3579"/>
      <c r="CTR143" s="3579"/>
      <c r="CTS143" s="3579"/>
      <c r="CTT143" s="3579"/>
      <c r="CTU143" s="3579"/>
      <c r="CTV143" s="3579"/>
      <c r="CTW143" s="3579"/>
      <c r="CTX143" s="3579"/>
      <c r="CTY143" s="3579"/>
      <c r="CTZ143" s="3579"/>
      <c r="CUA143" s="3579"/>
      <c r="CUB143" s="3579"/>
      <c r="CUC143" s="3579"/>
      <c r="CUD143" s="3579"/>
      <c r="CUE143" s="3579"/>
      <c r="CUF143" s="3579"/>
      <c r="CUG143" s="3579"/>
      <c r="CUH143" s="3579"/>
      <c r="CUI143" s="3579"/>
      <c r="CUJ143" s="3579"/>
      <c r="CUK143" s="3579"/>
      <c r="CUL143" s="3579"/>
      <c r="CUM143" s="3579"/>
      <c r="CUN143" s="3579"/>
      <c r="CUO143" s="3579"/>
      <c r="CUP143" s="3579"/>
      <c r="CUQ143" s="3579"/>
      <c r="CUR143" s="3579"/>
      <c r="CUS143" s="3579"/>
      <c r="CUT143" s="3579"/>
      <c r="CUU143" s="3579"/>
      <c r="CUV143" s="3579"/>
      <c r="CUW143" s="3579"/>
      <c r="CUX143" s="3579"/>
      <c r="CUY143" s="3579"/>
      <c r="CUZ143" s="3579"/>
      <c r="CVA143" s="3579"/>
      <c r="CVB143" s="3579"/>
      <c r="CVC143" s="3579"/>
      <c r="CVD143" s="3579"/>
      <c r="CVE143" s="3579"/>
      <c r="CVF143" s="3579"/>
      <c r="CVG143" s="3579"/>
      <c r="CVH143" s="3579"/>
      <c r="CVI143" s="3579"/>
      <c r="CVJ143" s="3579"/>
      <c r="CVK143" s="3579"/>
      <c r="CVL143" s="3579"/>
      <c r="CVM143" s="3579"/>
      <c r="CVN143" s="3579"/>
      <c r="CVO143" s="3579"/>
      <c r="CVP143" s="3579"/>
      <c r="CVQ143" s="3579"/>
      <c r="CVR143" s="3579"/>
      <c r="CVS143" s="3579"/>
      <c r="CVT143" s="3579"/>
      <c r="CVU143" s="3579"/>
      <c r="CVV143" s="3579"/>
      <c r="CVW143" s="3579"/>
      <c r="CVX143" s="3579"/>
      <c r="CVY143" s="3579"/>
      <c r="CVZ143" s="3579"/>
      <c r="CWA143" s="3579"/>
      <c r="CWB143" s="3579"/>
      <c r="CWC143" s="3579"/>
      <c r="CWD143" s="3579"/>
      <c r="CWE143" s="3579"/>
      <c r="CWF143" s="3579"/>
      <c r="CWG143" s="3579"/>
      <c r="CWH143" s="3579"/>
      <c r="CWI143" s="3579"/>
      <c r="CWJ143" s="3579"/>
      <c r="CWK143" s="3579"/>
      <c r="CWL143" s="3579"/>
      <c r="CWM143" s="3579"/>
      <c r="CWN143" s="3579"/>
      <c r="CWO143" s="3579"/>
      <c r="CWP143" s="3579"/>
      <c r="CWQ143" s="3579"/>
      <c r="CWR143" s="3579"/>
      <c r="CWS143" s="3579"/>
      <c r="CWT143" s="3579"/>
      <c r="CWU143" s="3579"/>
      <c r="CWV143" s="3579"/>
      <c r="CWW143" s="3579"/>
      <c r="CWX143" s="3579"/>
      <c r="CWY143" s="3579"/>
      <c r="CWZ143" s="3579"/>
      <c r="CXA143" s="3579"/>
      <c r="CXB143" s="3579"/>
      <c r="CXC143" s="3579"/>
      <c r="CXD143" s="3579"/>
      <c r="CXE143" s="3579"/>
      <c r="CXF143" s="3579"/>
      <c r="CXG143" s="3579"/>
      <c r="CXH143" s="3579"/>
      <c r="CXI143" s="3579"/>
      <c r="CXJ143" s="3579"/>
      <c r="CXK143" s="3579"/>
      <c r="CXL143" s="3579"/>
      <c r="CXM143" s="3579"/>
      <c r="CXN143" s="3579"/>
      <c r="CXO143" s="3579"/>
      <c r="CXP143" s="3579"/>
      <c r="CXQ143" s="3579"/>
      <c r="CXR143" s="3579"/>
      <c r="CXS143" s="3579"/>
      <c r="CXT143" s="3579"/>
      <c r="CXU143" s="3579"/>
      <c r="CXV143" s="3579"/>
      <c r="CXW143" s="3579"/>
      <c r="CXX143" s="3579"/>
      <c r="CXY143" s="3579"/>
      <c r="CXZ143" s="3579"/>
      <c r="CYA143" s="3579"/>
      <c r="CYB143" s="3579"/>
      <c r="CYC143" s="3579"/>
      <c r="CYD143" s="3579"/>
      <c r="CYE143" s="3579"/>
      <c r="CYF143" s="3579"/>
      <c r="CYG143" s="3579"/>
      <c r="CYH143" s="3579"/>
      <c r="CYI143" s="3579"/>
      <c r="CYJ143" s="3579"/>
      <c r="CYK143" s="3579"/>
      <c r="CYL143" s="3579"/>
      <c r="CYM143" s="3579"/>
      <c r="CYN143" s="3579"/>
      <c r="CYO143" s="3579"/>
      <c r="CYP143" s="3579"/>
      <c r="CYQ143" s="3579"/>
      <c r="CYR143" s="3579"/>
      <c r="CYS143" s="3579"/>
      <c r="CYT143" s="3579"/>
      <c r="CYU143" s="3579"/>
      <c r="CYV143" s="3579"/>
      <c r="CYW143" s="3579"/>
      <c r="CYX143" s="3579"/>
      <c r="CYY143" s="3579"/>
      <c r="CYZ143" s="3579"/>
      <c r="CZA143" s="3579"/>
      <c r="CZB143" s="3579"/>
      <c r="CZC143" s="3579"/>
      <c r="CZD143" s="3579"/>
      <c r="CZE143" s="3579"/>
      <c r="CZF143" s="3579"/>
      <c r="CZG143" s="3579"/>
      <c r="CZH143" s="3579"/>
      <c r="CZI143" s="3579"/>
      <c r="CZJ143" s="3579"/>
      <c r="CZK143" s="3579"/>
      <c r="CZL143" s="3579"/>
      <c r="CZM143" s="3579"/>
      <c r="CZN143" s="3579"/>
      <c r="CZO143" s="3579"/>
      <c r="CZP143" s="3579"/>
      <c r="CZQ143" s="3579"/>
      <c r="CZR143" s="3579"/>
      <c r="CZS143" s="3579"/>
      <c r="CZT143" s="3579"/>
      <c r="CZU143" s="3579"/>
      <c r="CZV143" s="3579"/>
      <c r="CZW143" s="3579"/>
      <c r="CZX143" s="3579"/>
      <c r="CZY143" s="3579"/>
      <c r="CZZ143" s="3579"/>
      <c r="DAA143" s="3579"/>
      <c r="DAB143" s="3579"/>
      <c r="DAC143" s="3579"/>
      <c r="DAD143" s="3579"/>
      <c r="DAE143" s="3579"/>
      <c r="DAF143" s="3579"/>
      <c r="DAG143" s="3579"/>
      <c r="DAH143" s="3579"/>
      <c r="DAI143" s="3579"/>
      <c r="DAJ143" s="3579"/>
      <c r="DAK143" s="3579"/>
      <c r="DAL143" s="3579"/>
      <c r="DAM143" s="3579"/>
      <c r="DAN143" s="3579"/>
      <c r="DAO143" s="3579"/>
      <c r="DAP143" s="3579"/>
      <c r="DAQ143" s="3579"/>
      <c r="DAR143" s="3579"/>
      <c r="DAS143" s="3579"/>
      <c r="DAT143" s="3579"/>
      <c r="DAU143" s="3579"/>
      <c r="DAV143" s="3579"/>
      <c r="DAW143" s="3579"/>
      <c r="DAX143" s="3579"/>
      <c r="DAY143" s="3579"/>
      <c r="DAZ143" s="3579"/>
      <c r="DBA143" s="3579"/>
      <c r="DBB143" s="3579"/>
      <c r="DBC143" s="3579"/>
      <c r="DBD143" s="3579"/>
      <c r="DBE143" s="3579"/>
      <c r="DBF143" s="3579"/>
      <c r="DBG143" s="3579"/>
      <c r="DBH143" s="3579"/>
      <c r="DBI143" s="3579"/>
      <c r="DBJ143" s="3579"/>
      <c r="DBK143" s="3579"/>
      <c r="DBL143" s="3579"/>
      <c r="DBM143" s="3579"/>
      <c r="DBN143" s="3579"/>
      <c r="DBO143" s="3579"/>
      <c r="DBP143" s="3579"/>
      <c r="DBQ143" s="3579"/>
      <c r="DBR143" s="3579"/>
      <c r="DBS143" s="3579"/>
      <c r="DBT143" s="3579"/>
      <c r="DBU143" s="3579"/>
      <c r="DBV143" s="3579"/>
      <c r="DBW143" s="3579"/>
      <c r="DBX143" s="3579"/>
      <c r="DBY143" s="3579"/>
      <c r="DBZ143" s="3579"/>
      <c r="DCA143" s="3579"/>
      <c r="DCB143" s="3579"/>
      <c r="DCC143" s="3579"/>
      <c r="DCD143" s="3579"/>
      <c r="DCE143" s="3579"/>
      <c r="DCF143" s="3579"/>
      <c r="DCG143" s="3579"/>
      <c r="DCH143" s="3579"/>
      <c r="DCI143" s="3579"/>
      <c r="DCJ143" s="3579"/>
      <c r="DCK143" s="3579"/>
      <c r="DCL143" s="3579"/>
      <c r="DCM143" s="3579"/>
      <c r="DCN143" s="3579"/>
      <c r="DCO143" s="3579"/>
      <c r="DCP143" s="3579"/>
      <c r="DCQ143" s="3579"/>
      <c r="DCR143" s="3579"/>
      <c r="DCS143" s="3579"/>
      <c r="DCT143" s="3579"/>
      <c r="DCU143" s="3579"/>
      <c r="DCV143" s="3579"/>
      <c r="DCW143" s="3579"/>
      <c r="DCX143" s="3579"/>
      <c r="DCY143" s="3579"/>
      <c r="DCZ143" s="3579"/>
      <c r="DDA143" s="3579"/>
      <c r="DDB143" s="3579"/>
      <c r="DDC143" s="3579"/>
      <c r="DDD143" s="3579"/>
      <c r="DDE143" s="3579"/>
      <c r="DDF143" s="3579"/>
      <c r="DDG143" s="3579"/>
      <c r="DDH143" s="3579"/>
      <c r="DDI143" s="3579"/>
      <c r="DDJ143" s="3579"/>
      <c r="DDK143" s="3579"/>
      <c r="DDL143" s="3579"/>
      <c r="DDM143" s="3579"/>
      <c r="DDN143" s="3579"/>
      <c r="DDO143" s="3579"/>
      <c r="DDP143" s="3579"/>
      <c r="DDQ143" s="3579"/>
      <c r="DDR143" s="3579"/>
      <c r="DDS143" s="3579"/>
      <c r="DDT143" s="3579"/>
      <c r="DDU143" s="3579"/>
      <c r="DDV143" s="3579"/>
      <c r="DDW143" s="3579"/>
      <c r="DDX143" s="3579"/>
      <c r="DDY143" s="3579"/>
      <c r="DDZ143" s="3579"/>
      <c r="DEA143" s="3579"/>
      <c r="DEB143" s="3579"/>
      <c r="DEC143" s="3579"/>
      <c r="DED143" s="3579"/>
      <c r="DEE143" s="3579"/>
      <c r="DEF143" s="3579"/>
      <c r="DEG143" s="3579"/>
      <c r="DEH143" s="3579"/>
      <c r="DEI143" s="3579"/>
      <c r="DEJ143" s="3579"/>
      <c r="DEK143" s="3579"/>
      <c r="DEL143" s="3579"/>
      <c r="DEM143" s="3579"/>
      <c r="DEN143" s="3579"/>
      <c r="DEO143" s="3579"/>
      <c r="DEP143" s="3579"/>
      <c r="DEQ143" s="3579"/>
      <c r="DER143" s="3579"/>
      <c r="DES143" s="3579"/>
      <c r="DET143" s="3579"/>
      <c r="DEU143" s="3579"/>
      <c r="DEV143" s="3579"/>
      <c r="DEW143" s="3579"/>
      <c r="DEX143" s="3579"/>
      <c r="DEY143" s="3579"/>
      <c r="DEZ143" s="3579"/>
      <c r="DFA143" s="3579"/>
      <c r="DFB143" s="3579"/>
      <c r="DFC143" s="3579"/>
      <c r="DFD143" s="3579"/>
      <c r="DFE143" s="3579"/>
      <c r="DFF143" s="3579"/>
      <c r="DFG143" s="3579"/>
      <c r="DFH143" s="3579"/>
      <c r="DFI143" s="3579"/>
      <c r="DFJ143" s="3579"/>
      <c r="DFK143" s="3579"/>
      <c r="DFL143" s="3579"/>
      <c r="DFM143" s="3579"/>
      <c r="DFN143" s="3579"/>
      <c r="DFO143" s="3579"/>
      <c r="DFP143" s="3579"/>
      <c r="DFQ143" s="3579"/>
      <c r="DFR143" s="3579"/>
      <c r="DFS143" s="3579"/>
      <c r="DFT143" s="3579"/>
      <c r="DFU143" s="3579"/>
      <c r="DFV143" s="3579"/>
      <c r="DFW143" s="3579"/>
      <c r="DFX143" s="3579"/>
      <c r="DFY143" s="3579"/>
      <c r="DFZ143" s="3579"/>
      <c r="DGA143" s="3579"/>
      <c r="DGB143" s="3579"/>
      <c r="DGC143" s="3579"/>
      <c r="DGD143" s="3579"/>
      <c r="DGE143" s="3579"/>
      <c r="DGF143" s="3579"/>
      <c r="DGG143" s="3579"/>
      <c r="DGH143" s="3579"/>
      <c r="DGI143" s="3579"/>
      <c r="DGJ143" s="3579"/>
      <c r="DGK143" s="3579"/>
      <c r="DGL143" s="3579"/>
      <c r="DGM143" s="3579"/>
      <c r="DGN143" s="3579"/>
      <c r="DGO143" s="3579"/>
      <c r="DGP143" s="3579"/>
      <c r="DGQ143" s="3579"/>
      <c r="DGR143" s="3579"/>
      <c r="DGS143" s="3579"/>
      <c r="DGT143" s="3579"/>
      <c r="DGU143" s="3579"/>
      <c r="DGV143" s="3579"/>
      <c r="DGW143" s="3579"/>
      <c r="DGX143" s="3579"/>
      <c r="DGY143" s="3579"/>
      <c r="DGZ143" s="3579"/>
      <c r="DHA143" s="3579"/>
      <c r="DHB143" s="3579"/>
      <c r="DHC143" s="3579"/>
      <c r="DHD143" s="3579"/>
      <c r="DHE143" s="3579"/>
      <c r="DHF143" s="3579"/>
      <c r="DHG143" s="3579"/>
      <c r="DHH143" s="3579"/>
      <c r="DHI143" s="3579"/>
      <c r="DHJ143" s="3579"/>
      <c r="DHK143" s="3579"/>
      <c r="DHL143" s="3579"/>
      <c r="DHM143" s="3579"/>
      <c r="DHN143" s="3579"/>
      <c r="DHO143" s="3579"/>
      <c r="DHP143" s="3579"/>
      <c r="DHQ143" s="3579"/>
      <c r="DHR143" s="3579"/>
      <c r="DHS143" s="3579"/>
      <c r="DHT143" s="3579"/>
      <c r="DHU143" s="3579"/>
      <c r="DHV143" s="3579"/>
      <c r="DHW143" s="3579"/>
      <c r="DHX143" s="3579"/>
      <c r="DHY143" s="3579"/>
      <c r="DHZ143" s="3579"/>
      <c r="DIA143" s="3579"/>
      <c r="DIB143" s="3579"/>
      <c r="DIC143" s="3579"/>
      <c r="DID143" s="3579"/>
      <c r="DIE143" s="3579"/>
      <c r="DIF143" s="3579"/>
      <c r="DIG143" s="3579"/>
      <c r="DIH143" s="3579"/>
      <c r="DII143" s="3579"/>
      <c r="DIJ143" s="3579"/>
      <c r="DIK143" s="3579"/>
      <c r="DIL143" s="3579"/>
      <c r="DIM143" s="3579"/>
      <c r="DIN143" s="3579"/>
      <c r="DIO143" s="3579"/>
      <c r="DIP143" s="3579"/>
      <c r="DIQ143" s="3579"/>
      <c r="DIR143" s="3579"/>
      <c r="DIS143" s="3579"/>
      <c r="DIT143" s="3579"/>
      <c r="DIU143" s="3579"/>
      <c r="DIV143" s="3579"/>
      <c r="DIW143" s="3579"/>
      <c r="DIX143" s="3579"/>
      <c r="DIY143" s="3579"/>
      <c r="DIZ143" s="3579"/>
      <c r="DJA143" s="3579"/>
      <c r="DJB143" s="3579"/>
      <c r="DJC143" s="3579"/>
      <c r="DJD143" s="3579"/>
      <c r="DJE143" s="3579"/>
      <c r="DJF143" s="3579"/>
      <c r="DJG143" s="3579"/>
      <c r="DJH143" s="3579"/>
      <c r="DJI143" s="3579"/>
      <c r="DJJ143" s="3579"/>
      <c r="DJK143" s="3579"/>
      <c r="DJL143" s="3579"/>
      <c r="DJM143" s="3579"/>
      <c r="DJN143" s="3579"/>
      <c r="DJO143" s="3579"/>
      <c r="DJP143" s="3579"/>
      <c r="DJQ143" s="3579"/>
      <c r="DJR143" s="3579"/>
      <c r="DJS143" s="3579"/>
      <c r="DJT143" s="3579"/>
      <c r="DJU143" s="3579"/>
      <c r="DJV143" s="3579"/>
      <c r="DJW143" s="3579"/>
      <c r="DJX143" s="3579"/>
      <c r="DJY143" s="3579"/>
      <c r="DJZ143" s="3579"/>
      <c r="DKA143" s="3579"/>
      <c r="DKB143" s="3579"/>
      <c r="DKC143" s="3579"/>
      <c r="DKD143" s="3579"/>
      <c r="DKE143" s="3579"/>
      <c r="DKF143" s="3579"/>
      <c r="DKG143" s="3579"/>
      <c r="DKH143" s="3579"/>
      <c r="DKI143" s="3579"/>
      <c r="DKJ143" s="3579"/>
      <c r="DKK143" s="3579"/>
      <c r="DKL143" s="3579"/>
      <c r="DKM143" s="3579"/>
      <c r="DKN143" s="3579"/>
      <c r="DKO143" s="3579"/>
      <c r="DKP143" s="3579"/>
      <c r="DKQ143" s="3579"/>
      <c r="DKR143" s="3579"/>
      <c r="DKS143" s="3579"/>
      <c r="DKT143" s="3579"/>
      <c r="DKU143" s="3579"/>
      <c r="DKV143" s="3579"/>
      <c r="DKW143" s="3579"/>
      <c r="DKX143" s="3579"/>
      <c r="DKY143" s="3579"/>
      <c r="DKZ143" s="3579"/>
      <c r="DLA143" s="3579"/>
      <c r="DLB143" s="3579"/>
      <c r="DLC143" s="3579"/>
      <c r="DLD143" s="3579"/>
      <c r="DLE143" s="3579"/>
      <c r="DLF143" s="3579"/>
      <c r="DLG143" s="3579"/>
      <c r="DLH143" s="3579"/>
      <c r="DLI143" s="3579"/>
      <c r="DLJ143" s="3579"/>
      <c r="DLK143" s="3579"/>
      <c r="DLL143" s="3579"/>
      <c r="DLM143" s="3579"/>
      <c r="DLN143" s="3579"/>
      <c r="DLO143" s="3579"/>
      <c r="DLP143" s="3579"/>
      <c r="DLQ143" s="3579"/>
      <c r="DLR143" s="3579"/>
      <c r="DLS143" s="3579"/>
      <c r="DLT143" s="3579"/>
      <c r="DLU143" s="3579"/>
      <c r="DLV143" s="3579"/>
      <c r="DLW143" s="3579"/>
      <c r="DLX143" s="3579"/>
      <c r="DLY143" s="3579"/>
      <c r="DLZ143" s="3579"/>
      <c r="DMA143" s="3579"/>
      <c r="DMB143" s="3579"/>
      <c r="DMC143" s="3579"/>
      <c r="DMD143" s="3579"/>
      <c r="DME143" s="3579"/>
      <c r="DMF143" s="3579"/>
      <c r="DMG143" s="3579"/>
      <c r="DMH143" s="3579"/>
      <c r="DMI143" s="3579"/>
      <c r="DMJ143" s="3579"/>
      <c r="DMK143" s="3579"/>
      <c r="DML143" s="3579"/>
      <c r="DMM143" s="3579"/>
      <c r="DMN143" s="3579"/>
      <c r="DMO143" s="3579"/>
      <c r="DMP143" s="3579"/>
      <c r="DMQ143" s="3579"/>
      <c r="DMR143" s="3579"/>
      <c r="DMS143" s="3579"/>
      <c r="DMT143" s="3579"/>
      <c r="DMU143" s="3579"/>
      <c r="DMV143" s="3579"/>
      <c r="DMW143" s="3579"/>
      <c r="DMX143" s="3579"/>
      <c r="DMY143" s="3579"/>
      <c r="DMZ143" s="3579"/>
      <c r="DNA143" s="3579"/>
      <c r="DNB143" s="3579"/>
      <c r="DNC143" s="3579"/>
      <c r="DND143" s="3579"/>
      <c r="DNE143" s="3579"/>
      <c r="DNF143" s="3579"/>
      <c r="DNG143" s="3579"/>
      <c r="DNH143" s="3579"/>
      <c r="DNI143" s="3579"/>
      <c r="DNJ143" s="3579"/>
      <c r="DNK143" s="3579"/>
      <c r="DNL143" s="3579"/>
      <c r="DNM143" s="3579"/>
      <c r="DNN143" s="3579"/>
      <c r="DNO143" s="3579"/>
      <c r="DNP143" s="3579"/>
      <c r="DNQ143" s="3579"/>
      <c r="DNR143" s="3579"/>
      <c r="DNS143" s="3579"/>
      <c r="DNT143" s="3579"/>
      <c r="DNU143" s="3579"/>
      <c r="DNV143" s="3579"/>
      <c r="DNW143" s="3579"/>
      <c r="DNX143" s="3579"/>
      <c r="DNY143" s="3579"/>
      <c r="DNZ143" s="3579"/>
      <c r="DOA143" s="3579"/>
      <c r="DOB143" s="3579"/>
      <c r="DOC143" s="3579"/>
      <c r="DOD143" s="3579"/>
      <c r="DOE143" s="3579"/>
      <c r="DOF143" s="3579"/>
      <c r="DOG143" s="3579"/>
      <c r="DOH143" s="3579"/>
      <c r="DOI143" s="3579"/>
      <c r="DOJ143" s="3579"/>
      <c r="DOK143" s="3579"/>
      <c r="DOL143" s="3579"/>
      <c r="DOM143" s="3579"/>
      <c r="DON143" s="3579"/>
      <c r="DOO143" s="3579"/>
      <c r="DOP143" s="3579"/>
      <c r="DOQ143" s="3579"/>
      <c r="DOR143" s="3579"/>
      <c r="DOS143" s="3579"/>
      <c r="DOT143" s="3579"/>
      <c r="DOU143" s="3579"/>
      <c r="DOV143" s="3579"/>
      <c r="DOW143" s="3579"/>
      <c r="DOX143" s="3579"/>
      <c r="DOY143" s="3579"/>
      <c r="DOZ143" s="3579"/>
      <c r="DPA143" s="3579"/>
      <c r="DPB143" s="3579"/>
      <c r="DPC143" s="3579"/>
      <c r="DPD143" s="3579"/>
      <c r="DPE143" s="3579"/>
      <c r="DPF143" s="3579"/>
      <c r="DPG143" s="3579"/>
      <c r="DPH143" s="3579"/>
      <c r="DPI143" s="3579"/>
      <c r="DPJ143" s="3579"/>
      <c r="DPK143" s="3579"/>
      <c r="DPL143" s="3579"/>
      <c r="DPM143" s="3579"/>
      <c r="DPN143" s="3579"/>
      <c r="DPO143" s="3579"/>
      <c r="DPP143" s="3579"/>
      <c r="DPQ143" s="3579"/>
      <c r="DPR143" s="3579"/>
      <c r="DPS143" s="3579"/>
      <c r="DPT143" s="3579"/>
      <c r="DPU143" s="3579"/>
      <c r="DPV143" s="3579"/>
      <c r="DPW143" s="3579"/>
      <c r="DPX143" s="3579"/>
      <c r="DPY143" s="3579"/>
      <c r="DPZ143" s="3579"/>
      <c r="DQA143" s="3579"/>
      <c r="DQB143" s="3579"/>
      <c r="DQC143" s="3579"/>
      <c r="DQD143" s="3579"/>
      <c r="DQE143" s="3579"/>
      <c r="DQF143" s="3579"/>
      <c r="DQG143" s="3579"/>
      <c r="DQH143" s="3579"/>
      <c r="DQI143" s="3579"/>
      <c r="DQJ143" s="3579"/>
      <c r="DQK143" s="3579"/>
      <c r="DQL143" s="3579"/>
      <c r="DQM143" s="3579"/>
      <c r="DQN143" s="3579"/>
      <c r="DQO143" s="3579"/>
      <c r="DQP143" s="3579"/>
      <c r="DQQ143" s="3579"/>
      <c r="DQR143" s="3579"/>
      <c r="DQS143" s="3579"/>
      <c r="DQT143" s="3579"/>
      <c r="DQU143" s="3579"/>
      <c r="DQV143" s="3579"/>
      <c r="DQW143" s="3579"/>
      <c r="DQX143" s="3579"/>
      <c r="DQY143" s="3579"/>
      <c r="DQZ143" s="3579"/>
      <c r="DRA143" s="3579"/>
      <c r="DRB143" s="3579"/>
      <c r="DRC143" s="3579"/>
      <c r="DRD143" s="3579"/>
      <c r="DRE143" s="3579"/>
      <c r="DRF143" s="3579"/>
      <c r="DRG143" s="3579"/>
      <c r="DRH143" s="3579"/>
      <c r="DRI143" s="3579"/>
      <c r="DRJ143" s="3579"/>
      <c r="DRK143" s="3579"/>
      <c r="DRL143" s="3579"/>
      <c r="DRM143" s="3579"/>
      <c r="DRN143" s="3579"/>
      <c r="DRO143" s="3579"/>
      <c r="DRP143" s="3579"/>
      <c r="DRQ143" s="3579"/>
      <c r="DRR143" s="3579"/>
      <c r="DRS143" s="3579"/>
      <c r="DRT143" s="3579"/>
      <c r="DRU143" s="3579"/>
      <c r="DRV143" s="3579"/>
      <c r="DRW143" s="3579"/>
      <c r="DRX143" s="3579"/>
      <c r="DRY143" s="3579"/>
      <c r="DRZ143" s="3579"/>
      <c r="DSA143" s="3579"/>
      <c r="DSB143" s="3579"/>
      <c r="DSC143" s="3579"/>
      <c r="DSD143" s="3579"/>
      <c r="DSE143" s="3579"/>
      <c r="DSF143" s="3579"/>
      <c r="DSG143" s="3579"/>
      <c r="DSH143" s="3579"/>
      <c r="DSI143" s="3579"/>
      <c r="DSJ143" s="3579"/>
      <c r="DSK143" s="3579"/>
      <c r="DSL143" s="3579"/>
      <c r="DSM143" s="3579"/>
      <c r="DSN143" s="3579"/>
      <c r="DSO143" s="3579"/>
      <c r="DSP143" s="3579"/>
      <c r="DSQ143" s="3579"/>
      <c r="DSR143" s="3579"/>
      <c r="DSS143" s="3579"/>
      <c r="DST143" s="3579"/>
      <c r="DSU143" s="3579"/>
      <c r="DSV143" s="3579"/>
      <c r="DSW143" s="3579"/>
      <c r="DSX143" s="3579"/>
      <c r="DSY143" s="3579"/>
      <c r="DSZ143" s="3579"/>
      <c r="DTA143" s="3579"/>
      <c r="DTB143" s="3579"/>
      <c r="DTC143" s="3579"/>
      <c r="DTD143" s="3579"/>
      <c r="DTE143" s="3579"/>
      <c r="DTF143" s="3579"/>
      <c r="DTG143" s="3579"/>
      <c r="DTH143" s="3579"/>
      <c r="DTI143" s="3579"/>
      <c r="DTJ143" s="3579"/>
      <c r="DTK143" s="3579"/>
      <c r="DTL143" s="3579"/>
      <c r="DTM143" s="3579"/>
      <c r="DTN143" s="3579"/>
      <c r="DTO143" s="3579"/>
      <c r="DTP143" s="3579"/>
      <c r="DTQ143" s="3579"/>
      <c r="DTR143" s="3579"/>
      <c r="DTS143" s="3579"/>
      <c r="DTT143" s="3579"/>
      <c r="DTU143" s="3579"/>
      <c r="DTV143" s="3579"/>
      <c r="DTW143" s="3579"/>
      <c r="DTX143" s="3579"/>
      <c r="DTY143" s="3579"/>
      <c r="DTZ143" s="3579"/>
      <c r="DUA143" s="3579"/>
      <c r="DUB143" s="3579"/>
      <c r="DUC143" s="3579"/>
      <c r="DUD143" s="3579"/>
      <c r="DUE143" s="3579"/>
      <c r="DUF143" s="3579"/>
      <c r="DUG143" s="3579"/>
      <c r="DUH143" s="3579"/>
      <c r="DUI143" s="3579"/>
      <c r="DUJ143" s="3579"/>
      <c r="DUK143" s="3579"/>
      <c r="DUL143" s="3579"/>
      <c r="DUM143" s="3579"/>
      <c r="DUN143" s="3579"/>
      <c r="DUO143" s="3579"/>
      <c r="DUP143" s="3579"/>
      <c r="DUQ143" s="3579"/>
      <c r="DUR143" s="3579"/>
      <c r="DUS143" s="3579"/>
      <c r="DUT143" s="3579"/>
      <c r="DUU143" s="3579"/>
      <c r="DUV143" s="3579"/>
      <c r="DUW143" s="3579"/>
      <c r="DUX143" s="3579"/>
      <c r="DUY143" s="3579"/>
      <c r="DUZ143" s="3579"/>
      <c r="DVA143" s="3579"/>
      <c r="DVB143" s="3579"/>
      <c r="DVC143" s="3579"/>
      <c r="DVD143" s="3579"/>
      <c r="DVE143" s="3579"/>
      <c r="DVF143" s="3579"/>
      <c r="DVG143" s="3579"/>
      <c r="DVH143" s="3579"/>
      <c r="DVI143" s="3579"/>
      <c r="DVJ143" s="3579"/>
      <c r="DVK143" s="3579"/>
      <c r="DVL143" s="3579"/>
      <c r="DVM143" s="3579"/>
      <c r="DVN143" s="3579"/>
      <c r="DVO143" s="3579"/>
      <c r="DVP143" s="3579"/>
      <c r="DVQ143" s="3579"/>
      <c r="DVR143" s="3579"/>
      <c r="DVS143" s="3579"/>
      <c r="DVT143" s="3579"/>
      <c r="DVU143" s="3579"/>
      <c r="DVV143" s="3579"/>
      <c r="DVW143" s="3579"/>
      <c r="DVX143" s="3579"/>
      <c r="DVY143" s="3579"/>
      <c r="DVZ143" s="3579"/>
      <c r="DWA143" s="3579"/>
      <c r="DWB143" s="3579"/>
      <c r="DWC143" s="3579"/>
      <c r="DWD143" s="3579"/>
      <c r="DWE143" s="3579"/>
      <c r="DWF143" s="3579"/>
      <c r="DWG143" s="3579"/>
      <c r="DWH143" s="3579"/>
      <c r="DWI143" s="3579"/>
      <c r="DWJ143" s="3579"/>
      <c r="DWK143" s="3579"/>
      <c r="DWL143" s="3579"/>
      <c r="DWM143" s="3579"/>
      <c r="DWN143" s="3579"/>
      <c r="DWO143" s="3579"/>
      <c r="DWP143" s="3579"/>
      <c r="DWQ143" s="3579"/>
      <c r="DWR143" s="3579"/>
      <c r="DWS143" s="3579"/>
      <c r="DWT143" s="3579"/>
      <c r="DWU143" s="3579"/>
      <c r="DWV143" s="3579"/>
      <c r="DWW143" s="3579"/>
      <c r="DWX143" s="3579"/>
      <c r="DWY143" s="3579"/>
      <c r="DWZ143" s="3579"/>
      <c r="DXA143" s="3579"/>
      <c r="DXB143" s="3579"/>
      <c r="DXC143" s="3579"/>
      <c r="DXD143" s="3579"/>
      <c r="DXE143" s="3579"/>
      <c r="DXF143" s="3579"/>
      <c r="DXG143" s="3579"/>
      <c r="DXH143" s="3579"/>
      <c r="DXI143" s="3579"/>
      <c r="DXJ143" s="3579"/>
      <c r="DXK143" s="3579"/>
      <c r="DXL143" s="3579"/>
      <c r="DXM143" s="3579"/>
      <c r="DXN143" s="3579"/>
      <c r="DXO143" s="3579"/>
      <c r="DXP143" s="3579"/>
      <c r="DXQ143" s="3579"/>
      <c r="DXR143" s="3579"/>
      <c r="DXS143" s="3579"/>
      <c r="DXT143" s="3579"/>
      <c r="DXU143" s="3579"/>
      <c r="DXV143" s="3579"/>
      <c r="DXW143" s="3579"/>
      <c r="DXX143" s="3579"/>
      <c r="DXY143" s="3579"/>
      <c r="DXZ143" s="3579"/>
      <c r="DYA143" s="3579"/>
      <c r="DYB143" s="3579"/>
      <c r="DYC143" s="3579"/>
      <c r="DYD143" s="3579"/>
      <c r="DYE143" s="3579"/>
      <c r="DYF143" s="3579"/>
      <c r="DYG143" s="3579"/>
      <c r="DYH143" s="3579"/>
      <c r="DYI143" s="3579"/>
      <c r="DYJ143" s="3579"/>
      <c r="DYK143" s="3579"/>
      <c r="DYL143" s="3579"/>
      <c r="DYM143" s="3579"/>
      <c r="DYN143" s="3579"/>
      <c r="DYO143" s="3579"/>
      <c r="DYP143" s="3579"/>
      <c r="DYQ143" s="3579"/>
      <c r="DYR143" s="3579"/>
      <c r="DYS143" s="3579"/>
      <c r="DYT143" s="3579"/>
      <c r="DYU143" s="3579"/>
      <c r="DYV143" s="3579"/>
      <c r="DYW143" s="3579"/>
      <c r="DYX143" s="3579"/>
      <c r="DYY143" s="3579"/>
      <c r="DYZ143" s="3579"/>
      <c r="DZA143" s="3579"/>
      <c r="DZB143" s="3579"/>
      <c r="DZC143" s="3579"/>
      <c r="DZD143" s="3579"/>
      <c r="DZE143" s="3579"/>
      <c r="DZF143" s="3579"/>
      <c r="DZG143" s="3579"/>
      <c r="DZH143" s="3579"/>
      <c r="DZI143" s="3579"/>
      <c r="DZJ143" s="3579"/>
      <c r="DZK143" s="3579"/>
      <c r="DZL143" s="3579"/>
      <c r="DZM143" s="3579"/>
      <c r="DZN143" s="3579"/>
      <c r="DZO143" s="3579"/>
      <c r="DZP143" s="3579"/>
      <c r="DZQ143" s="3579"/>
      <c r="DZR143" s="3579"/>
      <c r="DZS143" s="3579"/>
      <c r="DZT143" s="3579"/>
      <c r="DZU143" s="3579"/>
      <c r="DZV143" s="3579"/>
      <c r="DZW143" s="3579"/>
      <c r="DZX143" s="3579"/>
      <c r="DZY143" s="3579"/>
      <c r="DZZ143" s="3579"/>
      <c r="EAA143" s="3579"/>
      <c r="EAB143" s="3579"/>
      <c r="EAC143" s="3579"/>
      <c r="EAD143" s="3579"/>
      <c r="EAE143" s="3579"/>
      <c r="EAF143" s="3579"/>
      <c r="EAG143" s="3579"/>
      <c r="EAH143" s="3579"/>
      <c r="EAI143" s="3579"/>
      <c r="EAJ143" s="3579"/>
      <c r="EAK143" s="3579"/>
      <c r="EAL143" s="3579"/>
      <c r="EAM143" s="3579"/>
      <c r="EAN143" s="3579"/>
      <c r="EAO143" s="3579"/>
      <c r="EAP143" s="3579"/>
      <c r="EAQ143" s="3579"/>
      <c r="EAR143" s="3579"/>
      <c r="EAS143" s="3579"/>
      <c r="EAT143" s="3579"/>
      <c r="EAU143" s="3579"/>
      <c r="EAV143" s="3579"/>
      <c r="EAW143" s="3579"/>
      <c r="EAX143" s="3579"/>
      <c r="EAY143" s="3579"/>
      <c r="EAZ143" s="3579"/>
      <c r="EBA143" s="3579"/>
      <c r="EBB143" s="3579"/>
      <c r="EBC143" s="3579"/>
      <c r="EBD143" s="3579"/>
      <c r="EBE143" s="3579"/>
      <c r="EBF143" s="3579"/>
      <c r="EBG143" s="3579"/>
      <c r="EBH143" s="3579"/>
      <c r="EBI143" s="3579"/>
      <c r="EBJ143" s="3579"/>
      <c r="EBK143" s="3579"/>
      <c r="EBL143" s="3579"/>
      <c r="EBM143" s="3579"/>
      <c r="EBN143" s="3579"/>
      <c r="EBO143" s="3579"/>
      <c r="EBP143" s="3579"/>
      <c r="EBQ143" s="3579"/>
      <c r="EBR143" s="3579"/>
      <c r="EBS143" s="3579"/>
      <c r="EBT143" s="3579"/>
      <c r="EBU143" s="3579"/>
      <c r="EBV143" s="3579"/>
      <c r="EBW143" s="3579"/>
      <c r="EBX143" s="3579"/>
      <c r="EBY143" s="3579"/>
      <c r="EBZ143" s="3579"/>
      <c r="ECA143" s="3579"/>
      <c r="ECB143" s="3579"/>
      <c r="ECC143" s="3579"/>
      <c r="ECD143" s="3579"/>
      <c r="ECE143" s="3579"/>
      <c r="ECF143" s="3579"/>
      <c r="ECG143" s="3579"/>
      <c r="ECH143" s="3579"/>
      <c r="ECI143" s="3579"/>
      <c r="ECJ143" s="3579"/>
      <c r="ECK143" s="3579"/>
      <c r="ECL143" s="3579"/>
      <c r="ECM143" s="3579"/>
      <c r="ECN143" s="3579"/>
      <c r="ECO143" s="3579"/>
      <c r="ECP143" s="3579"/>
      <c r="ECQ143" s="3579"/>
      <c r="ECR143" s="3579"/>
      <c r="ECS143" s="3579"/>
      <c r="ECT143" s="3579"/>
      <c r="ECU143" s="3579"/>
      <c r="ECV143" s="3579"/>
      <c r="ECW143" s="3579"/>
      <c r="ECX143" s="3579"/>
      <c r="ECY143" s="3579"/>
      <c r="ECZ143" s="3579"/>
      <c r="EDA143" s="3579"/>
      <c r="EDB143" s="3579"/>
      <c r="EDC143" s="3579"/>
      <c r="EDD143" s="3579"/>
      <c r="EDE143" s="3579"/>
      <c r="EDF143" s="3579"/>
      <c r="EDG143" s="3579"/>
      <c r="EDH143" s="3579"/>
      <c r="EDI143" s="3579"/>
      <c r="EDJ143" s="3579"/>
      <c r="EDK143" s="3579"/>
      <c r="EDL143" s="3579"/>
      <c r="EDM143" s="3579"/>
      <c r="EDN143" s="3579"/>
      <c r="EDO143" s="3579"/>
      <c r="EDP143" s="3579"/>
      <c r="EDQ143" s="3579"/>
      <c r="EDR143" s="3579"/>
      <c r="EDS143" s="3579"/>
      <c r="EDT143" s="3579"/>
      <c r="EDU143" s="3579"/>
      <c r="EDV143" s="3579"/>
      <c r="EDW143" s="3579"/>
      <c r="EDX143" s="3579"/>
      <c r="EDY143" s="3579"/>
      <c r="EDZ143" s="3579"/>
      <c r="EEA143" s="3579"/>
      <c r="EEB143" s="3579"/>
      <c r="EEC143" s="3579"/>
      <c r="EED143" s="3579"/>
      <c r="EEE143" s="3579"/>
      <c r="EEF143" s="3579"/>
      <c r="EEG143" s="3579"/>
      <c r="EEH143" s="3579"/>
      <c r="EEI143" s="3579"/>
      <c r="EEJ143" s="3579"/>
      <c r="EEK143" s="3579"/>
      <c r="EEL143" s="3579"/>
      <c r="EEM143" s="3579"/>
      <c r="EEN143" s="3579"/>
      <c r="EEO143" s="3579"/>
      <c r="EEP143" s="3579"/>
      <c r="EEQ143" s="3579"/>
      <c r="EER143" s="3579"/>
      <c r="EES143" s="3579"/>
      <c r="EET143" s="3579"/>
      <c r="EEU143" s="3579"/>
      <c r="EEV143" s="3579"/>
      <c r="EEW143" s="3579"/>
      <c r="EEX143" s="3579"/>
      <c r="EEY143" s="3579"/>
      <c r="EEZ143" s="3579"/>
      <c r="EFA143" s="3579"/>
      <c r="EFB143" s="3579"/>
      <c r="EFC143" s="3579"/>
      <c r="EFD143" s="3579"/>
      <c r="EFE143" s="3579"/>
      <c r="EFF143" s="3579"/>
      <c r="EFG143" s="3579"/>
      <c r="EFH143" s="3579"/>
      <c r="EFI143" s="3579"/>
      <c r="EFJ143" s="3579"/>
      <c r="EFK143" s="3579"/>
      <c r="EFL143" s="3579"/>
      <c r="EFM143" s="3579"/>
      <c r="EFN143" s="3579"/>
      <c r="EFO143" s="3579"/>
      <c r="EFP143" s="3579"/>
      <c r="EFQ143" s="3579"/>
      <c r="EFR143" s="3579"/>
      <c r="EFS143" s="3579"/>
      <c r="EFT143" s="3579"/>
      <c r="EFU143" s="3579"/>
      <c r="EFV143" s="3579"/>
      <c r="EFW143" s="3579"/>
      <c r="EFX143" s="3579"/>
      <c r="EFY143" s="3579"/>
      <c r="EFZ143" s="3579"/>
      <c r="EGA143" s="3579"/>
      <c r="EGB143" s="3579"/>
      <c r="EGC143" s="3579"/>
      <c r="EGD143" s="3579"/>
      <c r="EGE143" s="3579"/>
      <c r="EGF143" s="3579"/>
      <c r="EGG143" s="3579"/>
      <c r="EGH143" s="3579"/>
      <c r="EGI143" s="3579"/>
      <c r="EGJ143" s="3579"/>
      <c r="EGK143" s="3579"/>
      <c r="EGL143" s="3579"/>
      <c r="EGM143" s="3579"/>
      <c r="EGN143" s="3579"/>
      <c r="EGO143" s="3579"/>
      <c r="EGP143" s="3579"/>
      <c r="EGQ143" s="3579"/>
      <c r="EGR143" s="3579"/>
      <c r="EGS143" s="3579"/>
      <c r="EGT143" s="3579"/>
      <c r="EGU143" s="3579"/>
      <c r="EGV143" s="3579"/>
      <c r="EGW143" s="3579"/>
      <c r="EGX143" s="3579"/>
      <c r="EGY143" s="3579"/>
      <c r="EGZ143" s="3579"/>
      <c r="EHA143" s="3579"/>
      <c r="EHB143" s="3579"/>
      <c r="EHC143" s="3579"/>
      <c r="EHD143" s="3579"/>
      <c r="EHE143" s="3579"/>
      <c r="EHF143" s="3579"/>
      <c r="EHG143" s="3579"/>
      <c r="EHH143" s="3579"/>
      <c r="EHI143" s="3579"/>
      <c r="EHJ143" s="3579"/>
      <c r="EHK143" s="3579"/>
      <c r="EHL143" s="3579"/>
      <c r="EHM143" s="3579"/>
      <c r="EHN143" s="3579"/>
      <c r="EHO143" s="3579"/>
      <c r="EHP143" s="3579"/>
      <c r="EHQ143" s="3579"/>
      <c r="EHR143" s="3579"/>
      <c r="EHS143" s="3579"/>
      <c r="EHT143" s="3579"/>
      <c r="EHU143" s="3579"/>
      <c r="EHV143" s="3579"/>
      <c r="EHW143" s="3579"/>
      <c r="EHX143" s="3579"/>
      <c r="EHY143" s="3579"/>
      <c r="EHZ143" s="3579"/>
      <c r="EIA143" s="3579"/>
      <c r="EIB143" s="3579"/>
      <c r="EIC143" s="3579"/>
      <c r="EID143" s="3579"/>
      <c r="EIE143" s="3579"/>
      <c r="EIF143" s="3579"/>
      <c r="EIG143" s="3579"/>
      <c r="EIH143" s="3579"/>
      <c r="EII143" s="3579"/>
      <c r="EIJ143" s="3579"/>
      <c r="EIK143" s="3579"/>
      <c r="EIL143" s="3579"/>
      <c r="EIM143" s="3579"/>
      <c r="EIN143" s="3579"/>
      <c r="EIO143" s="3579"/>
      <c r="EIP143" s="3579"/>
      <c r="EIQ143" s="3579"/>
      <c r="EIR143" s="3579"/>
      <c r="EIS143" s="3579"/>
      <c r="EIT143" s="3579"/>
      <c r="EIU143" s="3579"/>
      <c r="EIV143" s="3579"/>
      <c r="EIW143" s="3579"/>
      <c r="EIX143" s="3579"/>
      <c r="EIY143" s="3579"/>
      <c r="EIZ143" s="3579"/>
      <c r="EJA143" s="3579"/>
      <c r="EJB143" s="3579"/>
      <c r="EJC143" s="3579"/>
      <c r="EJD143" s="3579"/>
      <c r="EJE143" s="3579"/>
      <c r="EJF143" s="3579"/>
      <c r="EJG143" s="3579"/>
      <c r="EJH143" s="3579"/>
      <c r="EJI143" s="3579"/>
      <c r="EJJ143" s="3579"/>
      <c r="EJK143" s="3579"/>
      <c r="EJL143" s="3579"/>
      <c r="EJM143" s="3579"/>
      <c r="EJN143" s="3579"/>
      <c r="EJO143" s="3579"/>
      <c r="EJP143" s="3579"/>
      <c r="EJQ143" s="3579"/>
      <c r="EJR143" s="3579"/>
      <c r="EJS143" s="3579"/>
      <c r="EJT143" s="3579"/>
      <c r="EJU143" s="3579"/>
      <c r="EJV143" s="3579"/>
      <c r="EJW143" s="3579"/>
      <c r="EJX143" s="3579"/>
      <c r="EJY143" s="3579"/>
      <c r="EJZ143" s="3579"/>
      <c r="EKA143" s="3579"/>
      <c r="EKB143" s="3579"/>
      <c r="EKC143" s="3579"/>
      <c r="EKD143" s="3579"/>
      <c r="EKE143" s="3579"/>
      <c r="EKF143" s="3579"/>
      <c r="EKG143" s="3579"/>
      <c r="EKH143" s="3579"/>
      <c r="EKI143" s="3579"/>
      <c r="EKJ143" s="3579"/>
      <c r="EKK143" s="3579"/>
      <c r="EKL143" s="3579"/>
      <c r="EKM143" s="3579"/>
      <c r="EKN143" s="3579"/>
      <c r="EKO143" s="3579"/>
      <c r="EKP143" s="3579"/>
      <c r="EKQ143" s="3579"/>
      <c r="EKR143" s="3579"/>
      <c r="EKS143" s="3579"/>
      <c r="EKT143" s="3579"/>
      <c r="EKU143" s="3579"/>
      <c r="EKV143" s="3579"/>
      <c r="EKW143" s="3579"/>
      <c r="EKX143" s="3579"/>
      <c r="EKY143" s="3579"/>
      <c r="EKZ143" s="3579"/>
      <c r="ELA143" s="3579"/>
      <c r="ELB143" s="3579"/>
      <c r="ELC143" s="3579"/>
      <c r="ELD143" s="3579"/>
      <c r="ELE143" s="3579"/>
      <c r="ELF143" s="3579"/>
      <c r="ELG143" s="3579"/>
      <c r="ELH143" s="3579"/>
      <c r="ELI143" s="3579"/>
      <c r="ELJ143" s="3579"/>
      <c r="ELK143" s="3579"/>
      <c r="ELL143" s="3579"/>
      <c r="ELM143" s="3579"/>
      <c r="ELN143" s="3579"/>
      <c r="ELO143" s="3579"/>
      <c r="ELP143" s="3579"/>
      <c r="ELQ143" s="3579"/>
      <c r="ELR143" s="3579"/>
      <c r="ELS143" s="3579"/>
      <c r="ELT143" s="3579"/>
      <c r="ELU143" s="3579"/>
      <c r="ELV143" s="3579"/>
      <c r="ELW143" s="3579"/>
      <c r="ELX143" s="3579"/>
      <c r="ELY143" s="3579"/>
      <c r="ELZ143" s="3579"/>
      <c r="EMA143" s="3579"/>
      <c r="EMB143" s="3579"/>
      <c r="EMC143" s="3579"/>
      <c r="EMD143" s="3579"/>
      <c r="EME143" s="3579"/>
      <c r="EMF143" s="3579"/>
      <c r="EMG143" s="3579"/>
      <c r="EMH143" s="3579"/>
      <c r="EMI143" s="3579"/>
      <c r="EMJ143" s="3579"/>
      <c r="EMK143" s="3579"/>
      <c r="EML143" s="3579"/>
      <c r="EMM143" s="3579"/>
      <c r="EMN143" s="3579"/>
      <c r="EMO143" s="3579"/>
      <c r="EMP143" s="3579"/>
      <c r="EMQ143" s="3579"/>
      <c r="EMR143" s="3579"/>
      <c r="EMS143" s="3579"/>
      <c r="EMT143" s="3579"/>
      <c r="EMU143" s="3579"/>
      <c r="EMV143" s="3579"/>
      <c r="EMW143" s="3579"/>
      <c r="EMX143" s="3579"/>
      <c r="EMY143" s="3579"/>
      <c r="EMZ143" s="3579"/>
      <c r="ENA143" s="3579"/>
      <c r="ENB143" s="3579"/>
      <c r="ENC143" s="3579"/>
      <c r="END143" s="3579"/>
      <c r="ENE143" s="3579"/>
      <c r="ENF143" s="3579"/>
      <c r="ENG143" s="3579"/>
      <c r="ENH143" s="3579"/>
      <c r="ENI143" s="3579"/>
      <c r="ENJ143" s="3579"/>
      <c r="ENK143" s="3579"/>
      <c r="ENL143" s="3579"/>
      <c r="ENM143" s="3579"/>
      <c r="ENN143" s="3579"/>
      <c r="ENO143" s="3579"/>
      <c r="ENP143" s="3579"/>
      <c r="ENQ143" s="3579"/>
      <c r="ENR143" s="3579"/>
      <c r="ENS143" s="3579"/>
      <c r="ENT143" s="3579"/>
      <c r="ENU143" s="3579"/>
      <c r="ENV143" s="3579"/>
      <c r="ENW143" s="3579"/>
      <c r="ENX143" s="3579"/>
      <c r="ENY143" s="3579"/>
      <c r="ENZ143" s="3579"/>
      <c r="EOA143" s="3579"/>
      <c r="EOB143" s="3579"/>
      <c r="EOC143" s="3579"/>
      <c r="EOD143" s="3579"/>
      <c r="EOE143" s="3579"/>
      <c r="EOF143" s="3579"/>
      <c r="EOG143" s="3579"/>
      <c r="EOH143" s="3579"/>
      <c r="EOI143" s="3579"/>
      <c r="EOJ143" s="3579"/>
      <c r="EOK143" s="3579"/>
      <c r="EOL143" s="3579"/>
      <c r="EOM143" s="3579"/>
      <c r="EON143" s="3579"/>
      <c r="EOO143" s="3579"/>
      <c r="EOP143" s="3579"/>
      <c r="EOQ143" s="3579"/>
      <c r="EOR143" s="3579"/>
      <c r="EOS143" s="3579"/>
      <c r="EOT143" s="3579"/>
      <c r="EOU143" s="3579"/>
      <c r="EOV143" s="3579"/>
      <c r="EOW143" s="3579"/>
      <c r="EOX143" s="3579"/>
      <c r="EOY143" s="3579"/>
      <c r="EOZ143" s="3579"/>
      <c r="EPA143" s="3579"/>
      <c r="EPB143" s="3579"/>
      <c r="EPC143" s="3579"/>
      <c r="EPD143" s="3579"/>
      <c r="EPE143" s="3579"/>
      <c r="EPF143" s="3579"/>
      <c r="EPG143" s="3579"/>
      <c r="EPH143" s="3579"/>
      <c r="EPI143" s="3579"/>
      <c r="EPJ143" s="3579"/>
      <c r="EPK143" s="3579"/>
      <c r="EPL143" s="3579"/>
      <c r="EPM143" s="3579"/>
      <c r="EPN143" s="3579"/>
      <c r="EPO143" s="3579"/>
      <c r="EPP143" s="3579"/>
      <c r="EPQ143" s="3579"/>
      <c r="EPR143" s="3579"/>
      <c r="EPS143" s="3579"/>
      <c r="EPT143" s="3579"/>
      <c r="EPU143" s="3579"/>
      <c r="EPV143" s="3579"/>
      <c r="EPW143" s="3579"/>
      <c r="EPX143" s="3579"/>
      <c r="EPY143" s="3579"/>
      <c r="EPZ143" s="3579"/>
      <c r="EQA143" s="3579"/>
      <c r="EQB143" s="3579"/>
      <c r="EQC143" s="3579"/>
      <c r="EQD143" s="3579"/>
      <c r="EQE143" s="3579"/>
      <c r="EQF143" s="3579"/>
      <c r="EQG143" s="3579"/>
      <c r="EQH143" s="3579"/>
      <c r="EQI143" s="3579"/>
      <c r="EQJ143" s="3579"/>
      <c r="EQK143" s="3579"/>
      <c r="EQL143" s="3579"/>
      <c r="EQM143" s="3579"/>
      <c r="EQN143" s="3579"/>
      <c r="EQO143" s="3579"/>
      <c r="EQP143" s="3579"/>
      <c r="EQQ143" s="3579"/>
      <c r="EQR143" s="3579"/>
      <c r="EQS143" s="3579"/>
      <c r="EQT143" s="3579"/>
      <c r="EQU143" s="3579"/>
      <c r="EQV143" s="3579"/>
      <c r="EQW143" s="3579"/>
      <c r="EQX143" s="3579"/>
      <c r="EQY143" s="3579"/>
      <c r="EQZ143" s="3579"/>
      <c r="ERA143" s="3579"/>
      <c r="ERB143" s="3579"/>
      <c r="ERC143" s="3579"/>
      <c r="ERD143" s="3579"/>
      <c r="ERE143" s="3579"/>
      <c r="ERF143" s="3579"/>
      <c r="ERG143" s="3579"/>
      <c r="ERH143" s="3579"/>
      <c r="ERI143" s="3579"/>
      <c r="ERJ143" s="3579"/>
      <c r="ERK143" s="3579"/>
      <c r="ERL143" s="3579"/>
      <c r="ERM143" s="3579"/>
      <c r="ERN143" s="3579"/>
      <c r="ERO143" s="3579"/>
      <c r="ERP143" s="3579"/>
      <c r="ERQ143" s="3579"/>
      <c r="ERR143" s="3579"/>
      <c r="ERS143" s="3579"/>
      <c r="ERT143" s="3579"/>
      <c r="ERU143" s="3579"/>
      <c r="ERV143" s="3579"/>
      <c r="ERW143" s="3579"/>
      <c r="ERX143" s="3579"/>
      <c r="ERY143" s="3579"/>
      <c r="ERZ143" s="3579"/>
      <c r="ESA143" s="3579"/>
      <c r="ESB143" s="3579"/>
      <c r="ESC143" s="3579"/>
      <c r="ESD143" s="3579"/>
      <c r="ESE143" s="3579"/>
      <c r="ESF143" s="3579"/>
      <c r="ESG143" s="3579"/>
      <c r="ESH143" s="3579"/>
      <c r="ESI143" s="3579"/>
      <c r="ESJ143" s="3579"/>
      <c r="ESK143" s="3579"/>
      <c r="ESL143" s="3579"/>
      <c r="ESM143" s="3579"/>
      <c r="ESN143" s="3579"/>
      <c r="ESO143" s="3579"/>
      <c r="ESP143" s="3579"/>
      <c r="ESQ143" s="3579"/>
      <c r="ESR143" s="3579"/>
      <c r="ESS143" s="3579"/>
      <c r="EST143" s="3579"/>
      <c r="ESU143" s="3579"/>
      <c r="ESV143" s="3579"/>
      <c r="ESW143" s="3579"/>
      <c r="ESX143" s="3579"/>
      <c r="ESY143" s="3579"/>
      <c r="ESZ143" s="3579"/>
      <c r="ETA143" s="3579"/>
      <c r="ETB143" s="3579"/>
      <c r="ETC143" s="3579"/>
      <c r="ETD143" s="3579"/>
      <c r="ETE143" s="3579"/>
      <c r="ETF143" s="3579"/>
      <c r="ETG143" s="3579"/>
      <c r="ETH143" s="3579"/>
      <c r="ETI143" s="3579"/>
      <c r="ETJ143" s="3579"/>
      <c r="ETK143" s="3579"/>
      <c r="ETL143" s="3579"/>
      <c r="ETM143" s="3579"/>
      <c r="ETN143" s="3579"/>
      <c r="ETO143" s="3579"/>
      <c r="ETP143" s="3579"/>
      <c r="ETQ143" s="3579"/>
      <c r="ETR143" s="3579"/>
      <c r="ETS143" s="3579"/>
      <c r="ETT143" s="3579"/>
      <c r="ETU143" s="3579"/>
      <c r="ETV143" s="3579"/>
      <c r="ETW143" s="3579"/>
      <c r="ETX143" s="3579"/>
      <c r="ETY143" s="3579"/>
      <c r="ETZ143" s="3579"/>
      <c r="EUA143" s="3579"/>
      <c r="EUB143" s="3579"/>
      <c r="EUC143" s="3579"/>
      <c r="EUD143" s="3579"/>
      <c r="EUE143" s="3579"/>
      <c r="EUF143" s="3579"/>
      <c r="EUG143" s="3579"/>
      <c r="EUH143" s="3579"/>
      <c r="EUI143" s="3579"/>
      <c r="EUJ143" s="3579"/>
      <c r="EUK143" s="3579"/>
      <c r="EUL143" s="3579"/>
      <c r="EUM143" s="3579"/>
      <c r="EUN143" s="3579"/>
      <c r="EUO143" s="3579"/>
      <c r="EUP143" s="3579"/>
      <c r="EUQ143" s="3579"/>
      <c r="EUR143" s="3579"/>
      <c r="EUS143" s="3579"/>
      <c r="EUT143" s="3579"/>
      <c r="EUU143" s="3579"/>
      <c r="EUV143" s="3579"/>
      <c r="EUW143" s="3579"/>
      <c r="EUX143" s="3579"/>
      <c r="EUY143" s="3579"/>
      <c r="EUZ143" s="3579"/>
      <c r="EVA143" s="3579"/>
      <c r="EVB143" s="3579"/>
      <c r="EVC143" s="3579"/>
      <c r="EVD143" s="3579"/>
      <c r="EVE143" s="3579"/>
      <c r="EVF143" s="3579"/>
      <c r="EVG143" s="3579"/>
      <c r="EVH143" s="3579"/>
      <c r="EVI143" s="3579"/>
      <c r="EVJ143" s="3579"/>
      <c r="EVK143" s="3579"/>
      <c r="EVL143" s="3579"/>
      <c r="EVM143" s="3579"/>
      <c r="EVN143" s="3579"/>
      <c r="EVO143" s="3579"/>
      <c r="EVP143" s="3579"/>
      <c r="EVQ143" s="3579"/>
      <c r="EVR143" s="3579"/>
      <c r="EVS143" s="3579"/>
      <c r="EVT143" s="3579"/>
      <c r="EVU143" s="3579"/>
      <c r="EVV143" s="3579"/>
      <c r="EVW143" s="3579"/>
      <c r="EVX143" s="3579"/>
      <c r="EVY143" s="3579"/>
      <c r="EVZ143" s="3579"/>
      <c r="EWA143" s="3579"/>
      <c r="EWB143" s="3579"/>
      <c r="EWC143" s="3579"/>
      <c r="EWD143" s="3579"/>
      <c r="EWE143" s="3579"/>
      <c r="EWF143" s="3579"/>
      <c r="EWG143" s="3579"/>
      <c r="EWH143" s="3579"/>
      <c r="EWI143" s="3579"/>
      <c r="EWJ143" s="3579"/>
      <c r="EWK143" s="3579"/>
      <c r="EWL143" s="3579"/>
      <c r="EWM143" s="3579"/>
      <c r="EWN143" s="3579"/>
      <c r="EWO143" s="3579"/>
      <c r="EWP143" s="3579"/>
      <c r="EWQ143" s="3579"/>
      <c r="EWR143" s="3579"/>
      <c r="EWS143" s="3579"/>
      <c r="EWT143" s="3579"/>
      <c r="EWU143" s="3579"/>
      <c r="EWV143" s="3579"/>
      <c r="EWW143" s="3579"/>
      <c r="EWX143" s="3579"/>
      <c r="EWY143" s="3579"/>
      <c r="EWZ143" s="3579"/>
      <c r="EXA143" s="3579"/>
      <c r="EXB143" s="3579"/>
      <c r="EXC143" s="3579"/>
      <c r="EXD143" s="3579"/>
      <c r="EXE143" s="3579"/>
      <c r="EXF143" s="3579"/>
      <c r="EXG143" s="3579"/>
      <c r="EXH143" s="3579"/>
      <c r="EXI143" s="3579"/>
      <c r="EXJ143" s="3579"/>
      <c r="EXK143" s="3579"/>
      <c r="EXL143" s="3579"/>
      <c r="EXM143" s="3579"/>
      <c r="EXN143" s="3579"/>
      <c r="EXO143" s="3579"/>
      <c r="EXP143" s="3579"/>
      <c r="EXQ143" s="3579"/>
      <c r="EXR143" s="3579"/>
      <c r="EXS143" s="3579"/>
      <c r="EXT143" s="3579"/>
      <c r="EXU143" s="3579"/>
      <c r="EXV143" s="3579"/>
      <c r="EXW143" s="3579"/>
      <c r="EXX143" s="3579"/>
      <c r="EXY143" s="3579"/>
      <c r="EXZ143" s="3579"/>
      <c r="EYA143" s="3579"/>
      <c r="EYB143" s="3579"/>
      <c r="EYC143" s="3579"/>
      <c r="EYD143" s="3579"/>
      <c r="EYE143" s="3579"/>
      <c r="EYF143" s="3579"/>
      <c r="EYG143" s="3579"/>
      <c r="EYH143" s="3579"/>
      <c r="EYI143" s="3579"/>
      <c r="EYJ143" s="3579"/>
      <c r="EYK143" s="3579"/>
      <c r="EYL143" s="3579"/>
      <c r="EYM143" s="3579"/>
      <c r="EYN143" s="3579"/>
      <c r="EYO143" s="3579"/>
      <c r="EYP143" s="3579"/>
      <c r="EYQ143" s="3579"/>
      <c r="EYR143" s="3579"/>
      <c r="EYS143" s="3579"/>
      <c r="EYT143" s="3579"/>
      <c r="EYU143" s="3579"/>
      <c r="EYV143" s="3579"/>
      <c r="EYW143" s="3579"/>
      <c r="EYX143" s="3579"/>
      <c r="EYY143" s="3579"/>
      <c r="EYZ143" s="3579"/>
      <c r="EZA143" s="3579"/>
      <c r="EZB143" s="3579"/>
      <c r="EZC143" s="3579"/>
      <c r="EZD143" s="3579"/>
      <c r="EZE143" s="3579"/>
      <c r="EZF143" s="3579"/>
      <c r="EZG143" s="3579"/>
      <c r="EZH143" s="3579"/>
      <c r="EZI143" s="3579"/>
      <c r="EZJ143" s="3579"/>
      <c r="EZK143" s="3579"/>
      <c r="EZL143" s="3579"/>
      <c r="EZM143" s="3579"/>
      <c r="EZN143" s="3579"/>
      <c r="EZO143" s="3579"/>
      <c r="EZP143" s="3579"/>
      <c r="EZQ143" s="3579"/>
      <c r="EZR143" s="3579"/>
      <c r="EZS143" s="3579"/>
      <c r="EZT143" s="3579"/>
      <c r="EZU143" s="3579"/>
      <c r="EZV143" s="3579"/>
      <c r="EZW143" s="3579"/>
      <c r="EZX143" s="3579"/>
      <c r="EZY143" s="3579"/>
      <c r="EZZ143" s="3579"/>
      <c r="FAA143" s="3579"/>
      <c r="FAB143" s="3579"/>
      <c r="FAC143" s="3579"/>
      <c r="FAD143" s="3579"/>
      <c r="FAE143" s="3579"/>
      <c r="FAF143" s="3579"/>
      <c r="FAG143" s="3579"/>
      <c r="FAH143" s="3579"/>
      <c r="FAI143" s="3579"/>
      <c r="FAJ143" s="3579"/>
      <c r="FAK143" s="3579"/>
      <c r="FAL143" s="3579"/>
      <c r="FAM143" s="3579"/>
      <c r="FAN143" s="3579"/>
      <c r="FAO143" s="3579"/>
      <c r="FAP143" s="3579"/>
      <c r="FAQ143" s="3579"/>
      <c r="FAR143" s="3579"/>
      <c r="FAS143" s="3579"/>
      <c r="FAT143" s="3579"/>
      <c r="FAU143" s="3579"/>
      <c r="FAV143" s="3579"/>
      <c r="FAW143" s="3579"/>
      <c r="FAX143" s="3579"/>
      <c r="FAY143" s="3579"/>
      <c r="FAZ143" s="3579"/>
      <c r="FBA143" s="3579"/>
      <c r="FBB143" s="3579"/>
      <c r="FBC143" s="3579"/>
      <c r="FBD143" s="3579"/>
      <c r="FBE143" s="3579"/>
      <c r="FBF143" s="3579"/>
      <c r="FBG143" s="3579"/>
      <c r="FBH143" s="3579"/>
      <c r="FBI143" s="3579"/>
      <c r="FBJ143" s="3579"/>
      <c r="FBK143" s="3579"/>
      <c r="FBL143" s="3579"/>
      <c r="FBM143" s="3579"/>
      <c r="FBN143" s="3579"/>
      <c r="FBO143" s="3579"/>
      <c r="FBP143" s="3579"/>
      <c r="FBQ143" s="3579"/>
      <c r="FBR143" s="3579"/>
      <c r="FBS143" s="3579"/>
      <c r="FBT143" s="3579"/>
      <c r="FBU143" s="3579"/>
      <c r="FBV143" s="3579"/>
      <c r="FBW143" s="3579"/>
      <c r="FBX143" s="3579"/>
      <c r="FBY143" s="3579"/>
      <c r="FBZ143" s="3579"/>
      <c r="FCA143" s="3579"/>
      <c r="FCB143" s="3579"/>
      <c r="FCC143" s="3579"/>
      <c r="FCD143" s="3579"/>
      <c r="FCE143" s="3579"/>
      <c r="FCF143" s="3579"/>
      <c r="FCG143" s="3579"/>
      <c r="FCH143" s="3579"/>
      <c r="FCI143" s="3579"/>
      <c r="FCJ143" s="3579"/>
      <c r="FCK143" s="3579"/>
      <c r="FCL143" s="3579"/>
      <c r="FCM143" s="3579"/>
      <c r="FCN143" s="3579"/>
      <c r="FCO143" s="3579"/>
      <c r="FCP143" s="3579"/>
      <c r="FCQ143" s="3579"/>
      <c r="FCR143" s="3579"/>
      <c r="FCS143" s="3579"/>
      <c r="FCT143" s="3579"/>
      <c r="FCU143" s="3579"/>
      <c r="FCV143" s="3579"/>
      <c r="FCW143" s="3579"/>
      <c r="FCX143" s="3579"/>
      <c r="FCY143" s="3579"/>
      <c r="FCZ143" s="3579"/>
      <c r="FDA143" s="3579"/>
      <c r="FDB143" s="3579"/>
      <c r="FDC143" s="3579"/>
      <c r="FDD143" s="3579"/>
      <c r="FDE143" s="3579"/>
      <c r="FDF143" s="3579"/>
      <c r="FDG143" s="3579"/>
      <c r="FDH143" s="3579"/>
      <c r="FDI143" s="3579"/>
      <c r="FDJ143" s="3579"/>
      <c r="FDK143" s="3579"/>
      <c r="FDL143" s="3579"/>
      <c r="FDM143" s="3579"/>
      <c r="FDN143" s="3579"/>
      <c r="FDO143" s="3579"/>
      <c r="FDP143" s="3579"/>
      <c r="FDQ143" s="3579"/>
      <c r="FDR143" s="3579"/>
      <c r="FDS143" s="3579"/>
      <c r="FDT143" s="3579"/>
      <c r="FDU143" s="3579"/>
      <c r="FDV143" s="3579"/>
      <c r="FDW143" s="3579"/>
      <c r="FDX143" s="3579"/>
      <c r="FDY143" s="3579"/>
      <c r="FDZ143" s="3579"/>
      <c r="FEA143" s="3579"/>
      <c r="FEB143" s="3579"/>
      <c r="FEC143" s="3579"/>
      <c r="FED143" s="3579"/>
      <c r="FEE143" s="3579"/>
      <c r="FEF143" s="3579"/>
      <c r="FEG143" s="3579"/>
      <c r="FEH143" s="3579"/>
      <c r="FEI143" s="3579"/>
      <c r="FEJ143" s="3579"/>
      <c r="FEK143" s="3579"/>
      <c r="FEL143" s="3579"/>
      <c r="FEM143" s="3579"/>
      <c r="FEN143" s="3579"/>
      <c r="FEO143" s="3579"/>
      <c r="FEP143" s="3579"/>
      <c r="FEQ143" s="3579"/>
      <c r="FER143" s="3579"/>
      <c r="FES143" s="3579"/>
      <c r="FET143" s="3579"/>
      <c r="FEU143" s="3579"/>
      <c r="FEV143" s="3579"/>
      <c r="FEW143" s="3579"/>
      <c r="FEX143" s="3579"/>
      <c r="FEY143" s="3579"/>
      <c r="FEZ143" s="3579"/>
      <c r="FFA143" s="3579"/>
      <c r="FFB143" s="3579"/>
      <c r="FFC143" s="3579"/>
      <c r="FFD143" s="3579"/>
      <c r="FFE143" s="3579"/>
      <c r="FFF143" s="3579"/>
      <c r="FFG143" s="3579"/>
      <c r="FFH143" s="3579"/>
      <c r="FFI143" s="3579"/>
      <c r="FFJ143" s="3579"/>
      <c r="FFK143" s="3579"/>
      <c r="FFL143" s="3579"/>
      <c r="FFM143" s="3579"/>
      <c r="FFN143" s="3579"/>
      <c r="FFO143" s="3579"/>
      <c r="FFP143" s="3579"/>
      <c r="FFQ143" s="3579"/>
      <c r="FFR143" s="3579"/>
      <c r="FFS143" s="3579"/>
      <c r="FFT143" s="3579"/>
      <c r="FFU143" s="3579"/>
      <c r="FFV143" s="3579"/>
      <c r="FFW143" s="3579"/>
      <c r="FFX143" s="3579"/>
      <c r="FFY143" s="3579"/>
      <c r="FFZ143" s="3579"/>
      <c r="FGA143" s="3579"/>
      <c r="FGB143" s="3579"/>
      <c r="FGC143" s="3579"/>
      <c r="FGD143" s="3579"/>
      <c r="FGE143" s="3579"/>
      <c r="FGF143" s="3579"/>
      <c r="FGG143" s="3579"/>
      <c r="FGH143" s="3579"/>
      <c r="FGI143" s="3579"/>
      <c r="FGJ143" s="3579"/>
      <c r="FGK143" s="3579"/>
      <c r="FGL143" s="3579"/>
      <c r="FGM143" s="3579"/>
      <c r="FGN143" s="3579"/>
      <c r="FGO143" s="3579"/>
      <c r="FGP143" s="3579"/>
      <c r="FGQ143" s="3579"/>
      <c r="FGR143" s="3579"/>
      <c r="FGS143" s="3579"/>
      <c r="FGT143" s="3579"/>
      <c r="FGU143" s="3579"/>
      <c r="FGV143" s="3579"/>
      <c r="FGW143" s="3579"/>
      <c r="FGX143" s="3579"/>
      <c r="FGY143" s="3579"/>
      <c r="FGZ143" s="3579"/>
      <c r="FHA143" s="3579"/>
      <c r="FHB143" s="3579"/>
      <c r="FHC143" s="3579"/>
      <c r="FHD143" s="3579"/>
      <c r="FHE143" s="3579"/>
      <c r="FHF143" s="3579"/>
      <c r="FHG143" s="3579"/>
      <c r="FHH143" s="3579"/>
      <c r="FHI143" s="3579"/>
      <c r="FHJ143" s="3579"/>
      <c r="FHK143" s="3579"/>
      <c r="FHL143" s="3579"/>
      <c r="FHM143" s="3579"/>
      <c r="FHN143" s="3579"/>
      <c r="FHO143" s="3579"/>
      <c r="FHP143" s="3579"/>
      <c r="FHQ143" s="3579"/>
      <c r="FHR143" s="3579"/>
      <c r="FHS143" s="3579"/>
      <c r="FHT143" s="3579"/>
      <c r="FHU143" s="3579"/>
      <c r="FHV143" s="3579"/>
      <c r="FHW143" s="3579"/>
      <c r="FHX143" s="3579"/>
      <c r="FHY143" s="3579"/>
      <c r="FHZ143" s="3579"/>
      <c r="FIA143" s="3579"/>
      <c r="FIB143" s="3579"/>
      <c r="FIC143" s="3579"/>
      <c r="FID143" s="3579"/>
      <c r="FIE143" s="3579"/>
      <c r="FIF143" s="3579"/>
      <c r="FIG143" s="3579"/>
      <c r="FIH143" s="3579"/>
      <c r="FII143" s="3579"/>
      <c r="FIJ143" s="3579"/>
      <c r="FIK143" s="3579"/>
      <c r="FIL143" s="3579"/>
      <c r="FIM143" s="3579"/>
      <c r="FIN143" s="3579"/>
      <c r="FIO143" s="3579"/>
      <c r="FIP143" s="3579"/>
      <c r="FIQ143" s="3579"/>
      <c r="FIR143" s="3579"/>
      <c r="FIS143" s="3579"/>
      <c r="FIT143" s="3579"/>
      <c r="FIU143" s="3579"/>
      <c r="FIV143" s="3579"/>
      <c r="FIW143" s="3579"/>
      <c r="FIX143" s="3579"/>
      <c r="FIY143" s="3579"/>
      <c r="FIZ143" s="3579"/>
      <c r="FJA143" s="3579"/>
      <c r="FJB143" s="3579"/>
      <c r="FJC143" s="3579"/>
      <c r="FJD143" s="3579"/>
      <c r="FJE143" s="3579"/>
      <c r="FJF143" s="3579"/>
      <c r="FJG143" s="3579"/>
      <c r="FJH143" s="3579"/>
      <c r="FJI143" s="3579"/>
      <c r="FJJ143" s="3579"/>
      <c r="FJK143" s="3579"/>
      <c r="FJL143" s="3579"/>
      <c r="FJM143" s="3579"/>
      <c r="FJN143" s="3579"/>
      <c r="FJO143" s="3579"/>
      <c r="FJP143" s="3579"/>
      <c r="FJQ143" s="3579"/>
      <c r="FJR143" s="3579"/>
      <c r="FJS143" s="3579"/>
      <c r="FJT143" s="3579"/>
      <c r="FJU143" s="3579"/>
      <c r="FJV143" s="3579"/>
      <c r="FJW143" s="3579"/>
      <c r="FJX143" s="3579"/>
      <c r="FJY143" s="3579"/>
      <c r="FJZ143" s="3579"/>
      <c r="FKA143" s="3579"/>
      <c r="FKB143" s="3579"/>
      <c r="FKC143" s="3579"/>
      <c r="FKD143" s="3579"/>
      <c r="FKE143" s="3579"/>
      <c r="FKF143" s="3579"/>
      <c r="FKG143" s="3579"/>
      <c r="FKH143" s="3579"/>
      <c r="FKI143" s="3579"/>
      <c r="FKJ143" s="3579"/>
      <c r="FKK143" s="3579"/>
      <c r="FKL143" s="3579"/>
      <c r="FKM143" s="3579"/>
      <c r="FKN143" s="3579"/>
      <c r="FKO143" s="3579"/>
      <c r="FKP143" s="3579"/>
      <c r="FKQ143" s="3579"/>
      <c r="FKR143" s="3579"/>
      <c r="FKS143" s="3579"/>
      <c r="FKT143" s="3579"/>
      <c r="FKU143" s="3579"/>
      <c r="FKV143" s="3579"/>
      <c r="FKW143" s="3579"/>
      <c r="FKX143" s="3579"/>
      <c r="FKY143" s="3579"/>
      <c r="FKZ143" s="3579"/>
      <c r="FLA143" s="3579"/>
      <c r="FLB143" s="3579"/>
      <c r="FLC143" s="3579"/>
      <c r="FLD143" s="3579"/>
      <c r="FLE143" s="3579"/>
      <c r="FLF143" s="3579"/>
      <c r="FLG143" s="3579"/>
      <c r="FLH143" s="3579"/>
      <c r="FLI143" s="3579"/>
      <c r="FLJ143" s="3579"/>
      <c r="FLK143" s="3579"/>
      <c r="FLL143" s="3579"/>
      <c r="FLM143" s="3579"/>
      <c r="FLN143" s="3579"/>
      <c r="FLO143" s="3579"/>
      <c r="FLP143" s="3579"/>
      <c r="FLQ143" s="3579"/>
      <c r="FLR143" s="3579"/>
      <c r="FLS143" s="3579"/>
      <c r="FLT143" s="3579"/>
      <c r="FLU143" s="3579"/>
      <c r="FLV143" s="3579"/>
      <c r="FLW143" s="3579"/>
      <c r="FLX143" s="3579"/>
      <c r="FLY143" s="3579"/>
      <c r="FLZ143" s="3579"/>
      <c r="FMA143" s="3579"/>
      <c r="FMB143" s="3579"/>
      <c r="FMC143" s="3579"/>
      <c r="FMD143" s="3579"/>
      <c r="FME143" s="3579"/>
      <c r="FMF143" s="3579"/>
      <c r="FMG143" s="3579"/>
      <c r="FMH143" s="3579"/>
      <c r="FMI143" s="3579"/>
      <c r="FMJ143" s="3579"/>
      <c r="FMK143" s="3579"/>
      <c r="FML143" s="3579"/>
      <c r="FMM143" s="3579"/>
      <c r="FMN143" s="3579"/>
      <c r="FMO143" s="3579"/>
      <c r="FMP143" s="3579"/>
      <c r="FMQ143" s="3579"/>
      <c r="FMR143" s="3579"/>
      <c r="FMS143" s="3579"/>
      <c r="FMT143" s="3579"/>
      <c r="FMU143" s="3579"/>
      <c r="FMV143" s="3579"/>
      <c r="FMW143" s="3579"/>
      <c r="FMX143" s="3579"/>
      <c r="FMY143" s="3579"/>
      <c r="FMZ143" s="3579"/>
      <c r="FNA143" s="3579"/>
      <c r="FNB143" s="3579"/>
      <c r="FNC143" s="3579"/>
      <c r="FND143" s="3579"/>
      <c r="FNE143" s="3579"/>
      <c r="FNF143" s="3579"/>
      <c r="FNG143" s="3579"/>
      <c r="FNH143" s="3579"/>
      <c r="FNI143" s="3579"/>
      <c r="FNJ143" s="3579"/>
      <c r="FNK143" s="3579"/>
      <c r="FNL143" s="3579"/>
      <c r="FNM143" s="3579"/>
      <c r="FNN143" s="3579"/>
      <c r="FNO143" s="3579"/>
      <c r="FNP143" s="3579"/>
      <c r="FNQ143" s="3579"/>
      <c r="FNR143" s="3579"/>
      <c r="FNS143" s="3579"/>
      <c r="FNT143" s="3579"/>
      <c r="FNU143" s="3579"/>
      <c r="FNV143" s="3579"/>
      <c r="FNW143" s="3579"/>
      <c r="FNX143" s="3579"/>
      <c r="FNY143" s="3579"/>
      <c r="FNZ143" s="3579"/>
      <c r="FOA143" s="3579"/>
      <c r="FOB143" s="3579"/>
      <c r="FOC143" s="3579"/>
      <c r="FOD143" s="3579"/>
      <c r="FOE143" s="3579"/>
      <c r="FOF143" s="3579"/>
      <c r="FOG143" s="3579"/>
      <c r="FOH143" s="3579"/>
      <c r="FOI143" s="3579"/>
      <c r="FOJ143" s="3579"/>
      <c r="FOK143" s="3579"/>
      <c r="FOL143" s="3579"/>
      <c r="FOM143" s="3579"/>
      <c r="FON143" s="3579"/>
      <c r="FOO143" s="3579"/>
      <c r="FOP143" s="3579"/>
      <c r="FOQ143" s="3579"/>
      <c r="FOR143" s="3579"/>
      <c r="FOS143" s="3579"/>
      <c r="FOT143" s="3579"/>
      <c r="FOU143" s="3579"/>
      <c r="FOV143" s="3579"/>
      <c r="FOW143" s="3579"/>
      <c r="FOX143" s="3579"/>
      <c r="FOY143" s="3579"/>
      <c r="FOZ143" s="3579"/>
      <c r="FPA143" s="3579"/>
      <c r="FPB143" s="3579"/>
      <c r="FPC143" s="3579"/>
      <c r="FPD143" s="3579"/>
      <c r="FPE143" s="3579"/>
      <c r="FPF143" s="3579"/>
      <c r="FPG143" s="3579"/>
      <c r="FPH143" s="3579"/>
      <c r="FPI143" s="3579"/>
      <c r="FPJ143" s="3579"/>
      <c r="FPK143" s="3579"/>
      <c r="FPL143" s="3579"/>
      <c r="FPM143" s="3579"/>
      <c r="FPN143" s="3579"/>
      <c r="FPO143" s="3579"/>
      <c r="FPP143" s="3579"/>
      <c r="FPQ143" s="3579"/>
      <c r="FPR143" s="3579"/>
      <c r="FPS143" s="3579"/>
      <c r="FPT143" s="3579"/>
      <c r="FPU143" s="3579"/>
      <c r="FPV143" s="3579"/>
      <c r="FPW143" s="3579"/>
      <c r="FPX143" s="3579"/>
      <c r="FPY143" s="3579"/>
      <c r="FPZ143" s="3579"/>
      <c r="FQA143" s="3579"/>
      <c r="FQB143" s="3579"/>
      <c r="FQC143" s="3579"/>
      <c r="FQD143" s="3579"/>
      <c r="FQE143" s="3579"/>
      <c r="FQF143" s="3579"/>
      <c r="FQG143" s="3579"/>
      <c r="FQH143" s="3579"/>
      <c r="FQI143" s="3579"/>
      <c r="FQJ143" s="3579"/>
      <c r="FQK143" s="3579"/>
      <c r="FQL143" s="3579"/>
      <c r="FQM143" s="3579"/>
      <c r="FQN143" s="3579"/>
      <c r="FQO143" s="3579"/>
      <c r="FQP143" s="3579"/>
      <c r="FQQ143" s="3579"/>
      <c r="FQR143" s="3579"/>
      <c r="FQS143" s="3579"/>
      <c r="FQT143" s="3579"/>
      <c r="FQU143" s="3579"/>
      <c r="FQV143" s="3579"/>
      <c r="FQW143" s="3579"/>
      <c r="FQX143" s="3579"/>
      <c r="FQY143" s="3579"/>
      <c r="FQZ143" s="3579"/>
      <c r="FRA143" s="3579"/>
      <c r="FRB143" s="3579"/>
      <c r="FRC143" s="3579"/>
      <c r="FRD143" s="3579"/>
      <c r="FRE143" s="3579"/>
      <c r="FRF143" s="3579"/>
      <c r="FRG143" s="3579"/>
      <c r="FRH143" s="3579"/>
      <c r="FRI143" s="3579"/>
      <c r="FRJ143" s="3579"/>
      <c r="FRK143" s="3579"/>
      <c r="FRL143" s="3579"/>
      <c r="FRM143" s="3579"/>
      <c r="FRN143" s="3579"/>
      <c r="FRO143" s="3579"/>
      <c r="FRP143" s="3579"/>
      <c r="FRQ143" s="3579"/>
      <c r="FRR143" s="3579"/>
      <c r="FRS143" s="3579"/>
      <c r="FRT143" s="3579"/>
      <c r="FRU143" s="3579"/>
      <c r="FRV143" s="3579"/>
      <c r="FRW143" s="3579"/>
      <c r="FRX143" s="3579"/>
      <c r="FRY143" s="3579"/>
      <c r="FRZ143" s="3579"/>
      <c r="FSA143" s="3579"/>
      <c r="FSB143" s="3579"/>
      <c r="FSC143" s="3579"/>
      <c r="FSD143" s="3579"/>
      <c r="FSE143" s="3579"/>
      <c r="FSF143" s="3579"/>
      <c r="FSG143" s="3579"/>
      <c r="FSH143" s="3579"/>
      <c r="FSI143" s="3579"/>
      <c r="FSJ143" s="3579"/>
      <c r="FSK143" s="3579"/>
      <c r="FSL143" s="3579"/>
      <c r="FSM143" s="3579"/>
      <c r="FSN143" s="3579"/>
      <c r="FSO143" s="3579"/>
      <c r="FSP143" s="3579"/>
      <c r="FSQ143" s="3579"/>
      <c r="FSR143" s="3579"/>
      <c r="FSS143" s="3579"/>
      <c r="FST143" s="3579"/>
      <c r="FSU143" s="3579"/>
      <c r="FSV143" s="3579"/>
      <c r="FSW143" s="3579"/>
      <c r="FSX143" s="3579"/>
      <c r="FSY143" s="3579"/>
      <c r="FSZ143" s="3579"/>
      <c r="FTA143" s="3579"/>
      <c r="FTB143" s="3579"/>
      <c r="FTC143" s="3579"/>
      <c r="FTD143" s="3579"/>
      <c r="FTE143" s="3579"/>
      <c r="FTF143" s="3579"/>
      <c r="FTG143" s="3579"/>
      <c r="FTH143" s="3579"/>
      <c r="FTI143" s="3579"/>
      <c r="FTJ143" s="3579"/>
      <c r="FTK143" s="3579"/>
      <c r="FTL143" s="3579"/>
      <c r="FTM143" s="3579"/>
      <c r="FTN143" s="3579"/>
      <c r="FTO143" s="3579"/>
      <c r="FTP143" s="3579"/>
      <c r="FTQ143" s="3579"/>
      <c r="FTR143" s="3579"/>
      <c r="FTS143" s="3579"/>
      <c r="FTT143" s="3579"/>
      <c r="FTU143" s="3579"/>
      <c r="FTV143" s="3579"/>
      <c r="FTW143" s="3579"/>
      <c r="FTX143" s="3579"/>
      <c r="FTY143" s="3579"/>
      <c r="FTZ143" s="3579"/>
      <c r="FUA143" s="3579"/>
      <c r="FUB143" s="3579"/>
      <c r="FUC143" s="3579"/>
      <c r="FUD143" s="3579"/>
      <c r="FUE143" s="3579"/>
      <c r="FUF143" s="3579"/>
      <c r="FUG143" s="3579"/>
      <c r="FUH143" s="3579"/>
      <c r="FUI143" s="3579"/>
      <c r="FUJ143" s="3579"/>
      <c r="FUK143" s="3579"/>
      <c r="FUL143" s="3579"/>
      <c r="FUM143" s="3579"/>
      <c r="FUN143" s="3579"/>
      <c r="FUO143" s="3579"/>
      <c r="FUP143" s="3579"/>
      <c r="FUQ143" s="3579"/>
      <c r="FUR143" s="3579"/>
      <c r="FUS143" s="3579"/>
      <c r="FUT143" s="3579"/>
      <c r="FUU143" s="3579"/>
      <c r="FUV143" s="3579"/>
      <c r="FUW143" s="3579"/>
      <c r="FUX143" s="3579"/>
      <c r="FUY143" s="3579"/>
      <c r="FUZ143" s="3579"/>
      <c r="FVA143" s="3579"/>
      <c r="FVB143" s="3579"/>
      <c r="FVC143" s="3579"/>
      <c r="FVD143" s="3579"/>
      <c r="FVE143" s="3579"/>
      <c r="FVF143" s="3579"/>
      <c r="FVG143" s="3579"/>
      <c r="FVH143" s="3579"/>
      <c r="FVI143" s="3579"/>
      <c r="FVJ143" s="3579"/>
      <c r="FVK143" s="3579"/>
      <c r="FVL143" s="3579"/>
      <c r="FVM143" s="3579"/>
      <c r="FVN143" s="3579"/>
      <c r="FVO143" s="3579"/>
      <c r="FVP143" s="3579"/>
      <c r="FVQ143" s="3579"/>
      <c r="FVR143" s="3579"/>
      <c r="FVS143" s="3579"/>
      <c r="FVT143" s="3579"/>
      <c r="FVU143" s="3579"/>
      <c r="FVV143" s="3579"/>
      <c r="FVW143" s="3579"/>
      <c r="FVX143" s="3579"/>
      <c r="FVY143" s="3579"/>
      <c r="FVZ143" s="3579"/>
      <c r="FWA143" s="3579"/>
      <c r="FWB143" s="3579"/>
      <c r="FWC143" s="3579"/>
      <c r="FWD143" s="3579"/>
      <c r="FWE143" s="3579"/>
      <c r="FWF143" s="3579"/>
      <c r="FWG143" s="3579"/>
      <c r="FWH143" s="3579"/>
      <c r="FWI143" s="3579"/>
      <c r="FWJ143" s="3579"/>
      <c r="FWK143" s="3579"/>
      <c r="FWL143" s="3579"/>
      <c r="FWM143" s="3579"/>
      <c r="FWN143" s="3579"/>
      <c r="FWO143" s="3579"/>
      <c r="FWP143" s="3579"/>
      <c r="FWQ143" s="3579"/>
      <c r="FWR143" s="3579"/>
      <c r="FWS143" s="3579"/>
      <c r="FWT143" s="3579"/>
      <c r="FWU143" s="3579"/>
      <c r="FWV143" s="3579"/>
      <c r="FWW143" s="3579"/>
      <c r="FWX143" s="3579"/>
      <c r="FWY143" s="3579"/>
      <c r="FWZ143" s="3579"/>
      <c r="FXA143" s="3579"/>
      <c r="FXB143" s="3579"/>
      <c r="FXC143" s="3579"/>
      <c r="FXD143" s="3579"/>
      <c r="FXE143" s="3579"/>
      <c r="FXF143" s="3579"/>
      <c r="FXG143" s="3579"/>
      <c r="FXH143" s="3579"/>
      <c r="FXI143" s="3579"/>
      <c r="FXJ143" s="3579"/>
      <c r="FXK143" s="3579"/>
      <c r="FXL143" s="3579"/>
      <c r="FXM143" s="3579"/>
      <c r="FXN143" s="3579"/>
      <c r="FXO143" s="3579"/>
      <c r="FXP143" s="3579"/>
      <c r="FXQ143" s="3579"/>
      <c r="FXR143" s="3579"/>
      <c r="FXS143" s="3579"/>
      <c r="FXT143" s="3579"/>
      <c r="FXU143" s="3579"/>
      <c r="FXV143" s="3579"/>
      <c r="FXW143" s="3579"/>
      <c r="FXX143" s="3579"/>
      <c r="FXY143" s="3579"/>
      <c r="FXZ143" s="3579"/>
      <c r="FYA143" s="3579"/>
      <c r="FYB143" s="3579"/>
      <c r="FYC143" s="3579"/>
      <c r="FYD143" s="3579"/>
      <c r="FYE143" s="3579"/>
      <c r="FYF143" s="3579"/>
      <c r="FYG143" s="3579"/>
      <c r="FYH143" s="3579"/>
      <c r="FYI143" s="3579"/>
      <c r="FYJ143" s="3579"/>
      <c r="FYK143" s="3579"/>
      <c r="FYL143" s="3579"/>
      <c r="FYM143" s="3579"/>
      <c r="FYN143" s="3579"/>
      <c r="FYO143" s="3579"/>
      <c r="FYP143" s="3579"/>
      <c r="FYQ143" s="3579"/>
      <c r="FYR143" s="3579"/>
      <c r="FYS143" s="3579"/>
      <c r="FYT143" s="3579"/>
      <c r="FYU143" s="3579"/>
      <c r="FYV143" s="3579"/>
      <c r="FYW143" s="3579"/>
      <c r="FYX143" s="3579"/>
      <c r="FYY143" s="3579"/>
      <c r="FYZ143" s="3579"/>
      <c r="FZA143" s="3579"/>
      <c r="FZB143" s="3579"/>
      <c r="FZC143" s="3579"/>
      <c r="FZD143" s="3579"/>
      <c r="FZE143" s="3579"/>
      <c r="FZF143" s="3579"/>
      <c r="FZG143" s="3579"/>
      <c r="FZH143" s="3579"/>
      <c r="FZI143" s="3579"/>
      <c r="FZJ143" s="3579"/>
      <c r="FZK143" s="3579"/>
      <c r="FZL143" s="3579"/>
      <c r="FZM143" s="3579"/>
      <c r="FZN143" s="3579"/>
      <c r="FZO143" s="3579"/>
      <c r="FZP143" s="3579"/>
      <c r="FZQ143" s="3579"/>
      <c r="FZR143" s="3579"/>
      <c r="FZS143" s="3579"/>
      <c r="FZT143" s="3579"/>
      <c r="FZU143" s="3579"/>
      <c r="FZV143" s="3579"/>
      <c r="FZW143" s="3579"/>
      <c r="FZX143" s="3579"/>
      <c r="FZY143" s="3579"/>
      <c r="FZZ143" s="3579"/>
      <c r="GAA143" s="3579"/>
      <c r="GAB143" s="3579"/>
      <c r="GAC143" s="3579"/>
      <c r="GAD143" s="3579"/>
      <c r="GAE143" s="3579"/>
      <c r="GAF143" s="3579"/>
      <c r="GAG143" s="3579"/>
      <c r="GAH143" s="3579"/>
      <c r="GAI143" s="3579"/>
      <c r="GAJ143" s="3579"/>
      <c r="GAK143" s="3579"/>
      <c r="GAL143" s="3579"/>
      <c r="GAM143" s="3579"/>
      <c r="GAN143" s="3579"/>
      <c r="GAO143" s="3579"/>
      <c r="GAP143" s="3579"/>
      <c r="GAQ143" s="3579"/>
      <c r="GAR143" s="3579"/>
      <c r="GAS143" s="3579"/>
      <c r="GAT143" s="3579"/>
      <c r="GAU143" s="3579"/>
      <c r="GAV143" s="3579"/>
      <c r="GAW143" s="3579"/>
      <c r="GAX143" s="3579"/>
      <c r="GAY143" s="3579"/>
      <c r="GAZ143" s="3579"/>
      <c r="GBA143" s="3579"/>
      <c r="GBB143" s="3579"/>
      <c r="GBC143" s="3579"/>
      <c r="GBD143" s="3579"/>
      <c r="GBE143" s="3579"/>
      <c r="GBF143" s="3579"/>
      <c r="GBG143" s="3579"/>
      <c r="GBH143" s="3579"/>
      <c r="GBI143" s="3579"/>
      <c r="GBJ143" s="3579"/>
      <c r="GBK143" s="3579"/>
      <c r="GBL143" s="3579"/>
      <c r="GBM143" s="3579"/>
      <c r="GBN143" s="3579"/>
      <c r="GBO143" s="3579"/>
      <c r="GBP143" s="3579"/>
      <c r="GBQ143" s="3579"/>
      <c r="GBR143" s="3579"/>
      <c r="GBS143" s="3579"/>
      <c r="GBT143" s="3579"/>
      <c r="GBU143" s="3579"/>
      <c r="GBV143" s="3579"/>
      <c r="GBW143" s="3579"/>
      <c r="GBX143" s="3579"/>
      <c r="GBY143" s="3579"/>
      <c r="GBZ143" s="3579"/>
      <c r="GCA143" s="3579"/>
      <c r="GCB143" s="3579"/>
      <c r="GCC143" s="3579"/>
      <c r="GCD143" s="3579"/>
      <c r="GCE143" s="3579"/>
      <c r="GCF143" s="3579"/>
      <c r="GCG143" s="3579"/>
      <c r="GCH143" s="3579"/>
      <c r="GCI143" s="3579"/>
      <c r="GCJ143" s="3579"/>
      <c r="GCK143" s="3579"/>
      <c r="GCL143" s="3579"/>
      <c r="GCM143" s="3579"/>
      <c r="GCN143" s="3579"/>
      <c r="GCO143" s="3579"/>
      <c r="GCP143" s="3579"/>
      <c r="GCQ143" s="3579"/>
      <c r="GCR143" s="3579"/>
      <c r="GCS143" s="3579"/>
      <c r="GCT143" s="3579"/>
      <c r="GCU143" s="3579"/>
      <c r="GCV143" s="3579"/>
      <c r="GCW143" s="3579"/>
      <c r="GCX143" s="3579"/>
      <c r="GCY143" s="3579"/>
      <c r="GCZ143" s="3579"/>
      <c r="GDA143" s="3579"/>
      <c r="GDB143" s="3579"/>
      <c r="GDC143" s="3579"/>
      <c r="GDD143" s="3579"/>
      <c r="GDE143" s="3579"/>
      <c r="GDF143" s="3579"/>
      <c r="GDG143" s="3579"/>
      <c r="GDH143" s="3579"/>
      <c r="GDI143" s="3579"/>
      <c r="GDJ143" s="3579"/>
      <c r="GDK143" s="3579"/>
      <c r="GDL143" s="3579"/>
      <c r="GDM143" s="3579"/>
      <c r="GDN143" s="3579"/>
      <c r="GDO143" s="3579"/>
      <c r="GDP143" s="3579"/>
      <c r="GDQ143" s="3579"/>
      <c r="GDR143" s="3579"/>
      <c r="GDS143" s="3579"/>
      <c r="GDT143" s="3579"/>
      <c r="GDU143" s="3579"/>
      <c r="GDV143" s="3579"/>
      <c r="GDW143" s="3579"/>
      <c r="GDX143" s="3579"/>
      <c r="GDY143" s="3579"/>
      <c r="GDZ143" s="3579"/>
      <c r="GEA143" s="3579"/>
      <c r="GEB143" s="3579"/>
      <c r="GEC143" s="3579"/>
      <c r="GED143" s="3579"/>
      <c r="GEE143" s="3579"/>
      <c r="GEF143" s="3579"/>
      <c r="GEG143" s="3579"/>
      <c r="GEH143" s="3579"/>
      <c r="GEI143" s="3579"/>
      <c r="GEJ143" s="3579"/>
      <c r="GEK143" s="3579"/>
      <c r="GEL143" s="3579"/>
      <c r="GEM143" s="3579"/>
      <c r="GEN143" s="3579"/>
      <c r="GEO143" s="3579"/>
      <c r="GEP143" s="3579"/>
      <c r="GEQ143" s="3579"/>
      <c r="GER143" s="3579"/>
      <c r="GES143" s="3579"/>
      <c r="GET143" s="3579"/>
      <c r="GEU143" s="3579"/>
      <c r="GEV143" s="3579"/>
      <c r="GEW143" s="3579"/>
      <c r="GEX143" s="3579"/>
      <c r="GEY143" s="3579"/>
      <c r="GEZ143" s="3579"/>
      <c r="GFA143" s="3579"/>
      <c r="GFB143" s="3579"/>
      <c r="GFC143" s="3579"/>
      <c r="GFD143" s="3579"/>
      <c r="GFE143" s="3579"/>
      <c r="GFF143" s="3579"/>
      <c r="GFG143" s="3579"/>
      <c r="GFH143" s="3579"/>
      <c r="GFI143" s="3579"/>
      <c r="GFJ143" s="3579"/>
      <c r="GFK143" s="3579"/>
      <c r="GFL143" s="3579"/>
      <c r="GFM143" s="3579"/>
      <c r="GFN143" s="3579"/>
      <c r="GFO143" s="3579"/>
      <c r="GFP143" s="3579"/>
      <c r="GFQ143" s="3579"/>
      <c r="GFR143" s="3579"/>
      <c r="GFS143" s="3579"/>
      <c r="GFT143" s="3579"/>
      <c r="GFU143" s="3579"/>
      <c r="GFV143" s="3579"/>
      <c r="GFW143" s="3579"/>
      <c r="GFX143" s="3579"/>
      <c r="GFY143" s="3579"/>
      <c r="GFZ143" s="3579"/>
      <c r="GGA143" s="3579"/>
      <c r="GGB143" s="3579"/>
      <c r="GGC143" s="3579"/>
      <c r="GGD143" s="3579"/>
      <c r="GGE143" s="3579"/>
      <c r="GGF143" s="3579"/>
      <c r="GGG143" s="3579"/>
      <c r="GGH143" s="3579"/>
      <c r="GGI143" s="3579"/>
      <c r="GGJ143" s="3579"/>
      <c r="GGK143" s="3579"/>
      <c r="GGL143" s="3579"/>
      <c r="GGM143" s="3579"/>
      <c r="GGN143" s="3579"/>
      <c r="GGO143" s="3579"/>
      <c r="GGP143" s="3579"/>
      <c r="GGQ143" s="3579"/>
      <c r="GGR143" s="3579"/>
      <c r="GGS143" s="3579"/>
      <c r="GGT143" s="3579"/>
      <c r="GGU143" s="3579"/>
      <c r="GGV143" s="3579"/>
      <c r="GGW143" s="3579"/>
      <c r="GGX143" s="3579"/>
      <c r="GGY143" s="3579"/>
      <c r="GGZ143" s="3579"/>
      <c r="GHA143" s="3579"/>
      <c r="GHB143" s="3579"/>
      <c r="GHC143" s="3579"/>
      <c r="GHD143" s="3579"/>
      <c r="GHE143" s="3579"/>
      <c r="GHF143" s="3579"/>
      <c r="GHG143" s="3579"/>
      <c r="GHH143" s="3579"/>
      <c r="GHI143" s="3579"/>
      <c r="GHJ143" s="3579"/>
      <c r="GHK143" s="3579"/>
      <c r="GHL143" s="3579"/>
      <c r="GHM143" s="3579"/>
      <c r="GHN143" s="3579"/>
      <c r="GHO143" s="3579"/>
      <c r="GHP143" s="3579"/>
      <c r="GHQ143" s="3579"/>
      <c r="GHR143" s="3579"/>
      <c r="GHS143" s="3579"/>
      <c r="GHT143" s="3579"/>
      <c r="GHU143" s="3579"/>
      <c r="GHV143" s="3579"/>
      <c r="GHW143" s="3579"/>
      <c r="GHX143" s="3579"/>
      <c r="GHY143" s="3579"/>
      <c r="GHZ143" s="3579"/>
      <c r="GIA143" s="3579"/>
      <c r="GIB143" s="3579"/>
      <c r="GIC143" s="3579"/>
      <c r="GID143" s="3579"/>
      <c r="GIE143" s="3579"/>
      <c r="GIF143" s="3579"/>
      <c r="GIG143" s="3579"/>
      <c r="GIH143" s="3579"/>
      <c r="GII143" s="3579"/>
      <c r="GIJ143" s="3579"/>
      <c r="GIK143" s="3579"/>
      <c r="GIL143" s="3579"/>
      <c r="GIM143" s="3579"/>
      <c r="GIN143" s="3579"/>
      <c r="GIO143" s="3579"/>
      <c r="GIP143" s="3579"/>
      <c r="GIQ143" s="3579"/>
      <c r="GIR143" s="3579"/>
      <c r="GIS143" s="3579"/>
      <c r="GIT143" s="3579"/>
      <c r="GIU143" s="3579"/>
      <c r="GIV143" s="3579"/>
      <c r="GIW143" s="3579"/>
      <c r="GIX143" s="3579"/>
      <c r="GIY143" s="3579"/>
      <c r="GIZ143" s="3579"/>
      <c r="GJA143" s="3579"/>
      <c r="GJB143" s="3579"/>
      <c r="GJC143" s="3579"/>
      <c r="GJD143" s="3579"/>
      <c r="GJE143" s="3579"/>
      <c r="GJF143" s="3579"/>
      <c r="GJG143" s="3579"/>
      <c r="GJH143" s="3579"/>
      <c r="GJI143" s="3579"/>
      <c r="GJJ143" s="3579"/>
      <c r="GJK143" s="3579"/>
      <c r="GJL143" s="3579"/>
      <c r="GJM143" s="3579"/>
      <c r="GJN143" s="3579"/>
      <c r="GJO143" s="3579"/>
      <c r="GJP143" s="3579"/>
      <c r="GJQ143" s="3579"/>
      <c r="GJR143" s="3579"/>
      <c r="GJS143" s="3579"/>
      <c r="GJT143" s="3579"/>
      <c r="GJU143" s="3579"/>
      <c r="GJV143" s="3579"/>
      <c r="GJW143" s="3579"/>
      <c r="GJX143" s="3579"/>
      <c r="GJY143" s="3579"/>
      <c r="GJZ143" s="3579"/>
      <c r="GKA143" s="3579"/>
      <c r="GKB143" s="3579"/>
      <c r="GKC143" s="3579"/>
      <c r="GKD143" s="3579"/>
      <c r="GKE143" s="3579"/>
      <c r="GKF143" s="3579"/>
      <c r="GKG143" s="3579"/>
      <c r="GKH143" s="3579"/>
      <c r="GKI143" s="3579"/>
      <c r="GKJ143" s="3579"/>
      <c r="GKK143" s="3579"/>
      <c r="GKL143" s="3579"/>
      <c r="GKM143" s="3579"/>
      <c r="GKN143" s="3579"/>
      <c r="GKO143" s="3579"/>
      <c r="GKP143" s="3579"/>
      <c r="GKQ143" s="3579"/>
      <c r="GKR143" s="3579"/>
      <c r="GKS143" s="3579"/>
      <c r="GKT143" s="3579"/>
      <c r="GKU143" s="3579"/>
      <c r="GKV143" s="3579"/>
      <c r="GKW143" s="3579"/>
      <c r="GKX143" s="3579"/>
      <c r="GKY143" s="3579"/>
      <c r="GKZ143" s="3579"/>
      <c r="GLA143" s="3579"/>
      <c r="GLB143" s="3579"/>
      <c r="GLC143" s="3579"/>
      <c r="GLD143" s="3579"/>
      <c r="GLE143" s="3579"/>
      <c r="GLF143" s="3579"/>
      <c r="GLG143" s="3579"/>
      <c r="GLH143" s="3579"/>
      <c r="GLI143" s="3579"/>
      <c r="GLJ143" s="3579"/>
      <c r="GLK143" s="3579"/>
      <c r="GLL143" s="3579"/>
      <c r="GLM143" s="3579"/>
      <c r="GLN143" s="3579"/>
      <c r="GLO143" s="3579"/>
      <c r="GLP143" s="3579"/>
      <c r="GLQ143" s="3579"/>
      <c r="GLR143" s="3579"/>
      <c r="GLS143" s="3579"/>
      <c r="GLT143" s="3579"/>
      <c r="GLU143" s="3579"/>
      <c r="GLV143" s="3579"/>
      <c r="GLW143" s="3579"/>
      <c r="GLX143" s="3579"/>
      <c r="GLY143" s="3579"/>
      <c r="GLZ143" s="3579"/>
      <c r="GMA143" s="3579"/>
      <c r="GMB143" s="3579"/>
      <c r="GMC143" s="3579"/>
      <c r="GMD143" s="3579"/>
      <c r="GME143" s="3579"/>
      <c r="GMF143" s="3579"/>
      <c r="GMG143" s="3579"/>
      <c r="GMH143" s="3579"/>
      <c r="GMI143" s="3579"/>
      <c r="GMJ143" s="3579"/>
      <c r="GMK143" s="3579"/>
      <c r="GML143" s="3579"/>
      <c r="GMM143" s="3579"/>
      <c r="GMN143" s="3579"/>
      <c r="GMO143" s="3579"/>
      <c r="GMP143" s="3579"/>
      <c r="GMQ143" s="3579"/>
      <c r="GMR143" s="3579"/>
      <c r="GMS143" s="3579"/>
      <c r="GMT143" s="3579"/>
      <c r="GMU143" s="3579"/>
      <c r="GMV143" s="3579"/>
      <c r="GMW143" s="3579"/>
      <c r="GMX143" s="3579"/>
      <c r="GMY143" s="3579"/>
      <c r="GMZ143" s="3579"/>
      <c r="GNA143" s="3579"/>
      <c r="GNB143" s="3579"/>
      <c r="GNC143" s="3579"/>
      <c r="GND143" s="3579"/>
      <c r="GNE143" s="3579"/>
      <c r="GNF143" s="3579"/>
      <c r="GNG143" s="3579"/>
      <c r="GNH143" s="3579"/>
      <c r="GNI143" s="3579"/>
      <c r="GNJ143" s="3579"/>
      <c r="GNK143" s="3579"/>
      <c r="GNL143" s="3579"/>
      <c r="GNM143" s="3579"/>
      <c r="GNN143" s="3579"/>
      <c r="GNO143" s="3579"/>
      <c r="GNP143" s="3579"/>
      <c r="GNQ143" s="3579"/>
      <c r="GNR143" s="3579"/>
      <c r="GNS143" s="3579"/>
      <c r="GNT143" s="3579"/>
      <c r="GNU143" s="3579"/>
      <c r="GNV143" s="3579"/>
      <c r="GNW143" s="3579"/>
      <c r="GNX143" s="3579"/>
      <c r="GNY143" s="3579"/>
      <c r="GNZ143" s="3579"/>
      <c r="GOA143" s="3579"/>
      <c r="GOB143" s="3579"/>
      <c r="GOC143" s="3579"/>
      <c r="GOD143" s="3579"/>
      <c r="GOE143" s="3579"/>
      <c r="GOF143" s="3579"/>
      <c r="GOG143" s="3579"/>
      <c r="GOH143" s="3579"/>
      <c r="GOI143" s="3579"/>
      <c r="GOJ143" s="3579"/>
      <c r="GOK143" s="3579"/>
      <c r="GOL143" s="3579"/>
      <c r="GOM143" s="3579"/>
      <c r="GON143" s="3579"/>
      <c r="GOO143" s="3579"/>
      <c r="GOP143" s="3579"/>
      <c r="GOQ143" s="3579"/>
      <c r="GOR143" s="3579"/>
      <c r="GOS143" s="3579"/>
      <c r="GOT143" s="3579"/>
      <c r="GOU143" s="3579"/>
      <c r="GOV143" s="3579"/>
      <c r="GOW143" s="3579"/>
      <c r="GOX143" s="3579"/>
      <c r="GOY143" s="3579"/>
      <c r="GOZ143" s="3579"/>
      <c r="GPA143" s="3579"/>
      <c r="GPB143" s="3579"/>
      <c r="GPC143" s="3579"/>
      <c r="GPD143" s="3579"/>
      <c r="GPE143" s="3579"/>
      <c r="GPF143" s="3579"/>
      <c r="GPG143" s="3579"/>
      <c r="GPH143" s="3579"/>
      <c r="GPI143" s="3579"/>
      <c r="GPJ143" s="3579"/>
      <c r="GPK143" s="3579"/>
      <c r="GPL143" s="3579"/>
      <c r="GPM143" s="3579"/>
      <c r="GPN143" s="3579"/>
      <c r="GPO143" s="3579"/>
      <c r="GPP143" s="3579"/>
      <c r="GPQ143" s="3579"/>
      <c r="GPR143" s="3579"/>
      <c r="GPS143" s="3579"/>
      <c r="GPT143" s="3579"/>
      <c r="GPU143" s="3579"/>
      <c r="GPV143" s="3579"/>
      <c r="GPW143" s="3579"/>
      <c r="GPX143" s="3579"/>
      <c r="GPY143" s="3579"/>
      <c r="GPZ143" s="3579"/>
      <c r="GQA143" s="3579"/>
      <c r="GQB143" s="3579"/>
      <c r="GQC143" s="3579"/>
      <c r="GQD143" s="3579"/>
      <c r="GQE143" s="3579"/>
      <c r="GQF143" s="3579"/>
      <c r="GQG143" s="3579"/>
      <c r="GQH143" s="3579"/>
      <c r="GQI143" s="3579"/>
      <c r="GQJ143" s="3579"/>
      <c r="GQK143" s="3579"/>
      <c r="GQL143" s="3579"/>
      <c r="GQM143" s="3579"/>
      <c r="GQN143" s="3579"/>
      <c r="GQO143" s="3579"/>
      <c r="GQP143" s="3579"/>
      <c r="GQQ143" s="3579"/>
      <c r="GQR143" s="3579"/>
      <c r="GQS143" s="3579"/>
      <c r="GQT143" s="3579"/>
      <c r="GQU143" s="3579"/>
      <c r="GQV143" s="3579"/>
      <c r="GQW143" s="3579"/>
      <c r="GQX143" s="3579"/>
      <c r="GQY143" s="3579"/>
      <c r="GQZ143" s="3579"/>
      <c r="GRA143" s="3579"/>
      <c r="GRB143" s="3579"/>
      <c r="GRC143" s="3579"/>
      <c r="GRD143" s="3579"/>
      <c r="GRE143" s="3579"/>
      <c r="GRF143" s="3579"/>
      <c r="GRG143" s="3579"/>
      <c r="GRH143" s="3579"/>
      <c r="GRI143" s="3579"/>
      <c r="GRJ143" s="3579"/>
      <c r="GRK143" s="3579"/>
      <c r="GRL143" s="3579"/>
      <c r="GRM143" s="3579"/>
      <c r="GRN143" s="3579"/>
      <c r="GRO143" s="3579"/>
      <c r="GRP143" s="3579"/>
      <c r="GRQ143" s="3579"/>
      <c r="GRR143" s="3579"/>
      <c r="GRS143" s="3579"/>
      <c r="GRT143" s="3579"/>
      <c r="GRU143" s="3579"/>
      <c r="GRV143" s="3579"/>
      <c r="GRW143" s="3579"/>
      <c r="GRX143" s="3579"/>
      <c r="GRY143" s="3579"/>
      <c r="GRZ143" s="3579"/>
      <c r="GSA143" s="3579"/>
      <c r="GSB143" s="3579"/>
      <c r="GSC143" s="3579"/>
      <c r="GSD143" s="3579"/>
      <c r="GSE143" s="3579"/>
      <c r="GSF143" s="3579"/>
      <c r="GSG143" s="3579"/>
      <c r="GSH143" s="3579"/>
      <c r="GSI143" s="3579"/>
      <c r="GSJ143" s="3579"/>
      <c r="GSK143" s="3579"/>
      <c r="GSL143" s="3579"/>
      <c r="GSM143" s="3579"/>
      <c r="GSN143" s="3579"/>
      <c r="GSO143" s="3579"/>
      <c r="GSP143" s="3579"/>
      <c r="GSQ143" s="3579"/>
      <c r="GSR143" s="3579"/>
      <c r="GSS143" s="3579"/>
      <c r="GST143" s="3579"/>
      <c r="GSU143" s="3579"/>
      <c r="GSV143" s="3579"/>
      <c r="GSW143" s="3579"/>
      <c r="GSX143" s="3579"/>
      <c r="GSY143" s="3579"/>
      <c r="GSZ143" s="3579"/>
      <c r="GTA143" s="3579"/>
      <c r="GTB143" s="3579"/>
      <c r="GTC143" s="3579"/>
      <c r="GTD143" s="3579"/>
      <c r="GTE143" s="3579"/>
      <c r="GTF143" s="3579"/>
      <c r="GTG143" s="3579"/>
      <c r="GTH143" s="3579"/>
      <c r="GTI143" s="3579"/>
      <c r="GTJ143" s="3579"/>
      <c r="GTK143" s="3579"/>
      <c r="GTL143" s="3579"/>
      <c r="GTM143" s="3579"/>
      <c r="GTN143" s="3579"/>
      <c r="GTO143" s="3579"/>
      <c r="GTP143" s="3579"/>
      <c r="GTQ143" s="3579"/>
      <c r="GTR143" s="3579"/>
      <c r="GTS143" s="3579"/>
      <c r="GTT143" s="3579"/>
      <c r="GTU143" s="3579"/>
      <c r="GTV143" s="3579"/>
      <c r="GTW143" s="3579"/>
      <c r="GTX143" s="3579"/>
      <c r="GTY143" s="3579"/>
      <c r="GTZ143" s="3579"/>
      <c r="GUA143" s="3579"/>
      <c r="GUB143" s="3579"/>
      <c r="GUC143" s="3579"/>
      <c r="GUD143" s="3579"/>
      <c r="GUE143" s="3579"/>
      <c r="GUF143" s="3579"/>
      <c r="GUG143" s="3579"/>
      <c r="GUH143" s="3579"/>
      <c r="GUI143" s="3579"/>
      <c r="GUJ143" s="3579"/>
      <c r="GUK143" s="3579"/>
      <c r="GUL143" s="3579"/>
      <c r="GUM143" s="3579"/>
      <c r="GUN143" s="3579"/>
      <c r="GUO143" s="3579"/>
      <c r="GUP143" s="3579"/>
      <c r="GUQ143" s="3579"/>
      <c r="GUR143" s="3579"/>
      <c r="GUS143" s="3579"/>
      <c r="GUT143" s="3579"/>
      <c r="GUU143" s="3579"/>
      <c r="GUV143" s="3579"/>
      <c r="GUW143" s="3579"/>
      <c r="GUX143" s="3579"/>
      <c r="GUY143" s="3579"/>
      <c r="GUZ143" s="3579"/>
      <c r="GVA143" s="3579"/>
      <c r="GVB143" s="3579"/>
      <c r="GVC143" s="3579"/>
      <c r="GVD143" s="3579"/>
      <c r="GVE143" s="3579"/>
      <c r="GVF143" s="3579"/>
      <c r="GVG143" s="3579"/>
      <c r="GVH143" s="3579"/>
      <c r="GVI143" s="3579"/>
      <c r="GVJ143" s="3579"/>
      <c r="GVK143" s="3579"/>
      <c r="GVL143" s="3579"/>
      <c r="GVM143" s="3579"/>
      <c r="GVN143" s="3579"/>
      <c r="GVO143" s="3579"/>
      <c r="GVP143" s="3579"/>
      <c r="GVQ143" s="3579"/>
      <c r="GVR143" s="3579"/>
      <c r="GVS143" s="3579"/>
      <c r="GVT143" s="3579"/>
      <c r="GVU143" s="3579"/>
      <c r="GVV143" s="3579"/>
      <c r="GVW143" s="3579"/>
      <c r="GVX143" s="3579"/>
      <c r="GVY143" s="3579"/>
      <c r="GVZ143" s="3579"/>
      <c r="GWA143" s="3579"/>
      <c r="GWB143" s="3579"/>
      <c r="GWC143" s="3579"/>
      <c r="GWD143" s="3579"/>
      <c r="GWE143" s="3579"/>
      <c r="GWF143" s="3579"/>
      <c r="GWG143" s="3579"/>
      <c r="GWH143" s="3579"/>
      <c r="GWI143" s="3579"/>
      <c r="GWJ143" s="3579"/>
      <c r="GWK143" s="3579"/>
      <c r="GWL143" s="3579"/>
      <c r="GWM143" s="3579"/>
      <c r="GWN143" s="3579"/>
      <c r="GWO143" s="3579"/>
      <c r="GWP143" s="3579"/>
      <c r="GWQ143" s="3579"/>
      <c r="GWR143" s="3579"/>
      <c r="GWS143" s="3579"/>
      <c r="GWT143" s="3579"/>
      <c r="GWU143" s="3579"/>
      <c r="GWV143" s="3579"/>
      <c r="GWW143" s="3579"/>
      <c r="GWX143" s="3579"/>
      <c r="GWY143" s="3579"/>
      <c r="GWZ143" s="3579"/>
      <c r="GXA143" s="3579"/>
      <c r="GXB143" s="3579"/>
      <c r="GXC143" s="3579"/>
      <c r="GXD143" s="3579"/>
      <c r="GXE143" s="3579"/>
      <c r="GXF143" s="3579"/>
      <c r="GXG143" s="3579"/>
      <c r="GXH143" s="3579"/>
      <c r="GXI143" s="3579"/>
      <c r="GXJ143" s="3579"/>
      <c r="GXK143" s="3579"/>
      <c r="GXL143" s="3579"/>
      <c r="GXM143" s="3579"/>
      <c r="GXN143" s="3579"/>
      <c r="GXO143" s="3579"/>
      <c r="GXP143" s="3579"/>
      <c r="GXQ143" s="3579"/>
      <c r="GXR143" s="3579"/>
      <c r="GXS143" s="3579"/>
      <c r="GXT143" s="3579"/>
      <c r="GXU143" s="3579"/>
      <c r="GXV143" s="3579"/>
      <c r="GXW143" s="3579"/>
      <c r="GXX143" s="3579"/>
      <c r="GXY143" s="3579"/>
      <c r="GXZ143" s="3579"/>
      <c r="GYA143" s="3579"/>
      <c r="GYB143" s="3579"/>
      <c r="GYC143" s="3579"/>
      <c r="GYD143" s="3579"/>
      <c r="GYE143" s="3579"/>
      <c r="GYF143" s="3579"/>
      <c r="GYG143" s="3579"/>
      <c r="GYH143" s="3579"/>
      <c r="GYI143" s="3579"/>
      <c r="GYJ143" s="3579"/>
      <c r="GYK143" s="3579"/>
      <c r="GYL143" s="3579"/>
      <c r="GYM143" s="3579"/>
      <c r="GYN143" s="3579"/>
      <c r="GYO143" s="3579"/>
      <c r="GYP143" s="3579"/>
      <c r="GYQ143" s="3579"/>
      <c r="GYR143" s="3579"/>
      <c r="GYS143" s="3579"/>
      <c r="GYT143" s="3579"/>
      <c r="GYU143" s="3579"/>
      <c r="GYV143" s="3579"/>
      <c r="GYW143" s="3579"/>
      <c r="GYX143" s="3579"/>
      <c r="GYY143" s="3579"/>
      <c r="GYZ143" s="3579"/>
      <c r="GZA143" s="3579"/>
      <c r="GZB143" s="3579"/>
      <c r="GZC143" s="3579"/>
      <c r="GZD143" s="3579"/>
      <c r="GZE143" s="3579"/>
      <c r="GZF143" s="3579"/>
      <c r="GZG143" s="3579"/>
      <c r="GZH143" s="3579"/>
      <c r="GZI143" s="3579"/>
      <c r="GZJ143" s="3579"/>
      <c r="GZK143" s="3579"/>
      <c r="GZL143" s="3579"/>
      <c r="GZM143" s="3579"/>
      <c r="GZN143" s="3579"/>
      <c r="GZO143" s="3579"/>
      <c r="GZP143" s="3579"/>
      <c r="GZQ143" s="3579"/>
      <c r="GZR143" s="3579"/>
      <c r="GZS143" s="3579"/>
      <c r="GZT143" s="3579"/>
      <c r="GZU143" s="3579"/>
      <c r="GZV143" s="3579"/>
      <c r="GZW143" s="3579"/>
      <c r="GZX143" s="3579"/>
      <c r="GZY143" s="3579"/>
      <c r="GZZ143" s="3579"/>
      <c r="HAA143" s="3579"/>
      <c r="HAB143" s="3579"/>
      <c r="HAC143" s="3579"/>
      <c r="HAD143" s="3579"/>
      <c r="HAE143" s="3579"/>
      <c r="HAF143" s="3579"/>
      <c r="HAG143" s="3579"/>
      <c r="HAH143" s="3579"/>
      <c r="HAI143" s="3579"/>
      <c r="HAJ143" s="3579"/>
      <c r="HAK143" s="3579"/>
      <c r="HAL143" s="3579"/>
      <c r="HAM143" s="3579"/>
      <c r="HAN143" s="3579"/>
      <c r="HAO143" s="3579"/>
      <c r="HAP143" s="3579"/>
      <c r="HAQ143" s="3579"/>
      <c r="HAR143" s="3579"/>
      <c r="HAS143" s="3579"/>
      <c r="HAT143" s="3579"/>
      <c r="HAU143" s="3579"/>
      <c r="HAV143" s="3579"/>
      <c r="HAW143" s="3579"/>
      <c r="HAX143" s="3579"/>
      <c r="HAY143" s="3579"/>
      <c r="HAZ143" s="3579"/>
      <c r="HBA143" s="3579"/>
      <c r="HBB143" s="3579"/>
      <c r="HBC143" s="3579"/>
      <c r="HBD143" s="3579"/>
      <c r="HBE143" s="3579"/>
      <c r="HBF143" s="3579"/>
      <c r="HBG143" s="3579"/>
      <c r="HBH143" s="3579"/>
      <c r="HBI143" s="3579"/>
      <c r="HBJ143" s="3579"/>
      <c r="HBK143" s="3579"/>
      <c r="HBL143" s="3579"/>
      <c r="HBM143" s="3579"/>
      <c r="HBN143" s="3579"/>
      <c r="HBO143" s="3579"/>
      <c r="HBP143" s="3579"/>
      <c r="HBQ143" s="3579"/>
      <c r="HBR143" s="3579"/>
      <c r="HBS143" s="3579"/>
      <c r="HBT143" s="3579"/>
      <c r="HBU143" s="3579"/>
      <c r="HBV143" s="3579"/>
      <c r="HBW143" s="3579"/>
      <c r="HBX143" s="3579"/>
      <c r="HBY143" s="3579"/>
      <c r="HBZ143" s="3579"/>
      <c r="HCA143" s="3579"/>
      <c r="HCB143" s="3579"/>
      <c r="HCC143" s="3579"/>
      <c r="HCD143" s="3579"/>
      <c r="HCE143" s="3579"/>
      <c r="HCF143" s="3579"/>
      <c r="HCG143" s="3579"/>
      <c r="HCH143" s="3579"/>
      <c r="HCI143" s="3579"/>
      <c r="HCJ143" s="3579"/>
      <c r="HCK143" s="3579"/>
      <c r="HCL143" s="3579"/>
      <c r="HCM143" s="3579"/>
      <c r="HCN143" s="3579"/>
      <c r="HCO143" s="3579"/>
      <c r="HCP143" s="3579"/>
      <c r="HCQ143" s="3579"/>
      <c r="HCR143" s="3579"/>
      <c r="HCS143" s="3579"/>
      <c r="HCT143" s="3579"/>
      <c r="HCU143" s="3579"/>
      <c r="HCV143" s="3579"/>
      <c r="HCW143" s="3579"/>
      <c r="HCX143" s="3579"/>
      <c r="HCY143" s="3579"/>
      <c r="HCZ143" s="3579"/>
      <c r="HDA143" s="3579"/>
      <c r="HDB143" s="3579"/>
      <c r="HDC143" s="3579"/>
      <c r="HDD143" s="3579"/>
      <c r="HDE143" s="3579"/>
      <c r="HDF143" s="3579"/>
      <c r="HDG143" s="3579"/>
      <c r="HDH143" s="3579"/>
      <c r="HDI143" s="3579"/>
      <c r="HDJ143" s="3579"/>
      <c r="HDK143" s="3579"/>
      <c r="HDL143" s="3579"/>
      <c r="HDM143" s="3579"/>
      <c r="HDN143" s="3579"/>
      <c r="HDO143" s="3579"/>
      <c r="HDP143" s="3579"/>
      <c r="HDQ143" s="3579"/>
      <c r="HDR143" s="3579"/>
      <c r="HDS143" s="3579"/>
      <c r="HDT143" s="3579"/>
      <c r="HDU143" s="3579"/>
      <c r="HDV143" s="3579"/>
      <c r="HDW143" s="3579"/>
      <c r="HDX143" s="3579"/>
      <c r="HDY143" s="3579"/>
      <c r="HDZ143" s="3579"/>
      <c r="HEA143" s="3579"/>
      <c r="HEB143" s="3579"/>
      <c r="HEC143" s="3579"/>
      <c r="HED143" s="3579"/>
      <c r="HEE143" s="3579"/>
      <c r="HEF143" s="3579"/>
      <c r="HEG143" s="3579"/>
      <c r="HEH143" s="3579"/>
      <c r="HEI143" s="3579"/>
      <c r="HEJ143" s="3579"/>
      <c r="HEK143" s="3579"/>
      <c r="HEL143" s="3579"/>
      <c r="HEM143" s="3579"/>
      <c r="HEN143" s="3579"/>
      <c r="HEO143" s="3579"/>
      <c r="HEP143" s="3579"/>
      <c r="HEQ143" s="3579"/>
      <c r="HER143" s="3579"/>
      <c r="HES143" s="3579"/>
      <c r="HET143" s="3579"/>
      <c r="HEU143" s="3579"/>
      <c r="HEV143" s="3579"/>
      <c r="HEW143" s="3579"/>
      <c r="HEX143" s="3579"/>
      <c r="HEY143" s="3579"/>
      <c r="HEZ143" s="3579"/>
      <c r="HFA143" s="3579"/>
      <c r="HFB143" s="3579"/>
      <c r="HFC143" s="3579"/>
      <c r="HFD143" s="3579"/>
      <c r="HFE143" s="3579"/>
      <c r="HFF143" s="3579"/>
      <c r="HFG143" s="3579"/>
      <c r="HFH143" s="3579"/>
      <c r="HFI143" s="3579"/>
      <c r="HFJ143" s="3579"/>
      <c r="HFK143" s="3579"/>
      <c r="HFL143" s="3579"/>
      <c r="HFM143" s="3579"/>
      <c r="HFN143" s="3579"/>
      <c r="HFO143" s="3579"/>
      <c r="HFP143" s="3579"/>
      <c r="HFQ143" s="3579"/>
      <c r="HFR143" s="3579"/>
      <c r="HFS143" s="3579"/>
      <c r="HFT143" s="3579"/>
      <c r="HFU143" s="3579"/>
      <c r="HFV143" s="3579"/>
      <c r="HFW143" s="3579"/>
      <c r="HFX143" s="3579"/>
      <c r="HFY143" s="3579"/>
      <c r="HFZ143" s="3579"/>
      <c r="HGA143" s="3579"/>
      <c r="HGB143" s="3579"/>
      <c r="HGC143" s="3579"/>
      <c r="HGD143" s="3579"/>
      <c r="HGE143" s="3579"/>
      <c r="HGF143" s="3579"/>
      <c r="HGG143" s="3579"/>
      <c r="HGH143" s="3579"/>
      <c r="HGI143" s="3579"/>
      <c r="HGJ143" s="3579"/>
      <c r="HGK143" s="3579"/>
      <c r="HGL143" s="3579"/>
      <c r="HGM143" s="3579"/>
      <c r="HGN143" s="3579"/>
      <c r="HGO143" s="3579"/>
      <c r="HGP143" s="3579"/>
      <c r="HGQ143" s="3579"/>
      <c r="HGR143" s="3579"/>
      <c r="HGS143" s="3579"/>
      <c r="HGT143" s="3579"/>
      <c r="HGU143" s="3579"/>
      <c r="HGV143" s="3579"/>
      <c r="HGW143" s="3579"/>
      <c r="HGX143" s="3579"/>
      <c r="HGY143" s="3579"/>
      <c r="HGZ143" s="3579"/>
      <c r="HHA143" s="3579"/>
      <c r="HHB143" s="3579"/>
      <c r="HHC143" s="3579"/>
      <c r="HHD143" s="3579"/>
      <c r="HHE143" s="3579"/>
      <c r="HHF143" s="3579"/>
      <c r="HHG143" s="3579"/>
      <c r="HHH143" s="3579"/>
      <c r="HHI143" s="3579"/>
      <c r="HHJ143" s="3579"/>
      <c r="HHK143" s="3579"/>
      <c r="HHL143" s="3579"/>
      <c r="HHM143" s="3579"/>
      <c r="HHN143" s="3579"/>
      <c r="HHO143" s="3579"/>
      <c r="HHP143" s="3579"/>
      <c r="HHQ143" s="3579"/>
      <c r="HHR143" s="3579"/>
      <c r="HHS143" s="3579"/>
      <c r="HHT143" s="3579"/>
      <c r="HHU143" s="3579"/>
      <c r="HHV143" s="3579"/>
      <c r="HHW143" s="3579"/>
      <c r="HHX143" s="3579"/>
      <c r="HHY143" s="3579"/>
      <c r="HHZ143" s="3579"/>
      <c r="HIA143" s="3579"/>
      <c r="HIB143" s="3579"/>
      <c r="HIC143" s="3579"/>
      <c r="HID143" s="3579"/>
      <c r="HIE143" s="3579"/>
      <c r="HIF143" s="3579"/>
      <c r="HIG143" s="3579"/>
      <c r="HIH143" s="3579"/>
      <c r="HII143" s="3579"/>
      <c r="HIJ143" s="3579"/>
      <c r="HIK143" s="3579"/>
      <c r="HIL143" s="3579"/>
      <c r="HIM143" s="3579"/>
      <c r="HIN143" s="3579"/>
      <c r="HIO143" s="3579"/>
      <c r="HIP143" s="3579"/>
      <c r="HIQ143" s="3579"/>
      <c r="HIR143" s="3579"/>
      <c r="HIS143" s="3579"/>
      <c r="HIT143" s="3579"/>
      <c r="HIU143" s="3579"/>
      <c r="HIV143" s="3579"/>
      <c r="HIW143" s="3579"/>
      <c r="HIX143" s="3579"/>
      <c r="HIY143" s="3579"/>
      <c r="HIZ143" s="3579"/>
      <c r="HJA143" s="3579"/>
      <c r="HJB143" s="3579"/>
      <c r="HJC143" s="3579"/>
      <c r="HJD143" s="3579"/>
      <c r="HJE143" s="3579"/>
      <c r="HJF143" s="3579"/>
      <c r="HJG143" s="3579"/>
      <c r="HJH143" s="3579"/>
      <c r="HJI143" s="3579"/>
      <c r="HJJ143" s="3579"/>
      <c r="HJK143" s="3579"/>
      <c r="HJL143" s="3579"/>
      <c r="HJM143" s="3579"/>
      <c r="HJN143" s="3579"/>
      <c r="HJO143" s="3579"/>
      <c r="HJP143" s="3579"/>
      <c r="HJQ143" s="3579"/>
      <c r="HJR143" s="3579"/>
      <c r="HJS143" s="3579"/>
      <c r="HJT143" s="3579"/>
      <c r="HJU143" s="3579"/>
      <c r="HJV143" s="3579"/>
      <c r="HJW143" s="3579"/>
      <c r="HJX143" s="3579"/>
      <c r="HJY143" s="3579"/>
      <c r="HJZ143" s="3579"/>
      <c r="HKA143" s="3579"/>
      <c r="HKB143" s="3579"/>
      <c r="HKC143" s="3579"/>
      <c r="HKD143" s="3579"/>
      <c r="HKE143" s="3579"/>
      <c r="HKF143" s="3579"/>
      <c r="HKG143" s="3579"/>
      <c r="HKH143" s="3579"/>
      <c r="HKI143" s="3579"/>
      <c r="HKJ143" s="3579"/>
      <c r="HKK143" s="3579"/>
      <c r="HKL143" s="3579"/>
      <c r="HKM143" s="3579"/>
      <c r="HKN143" s="3579"/>
      <c r="HKO143" s="3579"/>
      <c r="HKP143" s="3579"/>
      <c r="HKQ143" s="3579"/>
      <c r="HKR143" s="3579"/>
      <c r="HKS143" s="3579"/>
      <c r="HKT143" s="3579"/>
      <c r="HKU143" s="3579"/>
      <c r="HKV143" s="3579"/>
      <c r="HKW143" s="3579"/>
      <c r="HKX143" s="3579"/>
      <c r="HKY143" s="3579"/>
      <c r="HKZ143" s="3579"/>
      <c r="HLA143" s="3579"/>
      <c r="HLB143" s="3579"/>
      <c r="HLC143" s="3579"/>
      <c r="HLD143" s="3579"/>
      <c r="HLE143" s="3579"/>
      <c r="HLF143" s="3579"/>
      <c r="HLG143" s="3579"/>
      <c r="HLH143" s="3579"/>
      <c r="HLI143" s="3579"/>
      <c r="HLJ143" s="3579"/>
      <c r="HLK143" s="3579"/>
      <c r="HLL143" s="3579"/>
      <c r="HLM143" s="3579"/>
      <c r="HLN143" s="3579"/>
      <c r="HLO143" s="3579"/>
      <c r="HLP143" s="3579"/>
      <c r="HLQ143" s="3579"/>
      <c r="HLR143" s="3579"/>
      <c r="HLS143" s="3579"/>
      <c r="HLT143" s="3579"/>
      <c r="HLU143" s="3579"/>
      <c r="HLV143" s="3579"/>
      <c r="HLW143" s="3579"/>
      <c r="HLX143" s="3579"/>
      <c r="HLY143" s="3579"/>
      <c r="HLZ143" s="3579"/>
      <c r="HMA143" s="3579"/>
      <c r="HMB143" s="3579"/>
      <c r="HMC143" s="3579"/>
      <c r="HMD143" s="3579"/>
      <c r="HME143" s="3579"/>
      <c r="HMF143" s="3579"/>
      <c r="HMG143" s="3579"/>
      <c r="HMH143" s="3579"/>
      <c r="HMI143" s="3579"/>
      <c r="HMJ143" s="3579"/>
      <c r="HMK143" s="3579"/>
      <c r="HML143" s="3579"/>
      <c r="HMM143" s="3579"/>
      <c r="HMN143" s="3579"/>
      <c r="HMO143" s="3579"/>
      <c r="HMP143" s="3579"/>
      <c r="HMQ143" s="3579"/>
      <c r="HMR143" s="3579"/>
      <c r="HMS143" s="3579"/>
      <c r="HMT143" s="3579"/>
      <c r="HMU143" s="3579"/>
      <c r="HMV143" s="3579"/>
      <c r="HMW143" s="3579"/>
      <c r="HMX143" s="3579"/>
      <c r="HMY143" s="3579"/>
      <c r="HMZ143" s="3579"/>
      <c r="HNA143" s="3579"/>
      <c r="HNB143" s="3579"/>
      <c r="HNC143" s="3579"/>
      <c r="HND143" s="3579"/>
      <c r="HNE143" s="3579"/>
      <c r="HNF143" s="3579"/>
      <c r="HNG143" s="3579"/>
      <c r="HNH143" s="3579"/>
      <c r="HNI143" s="3579"/>
      <c r="HNJ143" s="3579"/>
      <c r="HNK143" s="3579"/>
      <c r="HNL143" s="3579"/>
      <c r="HNM143" s="3579"/>
      <c r="HNN143" s="3579"/>
      <c r="HNO143" s="3579"/>
      <c r="HNP143" s="3579"/>
      <c r="HNQ143" s="3579"/>
      <c r="HNR143" s="3579"/>
      <c r="HNS143" s="3579"/>
      <c r="HNT143" s="3579"/>
      <c r="HNU143" s="3579"/>
      <c r="HNV143" s="3579"/>
      <c r="HNW143" s="3579"/>
      <c r="HNX143" s="3579"/>
      <c r="HNY143" s="3579"/>
      <c r="HNZ143" s="3579"/>
      <c r="HOA143" s="3579"/>
      <c r="HOB143" s="3579"/>
      <c r="HOC143" s="3579"/>
      <c r="HOD143" s="3579"/>
      <c r="HOE143" s="3579"/>
      <c r="HOF143" s="3579"/>
      <c r="HOG143" s="3579"/>
      <c r="HOH143" s="3579"/>
      <c r="HOI143" s="3579"/>
      <c r="HOJ143" s="3579"/>
      <c r="HOK143" s="3579"/>
      <c r="HOL143" s="3579"/>
      <c r="HOM143" s="3579"/>
      <c r="HON143" s="3579"/>
      <c r="HOO143" s="3579"/>
      <c r="HOP143" s="3579"/>
      <c r="HOQ143" s="3579"/>
      <c r="HOR143" s="3579"/>
      <c r="HOS143" s="3579"/>
      <c r="HOT143" s="3579"/>
      <c r="HOU143" s="3579"/>
      <c r="HOV143" s="3579"/>
      <c r="HOW143" s="3579"/>
      <c r="HOX143" s="3579"/>
      <c r="HOY143" s="3579"/>
      <c r="HOZ143" s="3579"/>
      <c r="HPA143" s="3579"/>
      <c r="HPB143" s="3579"/>
      <c r="HPC143" s="3579"/>
      <c r="HPD143" s="3579"/>
      <c r="HPE143" s="3579"/>
      <c r="HPF143" s="3579"/>
      <c r="HPG143" s="3579"/>
      <c r="HPH143" s="3579"/>
      <c r="HPI143" s="3579"/>
      <c r="HPJ143" s="3579"/>
      <c r="HPK143" s="3579"/>
      <c r="HPL143" s="3579"/>
      <c r="HPM143" s="3579"/>
      <c r="HPN143" s="3579"/>
      <c r="HPO143" s="3579"/>
      <c r="HPP143" s="3579"/>
      <c r="HPQ143" s="3579"/>
      <c r="HPR143" s="3579"/>
      <c r="HPS143" s="3579"/>
      <c r="HPT143" s="3579"/>
      <c r="HPU143" s="3579"/>
      <c r="HPV143" s="3579"/>
      <c r="HPW143" s="3579"/>
      <c r="HPX143" s="3579"/>
      <c r="HPY143" s="3579"/>
      <c r="HPZ143" s="3579"/>
      <c r="HQA143" s="3579"/>
      <c r="HQB143" s="3579"/>
      <c r="HQC143" s="3579"/>
      <c r="HQD143" s="3579"/>
      <c r="HQE143" s="3579"/>
      <c r="HQF143" s="3579"/>
      <c r="HQG143" s="3579"/>
      <c r="HQH143" s="3579"/>
      <c r="HQI143" s="3579"/>
      <c r="HQJ143" s="3579"/>
      <c r="HQK143" s="3579"/>
      <c r="HQL143" s="3579"/>
      <c r="HQM143" s="3579"/>
      <c r="HQN143" s="3579"/>
      <c r="HQO143" s="3579"/>
      <c r="HQP143" s="3579"/>
      <c r="HQQ143" s="3579"/>
      <c r="HQR143" s="3579"/>
      <c r="HQS143" s="3579"/>
      <c r="HQT143" s="3579"/>
      <c r="HQU143" s="3579"/>
      <c r="HQV143" s="3579"/>
      <c r="HQW143" s="3579"/>
      <c r="HQX143" s="3579"/>
      <c r="HQY143" s="3579"/>
      <c r="HQZ143" s="3579"/>
      <c r="HRA143" s="3579"/>
      <c r="HRB143" s="3579"/>
      <c r="HRC143" s="3579"/>
      <c r="HRD143" s="3579"/>
      <c r="HRE143" s="3579"/>
      <c r="HRF143" s="3579"/>
      <c r="HRG143" s="3579"/>
      <c r="HRH143" s="3579"/>
      <c r="HRI143" s="3579"/>
      <c r="HRJ143" s="3579"/>
      <c r="HRK143" s="3579"/>
      <c r="HRL143" s="3579"/>
      <c r="HRM143" s="3579"/>
      <c r="HRN143" s="3579"/>
      <c r="HRO143" s="3579"/>
      <c r="HRP143" s="3579"/>
      <c r="HRQ143" s="3579"/>
      <c r="HRR143" s="3579"/>
      <c r="HRS143" s="3579"/>
      <c r="HRT143" s="3579"/>
      <c r="HRU143" s="3579"/>
      <c r="HRV143" s="3579"/>
      <c r="HRW143" s="3579"/>
      <c r="HRX143" s="3579"/>
      <c r="HRY143" s="3579"/>
      <c r="HRZ143" s="3579"/>
      <c r="HSA143" s="3579"/>
      <c r="HSB143" s="3579"/>
      <c r="HSC143" s="3579"/>
      <c r="HSD143" s="3579"/>
      <c r="HSE143" s="3579"/>
      <c r="HSF143" s="3579"/>
      <c r="HSG143" s="3579"/>
      <c r="HSH143" s="3579"/>
      <c r="HSI143" s="3579"/>
      <c r="HSJ143" s="3579"/>
      <c r="HSK143" s="3579"/>
      <c r="HSL143" s="3579"/>
      <c r="HSM143" s="3579"/>
      <c r="HSN143" s="3579"/>
      <c r="HSO143" s="3579"/>
      <c r="HSP143" s="3579"/>
      <c r="HSQ143" s="3579"/>
      <c r="HSR143" s="3579"/>
      <c r="HSS143" s="3579"/>
      <c r="HST143" s="3579"/>
      <c r="HSU143" s="3579"/>
      <c r="HSV143" s="3579"/>
      <c r="HSW143" s="3579"/>
      <c r="HSX143" s="3579"/>
      <c r="HSY143" s="3579"/>
      <c r="HSZ143" s="3579"/>
      <c r="HTA143" s="3579"/>
      <c r="HTB143" s="3579"/>
      <c r="HTC143" s="3579"/>
      <c r="HTD143" s="3579"/>
      <c r="HTE143" s="3579"/>
      <c r="HTF143" s="3579"/>
      <c r="HTG143" s="3579"/>
      <c r="HTH143" s="3579"/>
      <c r="HTI143" s="3579"/>
      <c r="HTJ143" s="3579"/>
      <c r="HTK143" s="3579"/>
      <c r="HTL143" s="3579"/>
      <c r="HTM143" s="3579"/>
      <c r="HTN143" s="3579"/>
      <c r="HTO143" s="3579"/>
      <c r="HTP143" s="3579"/>
      <c r="HTQ143" s="3579"/>
      <c r="HTR143" s="3579"/>
      <c r="HTS143" s="3579"/>
      <c r="HTT143" s="3579"/>
      <c r="HTU143" s="3579"/>
      <c r="HTV143" s="3579"/>
      <c r="HTW143" s="3579"/>
      <c r="HTX143" s="3579"/>
      <c r="HTY143" s="3579"/>
      <c r="HTZ143" s="3579"/>
      <c r="HUA143" s="3579"/>
      <c r="HUB143" s="3579"/>
      <c r="HUC143" s="3579"/>
      <c r="HUD143" s="3579"/>
      <c r="HUE143" s="3579"/>
      <c r="HUF143" s="3579"/>
      <c r="HUG143" s="3579"/>
      <c r="HUH143" s="3579"/>
      <c r="HUI143" s="3579"/>
      <c r="HUJ143" s="3579"/>
      <c r="HUK143" s="3579"/>
      <c r="HUL143" s="3579"/>
      <c r="HUM143" s="3579"/>
      <c r="HUN143" s="3579"/>
      <c r="HUO143" s="3579"/>
      <c r="HUP143" s="3579"/>
      <c r="HUQ143" s="3579"/>
      <c r="HUR143" s="3579"/>
      <c r="HUS143" s="3579"/>
      <c r="HUT143" s="3579"/>
      <c r="HUU143" s="3579"/>
      <c r="HUV143" s="3579"/>
      <c r="HUW143" s="3579"/>
      <c r="HUX143" s="3579"/>
      <c r="HUY143" s="3579"/>
      <c r="HUZ143" s="3579"/>
      <c r="HVA143" s="3579"/>
      <c r="HVB143" s="3579"/>
      <c r="HVC143" s="3579"/>
      <c r="HVD143" s="3579"/>
      <c r="HVE143" s="3579"/>
      <c r="HVF143" s="3579"/>
      <c r="HVG143" s="3579"/>
      <c r="HVH143" s="3579"/>
      <c r="HVI143" s="3579"/>
      <c r="HVJ143" s="3579"/>
      <c r="HVK143" s="3579"/>
      <c r="HVL143" s="3579"/>
      <c r="HVM143" s="3579"/>
      <c r="HVN143" s="3579"/>
      <c r="HVO143" s="3579"/>
      <c r="HVP143" s="3579"/>
      <c r="HVQ143" s="3579"/>
      <c r="HVR143" s="3579"/>
      <c r="HVS143" s="3579"/>
      <c r="HVT143" s="3579"/>
      <c r="HVU143" s="3579"/>
      <c r="HVV143" s="3579"/>
      <c r="HVW143" s="3579"/>
      <c r="HVX143" s="3579"/>
      <c r="HVY143" s="3579"/>
      <c r="HVZ143" s="3579"/>
      <c r="HWA143" s="3579"/>
      <c r="HWB143" s="3579"/>
      <c r="HWC143" s="3579"/>
      <c r="HWD143" s="3579"/>
      <c r="HWE143" s="3579"/>
      <c r="HWF143" s="3579"/>
      <c r="HWG143" s="3579"/>
      <c r="HWH143" s="3579"/>
      <c r="HWI143" s="3579"/>
      <c r="HWJ143" s="3579"/>
      <c r="HWK143" s="3579"/>
      <c r="HWL143" s="3579"/>
      <c r="HWM143" s="3579"/>
      <c r="HWN143" s="3579"/>
      <c r="HWO143" s="3579"/>
      <c r="HWP143" s="3579"/>
      <c r="HWQ143" s="3579"/>
      <c r="HWR143" s="3579"/>
      <c r="HWS143" s="3579"/>
      <c r="HWT143" s="3579"/>
      <c r="HWU143" s="3579"/>
      <c r="HWV143" s="3579"/>
      <c r="HWW143" s="3579"/>
      <c r="HWX143" s="3579"/>
      <c r="HWY143" s="3579"/>
      <c r="HWZ143" s="3579"/>
      <c r="HXA143" s="3579"/>
      <c r="HXB143" s="3579"/>
      <c r="HXC143" s="3579"/>
      <c r="HXD143" s="3579"/>
      <c r="HXE143" s="3579"/>
      <c r="HXF143" s="3579"/>
      <c r="HXG143" s="3579"/>
      <c r="HXH143" s="3579"/>
      <c r="HXI143" s="3579"/>
      <c r="HXJ143" s="3579"/>
      <c r="HXK143" s="3579"/>
      <c r="HXL143" s="3579"/>
      <c r="HXM143" s="3579"/>
      <c r="HXN143" s="3579"/>
      <c r="HXO143" s="3579"/>
      <c r="HXP143" s="3579"/>
      <c r="HXQ143" s="3579"/>
      <c r="HXR143" s="3579"/>
      <c r="HXS143" s="3579"/>
      <c r="HXT143" s="3579"/>
      <c r="HXU143" s="3579"/>
      <c r="HXV143" s="3579"/>
      <c r="HXW143" s="3579"/>
      <c r="HXX143" s="3579"/>
      <c r="HXY143" s="3579"/>
      <c r="HXZ143" s="3579"/>
      <c r="HYA143" s="3579"/>
      <c r="HYB143" s="3579"/>
      <c r="HYC143" s="3579"/>
      <c r="HYD143" s="3579"/>
      <c r="HYE143" s="3579"/>
      <c r="HYF143" s="3579"/>
      <c r="HYG143" s="3579"/>
      <c r="HYH143" s="3579"/>
      <c r="HYI143" s="3579"/>
      <c r="HYJ143" s="3579"/>
      <c r="HYK143" s="3579"/>
      <c r="HYL143" s="3579"/>
      <c r="HYM143" s="3579"/>
      <c r="HYN143" s="3579"/>
      <c r="HYO143" s="3579"/>
      <c r="HYP143" s="3579"/>
      <c r="HYQ143" s="3579"/>
      <c r="HYR143" s="3579"/>
      <c r="HYS143" s="3579"/>
      <c r="HYT143" s="3579"/>
      <c r="HYU143" s="3579"/>
      <c r="HYV143" s="3579"/>
      <c r="HYW143" s="3579"/>
      <c r="HYX143" s="3579"/>
      <c r="HYY143" s="3579"/>
      <c r="HYZ143" s="3579"/>
      <c r="HZA143" s="3579"/>
      <c r="HZB143" s="3579"/>
      <c r="HZC143" s="3579"/>
      <c r="HZD143" s="3579"/>
      <c r="HZE143" s="3579"/>
      <c r="HZF143" s="3579"/>
      <c r="HZG143" s="3579"/>
      <c r="HZH143" s="3579"/>
      <c r="HZI143" s="3579"/>
      <c r="HZJ143" s="3579"/>
      <c r="HZK143" s="3579"/>
      <c r="HZL143" s="3579"/>
      <c r="HZM143" s="3579"/>
      <c r="HZN143" s="3579"/>
      <c r="HZO143" s="3579"/>
      <c r="HZP143" s="3579"/>
      <c r="HZQ143" s="3579"/>
      <c r="HZR143" s="3579"/>
      <c r="HZS143" s="3579"/>
      <c r="HZT143" s="3579"/>
      <c r="HZU143" s="3579"/>
      <c r="HZV143" s="3579"/>
      <c r="HZW143" s="3579"/>
      <c r="HZX143" s="3579"/>
      <c r="HZY143" s="3579"/>
      <c r="HZZ143" s="3579"/>
      <c r="IAA143" s="3579"/>
      <c r="IAB143" s="3579"/>
      <c r="IAC143" s="3579"/>
      <c r="IAD143" s="3579"/>
      <c r="IAE143" s="3579"/>
      <c r="IAF143" s="3579"/>
      <c r="IAG143" s="3579"/>
      <c r="IAH143" s="3579"/>
      <c r="IAI143" s="3579"/>
      <c r="IAJ143" s="3579"/>
      <c r="IAK143" s="3579"/>
      <c r="IAL143" s="3579"/>
      <c r="IAM143" s="3579"/>
      <c r="IAN143" s="3579"/>
      <c r="IAO143" s="3579"/>
      <c r="IAP143" s="3579"/>
      <c r="IAQ143" s="3579"/>
      <c r="IAR143" s="3579"/>
      <c r="IAS143" s="3579"/>
      <c r="IAT143" s="3579"/>
      <c r="IAU143" s="3579"/>
      <c r="IAV143" s="3579"/>
      <c r="IAW143" s="3579"/>
      <c r="IAX143" s="3579"/>
      <c r="IAY143" s="3579"/>
      <c r="IAZ143" s="3579"/>
      <c r="IBA143" s="3579"/>
      <c r="IBB143" s="3579"/>
      <c r="IBC143" s="3579"/>
      <c r="IBD143" s="3579"/>
      <c r="IBE143" s="3579"/>
      <c r="IBF143" s="3579"/>
      <c r="IBG143" s="3579"/>
      <c r="IBH143" s="3579"/>
      <c r="IBI143" s="3579"/>
      <c r="IBJ143" s="3579"/>
      <c r="IBK143" s="3579"/>
      <c r="IBL143" s="3579"/>
      <c r="IBM143" s="3579"/>
      <c r="IBN143" s="3579"/>
      <c r="IBO143" s="3579"/>
      <c r="IBP143" s="3579"/>
      <c r="IBQ143" s="3579"/>
      <c r="IBR143" s="3579"/>
      <c r="IBS143" s="3579"/>
      <c r="IBT143" s="3579"/>
      <c r="IBU143" s="3579"/>
      <c r="IBV143" s="3579"/>
      <c r="IBW143" s="3579"/>
      <c r="IBX143" s="3579"/>
      <c r="IBY143" s="3579"/>
      <c r="IBZ143" s="3579"/>
      <c r="ICA143" s="3579"/>
      <c r="ICB143" s="3579"/>
      <c r="ICC143" s="3579"/>
      <c r="ICD143" s="3579"/>
      <c r="ICE143" s="3579"/>
      <c r="ICF143" s="3579"/>
      <c r="ICG143" s="3579"/>
      <c r="ICH143" s="3579"/>
      <c r="ICI143" s="3579"/>
      <c r="ICJ143" s="3579"/>
      <c r="ICK143" s="3579"/>
      <c r="ICL143" s="3579"/>
      <c r="ICM143" s="3579"/>
      <c r="ICN143" s="3579"/>
      <c r="ICO143" s="3579"/>
      <c r="ICP143" s="3579"/>
      <c r="ICQ143" s="3579"/>
      <c r="ICR143" s="3579"/>
      <c r="ICS143" s="3579"/>
      <c r="ICT143" s="3579"/>
      <c r="ICU143" s="3579"/>
      <c r="ICV143" s="3579"/>
      <c r="ICW143" s="3579"/>
      <c r="ICX143" s="3579"/>
      <c r="ICY143" s="3579"/>
      <c r="ICZ143" s="3579"/>
      <c r="IDA143" s="3579"/>
      <c r="IDB143" s="3579"/>
      <c r="IDC143" s="3579"/>
      <c r="IDD143" s="3579"/>
      <c r="IDE143" s="3579"/>
      <c r="IDF143" s="3579"/>
      <c r="IDG143" s="3579"/>
      <c r="IDH143" s="3579"/>
      <c r="IDI143" s="3579"/>
      <c r="IDJ143" s="3579"/>
      <c r="IDK143" s="3579"/>
      <c r="IDL143" s="3579"/>
      <c r="IDM143" s="3579"/>
      <c r="IDN143" s="3579"/>
      <c r="IDO143" s="3579"/>
      <c r="IDP143" s="3579"/>
      <c r="IDQ143" s="3579"/>
      <c r="IDR143" s="3579"/>
      <c r="IDS143" s="3579"/>
      <c r="IDT143" s="3579"/>
      <c r="IDU143" s="3579"/>
      <c r="IDV143" s="3579"/>
      <c r="IDW143" s="3579"/>
      <c r="IDX143" s="3579"/>
      <c r="IDY143" s="3579"/>
      <c r="IDZ143" s="3579"/>
      <c r="IEA143" s="3579"/>
      <c r="IEB143" s="3579"/>
      <c r="IEC143" s="3579"/>
      <c r="IED143" s="3579"/>
      <c r="IEE143" s="3579"/>
      <c r="IEF143" s="3579"/>
      <c r="IEG143" s="3579"/>
      <c r="IEH143" s="3579"/>
      <c r="IEI143" s="3579"/>
      <c r="IEJ143" s="3579"/>
      <c r="IEK143" s="3579"/>
      <c r="IEL143" s="3579"/>
      <c r="IEM143" s="3579"/>
      <c r="IEN143" s="3579"/>
      <c r="IEO143" s="3579"/>
      <c r="IEP143" s="3579"/>
      <c r="IEQ143" s="3579"/>
      <c r="IER143" s="3579"/>
      <c r="IES143" s="3579"/>
      <c r="IET143" s="3579"/>
      <c r="IEU143" s="3579"/>
      <c r="IEV143" s="3579"/>
      <c r="IEW143" s="3579"/>
      <c r="IEX143" s="3579"/>
      <c r="IEY143" s="3579"/>
      <c r="IEZ143" s="3579"/>
      <c r="IFA143" s="3579"/>
      <c r="IFB143" s="3579"/>
      <c r="IFC143" s="3579"/>
      <c r="IFD143" s="3579"/>
      <c r="IFE143" s="3579"/>
      <c r="IFF143" s="3579"/>
      <c r="IFG143" s="3579"/>
      <c r="IFH143" s="3579"/>
      <c r="IFI143" s="3579"/>
      <c r="IFJ143" s="3579"/>
      <c r="IFK143" s="3579"/>
      <c r="IFL143" s="3579"/>
      <c r="IFM143" s="3579"/>
      <c r="IFN143" s="3579"/>
      <c r="IFO143" s="3579"/>
      <c r="IFP143" s="3579"/>
      <c r="IFQ143" s="3579"/>
      <c r="IFR143" s="3579"/>
      <c r="IFS143" s="3579"/>
      <c r="IFT143" s="3579"/>
      <c r="IFU143" s="3579"/>
      <c r="IFV143" s="3579"/>
      <c r="IFW143" s="3579"/>
      <c r="IFX143" s="3579"/>
      <c r="IFY143" s="3579"/>
      <c r="IFZ143" s="3579"/>
      <c r="IGA143" s="3579"/>
      <c r="IGB143" s="3579"/>
      <c r="IGC143" s="3579"/>
      <c r="IGD143" s="3579"/>
      <c r="IGE143" s="3579"/>
      <c r="IGF143" s="3579"/>
      <c r="IGG143" s="3579"/>
      <c r="IGH143" s="3579"/>
      <c r="IGI143" s="3579"/>
      <c r="IGJ143" s="3579"/>
      <c r="IGK143" s="3579"/>
      <c r="IGL143" s="3579"/>
      <c r="IGM143" s="3579"/>
      <c r="IGN143" s="3579"/>
      <c r="IGO143" s="3579"/>
      <c r="IGP143" s="3579"/>
      <c r="IGQ143" s="3579"/>
      <c r="IGR143" s="3579"/>
      <c r="IGS143" s="3579"/>
      <c r="IGT143" s="3579"/>
      <c r="IGU143" s="3579"/>
      <c r="IGV143" s="3579"/>
      <c r="IGW143" s="3579"/>
      <c r="IGX143" s="3579"/>
      <c r="IGY143" s="3579"/>
      <c r="IGZ143" s="3579"/>
      <c r="IHA143" s="3579"/>
      <c r="IHB143" s="3579"/>
      <c r="IHC143" s="3579"/>
      <c r="IHD143" s="3579"/>
      <c r="IHE143" s="3579"/>
      <c r="IHF143" s="3579"/>
      <c r="IHG143" s="3579"/>
      <c r="IHH143" s="3579"/>
      <c r="IHI143" s="3579"/>
      <c r="IHJ143" s="3579"/>
      <c r="IHK143" s="3579"/>
      <c r="IHL143" s="3579"/>
      <c r="IHM143" s="3579"/>
      <c r="IHN143" s="3579"/>
      <c r="IHO143" s="3579"/>
      <c r="IHP143" s="3579"/>
      <c r="IHQ143" s="3579"/>
      <c r="IHR143" s="3579"/>
      <c r="IHS143" s="3579"/>
      <c r="IHT143" s="3579"/>
      <c r="IHU143" s="3579"/>
      <c r="IHV143" s="3579"/>
      <c r="IHW143" s="3579"/>
      <c r="IHX143" s="3579"/>
      <c r="IHY143" s="3579"/>
      <c r="IHZ143" s="3579"/>
      <c r="IIA143" s="3579"/>
      <c r="IIB143" s="3579"/>
      <c r="IIC143" s="3579"/>
      <c r="IID143" s="3579"/>
      <c r="IIE143" s="3579"/>
      <c r="IIF143" s="3579"/>
      <c r="IIG143" s="3579"/>
      <c r="IIH143" s="3579"/>
      <c r="III143" s="3579"/>
      <c r="IIJ143" s="3579"/>
      <c r="IIK143" s="3579"/>
      <c r="IIL143" s="3579"/>
      <c r="IIM143" s="3579"/>
      <c r="IIN143" s="3579"/>
      <c r="IIO143" s="3579"/>
      <c r="IIP143" s="3579"/>
      <c r="IIQ143" s="3579"/>
      <c r="IIR143" s="3579"/>
      <c r="IIS143" s="3579"/>
      <c r="IIT143" s="3579"/>
      <c r="IIU143" s="3579"/>
      <c r="IIV143" s="3579"/>
      <c r="IIW143" s="3579"/>
      <c r="IIX143" s="3579"/>
      <c r="IIY143" s="3579"/>
      <c r="IIZ143" s="3579"/>
      <c r="IJA143" s="3579"/>
      <c r="IJB143" s="3579"/>
      <c r="IJC143" s="3579"/>
      <c r="IJD143" s="3579"/>
      <c r="IJE143" s="3579"/>
      <c r="IJF143" s="3579"/>
      <c r="IJG143" s="3579"/>
      <c r="IJH143" s="3579"/>
      <c r="IJI143" s="3579"/>
      <c r="IJJ143" s="3579"/>
      <c r="IJK143" s="3579"/>
      <c r="IJL143" s="3579"/>
      <c r="IJM143" s="3579"/>
      <c r="IJN143" s="3579"/>
      <c r="IJO143" s="3579"/>
      <c r="IJP143" s="3579"/>
      <c r="IJQ143" s="3579"/>
      <c r="IJR143" s="3579"/>
      <c r="IJS143" s="3579"/>
      <c r="IJT143" s="3579"/>
      <c r="IJU143" s="3579"/>
      <c r="IJV143" s="3579"/>
      <c r="IJW143" s="3579"/>
      <c r="IJX143" s="3579"/>
      <c r="IJY143" s="3579"/>
      <c r="IJZ143" s="3579"/>
      <c r="IKA143" s="3579"/>
      <c r="IKB143" s="3579"/>
      <c r="IKC143" s="3579"/>
      <c r="IKD143" s="3579"/>
      <c r="IKE143" s="3579"/>
      <c r="IKF143" s="3579"/>
      <c r="IKG143" s="3579"/>
      <c r="IKH143" s="3579"/>
      <c r="IKI143" s="3579"/>
      <c r="IKJ143" s="3579"/>
      <c r="IKK143" s="3579"/>
      <c r="IKL143" s="3579"/>
      <c r="IKM143" s="3579"/>
      <c r="IKN143" s="3579"/>
      <c r="IKO143" s="3579"/>
      <c r="IKP143" s="3579"/>
      <c r="IKQ143" s="3579"/>
      <c r="IKR143" s="3579"/>
      <c r="IKS143" s="3579"/>
      <c r="IKT143" s="3579"/>
      <c r="IKU143" s="3579"/>
      <c r="IKV143" s="3579"/>
      <c r="IKW143" s="3579"/>
      <c r="IKX143" s="3579"/>
      <c r="IKY143" s="3579"/>
      <c r="IKZ143" s="3579"/>
      <c r="ILA143" s="3579"/>
      <c r="ILB143" s="3579"/>
      <c r="ILC143" s="3579"/>
      <c r="ILD143" s="3579"/>
      <c r="ILE143" s="3579"/>
      <c r="ILF143" s="3579"/>
      <c r="ILG143" s="3579"/>
      <c r="ILH143" s="3579"/>
      <c r="ILI143" s="3579"/>
      <c r="ILJ143" s="3579"/>
      <c r="ILK143" s="3579"/>
      <c r="ILL143" s="3579"/>
      <c r="ILM143" s="3579"/>
      <c r="ILN143" s="3579"/>
      <c r="ILO143" s="3579"/>
      <c r="ILP143" s="3579"/>
      <c r="ILQ143" s="3579"/>
      <c r="ILR143" s="3579"/>
      <c r="ILS143" s="3579"/>
      <c r="ILT143" s="3579"/>
      <c r="ILU143" s="3579"/>
      <c r="ILV143" s="3579"/>
      <c r="ILW143" s="3579"/>
      <c r="ILX143" s="3579"/>
      <c r="ILY143" s="3579"/>
      <c r="ILZ143" s="3579"/>
      <c r="IMA143" s="3579"/>
      <c r="IMB143" s="3579"/>
      <c r="IMC143" s="3579"/>
      <c r="IMD143" s="3579"/>
      <c r="IME143" s="3579"/>
      <c r="IMF143" s="3579"/>
      <c r="IMG143" s="3579"/>
      <c r="IMH143" s="3579"/>
      <c r="IMI143" s="3579"/>
      <c r="IMJ143" s="3579"/>
      <c r="IMK143" s="3579"/>
      <c r="IML143" s="3579"/>
      <c r="IMM143" s="3579"/>
      <c r="IMN143" s="3579"/>
      <c r="IMO143" s="3579"/>
      <c r="IMP143" s="3579"/>
      <c r="IMQ143" s="3579"/>
      <c r="IMR143" s="3579"/>
      <c r="IMS143" s="3579"/>
      <c r="IMT143" s="3579"/>
      <c r="IMU143" s="3579"/>
      <c r="IMV143" s="3579"/>
      <c r="IMW143" s="3579"/>
      <c r="IMX143" s="3579"/>
      <c r="IMY143" s="3579"/>
      <c r="IMZ143" s="3579"/>
      <c r="INA143" s="3579"/>
      <c r="INB143" s="3579"/>
      <c r="INC143" s="3579"/>
      <c r="IND143" s="3579"/>
      <c r="INE143" s="3579"/>
      <c r="INF143" s="3579"/>
      <c r="ING143" s="3579"/>
      <c r="INH143" s="3579"/>
      <c r="INI143" s="3579"/>
      <c r="INJ143" s="3579"/>
      <c r="INK143" s="3579"/>
      <c r="INL143" s="3579"/>
      <c r="INM143" s="3579"/>
      <c r="INN143" s="3579"/>
      <c r="INO143" s="3579"/>
      <c r="INP143" s="3579"/>
      <c r="INQ143" s="3579"/>
      <c r="INR143" s="3579"/>
      <c r="INS143" s="3579"/>
      <c r="INT143" s="3579"/>
      <c r="INU143" s="3579"/>
      <c r="INV143" s="3579"/>
      <c r="INW143" s="3579"/>
      <c r="INX143" s="3579"/>
      <c r="INY143" s="3579"/>
      <c r="INZ143" s="3579"/>
      <c r="IOA143" s="3579"/>
      <c r="IOB143" s="3579"/>
      <c r="IOC143" s="3579"/>
      <c r="IOD143" s="3579"/>
      <c r="IOE143" s="3579"/>
      <c r="IOF143" s="3579"/>
      <c r="IOG143" s="3579"/>
      <c r="IOH143" s="3579"/>
      <c r="IOI143" s="3579"/>
      <c r="IOJ143" s="3579"/>
      <c r="IOK143" s="3579"/>
      <c r="IOL143" s="3579"/>
      <c r="IOM143" s="3579"/>
      <c r="ION143" s="3579"/>
      <c r="IOO143" s="3579"/>
      <c r="IOP143" s="3579"/>
      <c r="IOQ143" s="3579"/>
      <c r="IOR143" s="3579"/>
      <c r="IOS143" s="3579"/>
      <c r="IOT143" s="3579"/>
      <c r="IOU143" s="3579"/>
      <c r="IOV143" s="3579"/>
      <c r="IOW143" s="3579"/>
      <c r="IOX143" s="3579"/>
      <c r="IOY143" s="3579"/>
      <c r="IOZ143" s="3579"/>
      <c r="IPA143" s="3579"/>
      <c r="IPB143" s="3579"/>
      <c r="IPC143" s="3579"/>
      <c r="IPD143" s="3579"/>
      <c r="IPE143" s="3579"/>
      <c r="IPF143" s="3579"/>
      <c r="IPG143" s="3579"/>
      <c r="IPH143" s="3579"/>
      <c r="IPI143" s="3579"/>
      <c r="IPJ143" s="3579"/>
      <c r="IPK143" s="3579"/>
      <c r="IPL143" s="3579"/>
      <c r="IPM143" s="3579"/>
      <c r="IPN143" s="3579"/>
      <c r="IPO143" s="3579"/>
      <c r="IPP143" s="3579"/>
      <c r="IPQ143" s="3579"/>
      <c r="IPR143" s="3579"/>
      <c r="IPS143" s="3579"/>
      <c r="IPT143" s="3579"/>
      <c r="IPU143" s="3579"/>
      <c r="IPV143" s="3579"/>
      <c r="IPW143" s="3579"/>
      <c r="IPX143" s="3579"/>
      <c r="IPY143" s="3579"/>
      <c r="IPZ143" s="3579"/>
      <c r="IQA143" s="3579"/>
      <c r="IQB143" s="3579"/>
      <c r="IQC143" s="3579"/>
      <c r="IQD143" s="3579"/>
      <c r="IQE143" s="3579"/>
      <c r="IQF143" s="3579"/>
      <c r="IQG143" s="3579"/>
      <c r="IQH143" s="3579"/>
      <c r="IQI143" s="3579"/>
      <c r="IQJ143" s="3579"/>
      <c r="IQK143" s="3579"/>
      <c r="IQL143" s="3579"/>
      <c r="IQM143" s="3579"/>
      <c r="IQN143" s="3579"/>
      <c r="IQO143" s="3579"/>
      <c r="IQP143" s="3579"/>
      <c r="IQQ143" s="3579"/>
      <c r="IQR143" s="3579"/>
      <c r="IQS143" s="3579"/>
      <c r="IQT143" s="3579"/>
      <c r="IQU143" s="3579"/>
      <c r="IQV143" s="3579"/>
      <c r="IQW143" s="3579"/>
      <c r="IQX143" s="3579"/>
      <c r="IQY143" s="3579"/>
      <c r="IQZ143" s="3579"/>
      <c r="IRA143" s="3579"/>
      <c r="IRB143" s="3579"/>
      <c r="IRC143" s="3579"/>
      <c r="IRD143" s="3579"/>
      <c r="IRE143" s="3579"/>
      <c r="IRF143" s="3579"/>
      <c r="IRG143" s="3579"/>
      <c r="IRH143" s="3579"/>
      <c r="IRI143" s="3579"/>
      <c r="IRJ143" s="3579"/>
      <c r="IRK143" s="3579"/>
      <c r="IRL143" s="3579"/>
      <c r="IRM143" s="3579"/>
      <c r="IRN143" s="3579"/>
      <c r="IRO143" s="3579"/>
      <c r="IRP143" s="3579"/>
      <c r="IRQ143" s="3579"/>
      <c r="IRR143" s="3579"/>
      <c r="IRS143" s="3579"/>
      <c r="IRT143" s="3579"/>
      <c r="IRU143" s="3579"/>
      <c r="IRV143" s="3579"/>
      <c r="IRW143" s="3579"/>
      <c r="IRX143" s="3579"/>
      <c r="IRY143" s="3579"/>
      <c r="IRZ143" s="3579"/>
      <c r="ISA143" s="3579"/>
      <c r="ISB143" s="3579"/>
      <c r="ISC143" s="3579"/>
      <c r="ISD143" s="3579"/>
      <c r="ISE143" s="3579"/>
      <c r="ISF143" s="3579"/>
      <c r="ISG143" s="3579"/>
      <c r="ISH143" s="3579"/>
      <c r="ISI143" s="3579"/>
      <c r="ISJ143" s="3579"/>
      <c r="ISK143" s="3579"/>
      <c r="ISL143" s="3579"/>
      <c r="ISM143" s="3579"/>
      <c r="ISN143" s="3579"/>
      <c r="ISO143" s="3579"/>
      <c r="ISP143" s="3579"/>
      <c r="ISQ143" s="3579"/>
      <c r="ISR143" s="3579"/>
      <c r="ISS143" s="3579"/>
      <c r="IST143" s="3579"/>
      <c r="ISU143" s="3579"/>
      <c r="ISV143" s="3579"/>
      <c r="ISW143" s="3579"/>
      <c r="ISX143" s="3579"/>
      <c r="ISY143" s="3579"/>
      <c r="ISZ143" s="3579"/>
      <c r="ITA143" s="3579"/>
      <c r="ITB143" s="3579"/>
      <c r="ITC143" s="3579"/>
      <c r="ITD143" s="3579"/>
      <c r="ITE143" s="3579"/>
      <c r="ITF143" s="3579"/>
      <c r="ITG143" s="3579"/>
      <c r="ITH143" s="3579"/>
      <c r="ITI143" s="3579"/>
      <c r="ITJ143" s="3579"/>
      <c r="ITK143" s="3579"/>
      <c r="ITL143" s="3579"/>
      <c r="ITM143" s="3579"/>
      <c r="ITN143" s="3579"/>
      <c r="ITO143" s="3579"/>
      <c r="ITP143" s="3579"/>
      <c r="ITQ143" s="3579"/>
      <c r="ITR143" s="3579"/>
      <c r="ITS143" s="3579"/>
      <c r="ITT143" s="3579"/>
      <c r="ITU143" s="3579"/>
      <c r="ITV143" s="3579"/>
      <c r="ITW143" s="3579"/>
      <c r="ITX143" s="3579"/>
      <c r="ITY143" s="3579"/>
      <c r="ITZ143" s="3579"/>
      <c r="IUA143" s="3579"/>
      <c r="IUB143" s="3579"/>
      <c r="IUC143" s="3579"/>
      <c r="IUD143" s="3579"/>
      <c r="IUE143" s="3579"/>
      <c r="IUF143" s="3579"/>
      <c r="IUG143" s="3579"/>
      <c r="IUH143" s="3579"/>
      <c r="IUI143" s="3579"/>
      <c r="IUJ143" s="3579"/>
      <c r="IUK143" s="3579"/>
      <c r="IUL143" s="3579"/>
      <c r="IUM143" s="3579"/>
      <c r="IUN143" s="3579"/>
      <c r="IUO143" s="3579"/>
      <c r="IUP143" s="3579"/>
      <c r="IUQ143" s="3579"/>
      <c r="IUR143" s="3579"/>
      <c r="IUS143" s="3579"/>
      <c r="IUT143" s="3579"/>
      <c r="IUU143" s="3579"/>
      <c r="IUV143" s="3579"/>
      <c r="IUW143" s="3579"/>
      <c r="IUX143" s="3579"/>
      <c r="IUY143" s="3579"/>
      <c r="IUZ143" s="3579"/>
      <c r="IVA143" s="3579"/>
      <c r="IVB143" s="3579"/>
      <c r="IVC143" s="3579"/>
      <c r="IVD143" s="3579"/>
      <c r="IVE143" s="3579"/>
      <c r="IVF143" s="3579"/>
      <c r="IVG143" s="3579"/>
      <c r="IVH143" s="3579"/>
      <c r="IVI143" s="3579"/>
      <c r="IVJ143" s="3579"/>
      <c r="IVK143" s="3579"/>
      <c r="IVL143" s="3579"/>
      <c r="IVM143" s="3579"/>
      <c r="IVN143" s="3579"/>
      <c r="IVO143" s="3579"/>
      <c r="IVP143" s="3579"/>
      <c r="IVQ143" s="3579"/>
      <c r="IVR143" s="3579"/>
      <c r="IVS143" s="3579"/>
      <c r="IVT143" s="3579"/>
      <c r="IVU143" s="3579"/>
      <c r="IVV143" s="3579"/>
      <c r="IVW143" s="3579"/>
      <c r="IVX143" s="3579"/>
      <c r="IVY143" s="3579"/>
      <c r="IVZ143" s="3579"/>
      <c r="IWA143" s="3579"/>
      <c r="IWB143" s="3579"/>
      <c r="IWC143" s="3579"/>
      <c r="IWD143" s="3579"/>
      <c r="IWE143" s="3579"/>
      <c r="IWF143" s="3579"/>
      <c r="IWG143" s="3579"/>
      <c r="IWH143" s="3579"/>
      <c r="IWI143" s="3579"/>
      <c r="IWJ143" s="3579"/>
      <c r="IWK143" s="3579"/>
      <c r="IWL143" s="3579"/>
      <c r="IWM143" s="3579"/>
      <c r="IWN143" s="3579"/>
      <c r="IWO143" s="3579"/>
      <c r="IWP143" s="3579"/>
      <c r="IWQ143" s="3579"/>
      <c r="IWR143" s="3579"/>
      <c r="IWS143" s="3579"/>
      <c r="IWT143" s="3579"/>
      <c r="IWU143" s="3579"/>
      <c r="IWV143" s="3579"/>
      <c r="IWW143" s="3579"/>
      <c r="IWX143" s="3579"/>
      <c r="IWY143" s="3579"/>
      <c r="IWZ143" s="3579"/>
      <c r="IXA143" s="3579"/>
      <c r="IXB143" s="3579"/>
      <c r="IXC143" s="3579"/>
      <c r="IXD143" s="3579"/>
      <c r="IXE143" s="3579"/>
      <c r="IXF143" s="3579"/>
      <c r="IXG143" s="3579"/>
      <c r="IXH143" s="3579"/>
      <c r="IXI143" s="3579"/>
      <c r="IXJ143" s="3579"/>
      <c r="IXK143" s="3579"/>
      <c r="IXL143" s="3579"/>
      <c r="IXM143" s="3579"/>
      <c r="IXN143" s="3579"/>
      <c r="IXO143" s="3579"/>
      <c r="IXP143" s="3579"/>
      <c r="IXQ143" s="3579"/>
      <c r="IXR143" s="3579"/>
      <c r="IXS143" s="3579"/>
      <c r="IXT143" s="3579"/>
      <c r="IXU143" s="3579"/>
      <c r="IXV143" s="3579"/>
      <c r="IXW143" s="3579"/>
      <c r="IXX143" s="3579"/>
      <c r="IXY143" s="3579"/>
      <c r="IXZ143" s="3579"/>
      <c r="IYA143" s="3579"/>
      <c r="IYB143" s="3579"/>
      <c r="IYC143" s="3579"/>
      <c r="IYD143" s="3579"/>
      <c r="IYE143" s="3579"/>
      <c r="IYF143" s="3579"/>
      <c r="IYG143" s="3579"/>
      <c r="IYH143" s="3579"/>
      <c r="IYI143" s="3579"/>
      <c r="IYJ143" s="3579"/>
      <c r="IYK143" s="3579"/>
      <c r="IYL143" s="3579"/>
      <c r="IYM143" s="3579"/>
      <c r="IYN143" s="3579"/>
      <c r="IYO143" s="3579"/>
      <c r="IYP143" s="3579"/>
      <c r="IYQ143" s="3579"/>
      <c r="IYR143" s="3579"/>
      <c r="IYS143" s="3579"/>
      <c r="IYT143" s="3579"/>
      <c r="IYU143" s="3579"/>
      <c r="IYV143" s="3579"/>
      <c r="IYW143" s="3579"/>
      <c r="IYX143" s="3579"/>
      <c r="IYY143" s="3579"/>
      <c r="IYZ143" s="3579"/>
      <c r="IZA143" s="3579"/>
      <c r="IZB143" s="3579"/>
      <c r="IZC143" s="3579"/>
      <c r="IZD143" s="3579"/>
      <c r="IZE143" s="3579"/>
      <c r="IZF143" s="3579"/>
      <c r="IZG143" s="3579"/>
      <c r="IZH143" s="3579"/>
      <c r="IZI143" s="3579"/>
      <c r="IZJ143" s="3579"/>
      <c r="IZK143" s="3579"/>
      <c r="IZL143" s="3579"/>
      <c r="IZM143" s="3579"/>
      <c r="IZN143" s="3579"/>
      <c r="IZO143" s="3579"/>
      <c r="IZP143" s="3579"/>
      <c r="IZQ143" s="3579"/>
      <c r="IZR143" s="3579"/>
      <c r="IZS143" s="3579"/>
      <c r="IZT143" s="3579"/>
      <c r="IZU143" s="3579"/>
      <c r="IZV143" s="3579"/>
      <c r="IZW143" s="3579"/>
      <c r="IZX143" s="3579"/>
      <c r="IZY143" s="3579"/>
      <c r="IZZ143" s="3579"/>
      <c r="JAA143" s="3579"/>
      <c r="JAB143" s="3579"/>
      <c r="JAC143" s="3579"/>
      <c r="JAD143" s="3579"/>
      <c r="JAE143" s="3579"/>
      <c r="JAF143" s="3579"/>
      <c r="JAG143" s="3579"/>
      <c r="JAH143" s="3579"/>
      <c r="JAI143" s="3579"/>
      <c r="JAJ143" s="3579"/>
      <c r="JAK143" s="3579"/>
      <c r="JAL143" s="3579"/>
      <c r="JAM143" s="3579"/>
      <c r="JAN143" s="3579"/>
      <c r="JAO143" s="3579"/>
      <c r="JAP143" s="3579"/>
      <c r="JAQ143" s="3579"/>
      <c r="JAR143" s="3579"/>
      <c r="JAS143" s="3579"/>
      <c r="JAT143" s="3579"/>
      <c r="JAU143" s="3579"/>
      <c r="JAV143" s="3579"/>
      <c r="JAW143" s="3579"/>
      <c r="JAX143" s="3579"/>
      <c r="JAY143" s="3579"/>
      <c r="JAZ143" s="3579"/>
      <c r="JBA143" s="3579"/>
      <c r="JBB143" s="3579"/>
      <c r="JBC143" s="3579"/>
      <c r="JBD143" s="3579"/>
      <c r="JBE143" s="3579"/>
      <c r="JBF143" s="3579"/>
      <c r="JBG143" s="3579"/>
      <c r="JBH143" s="3579"/>
      <c r="JBI143" s="3579"/>
      <c r="JBJ143" s="3579"/>
      <c r="JBK143" s="3579"/>
      <c r="JBL143" s="3579"/>
      <c r="JBM143" s="3579"/>
      <c r="JBN143" s="3579"/>
      <c r="JBO143" s="3579"/>
      <c r="JBP143" s="3579"/>
      <c r="JBQ143" s="3579"/>
      <c r="JBR143" s="3579"/>
      <c r="JBS143" s="3579"/>
      <c r="JBT143" s="3579"/>
      <c r="JBU143" s="3579"/>
      <c r="JBV143" s="3579"/>
      <c r="JBW143" s="3579"/>
      <c r="JBX143" s="3579"/>
      <c r="JBY143" s="3579"/>
      <c r="JBZ143" s="3579"/>
      <c r="JCA143" s="3579"/>
      <c r="JCB143" s="3579"/>
      <c r="JCC143" s="3579"/>
      <c r="JCD143" s="3579"/>
      <c r="JCE143" s="3579"/>
      <c r="JCF143" s="3579"/>
      <c r="JCG143" s="3579"/>
      <c r="JCH143" s="3579"/>
      <c r="JCI143" s="3579"/>
      <c r="JCJ143" s="3579"/>
      <c r="JCK143" s="3579"/>
      <c r="JCL143" s="3579"/>
      <c r="JCM143" s="3579"/>
      <c r="JCN143" s="3579"/>
      <c r="JCO143" s="3579"/>
      <c r="JCP143" s="3579"/>
      <c r="JCQ143" s="3579"/>
      <c r="JCR143" s="3579"/>
      <c r="JCS143" s="3579"/>
      <c r="JCT143" s="3579"/>
      <c r="JCU143" s="3579"/>
      <c r="JCV143" s="3579"/>
      <c r="JCW143" s="3579"/>
      <c r="JCX143" s="3579"/>
      <c r="JCY143" s="3579"/>
      <c r="JCZ143" s="3579"/>
      <c r="JDA143" s="3579"/>
      <c r="JDB143" s="3579"/>
      <c r="JDC143" s="3579"/>
      <c r="JDD143" s="3579"/>
      <c r="JDE143" s="3579"/>
      <c r="JDF143" s="3579"/>
      <c r="JDG143" s="3579"/>
      <c r="JDH143" s="3579"/>
      <c r="JDI143" s="3579"/>
      <c r="JDJ143" s="3579"/>
      <c r="JDK143" s="3579"/>
      <c r="JDL143" s="3579"/>
      <c r="JDM143" s="3579"/>
      <c r="JDN143" s="3579"/>
      <c r="JDO143" s="3579"/>
      <c r="JDP143" s="3579"/>
      <c r="JDQ143" s="3579"/>
      <c r="JDR143" s="3579"/>
      <c r="JDS143" s="3579"/>
      <c r="JDT143" s="3579"/>
      <c r="JDU143" s="3579"/>
      <c r="JDV143" s="3579"/>
      <c r="JDW143" s="3579"/>
      <c r="JDX143" s="3579"/>
      <c r="JDY143" s="3579"/>
      <c r="JDZ143" s="3579"/>
      <c r="JEA143" s="3579"/>
      <c r="JEB143" s="3579"/>
      <c r="JEC143" s="3579"/>
      <c r="JED143" s="3579"/>
      <c r="JEE143" s="3579"/>
      <c r="JEF143" s="3579"/>
      <c r="JEG143" s="3579"/>
      <c r="JEH143" s="3579"/>
      <c r="JEI143" s="3579"/>
      <c r="JEJ143" s="3579"/>
      <c r="JEK143" s="3579"/>
      <c r="JEL143" s="3579"/>
      <c r="JEM143" s="3579"/>
      <c r="JEN143" s="3579"/>
      <c r="JEO143" s="3579"/>
      <c r="JEP143" s="3579"/>
      <c r="JEQ143" s="3579"/>
      <c r="JER143" s="3579"/>
      <c r="JES143" s="3579"/>
      <c r="JET143" s="3579"/>
      <c r="JEU143" s="3579"/>
      <c r="JEV143" s="3579"/>
      <c r="JEW143" s="3579"/>
      <c r="JEX143" s="3579"/>
      <c r="JEY143" s="3579"/>
      <c r="JEZ143" s="3579"/>
      <c r="JFA143" s="3579"/>
      <c r="JFB143" s="3579"/>
      <c r="JFC143" s="3579"/>
      <c r="JFD143" s="3579"/>
      <c r="JFE143" s="3579"/>
      <c r="JFF143" s="3579"/>
      <c r="JFG143" s="3579"/>
      <c r="JFH143" s="3579"/>
      <c r="JFI143" s="3579"/>
      <c r="JFJ143" s="3579"/>
      <c r="JFK143" s="3579"/>
      <c r="JFL143" s="3579"/>
      <c r="JFM143" s="3579"/>
      <c r="JFN143" s="3579"/>
      <c r="JFO143" s="3579"/>
      <c r="JFP143" s="3579"/>
      <c r="JFQ143" s="3579"/>
      <c r="JFR143" s="3579"/>
      <c r="JFS143" s="3579"/>
      <c r="JFT143" s="3579"/>
      <c r="JFU143" s="3579"/>
      <c r="JFV143" s="3579"/>
      <c r="JFW143" s="3579"/>
      <c r="JFX143" s="3579"/>
      <c r="JFY143" s="3579"/>
      <c r="JFZ143" s="3579"/>
      <c r="JGA143" s="3579"/>
      <c r="JGB143" s="3579"/>
      <c r="JGC143" s="3579"/>
      <c r="JGD143" s="3579"/>
      <c r="JGE143" s="3579"/>
      <c r="JGF143" s="3579"/>
      <c r="JGG143" s="3579"/>
      <c r="JGH143" s="3579"/>
      <c r="JGI143" s="3579"/>
      <c r="JGJ143" s="3579"/>
      <c r="JGK143" s="3579"/>
      <c r="JGL143" s="3579"/>
      <c r="JGM143" s="3579"/>
      <c r="JGN143" s="3579"/>
      <c r="JGO143" s="3579"/>
      <c r="JGP143" s="3579"/>
      <c r="JGQ143" s="3579"/>
      <c r="JGR143" s="3579"/>
      <c r="JGS143" s="3579"/>
      <c r="JGT143" s="3579"/>
      <c r="JGU143" s="3579"/>
      <c r="JGV143" s="3579"/>
      <c r="JGW143" s="3579"/>
      <c r="JGX143" s="3579"/>
      <c r="JGY143" s="3579"/>
      <c r="JGZ143" s="3579"/>
      <c r="JHA143" s="3579"/>
      <c r="JHB143" s="3579"/>
      <c r="JHC143" s="3579"/>
      <c r="JHD143" s="3579"/>
      <c r="JHE143" s="3579"/>
      <c r="JHF143" s="3579"/>
      <c r="JHG143" s="3579"/>
      <c r="JHH143" s="3579"/>
      <c r="JHI143" s="3579"/>
      <c r="JHJ143" s="3579"/>
      <c r="JHK143" s="3579"/>
      <c r="JHL143" s="3579"/>
      <c r="JHM143" s="3579"/>
      <c r="JHN143" s="3579"/>
      <c r="JHO143" s="3579"/>
      <c r="JHP143" s="3579"/>
      <c r="JHQ143" s="3579"/>
      <c r="JHR143" s="3579"/>
      <c r="JHS143" s="3579"/>
      <c r="JHT143" s="3579"/>
      <c r="JHU143" s="3579"/>
      <c r="JHV143" s="3579"/>
      <c r="JHW143" s="3579"/>
      <c r="JHX143" s="3579"/>
      <c r="JHY143" s="3579"/>
      <c r="JHZ143" s="3579"/>
      <c r="JIA143" s="3579"/>
      <c r="JIB143" s="3579"/>
      <c r="JIC143" s="3579"/>
      <c r="JID143" s="3579"/>
      <c r="JIE143" s="3579"/>
      <c r="JIF143" s="3579"/>
      <c r="JIG143" s="3579"/>
      <c r="JIH143" s="3579"/>
      <c r="JII143" s="3579"/>
      <c r="JIJ143" s="3579"/>
      <c r="JIK143" s="3579"/>
      <c r="JIL143" s="3579"/>
      <c r="JIM143" s="3579"/>
      <c r="JIN143" s="3579"/>
      <c r="JIO143" s="3579"/>
      <c r="JIP143" s="3579"/>
      <c r="JIQ143" s="3579"/>
      <c r="JIR143" s="3579"/>
      <c r="JIS143" s="3579"/>
      <c r="JIT143" s="3579"/>
      <c r="JIU143" s="3579"/>
      <c r="JIV143" s="3579"/>
      <c r="JIW143" s="3579"/>
      <c r="JIX143" s="3579"/>
      <c r="JIY143" s="3579"/>
      <c r="JIZ143" s="3579"/>
      <c r="JJA143" s="3579"/>
      <c r="JJB143" s="3579"/>
      <c r="JJC143" s="3579"/>
      <c r="JJD143" s="3579"/>
      <c r="JJE143" s="3579"/>
      <c r="JJF143" s="3579"/>
      <c r="JJG143" s="3579"/>
      <c r="JJH143" s="3579"/>
      <c r="JJI143" s="3579"/>
      <c r="JJJ143" s="3579"/>
      <c r="JJK143" s="3579"/>
      <c r="JJL143" s="3579"/>
      <c r="JJM143" s="3579"/>
      <c r="JJN143" s="3579"/>
      <c r="JJO143" s="3579"/>
      <c r="JJP143" s="3579"/>
      <c r="JJQ143" s="3579"/>
      <c r="JJR143" s="3579"/>
      <c r="JJS143" s="3579"/>
      <c r="JJT143" s="3579"/>
      <c r="JJU143" s="3579"/>
      <c r="JJV143" s="3579"/>
      <c r="JJW143" s="3579"/>
      <c r="JJX143" s="3579"/>
      <c r="JJY143" s="3579"/>
      <c r="JJZ143" s="3579"/>
      <c r="JKA143" s="3579"/>
      <c r="JKB143" s="3579"/>
      <c r="JKC143" s="3579"/>
      <c r="JKD143" s="3579"/>
      <c r="JKE143" s="3579"/>
      <c r="JKF143" s="3579"/>
      <c r="JKG143" s="3579"/>
      <c r="JKH143" s="3579"/>
      <c r="JKI143" s="3579"/>
      <c r="JKJ143" s="3579"/>
      <c r="JKK143" s="3579"/>
      <c r="JKL143" s="3579"/>
      <c r="JKM143" s="3579"/>
      <c r="JKN143" s="3579"/>
      <c r="JKO143" s="3579"/>
      <c r="JKP143" s="3579"/>
      <c r="JKQ143" s="3579"/>
      <c r="JKR143" s="3579"/>
      <c r="JKS143" s="3579"/>
      <c r="JKT143" s="3579"/>
      <c r="JKU143" s="3579"/>
      <c r="JKV143" s="3579"/>
      <c r="JKW143" s="3579"/>
      <c r="JKX143" s="3579"/>
      <c r="JKY143" s="3579"/>
      <c r="JKZ143" s="3579"/>
      <c r="JLA143" s="3579"/>
      <c r="JLB143" s="3579"/>
      <c r="JLC143" s="3579"/>
      <c r="JLD143" s="3579"/>
      <c r="JLE143" s="3579"/>
      <c r="JLF143" s="3579"/>
      <c r="JLG143" s="3579"/>
      <c r="JLH143" s="3579"/>
      <c r="JLI143" s="3579"/>
      <c r="JLJ143" s="3579"/>
      <c r="JLK143" s="3579"/>
      <c r="JLL143" s="3579"/>
      <c r="JLM143" s="3579"/>
      <c r="JLN143" s="3579"/>
      <c r="JLO143" s="3579"/>
      <c r="JLP143" s="3579"/>
      <c r="JLQ143" s="3579"/>
      <c r="JLR143" s="3579"/>
      <c r="JLS143" s="3579"/>
      <c r="JLT143" s="3579"/>
      <c r="JLU143" s="3579"/>
      <c r="JLV143" s="3579"/>
      <c r="JLW143" s="3579"/>
      <c r="JLX143" s="3579"/>
      <c r="JLY143" s="3579"/>
      <c r="JLZ143" s="3579"/>
      <c r="JMA143" s="3579"/>
      <c r="JMB143" s="3579"/>
      <c r="JMC143" s="3579"/>
      <c r="JMD143" s="3579"/>
      <c r="JME143" s="3579"/>
      <c r="JMF143" s="3579"/>
      <c r="JMG143" s="3579"/>
      <c r="JMH143" s="3579"/>
      <c r="JMI143" s="3579"/>
      <c r="JMJ143" s="3579"/>
      <c r="JMK143" s="3579"/>
      <c r="JML143" s="3579"/>
      <c r="JMM143" s="3579"/>
      <c r="JMN143" s="3579"/>
      <c r="JMO143" s="3579"/>
      <c r="JMP143" s="3579"/>
      <c r="JMQ143" s="3579"/>
      <c r="JMR143" s="3579"/>
      <c r="JMS143" s="3579"/>
      <c r="JMT143" s="3579"/>
      <c r="JMU143" s="3579"/>
      <c r="JMV143" s="3579"/>
      <c r="JMW143" s="3579"/>
      <c r="JMX143" s="3579"/>
      <c r="JMY143" s="3579"/>
      <c r="JMZ143" s="3579"/>
      <c r="JNA143" s="3579"/>
      <c r="JNB143" s="3579"/>
      <c r="JNC143" s="3579"/>
      <c r="JND143" s="3579"/>
      <c r="JNE143" s="3579"/>
      <c r="JNF143" s="3579"/>
      <c r="JNG143" s="3579"/>
      <c r="JNH143" s="3579"/>
      <c r="JNI143" s="3579"/>
      <c r="JNJ143" s="3579"/>
      <c r="JNK143" s="3579"/>
      <c r="JNL143" s="3579"/>
      <c r="JNM143" s="3579"/>
      <c r="JNN143" s="3579"/>
      <c r="JNO143" s="3579"/>
      <c r="JNP143" s="3579"/>
      <c r="JNQ143" s="3579"/>
      <c r="JNR143" s="3579"/>
      <c r="JNS143" s="3579"/>
      <c r="JNT143" s="3579"/>
      <c r="JNU143" s="3579"/>
      <c r="JNV143" s="3579"/>
      <c r="JNW143" s="3579"/>
      <c r="JNX143" s="3579"/>
      <c r="JNY143" s="3579"/>
      <c r="JNZ143" s="3579"/>
      <c r="JOA143" s="3579"/>
      <c r="JOB143" s="3579"/>
      <c r="JOC143" s="3579"/>
      <c r="JOD143" s="3579"/>
      <c r="JOE143" s="3579"/>
      <c r="JOF143" s="3579"/>
      <c r="JOG143" s="3579"/>
      <c r="JOH143" s="3579"/>
      <c r="JOI143" s="3579"/>
      <c r="JOJ143" s="3579"/>
      <c r="JOK143" s="3579"/>
      <c r="JOL143" s="3579"/>
      <c r="JOM143" s="3579"/>
      <c r="JON143" s="3579"/>
      <c r="JOO143" s="3579"/>
      <c r="JOP143" s="3579"/>
      <c r="JOQ143" s="3579"/>
      <c r="JOR143" s="3579"/>
      <c r="JOS143" s="3579"/>
      <c r="JOT143" s="3579"/>
      <c r="JOU143" s="3579"/>
      <c r="JOV143" s="3579"/>
      <c r="JOW143" s="3579"/>
      <c r="JOX143" s="3579"/>
      <c r="JOY143" s="3579"/>
      <c r="JOZ143" s="3579"/>
      <c r="JPA143" s="3579"/>
      <c r="JPB143" s="3579"/>
      <c r="JPC143" s="3579"/>
      <c r="JPD143" s="3579"/>
      <c r="JPE143" s="3579"/>
      <c r="JPF143" s="3579"/>
      <c r="JPG143" s="3579"/>
      <c r="JPH143" s="3579"/>
      <c r="JPI143" s="3579"/>
      <c r="JPJ143" s="3579"/>
      <c r="JPK143" s="3579"/>
      <c r="JPL143" s="3579"/>
      <c r="JPM143" s="3579"/>
      <c r="JPN143" s="3579"/>
      <c r="JPO143" s="3579"/>
      <c r="JPP143" s="3579"/>
      <c r="JPQ143" s="3579"/>
      <c r="JPR143" s="3579"/>
      <c r="JPS143" s="3579"/>
      <c r="JPT143" s="3579"/>
      <c r="JPU143" s="3579"/>
      <c r="JPV143" s="3579"/>
      <c r="JPW143" s="3579"/>
      <c r="JPX143" s="3579"/>
      <c r="JPY143" s="3579"/>
      <c r="JPZ143" s="3579"/>
      <c r="JQA143" s="3579"/>
      <c r="JQB143" s="3579"/>
      <c r="JQC143" s="3579"/>
      <c r="JQD143" s="3579"/>
      <c r="JQE143" s="3579"/>
      <c r="JQF143" s="3579"/>
      <c r="JQG143" s="3579"/>
      <c r="JQH143" s="3579"/>
      <c r="JQI143" s="3579"/>
      <c r="JQJ143" s="3579"/>
      <c r="JQK143" s="3579"/>
      <c r="JQL143" s="3579"/>
      <c r="JQM143" s="3579"/>
      <c r="JQN143" s="3579"/>
      <c r="JQO143" s="3579"/>
      <c r="JQP143" s="3579"/>
      <c r="JQQ143" s="3579"/>
      <c r="JQR143" s="3579"/>
      <c r="JQS143" s="3579"/>
      <c r="JQT143" s="3579"/>
      <c r="JQU143" s="3579"/>
      <c r="JQV143" s="3579"/>
      <c r="JQW143" s="3579"/>
      <c r="JQX143" s="3579"/>
      <c r="JQY143" s="3579"/>
      <c r="JQZ143" s="3579"/>
      <c r="JRA143" s="3579"/>
      <c r="JRB143" s="3579"/>
      <c r="JRC143" s="3579"/>
      <c r="JRD143" s="3579"/>
      <c r="JRE143" s="3579"/>
      <c r="JRF143" s="3579"/>
      <c r="JRG143" s="3579"/>
      <c r="JRH143" s="3579"/>
      <c r="JRI143" s="3579"/>
      <c r="JRJ143" s="3579"/>
      <c r="JRK143" s="3579"/>
      <c r="JRL143" s="3579"/>
      <c r="JRM143" s="3579"/>
      <c r="JRN143" s="3579"/>
      <c r="JRO143" s="3579"/>
      <c r="JRP143" s="3579"/>
      <c r="JRQ143" s="3579"/>
      <c r="JRR143" s="3579"/>
      <c r="JRS143" s="3579"/>
      <c r="JRT143" s="3579"/>
      <c r="JRU143" s="3579"/>
      <c r="JRV143" s="3579"/>
      <c r="JRW143" s="3579"/>
      <c r="JRX143" s="3579"/>
      <c r="JRY143" s="3579"/>
      <c r="JRZ143" s="3579"/>
      <c r="JSA143" s="3579"/>
      <c r="JSB143" s="3579"/>
      <c r="JSC143" s="3579"/>
      <c r="JSD143" s="3579"/>
      <c r="JSE143" s="3579"/>
      <c r="JSF143" s="3579"/>
      <c r="JSG143" s="3579"/>
      <c r="JSH143" s="3579"/>
      <c r="JSI143" s="3579"/>
      <c r="JSJ143" s="3579"/>
      <c r="JSK143" s="3579"/>
      <c r="JSL143" s="3579"/>
      <c r="JSM143" s="3579"/>
      <c r="JSN143" s="3579"/>
      <c r="JSO143" s="3579"/>
      <c r="JSP143" s="3579"/>
      <c r="JSQ143" s="3579"/>
      <c r="JSR143" s="3579"/>
      <c r="JSS143" s="3579"/>
      <c r="JST143" s="3579"/>
      <c r="JSU143" s="3579"/>
      <c r="JSV143" s="3579"/>
      <c r="JSW143" s="3579"/>
      <c r="JSX143" s="3579"/>
      <c r="JSY143" s="3579"/>
      <c r="JSZ143" s="3579"/>
      <c r="JTA143" s="3579"/>
      <c r="JTB143" s="3579"/>
      <c r="JTC143" s="3579"/>
      <c r="JTD143" s="3579"/>
      <c r="JTE143" s="3579"/>
      <c r="JTF143" s="3579"/>
      <c r="JTG143" s="3579"/>
      <c r="JTH143" s="3579"/>
      <c r="JTI143" s="3579"/>
      <c r="JTJ143" s="3579"/>
      <c r="JTK143" s="3579"/>
      <c r="JTL143" s="3579"/>
      <c r="JTM143" s="3579"/>
      <c r="JTN143" s="3579"/>
      <c r="JTO143" s="3579"/>
      <c r="JTP143" s="3579"/>
      <c r="JTQ143" s="3579"/>
      <c r="JTR143" s="3579"/>
      <c r="JTS143" s="3579"/>
      <c r="JTT143" s="3579"/>
      <c r="JTU143" s="3579"/>
      <c r="JTV143" s="3579"/>
      <c r="JTW143" s="3579"/>
      <c r="JTX143" s="3579"/>
      <c r="JTY143" s="3579"/>
      <c r="JTZ143" s="3579"/>
      <c r="JUA143" s="3579"/>
      <c r="JUB143" s="3579"/>
      <c r="JUC143" s="3579"/>
      <c r="JUD143" s="3579"/>
      <c r="JUE143" s="3579"/>
      <c r="JUF143" s="3579"/>
      <c r="JUG143" s="3579"/>
      <c r="JUH143" s="3579"/>
      <c r="JUI143" s="3579"/>
      <c r="JUJ143" s="3579"/>
      <c r="JUK143" s="3579"/>
      <c r="JUL143" s="3579"/>
      <c r="JUM143" s="3579"/>
      <c r="JUN143" s="3579"/>
      <c r="JUO143" s="3579"/>
      <c r="JUP143" s="3579"/>
      <c r="JUQ143" s="3579"/>
      <c r="JUR143" s="3579"/>
      <c r="JUS143" s="3579"/>
      <c r="JUT143" s="3579"/>
      <c r="JUU143" s="3579"/>
      <c r="JUV143" s="3579"/>
      <c r="JUW143" s="3579"/>
      <c r="JUX143" s="3579"/>
      <c r="JUY143" s="3579"/>
      <c r="JUZ143" s="3579"/>
      <c r="JVA143" s="3579"/>
      <c r="JVB143" s="3579"/>
      <c r="JVC143" s="3579"/>
      <c r="JVD143" s="3579"/>
      <c r="JVE143" s="3579"/>
      <c r="JVF143" s="3579"/>
      <c r="JVG143" s="3579"/>
      <c r="JVH143" s="3579"/>
      <c r="JVI143" s="3579"/>
      <c r="JVJ143" s="3579"/>
      <c r="JVK143" s="3579"/>
      <c r="JVL143" s="3579"/>
      <c r="JVM143" s="3579"/>
      <c r="JVN143" s="3579"/>
      <c r="JVO143" s="3579"/>
      <c r="JVP143" s="3579"/>
      <c r="JVQ143" s="3579"/>
      <c r="JVR143" s="3579"/>
      <c r="JVS143" s="3579"/>
      <c r="JVT143" s="3579"/>
      <c r="JVU143" s="3579"/>
      <c r="JVV143" s="3579"/>
      <c r="JVW143" s="3579"/>
      <c r="JVX143" s="3579"/>
      <c r="JVY143" s="3579"/>
      <c r="JVZ143" s="3579"/>
      <c r="JWA143" s="3579"/>
      <c r="JWB143" s="3579"/>
      <c r="JWC143" s="3579"/>
      <c r="JWD143" s="3579"/>
      <c r="JWE143" s="3579"/>
      <c r="JWF143" s="3579"/>
      <c r="JWG143" s="3579"/>
      <c r="JWH143" s="3579"/>
      <c r="JWI143" s="3579"/>
      <c r="JWJ143" s="3579"/>
      <c r="JWK143" s="3579"/>
      <c r="JWL143" s="3579"/>
      <c r="JWM143" s="3579"/>
      <c r="JWN143" s="3579"/>
      <c r="JWO143" s="3579"/>
      <c r="JWP143" s="3579"/>
      <c r="JWQ143" s="3579"/>
      <c r="JWR143" s="3579"/>
      <c r="JWS143" s="3579"/>
      <c r="JWT143" s="3579"/>
      <c r="JWU143" s="3579"/>
      <c r="JWV143" s="3579"/>
      <c r="JWW143" s="3579"/>
      <c r="JWX143" s="3579"/>
      <c r="JWY143" s="3579"/>
      <c r="JWZ143" s="3579"/>
      <c r="JXA143" s="3579"/>
      <c r="JXB143" s="3579"/>
      <c r="JXC143" s="3579"/>
      <c r="JXD143" s="3579"/>
      <c r="JXE143" s="3579"/>
      <c r="JXF143" s="3579"/>
      <c r="JXG143" s="3579"/>
      <c r="JXH143" s="3579"/>
      <c r="JXI143" s="3579"/>
      <c r="JXJ143" s="3579"/>
      <c r="JXK143" s="3579"/>
      <c r="JXL143" s="3579"/>
      <c r="JXM143" s="3579"/>
      <c r="JXN143" s="3579"/>
      <c r="JXO143" s="3579"/>
      <c r="JXP143" s="3579"/>
      <c r="JXQ143" s="3579"/>
      <c r="JXR143" s="3579"/>
      <c r="JXS143" s="3579"/>
      <c r="JXT143" s="3579"/>
      <c r="JXU143" s="3579"/>
      <c r="JXV143" s="3579"/>
      <c r="JXW143" s="3579"/>
      <c r="JXX143" s="3579"/>
      <c r="JXY143" s="3579"/>
      <c r="JXZ143" s="3579"/>
      <c r="JYA143" s="3579"/>
      <c r="JYB143" s="3579"/>
      <c r="JYC143" s="3579"/>
      <c r="JYD143" s="3579"/>
      <c r="JYE143" s="3579"/>
      <c r="JYF143" s="3579"/>
      <c r="JYG143" s="3579"/>
      <c r="JYH143" s="3579"/>
      <c r="JYI143" s="3579"/>
      <c r="JYJ143" s="3579"/>
      <c r="JYK143" s="3579"/>
      <c r="JYL143" s="3579"/>
      <c r="JYM143" s="3579"/>
      <c r="JYN143" s="3579"/>
      <c r="JYO143" s="3579"/>
      <c r="JYP143" s="3579"/>
      <c r="JYQ143" s="3579"/>
      <c r="JYR143" s="3579"/>
      <c r="JYS143" s="3579"/>
      <c r="JYT143" s="3579"/>
      <c r="JYU143" s="3579"/>
      <c r="JYV143" s="3579"/>
      <c r="JYW143" s="3579"/>
      <c r="JYX143" s="3579"/>
      <c r="JYY143" s="3579"/>
      <c r="JYZ143" s="3579"/>
      <c r="JZA143" s="3579"/>
      <c r="JZB143" s="3579"/>
      <c r="JZC143" s="3579"/>
      <c r="JZD143" s="3579"/>
      <c r="JZE143" s="3579"/>
      <c r="JZF143" s="3579"/>
      <c r="JZG143" s="3579"/>
      <c r="JZH143" s="3579"/>
      <c r="JZI143" s="3579"/>
      <c r="JZJ143" s="3579"/>
      <c r="JZK143" s="3579"/>
      <c r="JZL143" s="3579"/>
      <c r="JZM143" s="3579"/>
      <c r="JZN143" s="3579"/>
      <c r="JZO143" s="3579"/>
      <c r="JZP143" s="3579"/>
      <c r="JZQ143" s="3579"/>
      <c r="JZR143" s="3579"/>
      <c r="JZS143" s="3579"/>
      <c r="JZT143" s="3579"/>
      <c r="JZU143" s="3579"/>
      <c r="JZV143" s="3579"/>
      <c r="JZW143" s="3579"/>
      <c r="JZX143" s="3579"/>
      <c r="JZY143" s="3579"/>
      <c r="JZZ143" s="3579"/>
      <c r="KAA143" s="3579"/>
      <c r="KAB143" s="3579"/>
      <c r="KAC143" s="3579"/>
      <c r="KAD143" s="3579"/>
      <c r="KAE143" s="3579"/>
      <c r="KAF143" s="3579"/>
      <c r="KAG143" s="3579"/>
      <c r="KAH143" s="3579"/>
      <c r="KAI143" s="3579"/>
      <c r="KAJ143" s="3579"/>
      <c r="KAK143" s="3579"/>
      <c r="KAL143" s="3579"/>
      <c r="KAM143" s="3579"/>
      <c r="KAN143" s="3579"/>
      <c r="KAO143" s="3579"/>
      <c r="KAP143" s="3579"/>
      <c r="KAQ143" s="3579"/>
      <c r="KAR143" s="3579"/>
      <c r="KAS143" s="3579"/>
      <c r="KAT143" s="3579"/>
      <c r="KAU143" s="3579"/>
      <c r="KAV143" s="3579"/>
      <c r="KAW143" s="3579"/>
      <c r="KAX143" s="3579"/>
      <c r="KAY143" s="3579"/>
      <c r="KAZ143" s="3579"/>
      <c r="KBA143" s="3579"/>
      <c r="KBB143" s="3579"/>
      <c r="KBC143" s="3579"/>
      <c r="KBD143" s="3579"/>
      <c r="KBE143" s="3579"/>
      <c r="KBF143" s="3579"/>
      <c r="KBG143" s="3579"/>
      <c r="KBH143" s="3579"/>
      <c r="KBI143" s="3579"/>
      <c r="KBJ143" s="3579"/>
      <c r="KBK143" s="3579"/>
      <c r="KBL143" s="3579"/>
      <c r="KBM143" s="3579"/>
      <c r="KBN143" s="3579"/>
      <c r="KBO143" s="3579"/>
      <c r="KBP143" s="3579"/>
      <c r="KBQ143" s="3579"/>
      <c r="KBR143" s="3579"/>
      <c r="KBS143" s="3579"/>
      <c r="KBT143" s="3579"/>
      <c r="KBU143" s="3579"/>
      <c r="KBV143" s="3579"/>
      <c r="KBW143" s="3579"/>
      <c r="KBX143" s="3579"/>
      <c r="KBY143" s="3579"/>
      <c r="KBZ143" s="3579"/>
      <c r="KCA143" s="3579"/>
      <c r="KCB143" s="3579"/>
      <c r="KCC143" s="3579"/>
      <c r="KCD143" s="3579"/>
      <c r="KCE143" s="3579"/>
      <c r="KCF143" s="3579"/>
      <c r="KCG143" s="3579"/>
      <c r="KCH143" s="3579"/>
      <c r="KCI143" s="3579"/>
      <c r="KCJ143" s="3579"/>
      <c r="KCK143" s="3579"/>
      <c r="KCL143" s="3579"/>
      <c r="KCM143" s="3579"/>
      <c r="KCN143" s="3579"/>
      <c r="KCO143" s="3579"/>
      <c r="KCP143" s="3579"/>
      <c r="KCQ143" s="3579"/>
      <c r="KCR143" s="3579"/>
      <c r="KCS143" s="3579"/>
      <c r="KCT143" s="3579"/>
      <c r="KCU143" s="3579"/>
      <c r="KCV143" s="3579"/>
      <c r="KCW143" s="3579"/>
      <c r="KCX143" s="3579"/>
      <c r="KCY143" s="3579"/>
      <c r="KCZ143" s="3579"/>
      <c r="KDA143" s="3579"/>
      <c r="KDB143" s="3579"/>
      <c r="KDC143" s="3579"/>
      <c r="KDD143" s="3579"/>
      <c r="KDE143" s="3579"/>
      <c r="KDF143" s="3579"/>
      <c r="KDG143" s="3579"/>
      <c r="KDH143" s="3579"/>
      <c r="KDI143" s="3579"/>
      <c r="KDJ143" s="3579"/>
      <c r="KDK143" s="3579"/>
      <c r="KDL143" s="3579"/>
      <c r="KDM143" s="3579"/>
      <c r="KDN143" s="3579"/>
      <c r="KDO143" s="3579"/>
      <c r="KDP143" s="3579"/>
      <c r="KDQ143" s="3579"/>
      <c r="KDR143" s="3579"/>
      <c r="KDS143" s="3579"/>
      <c r="KDT143" s="3579"/>
      <c r="KDU143" s="3579"/>
      <c r="KDV143" s="3579"/>
      <c r="KDW143" s="3579"/>
      <c r="KDX143" s="3579"/>
      <c r="KDY143" s="3579"/>
      <c r="KDZ143" s="3579"/>
      <c r="KEA143" s="3579"/>
      <c r="KEB143" s="3579"/>
      <c r="KEC143" s="3579"/>
      <c r="KED143" s="3579"/>
      <c r="KEE143" s="3579"/>
      <c r="KEF143" s="3579"/>
      <c r="KEG143" s="3579"/>
      <c r="KEH143" s="3579"/>
      <c r="KEI143" s="3579"/>
      <c r="KEJ143" s="3579"/>
      <c r="KEK143" s="3579"/>
      <c r="KEL143" s="3579"/>
      <c r="KEM143" s="3579"/>
      <c r="KEN143" s="3579"/>
      <c r="KEO143" s="3579"/>
      <c r="KEP143" s="3579"/>
      <c r="KEQ143" s="3579"/>
      <c r="KER143" s="3579"/>
      <c r="KES143" s="3579"/>
      <c r="KET143" s="3579"/>
      <c r="KEU143" s="3579"/>
      <c r="KEV143" s="3579"/>
      <c r="KEW143" s="3579"/>
      <c r="KEX143" s="3579"/>
      <c r="KEY143" s="3579"/>
      <c r="KEZ143" s="3579"/>
      <c r="KFA143" s="3579"/>
      <c r="KFB143" s="3579"/>
      <c r="KFC143" s="3579"/>
      <c r="KFD143" s="3579"/>
      <c r="KFE143" s="3579"/>
      <c r="KFF143" s="3579"/>
      <c r="KFG143" s="3579"/>
      <c r="KFH143" s="3579"/>
      <c r="KFI143" s="3579"/>
      <c r="KFJ143" s="3579"/>
      <c r="KFK143" s="3579"/>
      <c r="KFL143" s="3579"/>
      <c r="KFM143" s="3579"/>
      <c r="KFN143" s="3579"/>
      <c r="KFO143" s="3579"/>
      <c r="KFP143" s="3579"/>
      <c r="KFQ143" s="3579"/>
      <c r="KFR143" s="3579"/>
      <c r="KFS143" s="3579"/>
      <c r="KFT143" s="3579"/>
      <c r="KFU143" s="3579"/>
      <c r="KFV143" s="3579"/>
      <c r="KFW143" s="3579"/>
      <c r="KFX143" s="3579"/>
      <c r="KFY143" s="3579"/>
      <c r="KFZ143" s="3579"/>
      <c r="KGA143" s="3579"/>
      <c r="KGB143" s="3579"/>
      <c r="KGC143" s="3579"/>
      <c r="KGD143" s="3579"/>
      <c r="KGE143" s="3579"/>
      <c r="KGF143" s="3579"/>
      <c r="KGG143" s="3579"/>
      <c r="KGH143" s="3579"/>
      <c r="KGI143" s="3579"/>
      <c r="KGJ143" s="3579"/>
      <c r="KGK143" s="3579"/>
      <c r="KGL143" s="3579"/>
      <c r="KGM143" s="3579"/>
      <c r="KGN143" s="3579"/>
      <c r="KGO143" s="3579"/>
      <c r="KGP143" s="3579"/>
      <c r="KGQ143" s="3579"/>
      <c r="KGR143" s="3579"/>
      <c r="KGS143" s="3579"/>
      <c r="KGT143" s="3579"/>
      <c r="KGU143" s="3579"/>
      <c r="KGV143" s="3579"/>
      <c r="KGW143" s="3579"/>
      <c r="KGX143" s="3579"/>
      <c r="KGY143" s="3579"/>
      <c r="KGZ143" s="3579"/>
      <c r="KHA143" s="3579"/>
      <c r="KHB143" s="3579"/>
      <c r="KHC143" s="3579"/>
      <c r="KHD143" s="3579"/>
      <c r="KHE143" s="3579"/>
      <c r="KHF143" s="3579"/>
      <c r="KHG143" s="3579"/>
      <c r="KHH143" s="3579"/>
      <c r="KHI143" s="3579"/>
      <c r="KHJ143" s="3579"/>
      <c r="KHK143" s="3579"/>
      <c r="KHL143" s="3579"/>
      <c r="KHM143" s="3579"/>
      <c r="KHN143" s="3579"/>
      <c r="KHO143" s="3579"/>
      <c r="KHP143" s="3579"/>
      <c r="KHQ143" s="3579"/>
      <c r="KHR143" s="3579"/>
      <c r="KHS143" s="3579"/>
      <c r="KHT143" s="3579"/>
      <c r="KHU143" s="3579"/>
      <c r="KHV143" s="3579"/>
      <c r="KHW143" s="3579"/>
      <c r="KHX143" s="3579"/>
      <c r="KHY143" s="3579"/>
      <c r="KHZ143" s="3579"/>
      <c r="KIA143" s="3579"/>
      <c r="KIB143" s="3579"/>
      <c r="KIC143" s="3579"/>
      <c r="KID143" s="3579"/>
      <c r="KIE143" s="3579"/>
      <c r="KIF143" s="3579"/>
      <c r="KIG143" s="3579"/>
      <c r="KIH143" s="3579"/>
      <c r="KII143" s="3579"/>
      <c r="KIJ143" s="3579"/>
      <c r="KIK143" s="3579"/>
      <c r="KIL143" s="3579"/>
      <c r="KIM143" s="3579"/>
      <c r="KIN143" s="3579"/>
      <c r="KIO143" s="3579"/>
      <c r="KIP143" s="3579"/>
      <c r="KIQ143" s="3579"/>
      <c r="KIR143" s="3579"/>
      <c r="KIS143" s="3579"/>
      <c r="KIT143" s="3579"/>
      <c r="KIU143" s="3579"/>
      <c r="KIV143" s="3579"/>
      <c r="KIW143" s="3579"/>
      <c r="KIX143" s="3579"/>
      <c r="KIY143" s="3579"/>
      <c r="KIZ143" s="3579"/>
      <c r="KJA143" s="3579"/>
      <c r="KJB143" s="3579"/>
      <c r="KJC143" s="3579"/>
      <c r="KJD143" s="3579"/>
      <c r="KJE143" s="3579"/>
      <c r="KJF143" s="3579"/>
      <c r="KJG143" s="3579"/>
      <c r="KJH143" s="3579"/>
      <c r="KJI143" s="3579"/>
      <c r="KJJ143" s="3579"/>
      <c r="KJK143" s="3579"/>
      <c r="KJL143" s="3579"/>
      <c r="KJM143" s="3579"/>
      <c r="KJN143" s="3579"/>
      <c r="KJO143" s="3579"/>
      <c r="KJP143" s="3579"/>
      <c r="KJQ143" s="3579"/>
      <c r="KJR143" s="3579"/>
      <c r="KJS143" s="3579"/>
      <c r="KJT143" s="3579"/>
      <c r="KJU143" s="3579"/>
      <c r="KJV143" s="3579"/>
      <c r="KJW143" s="3579"/>
      <c r="KJX143" s="3579"/>
      <c r="KJY143" s="3579"/>
      <c r="KJZ143" s="3579"/>
      <c r="KKA143" s="3579"/>
      <c r="KKB143" s="3579"/>
      <c r="KKC143" s="3579"/>
      <c r="KKD143" s="3579"/>
      <c r="KKE143" s="3579"/>
      <c r="KKF143" s="3579"/>
      <c r="KKG143" s="3579"/>
      <c r="KKH143" s="3579"/>
      <c r="KKI143" s="3579"/>
      <c r="KKJ143" s="3579"/>
      <c r="KKK143" s="3579"/>
      <c r="KKL143" s="3579"/>
      <c r="KKM143" s="3579"/>
      <c r="KKN143" s="3579"/>
      <c r="KKO143" s="3579"/>
      <c r="KKP143" s="3579"/>
      <c r="KKQ143" s="3579"/>
      <c r="KKR143" s="3579"/>
      <c r="KKS143" s="3579"/>
      <c r="KKT143" s="3579"/>
      <c r="KKU143" s="3579"/>
      <c r="KKV143" s="3579"/>
      <c r="KKW143" s="3579"/>
      <c r="KKX143" s="3579"/>
      <c r="KKY143" s="3579"/>
      <c r="KKZ143" s="3579"/>
      <c r="KLA143" s="3579"/>
      <c r="KLB143" s="3579"/>
      <c r="KLC143" s="3579"/>
      <c r="KLD143" s="3579"/>
      <c r="KLE143" s="3579"/>
      <c r="KLF143" s="3579"/>
      <c r="KLG143" s="3579"/>
      <c r="KLH143" s="3579"/>
      <c r="KLI143" s="3579"/>
      <c r="KLJ143" s="3579"/>
      <c r="KLK143" s="3579"/>
      <c r="KLL143" s="3579"/>
      <c r="KLM143" s="3579"/>
      <c r="KLN143" s="3579"/>
      <c r="KLO143" s="3579"/>
      <c r="KLP143" s="3579"/>
      <c r="KLQ143" s="3579"/>
      <c r="KLR143" s="3579"/>
      <c r="KLS143" s="3579"/>
      <c r="KLT143" s="3579"/>
      <c r="KLU143" s="3579"/>
      <c r="KLV143" s="3579"/>
      <c r="KLW143" s="3579"/>
      <c r="KLX143" s="3579"/>
      <c r="KLY143" s="3579"/>
      <c r="KLZ143" s="3579"/>
      <c r="KMA143" s="3579"/>
      <c r="KMB143" s="3579"/>
      <c r="KMC143" s="3579"/>
      <c r="KMD143" s="3579"/>
      <c r="KME143" s="3579"/>
      <c r="KMF143" s="3579"/>
      <c r="KMG143" s="3579"/>
      <c r="KMH143" s="3579"/>
      <c r="KMI143" s="3579"/>
      <c r="KMJ143" s="3579"/>
      <c r="KMK143" s="3579"/>
      <c r="KML143" s="3579"/>
      <c r="KMM143" s="3579"/>
      <c r="KMN143" s="3579"/>
      <c r="KMO143" s="3579"/>
      <c r="KMP143" s="3579"/>
      <c r="KMQ143" s="3579"/>
      <c r="KMR143" s="3579"/>
      <c r="KMS143" s="3579"/>
      <c r="KMT143" s="3579"/>
      <c r="KMU143" s="3579"/>
      <c r="KMV143" s="3579"/>
      <c r="KMW143" s="3579"/>
      <c r="KMX143" s="3579"/>
      <c r="KMY143" s="3579"/>
      <c r="KMZ143" s="3579"/>
      <c r="KNA143" s="3579"/>
      <c r="KNB143" s="3579"/>
      <c r="KNC143" s="3579"/>
      <c r="KND143" s="3579"/>
      <c r="KNE143" s="3579"/>
      <c r="KNF143" s="3579"/>
      <c r="KNG143" s="3579"/>
      <c r="KNH143" s="3579"/>
      <c r="KNI143" s="3579"/>
      <c r="KNJ143" s="3579"/>
      <c r="KNK143" s="3579"/>
      <c r="KNL143" s="3579"/>
      <c r="KNM143" s="3579"/>
      <c r="KNN143" s="3579"/>
      <c r="KNO143" s="3579"/>
      <c r="KNP143" s="3579"/>
      <c r="KNQ143" s="3579"/>
      <c r="KNR143" s="3579"/>
      <c r="KNS143" s="3579"/>
      <c r="KNT143" s="3579"/>
      <c r="KNU143" s="3579"/>
      <c r="KNV143" s="3579"/>
      <c r="KNW143" s="3579"/>
      <c r="KNX143" s="3579"/>
      <c r="KNY143" s="3579"/>
      <c r="KNZ143" s="3579"/>
      <c r="KOA143" s="3579"/>
      <c r="KOB143" s="3579"/>
      <c r="KOC143" s="3579"/>
      <c r="KOD143" s="3579"/>
      <c r="KOE143" s="3579"/>
      <c r="KOF143" s="3579"/>
      <c r="KOG143" s="3579"/>
      <c r="KOH143" s="3579"/>
      <c r="KOI143" s="3579"/>
      <c r="KOJ143" s="3579"/>
      <c r="KOK143" s="3579"/>
      <c r="KOL143" s="3579"/>
      <c r="KOM143" s="3579"/>
      <c r="KON143" s="3579"/>
      <c r="KOO143" s="3579"/>
      <c r="KOP143" s="3579"/>
      <c r="KOQ143" s="3579"/>
      <c r="KOR143" s="3579"/>
      <c r="KOS143" s="3579"/>
      <c r="KOT143" s="3579"/>
      <c r="KOU143" s="3579"/>
      <c r="KOV143" s="3579"/>
      <c r="KOW143" s="3579"/>
      <c r="KOX143" s="3579"/>
      <c r="KOY143" s="3579"/>
      <c r="KOZ143" s="3579"/>
      <c r="KPA143" s="3579"/>
      <c r="KPB143" s="3579"/>
      <c r="KPC143" s="3579"/>
      <c r="KPD143" s="3579"/>
      <c r="KPE143" s="3579"/>
      <c r="KPF143" s="3579"/>
      <c r="KPG143" s="3579"/>
      <c r="KPH143" s="3579"/>
      <c r="KPI143" s="3579"/>
      <c r="KPJ143" s="3579"/>
      <c r="KPK143" s="3579"/>
      <c r="KPL143" s="3579"/>
      <c r="KPM143" s="3579"/>
      <c r="KPN143" s="3579"/>
      <c r="KPO143" s="3579"/>
      <c r="KPP143" s="3579"/>
      <c r="KPQ143" s="3579"/>
      <c r="KPR143" s="3579"/>
      <c r="KPS143" s="3579"/>
      <c r="KPT143" s="3579"/>
      <c r="KPU143" s="3579"/>
      <c r="KPV143" s="3579"/>
      <c r="KPW143" s="3579"/>
      <c r="KPX143" s="3579"/>
      <c r="KPY143" s="3579"/>
      <c r="KPZ143" s="3579"/>
      <c r="KQA143" s="3579"/>
      <c r="KQB143" s="3579"/>
      <c r="KQC143" s="3579"/>
      <c r="KQD143" s="3579"/>
      <c r="KQE143" s="3579"/>
      <c r="KQF143" s="3579"/>
      <c r="KQG143" s="3579"/>
      <c r="KQH143" s="3579"/>
      <c r="KQI143" s="3579"/>
      <c r="KQJ143" s="3579"/>
      <c r="KQK143" s="3579"/>
      <c r="KQL143" s="3579"/>
      <c r="KQM143" s="3579"/>
      <c r="KQN143" s="3579"/>
      <c r="KQO143" s="3579"/>
      <c r="KQP143" s="3579"/>
      <c r="KQQ143" s="3579"/>
      <c r="KQR143" s="3579"/>
      <c r="KQS143" s="3579"/>
      <c r="KQT143" s="3579"/>
      <c r="KQU143" s="3579"/>
      <c r="KQV143" s="3579"/>
      <c r="KQW143" s="3579"/>
      <c r="KQX143" s="3579"/>
      <c r="KQY143" s="3579"/>
      <c r="KQZ143" s="3579"/>
      <c r="KRA143" s="3579"/>
      <c r="KRB143" s="3579"/>
      <c r="KRC143" s="3579"/>
      <c r="KRD143" s="3579"/>
      <c r="KRE143" s="3579"/>
      <c r="KRF143" s="3579"/>
      <c r="KRG143" s="3579"/>
      <c r="KRH143" s="3579"/>
      <c r="KRI143" s="3579"/>
      <c r="KRJ143" s="3579"/>
      <c r="KRK143" s="3579"/>
      <c r="KRL143" s="3579"/>
      <c r="KRM143" s="3579"/>
      <c r="KRN143" s="3579"/>
      <c r="KRO143" s="3579"/>
      <c r="KRP143" s="3579"/>
      <c r="KRQ143" s="3579"/>
      <c r="KRR143" s="3579"/>
      <c r="KRS143" s="3579"/>
      <c r="KRT143" s="3579"/>
      <c r="KRU143" s="3579"/>
      <c r="KRV143" s="3579"/>
      <c r="KRW143" s="3579"/>
      <c r="KRX143" s="3579"/>
      <c r="KRY143" s="3579"/>
      <c r="KRZ143" s="3579"/>
      <c r="KSA143" s="3579"/>
      <c r="KSB143" s="3579"/>
      <c r="KSC143" s="3579"/>
      <c r="KSD143" s="3579"/>
      <c r="KSE143" s="3579"/>
      <c r="KSF143" s="3579"/>
      <c r="KSG143" s="3579"/>
      <c r="KSH143" s="3579"/>
      <c r="KSI143" s="3579"/>
      <c r="KSJ143" s="3579"/>
      <c r="KSK143" s="3579"/>
      <c r="KSL143" s="3579"/>
      <c r="KSM143" s="3579"/>
      <c r="KSN143" s="3579"/>
      <c r="KSO143" s="3579"/>
      <c r="KSP143" s="3579"/>
      <c r="KSQ143" s="3579"/>
      <c r="KSR143" s="3579"/>
      <c r="KSS143" s="3579"/>
      <c r="KST143" s="3579"/>
      <c r="KSU143" s="3579"/>
      <c r="KSV143" s="3579"/>
      <c r="KSW143" s="3579"/>
      <c r="KSX143" s="3579"/>
      <c r="KSY143" s="3579"/>
      <c r="KSZ143" s="3579"/>
      <c r="KTA143" s="3579"/>
      <c r="KTB143" s="3579"/>
      <c r="KTC143" s="3579"/>
      <c r="KTD143" s="3579"/>
      <c r="KTE143" s="3579"/>
      <c r="KTF143" s="3579"/>
      <c r="KTG143" s="3579"/>
      <c r="KTH143" s="3579"/>
      <c r="KTI143" s="3579"/>
      <c r="KTJ143" s="3579"/>
      <c r="KTK143" s="3579"/>
      <c r="KTL143" s="3579"/>
      <c r="KTM143" s="3579"/>
      <c r="KTN143" s="3579"/>
      <c r="KTO143" s="3579"/>
      <c r="KTP143" s="3579"/>
      <c r="KTQ143" s="3579"/>
      <c r="KTR143" s="3579"/>
      <c r="KTS143" s="3579"/>
      <c r="KTT143" s="3579"/>
      <c r="KTU143" s="3579"/>
      <c r="KTV143" s="3579"/>
      <c r="KTW143" s="3579"/>
      <c r="KTX143" s="3579"/>
      <c r="KTY143" s="3579"/>
      <c r="KTZ143" s="3579"/>
      <c r="KUA143" s="3579"/>
      <c r="KUB143" s="3579"/>
      <c r="KUC143" s="3579"/>
      <c r="KUD143" s="3579"/>
      <c r="KUE143" s="3579"/>
      <c r="KUF143" s="3579"/>
      <c r="KUG143" s="3579"/>
      <c r="KUH143" s="3579"/>
      <c r="KUI143" s="3579"/>
      <c r="KUJ143" s="3579"/>
      <c r="KUK143" s="3579"/>
      <c r="KUL143" s="3579"/>
      <c r="KUM143" s="3579"/>
      <c r="KUN143" s="3579"/>
      <c r="KUO143" s="3579"/>
      <c r="KUP143" s="3579"/>
      <c r="KUQ143" s="3579"/>
      <c r="KUR143" s="3579"/>
      <c r="KUS143" s="3579"/>
      <c r="KUT143" s="3579"/>
      <c r="KUU143" s="3579"/>
      <c r="KUV143" s="3579"/>
      <c r="KUW143" s="3579"/>
      <c r="KUX143" s="3579"/>
      <c r="KUY143" s="3579"/>
      <c r="KUZ143" s="3579"/>
      <c r="KVA143" s="3579"/>
      <c r="KVB143" s="3579"/>
      <c r="KVC143" s="3579"/>
      <c r="KVD143" s="3579"/>
      <c r="KVE143" s="3579"/>
      <c r="KVF143" s="3579"/>
      <c r="KVG143" s="3579"/>
      <c r="KVH143" s="3579"/>
      <c r="KVI143" s="3579"/>
      <c r="KVJ143" s="3579"/>
      <c r="KVK143" s="3579"/>
      <c r="KVL143" s="3579"/>
      <c r="KVM143" s="3579"/>
      <c r="KVN143" s="3579"/>
      <c r="KVO143" s="3579"/>
      <c r="KVP143" s="3579"/>
      <c r="KVQ143" s="3579"/>
      <c r="KVR143" s="3579"/>
      <c r="KVS143" s="3579"/>
      <c r="KVT143" s="3579"/>
      <c r="KVU143" s="3579"/>
      <c r="KVV143" s="3579"/>
      <c r="KVW143" s="3579"/>
      <c r="KVX143" s="3579"/>
      <c r="KVY143" s="3579"/>
      <c r="KVZ143" s="3579"/>
      <c r="KWA143" s="3579"/>
      <c r="KWB143" s="3579"/>
      <c r="KWC143" s="3579"/>
      <c r="KWD143" s="3579"/>
      <c r="KWE143" s="3579"/>
      <c r="KWF143" s="3579"/>
      <c r="KWG143" s="3579"/>
      <c r="KWH143" s="3579"/>
      <c r="KWI143" s="3579"/>
      <c r="KWJ143" s="3579"/>
      <c r="KWK143" s="3579"/>
      <c r="KWL143" s="3579"/>
      <c r="KWM143" s="3579"/>
      <c r="KWN143" s="3579"/>
      <c r="KWO143" s="3579"/>
      <c r="KWP143" s="3579"/>
      <c r="KWQ143" s="3579"/>
      <c r="KWR143" s="3579"/>
      <c r="KWS143" s="3579"/>
      <c r="KWT143" s="3579"/>
      <c r="KWU143" s="3579"/>
      <c r="KWV143" s="3579"/>
      <c r="KWW143" s="3579"/>
      <c r="KWX143" s="3579"/>
      <c r="KWY143" s="3579"/>
      <c r="KWZ143" s="3579"/>
      <c r="KXA143" s="3579"/>
      <c r="KXB143" s="3579"/>
      <c r="KXC143" s="3579"/>
      <c r="KXD143" s="3579"/>
      <c r="KXE143" s="3579"/>
      <c r="KXF143" s="3579"/>
      <c r="KXG143" s="3579"/>
      <c r="KXH143" s="3579"/>
      <c r="KXI143" s="3579"/>
      <c r="KXJ143" s="3579"/>
      <c r="KXK143" s="3579"/>
      <c r="KXL143" s="3579"/>
      <c r="KXM143" s="3579"/>
      <c r="KXN143" s="3579"/>
      <c r="KXO143" s="3579"/>
      <c r="KXP143" s="3579"/>
      <c r="KXQ143" s="3579"/>
      <c r="KXR143" s="3579"/>
      <c r="KXS143" s="3579"/>
      <c r="KXT143" s="3579"/>
      <c r="KXU143" s="3579"/>
      <c r="KXV143" s="3579"/>
      <c r="KXW143" s="3579"/>
      <c r="KXX143" s="3579"/>
      <c r="KXY143" s="3579"/>
      <c r="KXZ143" s="3579"/>
      <c r="KYA143" s="3579"/>
      <c r="KYB143" s="3579"/>
      <c r="KYC143" s="3579"/>
      <c r="KYD143" s="3579"/>
      <c r="KYE143" s="3579"/>
      <c r="KYF143" s="3579"/>
      <c r="KYG143" s="3579"/>
      <c r="KYH143" s="3579"/>
      <c r="KYI143" s="3579"/>
      <c r="KYJ143" s="3579"/>
      <c r="KYK143" s="3579"/>
      <c r="KYL143" s="3579"/>
      <c r="KYM143" s="3579"/>
      <c r="KYN143" s="3579"/>
      <c r="KYO143" s="3579"/>
      <c r="KYP143" s="3579"/>
      <c r="KYQ143" s="3579"/>
      <c r="KYR143" s="3579"/>
      <c r="KYS143" s="3579"/>
      <c r="KYT143" s="3579"/>
      <c r="KYU143" s="3579"/>
      <c r="KYV143" s="3579"/>
      <c r="KYW143" s="3579"/>
      <c r="KYX143" s="3579"/>
      <c r="KYY143" s="3579"/>
      <c r="KYZ143" s="3579"/>
      <c r="KZA143" s="3579"/>
      <c r="KZB143" s="3579"/>
      <c r="KZC143" s="3579"/>
      <c r="KZD143" s="3579"/>
      <c r="KZE143" s="3579"/>
      <c r="KZF143" s="3579"/>
      <c r="KZG143" s="3579"/>
      <c r="KZH143" s="3579"/>
      <c r="KZI143" s="3579"/>
      <c r="KZJ143" s="3579"/>
      <c r="KZK143" s="3579"/>
      <c r="KZL143" s="3579"/>
      <c r="KZM143" s="3579"/>
      <c r="KZN143" s="3579"/>
      <c r="KZO143" s="3579"/>
      <c r="KZP143" s="3579"/>
      <c r="KZQ143" s="3579"/>
      <c r="KZR143" s="3579"/>
      <c r="KZS143" s="3579"/>
      <c r="KZT143" s="3579"/>
      <c r="KZU143" s="3579"/>
      <c r="KZV143" s="3579"/>
      <c r="KZW143" s="3579"/>
      <c r="KZX143" s="3579"/>
      <c r="KZY143" s="3579"/>
      <c r="KZZ143" s="3579"/>
      <c r="LAA143" s="3579"/>
      <c r="LAB143" s="3579"/>
      <c r="LAC143" s="3579"/>
      <c r="LAD143" s="3579"/>
      <c r="LAE143" s="3579"/>
      <c r="LAF143" s="3579"/>
      <c r="LAG143" s="3579"/>
      <c r="LAH143" s="3579"/>
      <c r="LAI143" s="3579"/>
      <c r="LAJ143" s="3579"/>
      <c r="LAK143" s="3579"/>
      <c r="LAL143" s="3579"/>
      <c r="LAM143" s="3579"/>
      <c r="LAN143" s="3579"/>
      <c r="LAO143" s="3579"/>
      <c r="LAP143" s="3579"/>
      <c r="LAQ143" s="3579"/>
      <c r="LAR143" s="3579"/>
      <c r="LAS143" s="3579"/>
      <c r="LAT143" s="3579"/>
      <c r="LAU143" s="3579"/>
      <c r="LAV143" s="3579"/>
      <c r="LAW143" s="3579"/>
      <c r="LAX143" s="3579"/>
      <c r="LAY143" s="3579"/>
      <c r="LAZ143" s="3579"/>
      <c r="LBA143" s="3579"/>
      <c r="LBB143" s="3579"/>
      <c r="LBC143" s="3579"/>
      <c r="LBD143" s="3579"/>
      <c r="LBE143" s="3579"/>
      <c r="LBF143" s="3579"/>
      <c r="LBG143" s="3579"/>
      <c r="LBH143" s="3579"/>
      <c r="LBI143" s="3579"/>
      <c r="LBJ143" s="3579"/>
      <c r="LBK143" s="3579"/>
      <c r="LBL143" s="3579"/>
      <c r="LBM143" s="3579"/>
      <c r="LBN143" s="3579"/>
      <c r="LBO143" s="3579"/>
      <c r="LBP143" s="3579"/>
      <c r="LBQ143" s="3579"/>
      <c r="LBR143" s="3579"/>
      <c r="LBS143" s="3579"/>
      <c r="LBT143" s="3579"/>
      <c r="LBU143" s="3579"/>
      <c r="LBV143" s="3579"/>
      <c r="LBW143" s="3579"/>
      <c r="LBX143" s="3579"/>
      <c r="LBY143" s="3579"/>
      <c r="LBZ143" s="3579"/>
      <c r="LCA143" s="3579"/>
      <c r="LCB143" s="3579"/>
      <c r="LCC143" s="3579"/>
      <c r="LCD143" s="3579"/>
      <c r="LCE143" s="3579"/>
      <c r="LCF143" s="3579"/>
      <c r="LCG143" s="3579"/>
      <c r="LCH143" s="3579"/>
      <c r="LCI143" s="3579"/>
      <c r="LCJ143" s="3579"/>
      <c r="LCK143" s="3579"/>
      <c r="LCL143" s="3579"/>
      <c r="LCM143" s="3579"/>
      <c r="LCN143" s="3579"/>
      <c r="LCO143" s="3579"/>
      <c r="LCP143" s="3579"/>
      <c r="LCQ143" s="3579"/>
      <c r="LCR143" s="3579"/>
      <c r="LCS143" s="3579"/>
      <c r="LCT143" s="3579"/>
      <c r="LCU143" s="3579"/>
      <c r="LCV143" s="3579"/>
      <c r="LCW143" s="3579"/>
      <c r="LCX143" s="3579"/>
      <c r="LCY143" s="3579"/>
      <c r="LCZ143" s="3579"/>
      <c r="LDA143" s="3579"/>
      <c r="LDB143" s="3579"/>
      <c r="LDC143" s="3579"/>
      <c r="LDD143" s="3579"/>
      <c r="LDE143" s="3579"/>
      <c r="LDF143" s="3579"/>
      <c r="LDG143" s="3579"/>
      <c r="LDH143" s="3579"/>
      <c r="LDI143" s="3579"/>
      <c r="LDJ143" s="3579"/>
      <c r="LDK143" s="3579"/>
      <c r="LDL143" s="3579"/>
      <c r="LDM143" s="3579"/>
      <c r="LDN143" s="3579"/>
      <c r="LDO143" s="3579"/>
      <c r="LDP143" s="3579"/>
      <c r="LDQ143" s="3579"/>
      <c r="LDR143" s="3579"/>
      <c r="LDS143" s="3579"/>
      <c r="LDT143" s="3579"/>
      <c r="LDU143" s="3579"/>
      <c r="LDV143" s="3579"/>
      <c r="LDW143" s="3579"/>
      <c r="LDX143" s="3579"/>
      <c r="LDY143" s="3579"/>
      <c r="LDZ143" s="3579"/>
      <c r="LEA143" s="3579"/>
      <c r="LEB143" s="3579"/>
      <c r="LEC143" s="3579"/>
      <c r="LED143" s="3579"/>
      <c r="LEE143" s="3579"/>
      <c r="LEF143" s="3579"/>
      <c r="LEG143" s="3579"/>
      <c r="LEH143" s="3579"/>
      <c r="LEI143" s="3579"/>
      <c r="LEJ143" s="3579"/>
      <c r="LEK143" s="3579"/>
      <c r="LEL143" s="3579"/>
      <c r="LEM143" s="3579"/>
      <c r="LEN143" s="3579"/>
      <c r="LEO143" s="3579"/>
      <c r="LEP143" s="3579"/>
      <c r="LEQ143" s="3579"/>
      <c r="LER143" s="3579"/>
      <c r="LES143" s="3579"/>
      <c r="LET143" s="3579"/>
      <c r="LEU143" s="3579"/>
      <c r="LEV143" s="3579"/>
      <c r="LEW143" s="3579"/>
      <c r="LEX143" s="3579"/>
      <c r="LEY143" s="3579"/>
      <c r="LEZ143" s="3579"/>
      <c r="LFA143" s="3579"/>
      <c r="LFB143" s="3579"/>
      <c r="LFC143" s="3579"/>
      <c r="LFD143" s="3579"/>
      <c r="LFE143" s="3579"/>
      <c r="LFF143" s="3579"/>
      <c r="LFG143" s="3579"/>
      <c r="LFH143" s="3579"/>
      <c r="LFI143" s="3579"/>
      <c r="LFJ143" s="3579"/>
      <c r="LFK143" s="3579"/>
      <c r="LFL143" s="3579"/>
      <c r="LFM143" s="3579"/>
      <c r="LFN143" s="3579"/>
      <c r="LFO143" s="3579"/>
      <c r="LFP143" s="3579"/>
      <c r="LFQ143" s="3579"/>
      <c r="LFR143" s="3579"/>
      <c r="LFS143" s="3579"/>
      <c r="LFT143" s="3579"/>
      <c r="LFU143" s="3579"/>
      <c r="LFV143" s="3579"/>
      <c r="LFW143" s="3579"/>
      <c r="LFX143" s="3579"/>
      <c r="LFY143" s="3579"/>
      <c r="LFZ143" s="3579"/>
      <c r="LGA143" s="3579"/>
      <c r="LGB143" s="3579"/>
      <c r="LGC143" s="3579"/>
      <c r="LGD143" s="3579"/>
      <c r="LGE143" s="3579"/>
      <c r="LGF143" s="3579"/>
      <c r="LGG143" s="3579"/>
      <c r="LGH143" s="3579"/>
      <c r="LGI143" s="3579"/>
      <c r="LGJ143" s="3579"/>
      <c r="LGK143" s="3579"/>
      <c r="LGL143" s="3579"/>
      <c r="LGM143" s="3579"/>
      <c r="LGN143" s="3579"/>
      <c r="LGO143" s="3579"/>
      <c r="LGP143" s="3579"/>
      <c r="LGQ143" s="3579"/>
      <c r="LGR143" s="3579"/>
      <c r="LGS143" s="3579"/>
      <c r="LGT143" s="3579"/>
      <c r="LGU143" s="3579"/>
      <c r="LGV143" s="3579"/>
      <c r="LGW143" s="3579"/>
      <c r="LGX143" s="3579"/>
      <c r="LGY143" s="3579"/>
      <c r="LGZ143" s="3579"/>
      <c r="LHA143" s="3579"/>
      <c r="LHB143" s="3579"/>
      <c r="LHC143" s="3579"/>
      <c r="LHD143" s="3579"/>
      <c r="LHE143" s="3579"/>
      <c r="LHF143" s="3579"/>
      <c r="LHG143" s="3579"/>
      <c r="LHH143" s="3579"/>
      <c r="LHI143" s="3579"/>
      <c r="LHJ143" s="3579"/>
      <c r="LHK143" s="3579"/>
      <c r="LHL143" s="3579"/>
      <c r="LHM143" s="3579"/>
      <c r="LHN143" s="3579"/>
      <c r="LHO143" s="3579"/>
      <c r="LHP143" s="3579"/>
      <c r="LHQ143" s="3579"/>
      <c r="LHR143" s="3579"/>
      <c r="LHS143" s="3579"/>
      <c r="LHT143" s="3579"/>
      <c r="LHU143" s="3579"/>
      <c r="LHV143" s="3579"/>
      <c r="LHW143" s="3579"/>
      <c r="LHX143" s="3579"/>
      <c r="LHY143" s="3579"/>
      <c r="LHZ143" s="3579"/>
      <c r="LIA143" s="3579"/>
      <c r="LIB143" s="3579"/>
      <c r="LIC143" s="3579"/>
      <c r="LID143" s="3579"/>
      <c r="LIE143" s="3579"/>
      <c r="LIF143" s="3579"/>
      <c r="LIG143" s="3579"/>
      <c r="LIH143" s="3579"/>
      <c r="LII143" s="3579"/>
      <c r="LIJ143" s="3579"/>
      <c r="LIK143" s="3579"/>
      <c r="LIL143" s="3579"/>
      <c r="LIM143" s="3579"/>
      <c r="LIN143" s="3579"/>
      <c r="LIO143" s="3579"/>
      <c r="LIP143" s="3579"/>
      <c r="LIQ143" s="3579"/>
      <c r="LIR143" s="3579"/>
      <c r="LIS143" s="3579"/>
      <c r="LIT143" s="3579"/>
      <c r="LIU143" s="3579"/>
      <c r="LIV143" s="3579"/>
      <c r="LIW143" s="3579"/>
      <c r="LIX143" s="3579"/>
      <c r="LIY143" s="3579"/>
      <c r="LIZ143" s="3579"/>
      <c r="LJA143" s="3579"/>
      <c r="LJB143" s="3579"/>
      <c r="LJC143" s="3579"/>
      <c r="LJD143" s="3579"/>
      <c r="LJE143" s="3579"/>
      <c r="LJF143" s="3579"/>
      <c r="LJG143" s="3579"/>
      <c r="LJH143" s="3579"/>
      <c r="LJI143" s="3579"/>
      <c r="LJJ143" s="3579"/>
      <c r="LJK143" s="3579"/>
      <c r="LJL143" s="3579"/>
      <c r="LJM143" s="3579"/>
      <c r="LJN143" s="3579"/>
      <c r="LJO143" s="3579"/>
      <c r="LJP143" s="3579"/>
      <c r="LJQ143" s="3579"/>
      <c r="LJR143" s="3579"/>
      <c r="LJS143" s="3579"/>
      <c r="LJT143" s="3579"/>
      <c r="LJU143" s="3579"/>
      <c r="LJV143" s="3579"/>
      <c r="LJW143" s="3579"/>
      <c r="LJX143" s="3579"/>
      <c r="LJY143" s="3579"/>
      <c r="LJZ143" s="3579"/>
      <c r="LKA143" s="3579"/>
      <c r="LKB143" s="3579"/>
      <c r="LKC143" s="3579"/>
      <c r="LKD143" s="3579"/>
      <c r="LKE143" s="3579"/>
      <c r="LKF143" s="3579"/>
      <c r="LKG143" s="3579"/>
      <c r="LKH143" s="3579"/>
      <c r="LKI143" s="3579"/>
      <c r="LKJ143" s="3579"/>
      <c r="LKK143" s="3579"/>
      <c r="LKL143" s="3579"/>
      <c r="LKM143" s="3579"/>
      <c r="LKN143" s="3579"/>
      <c r="LKO143" s="3579"/>
      <c r="LKP143" s="3579"/>
      <c r="LKQ143" s="3579"/>
      <c r="LKR143" s="3579"/>
      <c r="LKS143" s="3579"/>
      <c r="LKT143" s="3579"/>
      <c r="LKU143" s="3579"/>
      <c r="LKV143" s="3579"/>
      <c r="LKW143" s="3579"/>
      <c r="LKX143" s="3579"/>
      <c r="LKY143" s="3579"/>
      <c r="LKZ143" s="3579"/>
      <c r="LLA143" s="3579"/>
      <c r="LLB143" s="3579"/>
      <c r="LLC143" s="3579"/>
      <c r="LLD143" s="3579"/>
      <c r="LLE143" s="3579"/>
      <c r="LLF143" s="3579"/>
      <c r="LLG143" s="3579"/>
      <c r="LLH143" s="3579"/>
      <c r="LLI143" s="3579"/>
      <c r="LLJ143" s="3579"/>
      <c r="LLK143" s="3579"/>
      <c r="LLL143" s="3579"/>
      <c r="LLM143" s="3579"/>
      <c r="LLN143" s="3579"/>
      <c r="LLO143" s="3579"/>
      <c r="LLP143" s="3579"/>
      <c r="LLQ143" s="3579"/>
      <c r="LLR143" s="3579"/>
      <c r="LLS143" s="3579"/>
      <c r="LLT143" s="3579"/>
      <c r="LLU143" s="3579"/>
      <c r="LLV143" s="3579"/>
      <c r="LLW143" s="3579"/>
      <c r="LLX143" s="3579"/>
      <c r="LLY143" s="3579"/>
      <c r="LLZ143" s="3579"/>
      <c r="LMA143" s="3579"/>
      <c r="LMB143" s="3579"/>
      <c r="LMC143" s="3579"/>
      <c r="LMD143" s="3579"/>
      <c r="LME143" s="3579"/>
      <c r="LMF143" s="3579"/>
      <c r="LMG143" s="3579"/>
      <c r="LMH143" s="3579"/>
      <c r="LMI143" s="3579"/>
      <c r="LMJ143" s="3579"/>
      <c r="LMK143" s="3579"/>
      <c r="LML143" s="3579"/>
      <c r="LMM143" s="3579"/>
      <c r="LMN143" s="3579"/>
      <c r="LMO143" s="3579"/>
      <c r="LMP143" s="3579"/>
      <c r="LMQ143" s="3579"/>
      <c r="LMR143" s="3579"/>
      <c r="LMS143" s="3579"/>
      <c r="LMT143" s="3579"/>
      <c r="LMU143" s="3579"/>
      <c r="LMV143" s="3579"/>
      <c r="LMW143" s="3579"/>
      <c r="LMX143" s="3579"/>
      <c r="LMY143" s="3579"/>
      <c r="LMZ143" s="3579"/>
      <c r="LNA143" s="3579"/>
      <c r="LNB143" s="3579"/>
      <c r="LNC143" s="3579"/>
      <c r="LND143" s="3579"/>
      <c r="LNE143" s="3579"/>
      <c r="LNF143" s="3579"/>
      <c r="LNG143" s="3579"/>
      <c r="LNH143" s="3579"/>
      <c r="LNI143" s="3579"/>
      <c r="LNJ143" s="3579"/>
      <c r="LNK143" s="3579"/>
      <c r="LNL143" s="3579"/>
      <c r="LNM143" s="3579"/>
      <c r="LNN143" s="3579"/>
      <c r="LNO143" s="3579"/>
      <c r="LNP143" s="3579"/>
      <c r="LNQ143" s="3579"/>
      <c r="LNR143" s="3579"/>
      <c r="LNS143" s="3579"/>
      <c r="LNT143" s="3579"/>
      <c r="LNU143" s="3579"/>
      <c r="LNV143" s="3579"/>
      <c r="LNW143" s="3579"/>
      <c r="LNX143" s="3579"/>
      <c r="LNY143" s="3579"/>
      <c r="LNZ143" s="3579"/>
      <c r="LOA143" s="3579"/>
      <c r="LOB143" s="3579"/>
      <c r="LOC143" s="3579"/>
      <c r="LOD143" s="3579"/>
      <c r="LOE143" s="3579"/>
      <c r="LOF143" s="3579"/>
      <c r="LOG143" s="3579"/>
      <c r="LOH143" s="3579"/>
      <c r="LOI143" s="3579"/>
      <c r="LOJ143" s="3579"/>
      <c r="LOK143" s="3579"/>
      <c r="LOL143" s="3579"/>
      <c r="LOM143" s="3579"/>
      <c r="LON143" s="3579"/>
      <c r="LOO143" s="3579"/>
      <c r="LOP143" s="3579"/>
      <c r="LOQ143" s="3579"/>
      <c r="LOR143" s="3579"/>
      <c r="LOS143" s="3579"/>
      <c r="LOT143" s="3579"/>
      <c r="LOU143" s="3579"/>
      <c r="LOV143" s="3579"/>
      <c r="LOW143" s="3579"/>
      <c r="LOX143" s="3579"/>
      <c r="LOY143" s="3579"/>
      <c r="LOZ143" s="3579"/>
      <c r="LPA143" s="3579"/>
      <c r="LPB143" s="3579"/>
      <c r="LPC143" s="3579"/>
      <c r="LPD143" s="3579"/>
      <c r="LPE143" s="3579"/>
      <c r="LPF143" s="3579"/>
      <c r="LPG143" s="3579"/>
      <c r="LPH143" s="3579"/>
      <c r="LPI143" s="3579"/>
      <c r="LPJ143" s="3579"/>
      <c r="LPK143" s="3579"/>
      <c r="LPL143" s="3579"/>
      <c r="LPM143" s="3579"/>
      <c r="LPN143" s="3579"/>
      <c r="LPO143" s="3579"/>
      <c r="LPP143" s="3579"/>
      <c r="LPQ143" s="3579"/>
      <c r="LPR143" s="3579"/>
      <c r="LPS143" s="3579"/>
      <c r="LPT143" s="3579"/>
      <c r="LPU143" s="3579"/>
      <c r="LPV143" s="3579"/>
      <c r="LPW143" s="3579"/>
      <c r="LPX143" s="3579"/>
      <c r="LPY143" s="3579"/>
      <c r="LPZ143" s="3579"/>
      <c r="LQA143" s="3579"/>
      <c r="LQB143" s="3579"/>
      <c r="LQC143" s="3579"/>
      <c r="LQD143" s="3579"/>
      <c r="LQE143" s="3579"/>
      <c r="LQF143" s="3579"/>
      <c r="LQG143" s="3579"/>
      <c r="LQH143" s="3579"/>
      <c r="LQI143" s="3579"/>
      <c r="LQJ143" s="3579"/>
      <c r="LQK143" s="3579"/>
      <c r="LQL143" s="3579"/>
      <c r="LQM143" s="3579"/>
      <c r="LQN143" s="3579"/>
      <c r="LQO143" s="3579"/>
      <c r="LQP143" s="3579"/>
      <c r="LQQ143" s="3579"/>
      <c r="LQR143" s="3579"/>
      <c r="LQS143" s="3579"/>
      <c r="LQT143" s="3579"/>
      <c r="LQU143" s="3579"/>
      <c r="LQV143" s="3579"/>
      <c r="LQW143" s="3579"/>
      <c r="LQX143" s="3579"/>
      <c r="LQY143" s="3579"/>
      <c r="LQZ143" s="3579"/>
      <c r="LRA143" s="3579"/>
      <c r="LRB143" s="3579"/>
      <c r="LRC143" s="3579"/>
      <c r="LRD143" s="3579"/>
      <c r="LRE143" s="3579"/>
      <c r="LRF143" s="3579"/>
      <c r="LRG143" s="3579"/>
      <c r="LRH143" s="3579"/>
      <c r="LRI143" s="3579"/>
      <c r="LRJ143" s="3579"/>
      <c r="LRK143" s="3579"/>
      <c r="LRL143" s="3579"/>
      <c r="LRM143" s="3579"/>
      <c r="LRN143" s="3579"/>
      <c r="LRO143" s="3579"/>
      <c r="LRP143" s="3579"/>
      <c r="LRQ143" s="3579"/>
      <c r="LRR143" s="3579"/>
      <c r="LRS143" s="3579"/>
      <c r="LRT143" s="3579"/>
      <c r="LRU143" s="3579"/>
      <c r="LRV143" s="3579"/>
      <c r="LRW143" s="3579"/>
      <c r="LRX143" s="3579"/>
      <c r="LRY143" s="3579"/>
      <c r="LRZ143" s="3579"/>
      <c r="LSA143" s="3579"/>
      <c r="LSB143" s="3579"/>
      <c r="LSC143" s="3579"/>
      <c r="LSD143" s="3579"/>
      <c r="LSE143" s="3579"/>
      <c r="LSF143" s="3579"/>
      <c r="LSG143" s="3579"/>
      <c r="LSH143" s="3579"/>
      <c r="LSI143" s="3579"/>
      <c r="LSJ143" s="3579"/>
      <c r="LSK143" s="3579"/>
      <c r="LSL143" s="3579"/>
      <c r="LSM143" s="3579"/>
      <c r="LSN143" s="3579"/>
      <c r="LSO143" s="3579"/>
      <c r="LSP143" s="3579"/>
      <c r="LSQ143" s="3579"/>
      <c r="LSR143" s="3579"/>
      <c r="LSS143" s="3579"/>
      <c r="LST143" s="3579"/>
      <c r="LSU143" s="3579"/>
      <c r="LSV143" s="3579"/>
      <c r="LSW143" s="3579"/>
      <c r="LSX143" s="3579"/>
      <c r="LSY143" s="3579"/>
      <c r="LSZ143" s="3579"/>
      <c r="LTA143" s="3579"/>
      <c r="LTB143" s="3579"/>
      <c r="LTC143" s="3579"/>
      <c r="LTD143" s="3579"/>
      <c r="LTE143" s="3579"/>
      <c r="LTF143" s="3579"/>
      <c r="LTG143" s="3579"/>
      <c r="LTH143" s="3579"/>
      <c r="LTI143" s="3579"/>
      <c r="LTJ143" s="3579"/>
      <c r="LTK143" s="3579"/>
      <c r="LTL143" s="3579"/>
      <c r="LTM143" s="3579"/>
      <c r="LTN143" s="3579"/>
      <c r="LTO143" s="3579"/>
      <c r="LTP143" s="3579"/>
      <c r="LTQ143" s="3579"/>
      <c r="LTR143" s="3579"/>
      <c r="LTS143" s="3579"/>
      <c r="LTT143" s="3579"/>
      <c r="LTU143" s="3579"/>
      <c r="LTV143" s="3579"/>
      <c r="LTW143" s="3579"/>
      <c r="LTX143" s="3579"/>
      <c r="LTY143" s="3579"/>
      <c r="LTZ143" s="3579"/>
      <c r="LUA143" s="3579"/>
      <c r="LUB143" s="3579"/>
      <c r="LUC143" s="3579"/>
      <c r="LUD143" s="3579"/>
      <c r="LUE143" s="3579"/>
      <c r="LUF143" s="3579"/>
      <c r="LUG143" s="3579"/>
      <c r="LUH143" s="3579"/>
      <c r="LUI143" s="3579"/>
      <c r="LUJ143" s="3579"/>
      <c r="LUK143" s="3579"/>
      <c r="LUL143" s="3579"/>
      <c r="LUM143" s="3579"/>
      <c r="LUN143" s="3579"/>
      <c r="LUO143" s="3579"/>
      <c r="LUP143" s="3579"/>
      <c r="LUQ143" s="3579"/>
      <c r="LUR143" s="3579"/>
      <c r="LUS143" s="3579"/>
      <c r="LUT143" s="3579"/>
      <c r="LUU143" s="3579"/>
      <c r="LUV143" s="3579"/>
      <c r="LUW143" s="3579"/>
      <c r="LUX143" s="3579"/>
      <c r="LUY143" s="3579"/>
      <c r="LUZ143" s="3579"/>
      <c r="LVA143" s="3579"/>
      <c r="LVB143" s="3579"/>
      <c r="LVC143" s="3579"/>
      <c r="LVD143" s="3579"/>
      <c r="LVE143" s="3579"/>
      <c r="LVF143" s="3579"/>
      <c r="LVG143" s="3579"/>
      <c r="LVH143" s="3579"/>
      <c r="LVI143" s="3579"/>
      <c r="LVJ143" s="3579"/>
      <c r="LVK143" s="3579"/>
      <c r="LVL143" s="3579"/>
      <c r="LVM143" s="3579"/>
      <c r="LVN143" s="3579"/>
      <c r="LVO143" s="3579"/>
      <c r="LVP143" s="3579"/>
      <c r="LVQ143" s="3579"/>
      <c r="LVR143" s="3579"/>
      <c r="LVS143" s="3579"/>
      <c r="LVT143" s="3579"/>
      <c r="LVU143" s="3579"/>
      <c r="LVV143" s="3579"/>
      <c r="LVW143" s="3579"/>
      <c r="LVX143" s="3579"/>
      <c r="LVY143" s="3579"/>
      <c r="LVZ143" s="3579"/>
      <c r="LWA143" s="3579"/>
      <c r="LWB143" s="3579"/>
      <c r="LWC143" s="3579"/>
      <c r="LWD143" s="3579"/>
      <c r="LWE143" s="3579"/>
      <c r="LWF143" s="3579"/>
      <c r="LWG143" s="3579"/>
      <c r="LWH143" s="3579"/>
      <c r="LWI143" s="3579"/>
      <c r="LWJ143" s="3579"/>
      <c r="LWK143" s="3579"/>
      <c r="LWL143" s="3579"/>
      <c r="LWM143" s="3579"/>
      <c r="LWN143" s="3579"/>
      <c r="LWO143" s="3579"/>
      <c r="LWP143" s="3579"/>
      <c r="LWQ143" s="3579"/>
      <c r="LWR143" s="3579"/>
      <c r="LWS143" s="3579"/>
      <c r="LWT143" s="3579"/>
      <c r="LWU143" s="3579"/>
      <c r="LWV143" s="3579"/>
      <c r="LWW143" s="3579"/>
      <c r="LWX143" s="3579"/>
      <c r="LWY143" s="3579"/>
      <c r="LWZ143" s="3579"/>
      <c r="LXA143" s="3579"/>
      <c r="LXB143" s="3579"/>
      <c r="LXC143" s="3579"/>
      <c r="LXD143" s="3579"/>
      <c r="LXE143" s="3579"/>
      <c r="LXF143" s="3579"/>
      <c r="LXG143" s="3579"/>
      <c r="LXH143" s="3579"/>
      <c r="LXI143" s="3579"/>
      <c r="LXJ143" s="3579"/>
      <c r="LXK143" s="3579"/>
      <c r="LXL143" s="3579"/>
      <c r="LXM143" s="3579"/>
      <c r="LXN143" s="3579"/>
      <c r="LXO143" s="3579"/>
      <c r="LXP143" s="3579"/>
      <c r="LXQ143" s="3579"/>
      <c r="LXR143" s="3579"/>
      <c r="LXS143" s="3579"/>
      <c r="LXT143" s="3579"/>
      <c r="LXU143" s="3579"/>
      <c r="LXV143" s="3579"/>
      <c r="LXW143" s="3579"/>
      <c r="LXX143" s="3579"/>
      <c r="LXY143" s="3579"/>
      <c r="LXZ143" s="3579"/>
      <c r="LYA143" s="3579"/>
      <c r="LYB143" s="3579"/>
      <c r="LYC143" s="3579"/>
      <c r="LYD143" s="3579"/>
      <c r="LYE143" s="3579"/>
      <c r="LYF143" s="3579"/>
      <c r="LYG143" s="3579"/>
      <c r="LYH143" s="3579"/>
      <c r="LYI143" s="3579"/>
      <c r="LYJ143" s="3579"/>
      <c r="LYK143" s="3579"/>
      <c r="LYL143" s="3579"/>
      <c r="LYM143" s="3579"/>
      <c r="LYN143" s="3579"/>
      <c r="LYO143" s="3579"/>
      <c r="LYP143" s="3579"/>
      <c r="LYQ143" s="3579"/>
      <c r="LYR143" s="3579"/>
      <c r="LYS143" s="3579"/>
      <c r="LYT143" s="3579"/>
      <c r="LYU143" s="3579"/>
      <c r="LYV143" s="3579"/>
      <c r="LYW143" s="3579"/>
      <c r="LYX143" s="3579"/>
      <c r="LYY143" s="3579"/>
      <c r="LYZ143" s="3579"/>
      <c r="LZA143" s="3579"/>
      <c r="LZB143" s="3579"/>
      <c r="LZC143" s="3579"/>
      <c r="LZD143" s="3579"/>
      <c r="LZE143" s="3579"/>
      <c r="LZF143" s="3579"/>
      <c r="LZG143" s="3579"/>
      <c r="LZH143" s="3579"/>
      <c r="LZI143" s="3579"/>
      <c r="LZJ143" s="3579"/>
      <c r="LZK143" s="3579"/>
      <c r="LZL143" s="3579"/>
      <c r="LZM143" s="3579"/>
      <c r="LZN143" s="3579"/>
      <c r="LZO143" s="3579"/>
      <c r="LZP143" s="3579"/>
      <c r="LZQ143" s="3579"/>
      <c r="LZR143" s="3579"/>
      <c r="LZS143" s="3579"/>
      <c r="LZT143" s="3579"/>
      <c r="LZU143" s="3579"/>
      <c r="LZV143" s="3579"/>
      <c r="LZW143" s="3579"/>
      <c r="LZX143" s="3579"/>
      <c r="LZY143" s="3579"/>
      <c r="LZZ143" s="3579"/>
      <c r="MAA143" s="3579"/>
      <c r="MAB143" s="3579"/>
      <c r="MAC143" s="3579"/>
      <c r="MAD143" s="3579"/>
      <c r="MAE143" s="3579"/>
      <c r="MAF143" s="3579"/>
      <c r="MAG143" s="3579"/>
      <c r="MAH143" s="3579"/>
      <c r="MAI143" s="3579"/>
      <c r="MAJ143" s="3579"/>
      <c r="MAK143" s="3579"/>
      <c r="MAL143" s="3579"/>
      <c r="MAM143" s="3579"/>
      <c r="MAN143" s="3579"/>
      <c r="MAO143" s="3579"/>
      <c r="MAP143" s="3579"/>
      <c r="MAQ143" s="3579"/>
      <c r="MAR143" s="3579"/>
      <c r="MAS143" s="3579"/>
      <c r="MAT143" s="3579"/>
      <c r="MAU143" s="3579"/>
      <c r="MAV143" s="3579"/>
      <c r="MAW143" s="3579"/>
      <c r="MAX143" s="3579"/>
      <c r="MAY143" s="3579"/>
      <c r="MAZ143" s="3579"/>
      <c r="MBA143" s="3579"/>
      <c r="MBB143" s="3579"/>
      <c r="MBC143" s="3579"/>
      <c r="MBD143" s="3579"/>
      <c r="MBE143" s="3579"/>
      <c r="MBF143" s="3579"/>
      <c r="MBG143" s="3579"/>
      <c r="MBH143" s="3579"/>
      <c r="MBI143" s="3579"/>
      <c r="MBJ143" s="3579"/>
      <c r="MBK143" s="3579"/>
      <c r="MBL143" s="3579"/>
      <c r="MBM143" s="3579"/>
      <c r="MBN143" s="3579"/>
      <c r="MBO143" s="3579"/>
      <c r="MBP143" s="3579"/>
      <c r="MBQ143" s="3579"/>
      <c r="MBR143" s="3579"/>
      <c r="MBS143" s="3579"/>
      <c r="MBT143" s="3579"/>
      <c r="MBU143" s="3579"/>
      <c r="MBV143" s="3579"/>
      <c r="MBW143" s="3579"/>
      <c r="MBX143" s="3579"/>
      <c r="MBY143" s="3579"/>
      <c r="MBZ143" s="3579"/>
      <c r="MCA143" s="3579"/>
      <c r="MCB143" s="3579"/>
      <c r="MCC143" s="3579"/>
      <c r="MCD143" s="3579"/>
      <c r="MCE143" s="3579"/>
      <c r="MCF143" s="3579"/>
      <c r="MCG143" s="3579"/>
      <c r="MCH143" s="3579"/>
      <c r="MCI143" s="3579"/>
      <c r="MCJ143" s="3579"/>
      <c r="MCK143" s="3579"/>
      <c r="MCL143" s="3579"/>
      <c r="MCM143" s="3579"/>
      <c r="MCN143" s="3579"/>
      <c r="MCO143" s="3579"/>
      <c r="MCP143" s="3579"/>
      <c r="MCQ143" s="3579"/>
      <c r="MCR143" s="3579"/>
      <c r="MCS143" s="3579"/>
      <c r="MCT143" s="3579"/>
      <c r="MCU143" s="3579"/>
      <c r="MCV143" s="3579"/>
      <c r="MCW143" s="3579"/>
      <c r="MCX143" s="3579"/>
      <c r="MCY143" s="3579"/>
      <c r="MCZ143" s="3579"/>
      <c r="MDA143" s="3579"/>
      <c r="MDB143" s="3579"/>
      <c r="MDC143" s="3579"/>
      <c r="MDD143" s="3579"/>
      <c r="MDE143" s="3579"/>
      <c r="MDF143" s="3579"/>
      <c r="MDG143" s="3579"/>
      <c r="MDH143" s="3579"/>
      <c r="MDI143" s="3579"/>
      <c r="MDJ143" s="3579"/>
      <c r="MDK143" s="3579"/>
      <c r="MDL143" s="3579"/>
      <c r="MDM143" s="3579"/>
      <c r="MDN143" s="3579"/>
      <c r="MDO143" s="3579"/>
      <c r="MDP143" s="3579"/>
      <c r="MDQ143" s="3579"/>
      <c r="MDR143" s="3579"/>
      <c r="MDS143" s="3579"/>
      <c r="MDT143" s="3579"/>
      <c r="MDU143" s="3579"/>
      <c r="MDV143" s="3579"/>
      <c r="MDW143" s="3579"/>
      <c r="MDX143" s="3579"/>
      <c r="MDY143" s="3579"/>
      <c r="MDZ143" s="3579"/>
      <c r="MEA143" s="3579"/>
      <c r="MEB143" s="3579"/>
      <c r="MEC143" s="3579"/>
      <c r="MED143" s="3579"/>
      <c r="MEE143" s="3579"/>
      <c r="MEF143" s="3579"/>
      <c r="MEG143" s="3579"/>
      <c r="MEH143" s="3579"/>
      <c r="MEI143" s="3579"/>
      <c r="MEJ143" s="3579"/>
      <c r="MEK143" s="3579"/>
      <c r="MEL143" s="3579"/>
      <c r="MEM143" s="3579"/>
      <c r="MEN143" s="3579"/>
      <c r="MEO143" s="3579"/>
      <c r="MEP143" s="3579"/>
      <c r="MEQ143" s="3579"/>
      <c r="MER143" s="3579"/>
      <c r="MES143" s="3579"/>
      <c r="MET143" s="3579"/>
      <c r="MEU143" s="3579"/>
      <c r="MEV143" s="3579"/>
      <c r="MEW143" s="3579"/>
      <c r="MEX143" s="3579"/>
      <c r="MEY143" s="3579"/>
      <c r="MEZ143" s="3579"/>
      <c r="MFA143" s="3579"/>
      <c r="MFB143" s="3579"/>
      <c r="MFC143" s="3579"/>
      <c r="MFD143" s="3579"/>
      <c r="MFE143" s="3579"/>
      <c r="MFF143" s="3579"/>
      <c r="MFG143" s="3579"/>
      <c r="MFH143" s="3579"/>
      <c r="MFI143" s="3579"/>
      <c r="MFJ143" s="3579"/>
      <c r="MFK143" s="3579"/>
      <c r="MFL143" s="3579"/>
      <c r="MFM143" s="3579"/>
      <c r="MFN143" s="3579"/>
      <c r="MFO143" s="3579"/>
      <c r="MFP143" s="3579"/>
      <c r="MFQ143" s="3579"/>
      <c r="MFR143" s="3579"/>
      <c r="MFS143" s="3579"/>
      <c r="MFT143" s="3579"/>
      <c r="MFU143" s="3579"/>
      <c r="MFV143" s="3579"/>
      <c r="MFW143" s="3579"/>
      <c r="MFX143" s="3579"/>
      <c r="MFY143" s="3579"/>
      <c r="MFZ143" s="3579"/>
      <c r="MGA143" s="3579"/>
      <c r="MGB143" s="3579"/>
      <c r="MGC143" s="3579"/>
      <c r="MGD143" s="3579"/>
      <c r="MGE143" s="3579"/>
      <c r="MGF143" s="3579"/>
      <c r="MGG143" s="3579"/>
      <c r="MGH143" s="3579"/>
      <c r="MGI143" s="3579"/>
      <c r="MGJ143" s="3579"/>
      <c r="MGK143" s="3579"/>
      <c r="MGL143" s="3579"/>
      <c r="MGM143" s="3579"/>
      <c r="MGN143" s="3579"/>
      <c r="MGO143" s="3579"/>
      <c r="MGP143" s="3579"/>
      <c r="MGQ143" s="3579"/>
      <c r="MGR143" s="3579"/>
      <c r="MGS143" s="3579"/>
      <c r="MGT143" s="3579"/>
      <c r="MGU143" s="3579"/>
      <c r="MGV143" s="3579"/>
      <c r="MGW143" s="3579"/>
      <c r="MGX143" s="3579"/>
      <c r="MGY143" s="3579"/>
      <c r="MGZ143" s="3579"/>
      <c r="MHA143" s="3579"/>
      <c r="MHB143" s="3579"/>
      <c r="MHC143" s="3579"/>
      <c r="MHD143" s="3579"/>
      <c r="MHE143" s="3579"/>
      <c r="MHF143" s="3579"/>
      <c r="MHG143" s="3579"/>
      <c r="MHH143" s="3579"/>
      <c r="MHI143" s="3579"/>
      <c r="MHJ143" s="3579"/>
      <c r="MHK143" s="3579"/>
      <c r="MHL143" s="3579"/>
      <c r="MHM143" s="3579"/>
      <c r="MHN143" s="3579"/>
      <c r="MHO143" s="3579"/>
      <c r="MHP143" s="3579"/>
      <c r="MHQ143" s="3579"/>
      <c r="MHR143" s="3579"/>
      <c r="MHS143" s="3579"/>
      <c r="MHT143" s="3579"/>
      <c r="MHU143" s="3579"/>
      <c r="MHV143" s="3579"/>
      <c r="MHW143" s="3579"/>
      <c r="MHX143" s="3579"/>
      <c r="MHY143" s="3579"/>
      <c r="MHZ143" s="3579"/>
      <c r="MIA143" s="3579"/>
      <c r="MIB143" s="3579"/>
      <c r="MIC143" s="3579"/>
      <c r="MID143" s="3579"/>
      <c r="MIE143" s="3579"/>
      <c r="MIF143" s="3579"/>
      <c r="MIG143" s="3579"/>
      <c r="MIH143" s="3579"/>
      <c r="MII143" s="3579"/>
      <c r="MIJ143" s="3579"/>
      <c r="MIK143" s="3579"/>
      <c r="MIL143" s="3579"/>
      <c r="MIM143" s="3579"/>
      <c r="MIN143" s="3579"/>
      <c r="MIO143" s="3579"/>
      <c r="MIP143" s="3579"/>
      <c r="MIQ143" s="3579"/>
      <c r="MIR143" s="3579"/>
      <c r="MIS143" s="3579"/>
      <c r="MIT143" s="3579"/>
      <c r="MIU143" s="3579"/>
      <c r="MIV143" s="3579"/>
      <c r="MIW143" s="3579"/>
      <c r="MIX143" s="3579"/>
      <c r="MIY143" s="3579"/>
      <c r="MIZ143" s="3579"/>
      <c r="MJA143" s="3579"/>
      <c r="MJB143" s="3579"/>
      <c r="MJC143" s="3579"/>
      <c r="MJD143" s="3579"/>
      <c r="MJE143" s="3579"/>
      <c r="MJF143" s="3579"/>
      <c r="MJG143" s="3579"/>
      <c r="MJH143" s="3579"/>
      <c r="MJI143" s="3579"/>
      <c r="MJJ143" s="3579"/>
      <c r="MJK143" s="3579"/>
      <c r="MJL143" s="3579"/>
      <c r="MJM143" s="3579"/>
      <c r="MJN143" s="3579"/>
      <c r="MJO143" s="3579"/>
      <c r="MJP143" s="3579"/>
      <c r="MJQ143" s="3579"/>
      <c r="MJR143" s="3579"/>
      <c r="MJS143" s="3579"/>
      <c r="MJT143" s="3579"/>
      <c r="MJU143" s="3579"/>
      <c r="MJV143" s="3579"/>
      <c r="MJW143" s="3579"/>
      <c r="MJX143" s="3579"/>
      <c r="MJY143" s="3579"/>
      <c r="MJZ143" s="3579"/>
      <c r="MKA143" s="3579"/>
      <c r="MKB143" s="3579"/>
      <c r="MKC143" s="3579"/>
      <c r="MKD143" s="3579"/>
      <c r="MKE143" s="3579"/>
      <c r="MKF143" s="3579"/>
      <c r="MKG143" s="3579"/>
      <c r="MKH143" s="3579"/>
      <c r="MKI143" s="3579"/>
      <c r="MKJ143" s="3579"/>
      <c r="MKK143" s="3579"/>
      <c r="MKL143" s="3579"/>
      <c r="MKM143" s="3579"/>
      <c r="MKN143" s="3579"/>
      <c r="MKO143" s="3579"/>
      <c r="MKP143" s="3579"/>
      <c r="MKQ143" s="3579"/>
      <c r="MKR143" s="3579"/>
      <c r="MKS143" s="3579"/>
      <c r="MKT143" s="3579"/>
      <c r="MKU143" s="3579"/>
      <c r="MKV143" s="3579"/>
      <c r="MKW143" s="3579"/>
      <c r="MKX143" s="3579"/>
      <c r="MKY143" s="3579"/>
      <c r="MKZ143" s="3579"/>
      <c r="MLA143" s="3579"/>
      <c r="MLB143" s="3579"/>
      <c r="MLC143" s="3579"/>
      <c r="MLD143" s="3579"/>
      <c r="MLE143" s="3579"/>
      <c r="MLF143" s="3579"/>
      <c r="MLG143" s="3579"/>
      <c r="MLH143" s="3579"/>
      <c r="MLI143" s="3579"/>
      <c r="MLJ143" s="3579"/>
      <c r="MLK143" s="3579"/>
      <c r="MLL143" s="3579"/>
      <c r="MLM143" s="3579"/>
      <c r="MLN143" s="3579"/>
      <c r="MLO143" s="3579"/>
      <c r="MLP143" s="3579"/>
      <c r="MLQ143" s="3579"/>
      <c r="MLR143" s="3579"/>
      <c r="MLS143" s="3579"/>
      <c r="MLT143" s="3579"/>
      <c r="MLU143" s="3579"/>
      <c r="MLV143" s="3579"/>
      <c r="MLW143" s="3579"/>
      <c r="MLX143" s="3579"/>
      <c r="MLY143" s="3579"/>
      <c r="MLZ143" s="3579"/>
      <c r="MMA143" s="3579"/>
      <c r="MMB143" s="3579"/>
      <c r="MMC143" s="3579"/>
      <c r="MMD143" s="3579"/>
      <c r="MME143" s="3579"/>
      <c r="MMF143" s="3579"/>
      <c r="MMG143" s="3579"/>
      <c r="MMH143" s="3579"/>
      <c r="MMI143" s="3579"/>
      <c r="MMJ143" s="3579"/>
      <c r="MMK143" s="3579"/>
      <c r="MML143" s="3579"/>
      <c r="MMM143" s="3579"/>
      <c r="MMN143" s="3579"/>
      <c r="MMO143" s="3579"/>
      <c r="MMP143" s="3579"/>
      <c r="MMQ143" s="3579"/>
      <c r="MMR143" s="3579"/>
      <c r="MMS143" s="3579"/>
      <c r="MMT143" s="3579"/>
      <c r="MMU143" s="3579"/>
      <c r="MMV143" s="3579"/>
      <c r="MMW143" s="3579"/>
      <c r="MMX143" s="3579"/>
      <c r="MMY143" s="3579"/>
      <c r="MMZ143" s="3579"/>
      <c r="MNA143" s="3579"/>
      <c r="MNB143" s="3579"/>
      <c r="MNC143" s="3579"/>
      <c r="MND143" s="3579"/>
      <c r="MNE143" s="3579"/>
      <c r="MNF143" s="3579"/>
      <c r="MNG143" s="3579"/>
      <c r="MNH143" s="3579"/>
      <c r="MNI143" s="3579"/>
      <c r="MNJ143" s="3579"/>
      <c r="MNK143" s="3579"/>
      <c r="MNL143" s="3579"/>
      <c r="MNM143" s="3579"/>
      <c r="MNN143" s="3579"/>
      <c r="MNO143" s="3579"/>
      <c r="MNP143" s="3579"/>
      <c r="MNQ143" s="3579"/>
      <c r="MNR143" s="3579"/>
      <c r="MNS143" s="3579"/>
      <c r="MNT143" s="3579"/>
      <c r="MNU143" s="3579"/>
      <c r="MNV143" s="3579"/>
      <c r="MNW143" s="3579"/>
      <c r="MNX143" s="3579"/>
      <c r="MNY143" s="3579"/>
      <c r="MNZ143" s="3579"/>
      <c r="MOA143" s="3579"/>
      <c r="MOB143" s="3579"/>
      <c r="MOC143" s="3579"/>
      <c r="MOD143" s="3579"/>
      <c r="MOE143" s="3579"/>
      <c r="MOF143" s="3579"/>
      <c r="MOG143" s="3579"/>
      <c r="MOH143" s="3579"/>
      <c r="MOI143" s="3579"/>
      <c r="MOJ143" s="3579"/>
      <c r="MOK143" s="3579"/>
      <c r="MOL143" s="3579"/>
      <c r="MOM143" s="3579"/>
      <c r="MON143" s="3579"/>
      <c r="MOO143" s="3579"/>
      <c r="MOP143" s="3579"/>
      <c r="MOQ143" s="3579"/>
      <c r="MOR143" s="3579"/>
      <c r="MOS143" s="3579"/>
      <c r="MOT143" s="3579"/>
      <c r="MOU143" s="3579"/>
      <c r="MOV143" s="3579"/>
      <c r="MOW143" s="3579"/>
      <c r="MOX143" s="3579"/>
      <c r="MOY143" s="3579"/>
      <c r="MOZ143" s="3579"/>
      <c r="MPA143" s="3579"/>
      <c r="MPB143" s="3579"/>
      <c r="MPC143" s="3579"/>
      <c r="MPD143" s="3579"/>
      <c r="MPE143" s="3579"/>
      <c r="MPF143" s="3579"/>
      <c r="MPG143" s="3579"/>
      <c r="MPH143" s="3579"/>
      <c r="MPI143" s="3579"/>
      <c r="MPJ143" s="3579"/>
      <c r="MPK143" s="3579"/>
      <c r="MPL143" s="3579"/>
      <c r="MPM143" s="3579"/>
      <c r="MPN143" s="3579"/>
      <c r="MPO143" s="3579"/>
      <c r="MPP143" s="3579"/>
      <c r="MPQ143" s="3579"/>
      <c r="MPR143" s="3579"/>
      <c r="MPS143" s="3579"/>
      <c r="MPT143" s="3579"/>
      <c r="MPU143" s="3579"/>
      <c r="MPV143" s="3579"/>
      <c r="MPW143" s="3579"/>
      <c r="MPX143" s="3579"/>
      <c r="MPY143" s="3579"/>
      <c r="MPZ143" s="3579"/>
      <c r="MQA143" s="3579"/>
      <c r="MQB143" s="3579"/>
      <c r="MQC143" s="3579"/>
      <c r="MQD143" s="3579"/>
      <c r="MQE143" s="3579"/>
      <c r="MQF143" s="3579"/>
      <c r="MQG143" s="3579"/>
      <c r="MQH143" s="3579"/>
      <c r="MQI143" s="3579"/>
      <c r="MQJ143" s="3579"/>
      <c r="MQK143" s="3579"/>
      <c r="MQL143" s="3579"/>
      <c r="MQM143" s="3579"/>
      <c r="MQN143" s="3579"/>
      <c r="MQO143" s="3579"/>
      <c r="MQP143" s="3579"/>
      <c r="MQQ143" s="3579"/>
      <c r="MQR143" s="3579"/>
      <c r="MQS143" s="3579"/>
      <c r="MQT143" s="3579"/>
      <c r="MQU143" s="3579"/>
      <c r="MQV143" s="3579"/>
      <c r="MQW143" s="3579"/>
      <c r="MQX143" s="3579"/>
      <c r="MQY143" s="3579"/>
      <c r="MQZ143" s="3579"/>
      <c r="MRA143" s="3579"/>
      <c r="MRB143" s="3579"/>
      <c r="MRC143" s="3579"/>
      <c r="MRD143" s="3579"/>
      <c r="MRE143" s="3579"/>
      <c r="MRF143" s="3579"/>
      <c r="MRG143" s="3579"/>
      <c r="MRH143" s="3579"/>
      <c r="MRI143" s="3579"/>
      <c r="MRJ143" s="3579"/>
      <c r="MRK143" s="3579"/>
      <c r="MRL143" s="3579"/>
      <c r="MRM143" s="3579"/>
      <c r="MRN143" s="3579"/>
      <c r="MRO143" s="3579"/>
      <c r="MRP143" s="3579"/>
      <c r="MRQ143" s="3579"/>
      <c r="MRR143" s="3579"/>
      <c r="MRS143" s="3579"/>
      <c r="MRT143" s="3579"/>
      <c r="MRU143" s="3579"/>
      <c r="MRV143" s="3579"/>
      <c r="MRW143" s="3579"/>
      <c r="MRX143" s="3579"/>
      <c r="MRY143" s="3579"/>
      <c r="MRZ143" s="3579"/>
      <c r="MSA143" s="3579"/>
      <c r="MSB143" s="3579"/>
      <c r="MSC143" s="3579"/>
      <c r="MSD143" s="3579"/>
      <c r="MSE143" s="3579"/>
      <c r="MSF143" s="3579"/>
      <c r="MSG143" s="3579"/>
      <c r="MSH143" s="3579"/>
      <c r="MSI143" s="3579"/>
      <c r="MSJ143" s="3579"/>
      <c r="MSK143" s="3579"/>
      <c r="MSL143" s="3579"/>
      <c r="MSM143" s="3579"/>
      <c r="MSN143" s="3579"/>
      <c r="MSO143" s="3579"/>
      <c r="MSP143" s="3579"/>
      <c r="MSQ143" s="3579"/>
      <c r="MSR143" s="3579"/>
      <c r="MSS143" s="3579"/>
      <c r="MST143" s="3579"/>
      <c r="MSU143" s="3579"/>
      <c r="MSV143" s="3579"/>
      <c r="MSW143" s="3579"/>
      <c r="MSX143" s="3579"/>
      <c r="MSY143" s="3579"/>
      <c r="MSZ143" s="3579"/>
      <c r="MTA143" s="3579"/>
      <c r="MTB143" s="3579"/>
      <c r="MTC143" s="3579"/>
      <c r="MTD143" s="3579"/>
      <c r="MTE143" s="3579"/>
      <c r="MTF143" s="3579"/>
      <c r="MTG143" s="3579"/>
      <c r="MTH143" s="3579"/>
      <c r="MTI143" s="3579"/>
      <c r="MTJ143" s="3579"/>
      <c r="MTK143" s="3579"/>
      <c r="MTL143" s="3579"/>
      <c r="MTM143" s="3579"/>
      <c r="MTN143" s="3579"/>
      <c r="MTO143" s="3579"/>
      <c r="MTP143" s="3579"/>
      <c r="MTQ143" s="3579"/>
      <c r="MTR143" s="3579"/>
      <c r="MTS143" s="3579"/>
      <c r="MTT143" s="3579"/>
      <c r="MTU143" s="3579"/>
      <c r="MTV143" s="3579"/>
      <c r="MTW143" s="3579"/>
      <c r="MTX143" s="3579"/>
      <c r="MTY143" s="3579"/>
      <c r="MTZ143" s="3579"/>
      <c r="MUA143" s="3579"/>
      <c r="MUB143" s="3579"/>
      <c r="MUC143" s="3579"/>
      <c r="MUD143" s="3579"/>
      <c r="MUE143" s="3579"/>
      <c r="MUF143" s="3579"/>
      <c r="MUG143" s="3579"/>
      <c r="MUH143" s="3579"/>
      <c r="MUI143" s="3579"/>
      <c r="MUJ143" s="3579"/>
      <c r="MUK143" s="3579"/>
      <c r="MUL143" s="3579"/>
      <c r="MUM143" s="3579"/>
      <c r="MUN143" s="3579"/>
      <c r="MUO143" s="3579"/>
      <c r="MUP143" s="3579"/>
      <c r="MUQ143" s="3579"/>
      <c r="MUR143" s="3579"/>
      <c r="MUS143" s="3579"/>
      <c r="MUT143" s="3579"/>
      <c r="MUU143" s="3579"/>
      <c r="MUV143" s="3579"/>
      <c r="MUW143" s="3579"/>
      <c r="MUX143" s="3579"/>
      <c r="MUY143" s="3579"/>
      <c r="MUZ143" s="3579"/>
      <c r="MVA143" s="3579"/>
      <c r="MVB143" s="3579"/>
      <c r="MVC143" s="3579"/>
      <c r="MVD143" s="3579"/>
      <c r="MVE143" s="3579"/>
      <c r="MVF143" s="3579"/>
      <c r="MVG143" s="3579"/>
      <c r="MVH143" s="3579"/>
      <c r="MVI143" s="3579"/>
      <c r="MVJ143" s="3579"/>
      <c r="MVK143" s="3579"/>
      <c r="MVL143" s="3579"/>
      <c r="MVM143" s="3579"/>
      <c r="MVN143" s="3579"/>
      <c r="MVO143" s="3579"/>
      <c r="MVP143" s="3579"/>
      <c r="MVQ143" s="3579"/>
      <c r="MVR143" s="3579"/>
      <c r="MVS143" s="3579"/>
      <c r="MVT143" s="3579"/>
      <c r="MVU143" s="3579"/>
      <c r="MVV143" s="3579"/>
      <c r="MVW143" s="3579"/>
      <c r="MVX143" s="3579"/>
      <c r="MVY143" s="3579"/>
      <c r="MVZ143" s="3579"/>
      <c r="MWA143" s="3579"/>
      <c r="MWB143" s="3579"/>
      <c r="MWC143" s="3579"/>
      <c r="MWD143" s="3579"/>
      <c r="MWE143" s="3579"/>
      <c r="MWF143" s="3579"/>
      <c r="MWG143" s="3579"/>
      <c r="MWH143" s="3579"/>
      <c r="MWI143" s="3579"/>
      <c r="MWJ143" s="3579"/>
      <c r="MWK143" s="3579"/>
      <c r="MWL143" s="3579"/>
      <c r="MWM143" s="3579"/>
      <c r="MWN143" s="3579"/>
      <c r="MWO143" s="3579"/>
      <c r="MWP143" s="3579"/>
      <c r="MWQ143" s="3579"/>
      <c r="MWR143" s="3579"/>
      <c r="MWS143" s="3579"/>
      <c r="MWT143" s="3579"/>
      <c r="MWU143" s="3579"/>
      <c r="MWV143" s="3579"/>
      <c r="MWW143" s="3579"/>
      <c r="MWX143" s="3579"/>
      <c r="MWY143" s="3579"/>
      <c r="MWZ143" s="3579"/>
      <c r="MXA143" s="3579"/>
      <c r="MXB143" s="3579"/>
      <c r="MXC143" s="3579"/>
      <c r="MXD143" s="3579"/>
      <c r="MXE143" s="3579"/>
      <c r="MXF143" s="3579"/>
      <c r="MXG143" s="3579"/>
      <c r="MXH143" s="3579"/>
      <c r="MXI143" s="3579"/>
      <c r="MXJ143" s="3579"/>
      <c r="MXK143" s="3579"/>
      <c r="MXL143" s="3579"/>
      <c r="MXM143" s="3579"/>
      <c r="MXN143" s="3579"/>
      <c r="MXO143" s="3579"/>
      <c r="MXP143" s="3579"/>
      <c r="MXQ143" s="3579"/>
      <c r="MXR143" s="3579"/>
      <c r="MXS143" s="3579"/>
      <c r="MXT143" s="3579"/>
      <c r="MXU143" s="3579"/>
      <c r="MXV143" s="3579"/>
      <c r="MXW143" s="3579"/>
      <c r="MXX143" s="3579"/>
      <c r="MXY143" s="3579"/>
      <c r="MXZ143" s="3579"/>
      <c r="MYA143" s="3579"/>
      <c r="MYB143" s="3579"/>
      <c r="MYC143" s="3579"/>
      <c r="MYD143" s="3579"/>
      <c r="MYE143" s="3579"/>
      <c r="MYF143" s="3579"/>
      <c r="MYG143" s="3579"/>
      <c r="MYH143" s="3579"/>
      <c r="MYI143" s="3579"/>
      <c r="MYJ143" s="3579"/>
      <c r="MYK143" s="3579"/>
      <c r="MYL143" s="3579"/>
      <c r="MYM143" s="3579"/>
      <c r="MYN143" s="3579"/>
      <c r="MYO143" s="3579"/>
      <c r="MYP143" s="3579"/>
      <c r="MYQ143" s="3579"/>
      <c r="MYR143" s="3579"/>
      <c r="MYS143" s="3579"/>
      <c r="MYT143" s="3579"/>
      <c r="MYU143" s="3579"/>
      <c r="MYV143" s="3579"/>
      <c r="MYW143" s="3579"/>
      <c r="MYX143" s="3579"/>
      <c r="MYY143" s="3579"/>
      <c r="MYZ143" s="3579"/>
      <c r="MZA143" s="3579"/>
      <c r="MZB143" s="3579"/>
      <c r="MZC143" s="3579"/>
      <c r="MZD143" s="3579"/>
      <c r="MZE143" s="3579"/>
      <c r="MZF143" s="3579"/>
      <c r="MZG143" s="3579"/>
      <c r="MZH143" s="3579"/>
      <c r="MZI143" s="3579"/>
      <c r="MZJ143" s="3579"/>
      <c r="MZK143" s="3579"/>
      <c r="MZL143" s="3579"/>
      <c r="MZM143" s="3579"/>
      <c r="MZN143" s="3579"/>
      <c r="MZO143" s="3579"/>
      <c r="MZP143" s="3579"/>
      <c r="MZQ143" s="3579"/>
      <c r="MZR143" s="3579"/>
      <c r="MZS143" s="3579"/>
      <c r="MZT143" s="3579"/>
      <c r="MZU143" s="3579"/>
      <c r="MZV143" s="3579"/>
      <c r="MZW143" s="3579"/>
      <c r="MZX143" s="3579"/>
      <c r="MZY143" s="3579"/>
      <c r="MZZ143" s="3579"/>
      <c r="NAA143" s="3579"/>
      <c r="NAB143" s="3579"/>
      <c r="NAC143" s="3579"/>
      <c r="NAD143" s="3579"/>
      <c r="NAE143" s="3579"/>
      <c r="NAF143" s="3579"/>
      <c r="NAG143" s="3579"/>
      <c r="NAH143" s="3579"/>
      <c r="NAI143" s="3579"/>
      <c r="NAJ143" s="3579"/>
      <c r="NAK143" s="3579"/>
      <c r="NAL143" s="3579"/>
      <c r="NAM143" s="3579"/>
      <c r="NAN143" s="3579"/>
      <c r="NAO143" s="3579"/>
      <c r="NAP143" s="3579"/>
      <c r="NAQ143" s="3579"/>
      <c r="NAR143" s="3579"/>
      <c r="NAS143" s="3579"/>
      <c r="NAT143" s="3579"/>
      <c r="NAU143" s="3579"/>
      <c r="NAV143" s="3579"/>
      <c r="NAW143" s="3579"/>
      <c r="NAX143" s="3579"/>
      <c r="NAY143" s="3579"/>
      <c r="NAZ143" s="3579"/>
      <c r="NBA143" s="3579"/>
      <c r="NBB143" s="3579"/>
      <c r="NBC143" s="3579"/>
      <c r="NBD143" s="3579"/>
      <c r="NBE143" s="3579"/>
      <c r="NBF143" s="3579"/>
      <c r="NBG143" s="3579"/>
      <c r="NBH143" s="3579"/>
      <c r="NBI143" s="3579"/>
      <c r="NBJ143" s="3579"/>
      <c r="NBK143" s="3579"/>
      <c r="NBL143" s="3579"/>
      <c r="NBM143" s="3579"/>
      <c r="NBN143" s="3579"/>
      <c r="NBO143" s="3579"/>
      <c r="NBP143" s="3579"/>
      <c r="NBQ143" s="3579"/>
      <c r="NBR143" s="3579"/>
      <c r="NBS143" s="3579"/>
      <c r="NBT143" s="3579"/>
      <c r="NBU143" s="3579"/>
      <c r="NBV143" s="3579"/>
      <c r="NBW143" s="3579"/>
      <c r="NBX143" s="3579"/>
      <c r="NBY143" s="3579"/>
      <c r="NBZ143" s="3579"/>
      <c r="NCA143" s="3579"/>
      <c r="NCB143" s="3579"/>
      <c r="NCC143" s="3579"/>
      <c r="NCD143" s="3579"/>
      <c r="NCE143" s="3579"/>
      <c r="NCF143" s="3579"/>
      <c r="NCG143" s="3579"/>
      <c r="NCH143" s="3579"/>
      <c r="NCI143" s="3579"/>
      <c r="NCJ143" s="3579"/>
      <c r="NCK143" s="3579"/>
      <c r="NCL143" s="3579"/>
      <c r="NCM143" s="3579"/>
      <c r="NCN143" s="3579"/>
      <c r="NCO143" s="3579"/>
      <c r="NCP143" s="3579"/>
      <c r="NCQ143" s="3579"/>
      <c r="NCR143" s="3579"/>
      <c r="NCS143" s="3579"/>
      <c r="NCT143" s="3579"/>
      <c r="NCU143" s="3579"/>
      <c r="NCV143" s="3579"/>
      <c r="NCW143" s="3579"/>
      <c r="NCX143" s="3579"/>
      <c r="NCY143" s="3579"/>
      <c r="NCZ143" s="3579"/>
      <c r="NDA143" s="3579"/>
      <c r="NDB143" s="3579"/>
      <c r="NDC143" s="3579"/>
      <c r="NDD143" s="3579"/>
      <c r="NDE143" s="3579"/>
      <c r="NDF143" s="3579"/>
      <c r="NDG143" s="3579"/>
      <c r="NDH143" s="3579"/>
      <c r="NDI143" s="3579"/>
      <c r="NDJ143" s="3579"/>
      <c r="NDK143" s="3579"/>
      <c r="NDL143" s="3579"/>
      <c r="NDM143" s="3579"/>
      <c r="NDN143" s="3579"/>
      <c r="NDO143" s="3579"/>
      <c r="NDP143" s="3579"/>
      <c r="NDQ143" s="3579"/>
      <c r="NDR143" s="3579"/>
      <c r="NDS143" s="3579"/>
      <c r="NDT143" s="3579"/>
      <c r="NDU143" s="3579"/>
      <c r="NDV143" s="3579"/>
      <c r="NDW143" s="3579"/>
      <c r="NDX143" s="3579"/>
      <c r="NDY143" s="3579"/>
      <c r="NDZ143" s="3579"/>
      <c r="NEA143" s="3579"/>
      <c r="NEB143" s="3579"/>
      <c r="NEC143" s="3579"/>
      <c r="NED143" s="3579"/>
      <c r="NEE143" s="3579"/>
      <c r="NEF143" s="3579"/>
      <c r="NEG143" s="3579"/>
      <c r="NEH143" s="3579"/>
      <c r="NEI143" s="3579"/>
      <c r="NEJ143" s="3579"/>
      <c r="NEK143" s="3579"/>
      <c r="NEL143" s="3579"/>
      <c r="NEM143" s="3579"/>
      <c r="NEN143" s="3579"/>
      <c r="NEO143" s="3579"/>
      <c r="NEP143" s="3579"/>
      <c r="NEQ143" s="3579"/>
      <c r="NER143" s="3579"/>
      <c r="NES143" s="3579"/>
      <c r="NET143" s="3579"/>
      <c r="NEU143" s="3579"/>
      <c r="NEV143" s="3579"/>
      <c r="NEW143" s="3579"/>
      <c r="NEX143" s="3579"/>
      <c r="NEY143" s="3579"/>
      <c r="NEZ143" s="3579"/>
      <c r="NFA143" s="3579"/>
      <c r="NFB143" s="3579"/>
      <c r="NFC143" s="3579"/>
      <c r="NFD143" s="3579"/>
      <c r="NFE143" s="3579"/>
      <c r="NFF143" s="3579"/>
      <c r="NFG143" s="3579"/>
      <c r="NFH143" s="3579"/>
      <c r="NFI143" s="3579"/>
      <c r="NFJ143" s="3579"/>
      <c r="NFK143" s="3579"/>
      <c r="NFL143" s="3579"/>
      <c r="NFM143" s="3579"/>
      <c r="NFN143" s="3579"/>
      <c r="NFO143" s="3579"/>
      <c r="NFP143" s="3579"/>
      <c r="NFQ143" s="3579"/>
      <c r="NFR143" s="3579"/>
      <c r="NFS143" s="3579"/>
      <c r="NFT143" s="3579"/>
      <c r="NFU143" s="3579"/>
      <c r="NFV143" s="3579"/>
      <c r="NFW143" s="3579"/>
      <c r="NFX143" s="3579"/>
      <c r="NFY143" s="3579"/>
      <c r="NFZ143" s="3579"/>
      <c r="NGA143" s="3579"/>
      <c r="NGB143" s="3579"/>
      <c r="NGC143" s="3579"/>
      <c r="NGD143" s="3579"/>
      <c r="NGE143" s="3579"/>
      <c r="NGF143" s="3579"/>
      <c r="NGG143" s="3579"/>
      <c r="NGH143" s="3579"/>
      <c r="NGI143" s="3579"/>
      <c r="NGJ143" s="3579"/>
      <c r="NGK143" s="3579"/>
      <c r="NGL143" s="3579"/>
      <c r="NGM143" s="3579"/>
      <c r="NGN143" s="3579"/>
      <c r="NGO143" s="3579"/>
      <c r="NGP143" s="3579"/>
      <c r="NGQ143" s="3579"/>
      <c r="NGR143" s="3579"/>
      <c r="NGS143" s="3579"/>
      <c r="NGT143" s="3579"/>
      <c r="NGU143" s="3579"/>
      <c r="NGV143" s="3579"/>
      <c r="NGW143" s="3579"/>
      <c r="NGX143" s="3579"/>
      <c r="NGY143" s="3579"/>
      <c r="NGZ143" s="3579"/>
      <c r="NHA143" s="3579"/>
      <c r="NHB143" s="3579"/>
      <c r="NHC143" s="3579"/>
      <c r="NHD143" s="3579"/>
      <c r="NHE143" s="3579"/>
      <c r="NHF143" s="3579"/>
      <c r="NHG143" s="3579"/>
      <c r="NHH143" s="3579"/>
      <c r="NHI143" s="3579"/>
      <c r="NHJ143" s="3579"/>
      <c r="NHK143" s="3579"/>
      <c r="NHL143" s="3579"/>
      <c r="NHM143" s="3579"/>
      <c r="NHN143" s="3579"/>
      <c r="NHO143" s="3579"/>
      <c r="NHP143" s="3579"/>
      <c r="NHQ143" s="3579"/>
      <c r="NHR143" s="3579"/>
      <c r="NHS143" s="3579"/>
      <c r="NHT143" s="3579"/>
      <c r="NHU143" s="3579"/>
      <c r="NHV143" s="3579"/>
      <c r="NHW143" s="3579"/>
      <c r="NHX143" s="3579"/>
      <c r="NHY143" s="3579"/>
      <c r="NHZ143" s="3579"/>
      <c r="NIA143" s="3579"/>
      <c r="NIB143" s="3579"/>
      <c r="NIC143" s="3579"/>
      <c r="NID143" s="3579"/>
      <c r="NIE143" s="3579"/>
      <c r="NIF143" s="3579"/>
      <c r="NIG143" s="3579"/>
      <c r="NIH143" s="3579"/>
      <c r="NII143" s="3579"/>
      <c r="NIJ143" s="3579"/>
      <c r="NIK143" s="3579"/>
      <c r="NIL143" s="3579"/>
      <c r="NIM143" s="3579"/>
      <c r="NIN143" s="3579"/>
      <c r="NIO143" s="3579"/>
      <c r="NIP143" s="3579"/>
      <c r="NIQ143" s="3579"/>
      <c r="NIR143" s="3579"/>
      <c r="NIS143" s="3579"/>
      <c r="NIT143" s="3579"/>
      <c r="NIU143" s="3579"/>
      <c r="NIV143" s="3579"/>
      <c r="NIW143" s="3579"/>
      <c r="NIX143" s="3579"/>
      <c r="NIY143" s="3579"/>
      <c r="NIZ143" s="3579"/>
      <c r="NJA143" s="3579"/>
      <c r="NJB143" s="3579"/>
      <c r="NJC143" s="3579"/>
      <c r="NJD143" s="3579"/>
      <c r="NJE143" s="3579"/>
      <c r="NJF143" s="3579"/>
      <c r="NJG143" s="3579"/>
      <c r="NJH143" s="3579"/>
      <c r="NJI143" s="3579"/>
      <c r="NJJ143" s="3579"/>
      <c r="NJK143" s="3579"/>
      <c r="NJL143" s="3579"/>
      <c r="NJM143" s="3579"/>
      <c r="NJN143" s="3579"/>
      <c r="NJO143" s="3579"/>
      <c r="NJP143" s="3579"/>
      <c r="NJQ143" s="3579"/>
      <c r="NJR143" s="3579"/>
      <c r="NJS143" s="3579"/>
      <c r="NJT143" s="3579"/>
      <c r="NJU143" s="3579"/>
      <c r="NJV143" s="3579"/>
      <c r="NJW143" s="3579"/>
      <c r="NJX143" s="3579"/>
      <c r="NJY143" s="3579"/>
      <c r="NJZ143" s="3579"/>
      <c r="NKA143" s="3579"/>
      <c r="NKB143" s="3579"/>
      <c r="NKC143" s="3579"/>
      <c r="NKD143" s="3579"/>
      <c r="NKE143" s="3579"/>
      <c r="NKF143" s="3579"/>
      <c r="NKG143" s="3579"/>
      <c r="NKH143" s="3579"/>
      <c r="NKI143" s="3579"/>
      <c r="NKJ143" s="3579"/>
      <c r="NKK143" s="3579"/>
      <c r="NKL143" s="3579"/>
      <c r="NKM143" s="3579"/>
      <c r="NKN143" s="3579"/>
      <c r="NKO143" s="3579"/>
      <c r="NKP143" s="3579"/>
      <c r="NKQ143" s="3579"/>
      <c r="NKR143" s="3579"/>
      <c r="NKS143" s="3579"/>
      <c r="NKT143" s="3579"/>
      <c r="NKU143" s="3579"/>
      <c r="NKV143" s="3579"/>
      <c r="NKW143" s="3579"/>
      <c r="NKX143" s="3579"/>
      <c r="NKY143" s="3579"/>
      <c r="NKZ143" s="3579"/>
      <c r="NLA143" s="3579"/>
      <c r="NLB143" s="3579"/>
      <c r="NLC143" s="3579"/>
      <c r="NLD143" s="3579"/>
      <c r="NLE143" s="3579"/>
      <c r="NLF143" s="3579"/>
      <c r="NLG143" s="3579"/>
      <c r="NLH143" s="3579"/>
      <c r="NLI143" s="3579"/>
      <c r="NLJ143" s="3579"/>
      <c r="NLK143" s="3579"/>
      <c r="NLL143" s="3579"/>
      <c r="NLM143" s="3579"/>
      <c r="NLN143" s="3579"/>
      <c r="NLO143" s="3579"/>
      <c r="NLP143" s="3579"/>
      <c r="NLQ143" s="3579"/>
      <c r="NLR143" s="3579"/>
      <c r="NLS143" s="3579"/>
      <c r="NLT143" s="3579"/>
      <c r="NLU143" s="3579"/>
      <c r="NLV143" s="3579"/>
      <c r="NLW143" s="3579"/>
      <c r="NLX143" s="3579"/>
      <c r="NLY143" s="3579"/>
      <c r="NLZ143" s="3579"/>
      <c r="NMA143" s="3579"/>
      <c r="NMB143" s="3579"/>
      <c r="NMC143" s="3579"/>
      <c r="NMD143" s="3579"/>
      <c r="NME143" s="3579"/>
      <c r="NMF143" s="3579"/>
      <c r="NMG143" s="3579"/>
      <c r="NMH143" s="3579"/>
      <c r="NMI143" s="3579"/>
      <c r="NMJ143" s="3579"/>
      <c r="NMK143" s="3579"/>
      <c r="NML143" s="3579"/>
      <c r="NMM143" s="3579"/>
      <c r="NMN143" s="3579"/>
      <c r="NMO143" s="3579"/>
      <c r="NMP143" s="3579"/>
      <c r="NMQ143" s="3579"/>
      <c r="NMR143" s="3579"/>
      <c r="NMS143" s="3579"/>
      <c r="NMT143" s="3579"/>
      <c r="NMU143" s="3579"/>
      <c r="NMV143" s="3579"/>
      <c r="NMW143" s="3579"/>
      <c r="NMX143" s="3579"/>
      <c r="NMY143" s="3579"/>
      <c r="NMZ143" s="3579"/>
      <c r="NNA143" s="3579"/>
      <c r="NNB143" s="3579"/>
      <c r="NNC143" s="3579"/>
      <c r="NND143" s="3579"/>
      <c r="NNE143" s="3579"/>
      <c r="NNF143" s="3579"/>
      <c r="NNG143" s="3579"/>
      <c r="NNH143" s="3579"/>
      <c r="NNI143" s="3579"/>
      <c r="NNJ143" s="3579"/>
      <c r="NNK143" s="3579"/>
      <c r="NNL143" s="3579"/>
      <c r="NNM143" s="3579"/>
      <c r="NNN143" s="3579"/>
      <c r="NNO143" s="3579"/>
      <c r="NNP143" s="3579"/>
      <c r="NNQ143" s="3579"/>
      <c r="NNR143" s="3579"/>
      <c r="NNS143" s="3579"/>
      <c r="NNT143" s="3579"/>
      <c r="NNU143" s="3579"/>
      <c r="NNV143" s="3579"/>
      <c r="NNW143" s="3579"/>
      <c r="NNX143" s="3579"/>
      <c r="NNY143" s="3579"/>
      <c r="NNZ143" s="3579"/>
      <c r="NOA143" s="3579"/>
      <c r="NOB143" s="3579"/>
      <c r="NOC143" s="3579"/>
      <c r="NOD143" s="3579"/>
      <c r="NOE143" s="3579"/>
      <c r="NOF143" s="3579"/>
      <c r="NOG143" s="3579"/>
      <c r="NOH143" s="3579"/>
      <c r="NOI143" s="3579"/>
      <c r="NOJ143" s="3579"/>
      <c r="NOK143" s="3579"/>
      <c r="NOL143" s="3579"/>
      <c r="NOM143" s="3579"/>
      <c r="NON143" s="3579"/>
      <c r="NOO143" s="3579"/>
      <c r="NOP143" s="3579"/>
      <c r="NOQ143" s="3579"/>
      <c r="NOR143" s="3579"/>
      <c r="NOS143" s="3579"/>
      <c r="NOT143" s="3579"/>
      <c r="NOU143" s="3579"/>
      <c r="NOV143" s="3579"/>
      <c r="NOW143" s="3579"/>
      <c r="NOX143" s="3579"/>
      <c r="NOY143" s="3579"/>
      <c r="NOZ143" s="3579"/>
      <c r="NPA143" s="3579"/>
      <c r="NPB143" s="3579"/>
      <c r="NPC143" s="3579"/>
      <c r="NPD143" s="3579"/>
      <c r="NPE143" s="3579"/>
      <c r="NPF143" s="3579"/>
      <c r="NPG143" s="3579"/>
      <c r="NPH143" s="3579"/>
      <c r="NPI143" s="3579"/>
      <c r="NPJ143" s="3579"/>
      <c r="NPK143" s="3579"/>
      <c r="NPL143" s="3579"/>
      <c r="NPM143" s="3579"/>
      <c r="NPN143" s="3579"/>
      <c r="NPO143" s="3579"/>
      <c r="NPP143" s="3579"/>
      <c r="NPQ143" s="3579"/>
      <c r="NPR143" s="3579"/>
      <c r="NPS143" s="3579"/>
      <c r="NPT143" s="3579"/>
      <c r="NPU143" s="3579"/>
      <c r="NPV143" s="3579"/>
      <c r="NPW143" s="3579"/>
      <c r="NPX143" s="3579"/>
      <c r="NPY143" s="3579"/>
      <c r="NPZ143" s="3579"/>
      <c r="NQA143" s="3579"/>
      <c r="NQB143" s="3579"/>
      <c r="NQC143" s="3579"/>
      <c r="NQD143" s="3579"/>
      <c r="NQE143" s="3579"/>
      <c r="NQF143" s="3579"/>
      <c r="NQG143" s="3579"/>
      <c r="NQH143" s="3579"/>
      <c r="NQI143" s="3579"/>
      <c r="NQJ143" s="3579"/>
      <c r="NQK143" s="3579"/>
      <c r="NQL143" s="3579"/>
      <c r="NQM143" s="3579"/>
      <c r="NQN143" s="3579"/>
      <c r="NQO143" s="3579"/>
      <c r="NQP143" s="3579"/>
      <c r="NQQ143" s="3579"/>
      <c r="NQR143" s="3579"/>
      <c r="NQS143" s="3579"/>
      <c r="NQT143" s="3579"/>
      <c r="NQU143" s="3579"/>
      <c r="NQV143" s="3579"/>
      <c r="NQW143" s="3579"/>
      <c r="NQX143" s="3579"/>
      <c r="NQY143" s="3579"/>
      <c r="NQZ143" s="3579"/>
      <c r="NRA143" s="3579"/>
      <c r="NRB143" s="3579"/>
      <c r="NRC143" s="3579"/>
      <c r="NRD143" s="3579"/>
      <c r="NRE143" s="3579"/>
      <c r="NRF143" s="3579"/>
      <c r="NRG143" s="3579"/>
      <c r="NRH143" s="3579"/>
      <c r="NRI143" s="3579"/>
      <c r="NRJ143" s="3579"/>
      <c r="NRK143" s="3579"/>
      <c r="NRL143" s="3579"/>
      <c r="NRM143" s="3579"/>
      <c r="NRN143" s="3579"/>
      <c r="NRO143" s="3579"/>
      <c r="NRP143" s="3579"/>
      <c r="NRQ143" s="3579"/>
      <c r="NRR143" s="3579"/>
      <c r="NRS143" s="3579"/>
      <c r="NRT143" s="3579"/>
      <c r="NRU143" s="3579"/>
      <c r="NRV143" s="3579"/>
      <c r="NRW143" s="3579"/>
      <c r="NRX143" s="3579"/>
      <c r="NRY143" s="3579"/>
      <c r="NRZ143" s="3579"/>
      <c r="NSA143" s="3579"/>
      <c r="NSB143" s="3579"/>
      <c r="NSC143" s="3579"/>
      <c r="NSD143" s="3579"/>
      <c r="NSE143" s="3579"/>
      <c r="NSF143" s="3579"/>
      <c r="NSG143" s="3579"/>
      <c r="NSH143" s="3579"/>
      <c r="NSI143" s="3579"/>
      <c r="NSJ143" s="3579"/>
      <c r="NSK143" s="3579"/>
      <c r="NSL143" s="3579"/>
      <c r="NSM143" s="3579"/>
      <c r="NSN143" s="3579"/>
      <c r="NSO143" s="3579"/>
      <c r="NSP143" s="3579"/>
      <c r="NSQ143" s="3579"/>
      <c r="NSR143" s="3579"/>
      <c r="NSS143" s="3579"/>
      <c r="NST143" s="3579"/>
      <c r="NSU143" s="3579"/>
      <c r="NSV143" s="3579"/>
      <c r="NSW143" s="3579"/>
      <c r="NSX143" s="3579"/>
      <c r="NSY143" s="3579"/>
      <c r="NSZ143" s="3579"/>
      <c r="NTA143" s="3579"/>
      <c r="NTB143" s="3579"/>
      <c r="NTC143" s="3579"/>
      <c r="NTD143" s="3579"/>
      <c r="NTE143" s="3579"/>
      <c r="NTF143" s="3579"/>
      <c r="NTG143" s="3579"/>
      <c r="NTH143" s="3579"/>
      <c r="NTI143" s="3579"/>
      <c r="NTJ143" s="3579"/>
      <c r="NTK143" s="3579"/>
      <c r="NTL143" s="3579"/>
      <c r="NTM143" s="3579"/>
      <c r="NTN143" s="3579"/>
      <c r="NTO143" s="3579"/>
      <c r="NTP143" s="3579"/>
      <c r="NTQ143" s="3579"/>
      <c r="NTR143" s="3579"/>
      <c r="NTS143" s="3579"/>
      <c r="NTT143" s="3579"/>
      <c r="NTU143" s="3579"/>
      <c r="NTV143" s="3579"/>
      <c r="NTW143" s="3579"/>
      <c r="NTX143" s="3579"/>
      <c r="NTY143" s="3579"/>
      <c r="NTZ143" s="3579"/>
      <c r="NUA143" s="3579"/>
      <c r="NUB143" s="3579"/>
      <c r="NUC143" s="3579"/>
      <c r="NUD143" s="3579"/>
      <c r="NUE143" s="3579"/>
      <c r="NUF143" s="3579"/>
      <c r="NUG143" s="3579"/>
      <c r="NUH143" s="3579"/>
      <c r="NUI143" s="3579"/>
      <c r="NUJ143" s="3579"/>
      <c r="NUK143" s="3579"/>
      <c r="NUL143" s="3579"/>
      <c r="NUM143" s="3579"/>
      <c r="NUN143" s="3579"/>
      <c r="NUO143" s="3579"/>
      <c r="NUP143" s="3579"/>
      <c r="NUQ143" s="3579"/>
      <c r="NUR143" s="3579"/>
      <c r="NUS143" s="3579"/>
      <c r="NUT143" s="3579"/>
      <c r="NUU143" s="3579"/>
      <c r="NUV143" s="3579"/>
      <c r="NUW143" s="3579"/>
      <c r="NUX143" s="3579"/>
      <c r="NUY143" s="3579"/>
      <c r="NUZ143" s="3579"/>
      <c r="NVA143" s="3579"/>
      <c r="NVB143" s="3579"/>
      <c r="NVC143" s="3579"/>
      <c r="NVD143" s="3579"/>
      <c r="NVE143" s="3579"/>
      <c r="NVF143" s="3579"/>
      <c r="NVG143" s="3579"/>
      <c r="NVH143" s="3579"/>
      <c r="NVI143" s="3579"/>
      <c r="NVJ143" s="3579"/>
      <c r="NVK143" s="3579"/>
      <c r="NVL143" s="3579"/>
      <c r="NVM143" s="3579"/>
      <c r="NVN143" s="3579"/>
      <c r="NVO143" s="3579"/>
      <c r="NVP143" s="3579"/>
      <c r="NVQ143" s="3579"/>
      <c r="NVR143" s="3579"/>
      <c r="NVS143" s="3579"/>
      <c r="NVT143" s="3579"/>
      <c r="NVU143" s="3579"/>
      <c r="NVV143" s="3579"/>
      <c r="NVW143" s="3579"/>
      <c r="NVX143" s="3579"/>
      <c r="NVY143" s="3579"/>
      <c r="NVZ143" s="3579"/>
      <c r="NWA143" s="3579"/>
      <c r="NWB143" s="3579"/>
      <c r="NWC143" s="3579"/>
      <c r="NWD143" s="3579"/>
      <c r="NWE143" s="3579"/>
      <c r="NWF143" s="3579"/>
      <c r="NWG143" s="3579"/>
      <c r="NWH143" s="3579"/>
      <c r="NWI143" s="3579"/>
      <c r="NWJ143" s="3579"/>
      <c r="NWK143" s="3579"/>
      <c r="NWL143" s="3579"/>
      <c r="NWM143" s="3579"/>
      <c r="NWN143" s="3579"/>
      <c r="NWO143" s="3579"/>
      <c r="NWP143" s="3579"/>
      <c r="NWQ143" s="3579"/>
      <c r="NWR143" s="3579"/>
      <c r="NWS143" s="3579"/>
      <c r="NWT143" s="3579"/>
      <c r="NWU143" s="3579"/>
      <c r="NWV143" s="3579"/>
      <c r="NWW143" s="3579"/>
      <c r="NWX143" s="3579"/>
      <c r="NWY143" s="3579"/>
      <c r="NWZ143" s="3579"/>
      <c r="NXA143" s="3579"/>
      <c r="NXB143" s="3579"/>
      <c r="NXC143" s="3579"/>
      <c r="NXD143" s="3579"/>
      <c r="NXE143" s="3579"/>
      <c r="NXF143" s="3579"/>
      <c r="NXG143" s="3579"/>
      <c r="NXH143" s="3579"/>
      <c r="NXI143" s="3579"/>
      <c r="NXJ143" s="3579"/>
      <c r="NXK143" s="3579"/>
      <c r="NXL143" s="3579"/>
      <c r="NXM143" s="3579"/>
      <c r="NXN143" s="3579"/>
      <c r="NXO143" s="3579"/>
      <c r="NXP143" s="3579"/>
      <c r="NXQ143" s="3579"/>
      <c r="NXR143" s="3579"/>
      <c r="NXS143" s="3579"/>
      <c r="NXT143" s="3579"/>
      <c r="NXU143" s="3579"/>
      <c r="NXV143" s="3579"/>
      <c r="NXW143" s="3579"/>
      <c r="NXX143" s="3579"/>
      <c r="NXY143" s="3579"/>
      <c r="NXZ143" s="3579"/>
      <c r="NYA143" s="3579"/>
      <c r="NYB143" s="3579"/>
      <c r="NYC143" s="3579"/>
      <c r="NYD143" s="3579"/>
      <c r="NYE143" s="3579"/>
      <c r="NYF143" s="3579"/>
      <c r="NYG143" s="3579"/>
      <c r="NYH143" s="3579"/>
      <c r="NYI143" s="3579"/>
      <c r="NYJ143" s="3579"/>
      <c r="NYK143" s="3579"/>
      <c r="NYL143" s="3579"/>
      <c r="NYM143" s="3579"/>
      <c r="NYN143" s="3579"/>
      <c r="NYO143" s="3579"/>
      <c r="NYP143" s="3579"/>
      <c r="NYQ143" s="3579"/>
      <c r="NYR143" s="3579"/>
      <c r="NYS143" s="3579"/>
      <c r="NYT143" s="3579"/>
      <c r="NYU143" s="3579"/>
      <c r="NYV143" s="3579"/>
      <c r="NYW143" s="3579"/>
      <c r="NYX143" s="3579"/>
      <c r="NYY143" s="3579"/>
      <c r="NYZ143" s="3579"/>
      <c r="NZA143" s="3579"/>
      <c r="NZB143" s="3579"/>
      <c r="NZC143" s="3579"/>
      <c r="NZD143" s="3579"/>
      <c r="NZE143" s="3579"/>
      <c r="NZF143" s="3579"/>
      <c r="NZG143" s="3579"/>
      <c r="NZH143" s="3579"/>
      <c r="NZI143" s="3579"/>
      <c r="NZJ143" s="3579"/>
      <c r="NZK143" s="3579"/>
      <c r="NZL143" s="3579"/>
      <c r="NZM143" s="3579"/>
      <c r="NZN143" s="3579"/>
      <c r="NZO143" s="3579"/>
      <c r="NZP143" s="3579"/>
      <c r="NZQ143" s="3579"/>
      <c r="NZR143" s="3579"/>
      <c r="NZS143" s="3579"/>
      <c r="NZT143" s="3579"/>
      <c r="NZU143" s="3579"/>
      <c r="NZV143" s="3579"/>
      <c r="NZW143" s="3579"/>
      <c r="NZX143" s="3579"/>
      <c r="NZY143" s="3579"/>
      <c r="NZZ143" s="3579"/>
      <c r="OAA143" s="3579"/>
      <c r="OAB143" s="3579"/>
      <c r="OAC143" s="3579"/>
      <c r="OAD143" s="3579"/>
      <c r="OAE143" s="3579"/>
      <c r="OAF143" s="3579"/>
      <c r="OAG143" s="3579"/>
      <c r="OAH143" s="3579"/>
      <c r="OAI143" s="3579"/>
      <c r="OAJ143" s="3579"/>
      <c r="OAK143" s="3579"/>
      <c r="OAL143" s="3579"/>
      <c r="OAM143" s="3579"/>
      <c r="OAN143" s="3579"/>
      <c r="OAO143" s="3579"/>
      <c r="OAP143" s="3579"/>
      <c r="OAQ143" s="3579"/>
      <c r="OAR143" s="3579"/>
      <c r="OAS143" s="3579"/>
      <c r="OAT143" s="3579"/>
      <c r="OAU143" s="3579"/>
      <c r="OAV143" s="3579"/>
      <c r="OAW143" s="3579"/>
      <c r="OAX143" s="3579"/>
      <c r="OAY143" s="3579"/>
      <c r="OAZ143" s="3579"/>
      <c r="OBA143" s="3579"/>
      <c r="OBB143" s="3579"/>
      <c r="OBC143" s="3579"/>
      <c r="OBD143" s="3579"/>
      <c r="OBE143" s="3579"/>
      <c r="OBF143" s="3579"/>
      <c r="OBG143" s="3579"/>
      <c r="OBH143" s="3579"/>
      <c r="OBI143" s="3579"/>
      <c r="OBJ143" s="3579"/>
      <c r="OBK143" s="3579"/>
      <c r="OBL143" s="3579"/>
      <c r="OBM143" s="3579"/>
      <c r="OBN143" s="3579"/>
      <c r="OBO143" s="3579"/>
      <c r="OBP143" s="3579"/>
      <c r="OBQ143" s="3579"/>
      <c r="OBR143" s="3579"/>
      <c r="OBS143" s="3579"/>
      <c r="OBT143" s="3579"/>
      <c r="OBU143" s="3579"/>
      <c r="OBV143" s="3579"/>
      <c r="OBW143" s="3579"/>
      <c r="OBX143" s="3579"/>
      <c r="OBY143" s="3579"/>
      <c r="OBZ143" s="3579"/>
      <c r="OCA143" s="3579"/>
      <c r="OCB143" s="3579"/>
      <c r="OCC143" s="3579"/>
      <c r="OCD143" s="3579"/>
      <c r="OCE143" s="3579"/>
      <c r="OCF143" s="3579"/>
      <c r="OCG143" s="3579"/>
      <c r="OCH143" s="3579"/>
      <c r="OCI143" s="3579"/>
      <c r="OCJ143" s="3579"/>
      <c r="OCK143" s="3579"/>
      <c r="OCL143" s="3579"/>
      <c r="OCM143" s="3579"/>
      <c r="OCN143" s="3579"/>
      <c r="OCO143" s="3579"/>
      <c r="OCP143" s="3579"/>
      <c r="OCQ143" s="3579"/>
      <c r="OCR143" s="3579"/>
      <c r="OCS143" s="3579"/>
      <c r="OCT143" s="3579"/>
      <c r="OCU143" s="3579"/>
      <c r="OCV143" s="3579"/>
      <c r="OCW143" s="3579"/>
      <c r="OCX143" s="3579"/>
      <c r="OCY143" s="3579"/>
      <c r="OCZ143" s="3579"/>
      <c r="ODA143" s="3579"/>
      <c r="ODB143" s="3579"/>
      <c r="ODC143" s="3579"/>
      <c r="ODD143" s="3579"/>
      <c r="ODE143" s="3579"/>
      <c r="ODF143" s="3579"/>
      <c r="ODG143" s="3579"/>
      <c r="ODH143" s="3579"/>
      <c r="ODI143" s="3579"/>
      <c r="ODJ143" s="3579"/>
      <c r="ODK143" s="3579"/>
      <c r="ODL143" s="3579"/>
      <c r="ODM143" s="3579"/>
      <c r="ODN143" s="3579"/>
      <c r="ODO143" s="3579"/>
      <c r="ODP143" s="3579"/>
      <c r="ODQ143" s="3579"/>
      <c r="ODR143" s="3579"/>
      <c r="ODS143" s="3579"/>
      <c r="ODT143" s="3579"/>
      <c r="ODU143" s="3579"/>
      <c r="ODV143" s="3579"/>
      <c r="ODW143" s="3579"/>
      <c r="ODX143" s="3579"/>
      <c r="ODY143" s="3579"/>
      <c r="ODZ143" s="3579"/>
      <c r="OEA143" s="3579"/>
      <c r="OEB143" s="3579"/>
      <c r="OEC143" s="3579"/>
      <c r="OED143" s="3579"/>
      <c r="OEE143" s="3579"/>
      <c r="OEF143" s="3579"/>
      <c r="OEG143" s="3579"/>
      <c r="OEH143" s="3579"/>
      <c r="OEI143" s="3579"/>
      <c r="OEJ143" s="3579"/>
      <c r="OEK143" s="3579"/>
      <c r="OEL143" s="3579"/>
      <c r="OEM143" s="3579"/>
      <c r="OEN143" s="3579"/>
      <c r="OEO143" s="3579"/>
      <c r="OEP143" s="3579"/>
      <c r="OEQ143" s="3579"/>
      <c r="OER143" s="3579"/>
      <c r="OES143" s="3579"/>
      <c r="OET143" s="3579"/>
      <c r="OEU143" s="3579"/>
      <c r="OEV143" s="3579"/>
      <c r="OEW143" s="3579"/>
      <c r="OEX143" s="3579"/>
      <c r="OEY143" s="3579"/>
      <c r="OEZ143" s="3579"/>
      <c r="OFA143" s="3579"/>
      <c r="OFB143" s="3579"/>
      <c r="OFC143" s="3579"/>
      <c r="OFD143" s="3579"/>
      <c r="OFE143" s="3579"/>
      <c r="OFF143" s="3579"/>
      <c r="OFG143" s="3579"/>
      <c r="OFH143" s="3579"/>
      <c r="OFI143" s="3579"/>
      <c r="OFJ143" s="3579"/>
      <c r="OFK143" s="3579"/>
      <c r="OFL143" s="3579"/>
      <c r="OFM143" s="3579"/>
      <c r="OFN143" s="3579"/>
      <c r="OFO143" s="3579"/>
      <c r="OFP143" s="3579"/>
      <c r="OFQ143" s="3579"/>
      <c r="OFR143" s="3579"/>
      <c r="OFS143" s="3579"/>
      <c r="OFT143" s="3579"/>
      <c r="OFU143" s="3579"/>
      <c r="OFV143" s="3579"/>
      <c r="OFW143" s="3579"/>
      <c r="OFX143" s="3579"/>
      <c r="OFY143" s="3579"/>
      <c r="OFZ143" s="3579"/>
      <c r="OGA143" s="3579"/>
      <c r="OGB143" s="3579"/>
      <c r="OGC143" s="3579"/>
      <c r="OGD143" s="3579"/>
      <c r="OGE143" s="3579"/>
      <c r="OGF143" s="3579"/>
      <c r="OGG143" s="3579"/>
      <c r="OGH143" s="3579"/>
      <c r="OGI143" s="3579"/>
      <c r="OGJ143" s="3579"/>
      <c r="OGK143" s="3579"/>
      <c r="OGL143" s="3579"/>
      <c r="OGM143" s="3579"/>
      <c r="OGN143" s="3579"/>
      <c r="OGO143" s="3579"/>
      <c r="OGP143" s="3579"/>
      <c r="OGQ143" s="3579"/>
      <c r="OGR143" s="3579"/>
      <c r="OGS143" s="3579"/>
      <c r="OGT143" s="3579"/>
      <c r="OGU143" s="3579"/>
      <c r="OGV143" s="3579"/>
      <c r="OGW143" s="3579"/>
      <c r="OGX143" s="3579"/>
      <c r="OGY143" s="3579"/>
      <c r="OGZ143" s="3579"/>
      <c r="OHA143" s="3579"/>
      <c r="OHB143" s="3579"/>
      <c r="OHC143" s="3579"/>
      <c r="OHD143" s="3579"/>
      <c r="OHE143" s="3579"/>
      <c r="OHF143" s="3579"/>
      <c r="OHG143" s="3579"/>
      <c r="OHH143" s="3579"/>
      <c r="OHI143" s="3579"/>
      <c r="OHJ143" s="3579"/>
      <c r="OHK143" s="3579"/>
      <c r="OHL143" s="3579"/>
      <c r="OHM143" s="3579"/>
      <c r="OHN143" s="3579"/>
      <c r="OHO143" s="3579"/>
      <c r="OHP143" s="3579"/>
      <c r="OHQ143" s="3579"/>
      <c r="OHR143" s="3579"/>
      <c r="OHS143" s="3579"/>
      <c r="OHT143" s="3579"/>
      <c r="OHU143" s="3579"/>
      <c r="OHV143" s="3579"/>
      <c r="OHW143" s="3579"/>
      <c r="OHX143" s="3579"/>
      <c r="OHY143" s="3579"/>
      <c r="OHZ143" s="3579"/>
      <c r="OIA143" s="3579"/>
      <c r="OIB143" s="3579"/>
      <c r="OIC143" s="3579"/>
      <c r="OID143" s="3579"/>
      <c r="OIE143" s="3579"/>
      <c r="OIF143" s="3579"/>
      <c r="OIG143" s="3579"/>
      <c r="OIH143" s="3579"/>
      <c r="OII143" s="3579"/>
      <c r="OIJ143" s="3579"/>
      <c r="OIK143" s="3579"/>
      <c r="OIL143" s="3579"/>
      <c r="OIM143" s="3579"/>
      <c r="OIN143" s="3579"/>
      <c r="OIO143" s="3579"/>
      <c r="OIP143" s="3579"/>
      <c r="OIQ143" s="3579"/>
      <c r="OIR143" s="3579"/>
      <c r="OIS143" s="3579"/>
      <c r="OIT143" s="3579"/>
      <c r="OIU143" s="3579"/>
      <c r="OIV143" s="3579"/>
      <c r="OIW143" s="3579"/>
      <c r="OIX143" s="3579"/>
      <c r="OIY143" s="3579"/>
      <c r="OIZ143" s="3579"/>
      <c r="OJA143" s="3579"/>
      <c r="OJB143" s="3579"/>
      <c r="OJC143" s="3579"/>
      <c r="OJD143" s="3579"/>
      <c r="OJE143" s="3579"/>
      <c r="OJF143" s="3579"/>
      <c r="OJG143" s="3579"/>
      <c r="OJH143" s="3579"/>
      <c r="OJI143" s="3579"/>
      <c r="OJJ143" s="3579"/>
      <c r="OJK143" s="3579"/>
      <c r="OJL143" s="3579"/>
      <c r="OJM143" s="3579"/>
      <c r="OJN143" s="3579"/>
      <c r="OJO143" s="3579"/>
      <c r="OJP143" s="3579"/>
      <c r="OJQ143" s="3579"/>
      <c r="OJR143" s="3579"/>
      <c r="OJS143" s="3579"/>
      <c r="OJT143" s="3579"/>
      <c r="OJU143" s="3579"/>
      <c r="OJV143" s="3579"/>
      <c r="OJW143" s="3579"/>
      <c r="OJX143" s="3579"/>
      <c r="OJY143" s="3579"/>
      <c r="OJZ143" s="3579"/>
      <c r="OKA143" s="3579"/>
      <c r="OKB143" s="3579"/>
      <c r="OKC143" s="3579"/>
      <c r="OKD143" s="3579"/>
      <c r="OKE143" s="3579"/>
      <c r="OKF143" s="3579"/>
      <c r="OKG143" s="3579"/>
      <c r="OKH143" s="3579"/>
      <c r="OKI143" s="3579"/>
      <c r="OKJ143" s="3579"/>
      <c r="OKK143" s="3579"/>
      <c r="OKL143" s="3579"/>
      <c r="OKM143" s="3579"/>
      <c r="OKN143" s="3579"/>
      <c r="OKO143" s="3579"/>
      <c r="OKP143" s="3579"/>
      <c r="OKQ143" s="3579"/>
      <c r="OKR143" s="3579"/>
      <c r="OKS143" s="3579"/>
      <c r="OKT143" s="3579"/>
      <c r="OKU143" s="3579"/>
      <c r="OKV143" s="3579"/>
      <c r="OKW143" s="3579"/>
      <c r="OKX143" s="3579"/>
      <c r="OKY143" s="3579"/>
      <c r="OKZ143" s="3579"/>
      <c r="OLA143" s="3579"/>
      <c r="OLB143" s="3579"/>
      <c r="OLC143" s="3579"/>
      <c r="OLD143" s="3579"/>
      <c r="OLE143" s="3579"/>
      <c r="OLF143" s="3579"/>
      <c r="OLG143" s="3579"/>
      <c r="OLH143" s="3579"/>
      <c r="OLI143" s="3579"/>
      <c r="OLJ143" s="3579"/>
      <c r="OLK143" s="3579"/>
      <c r="OLL143" s="3579"/>
      <c r="OLM143" s="3579"/>
      <c r="OLN143" s="3579"/>
      <c r="OLO143" s="3579"/>
      <c r="OLP143" s="3579"/>
      <c r="OLQ143" s="3579"/>
      <c r="OLR143" s="3579"/>
      <c r="OLS143" s="3579"/>
      <c r="OLT143" s="3579"/>
      <c r="OLU143" s="3579"/>
      <c r="OLV143" s="3579"/>
      <c r="OLW143" s="3579"/>
      <c r="OLX143" s="3579"/>
      <c r="OLY143" s="3579"/>
      <c r="OLZ143" s="3579"/>
      <c r="OMA143" s="3579"/>
      <c r="OMB143" s="3579"/>
      <c r="OMC143" s="3579"/>
      <c r="OMD143" s="3579"/>
      <c r="OME143" s="3579"/>
      <c r="OMF143" s="3579"/>
      <c r="OMG143" s="3579"/>
      <c r="OMH143" s="3579"/>
      <c r="OMI143" s="3579"/>
      <c r="OMJ143" s="3579"/>
      <c r="OMK143" s="3579"/>
      <c r="OML143" s="3579"/>
      <c r="OMM143" s="3579"/>
      <c r="OMN143" s="3579"/>
      <c r="OMO143" s="3579"/>
      <c r="OMP143" s="3579"/>
      <c r="OMQ143" s="3579"/>
      <c r="OMR143" s="3579"/>
      <c r="OMS143" s="3579"/>
      <c r="OMT143" s="3579"/>
      <c r="OMU143" s="3579"/>
      <c r="OMV143" s="3579"/>
      <c r="OMW143" s="3579"/>
      <c r="OMX143" s="3579"/>
      <c r="OMY143" s="3579"/>
      <c r="OMZ143" s="3579"/>
      <c r="ONA143" s="3579"/>
      <c r="ONB143" s="3579"/>
      <c r="ONC143" s="3579"/>
      <c r="OND143" s="3579"/>
      <c r="ONE143" s="3579"/>
      <c r="ONF143" s="3579"/>
      <c r="ONG143" s="3579"/>
      <c r="ONH143" s="3579"/>
      <c r="ONI143" s="3579"/>
      <c r="ONJ143" s="3579"/>
      <c r="ONK143" s="3579"/>
      <c r="ONL143" s="3579"/>
      <c r="ONM143" s="3579"/>
      <c r="ONN143" s="3579"/>
      <c r="ONO143" s="3579"/>
      <c r="ONP143" s="3579"/>
      <c r="ONQ143" s="3579"/>
      <c r="ONR143" s="3579"/>
      <c r="ONS143" s="3579"/>
      <c r="ONT143" s="3579"/>
      <c r="ONU143" s="3579"/>
      <c r="ONV143" s="3579"/>
      <c r="ONW143" s="3579"/>
      <c r="ONX143" s="3579"/>
      <c r="ONY143" s="3579"/>
      <c r="ONZ143" s="3579"/>
      <c r="OOA143" s="3579"/>
      <c r="OOB143" s="3579"/>
      <c r="OOC143" s="3579"/>
      <c r="OOD143" s="3579"/>
      <c r="OOE143" s="3579"/>
      <c r="OOF143" s="3579"/>
      <c r="OOG143" s="3579"/>
      <c r="OOH143" s="3579"/>
      <c r="OOI143" s="3579"/>
      <c r="OOJ143" s="3579"/>
      <c r="OOK143" s="3579"/>
      <c r="OOL143" s="3579"/>
      <c r="OOM143" s="3579"/>
      <c r="OON143" s="3579"/>
      <c r="OOO143" s="3579"/>
      <c r="OOP143" s="3579"/>
      <c r="OOQ143" s="3579"/>
      <c r="OOR143" s="3579"/>
      <c r="OOS143" s="3579"/>
      <c r="OOT143" s="3579"/>
      <c r="OOU143" s="3579"/>
      <c r="OOV143" s="3579"/>
      <c r="OOW143" s="3579"/>
      <c r="OOX143" s="3579"/>
      <c r="OOY143" s="3579"/>
      <c r="OOZ143" s="3579"/>
      <c r="OPA143" s="3579"/>
      <c r="OPB143" s="3579"/>
      <c r="OPC143" s="3579"/>
      <c r="OPD143" s="3579"/>
      <c r="OPE143" s="3579"/>
      <c r="OPF143" s="3579"/>
      <c r="OPG143" s="3579"/>
      <c r="OPH143" s="3579"/>
      <c r="OPI143" s="3579"/>
      <c r="OPJ143" s="3579"/>
      <c r="OPK143" s="3579"/>
      <c r="OPL143" s="3579"/>
      <c r="OPM143" s="3579"/>
      <c r="OPN143" s="3579"/>
      <c r="OPO143" s="3579"/>
      <c r="OPP143" s="3579"/>
      <c r="OPQ143" s="3579"/>
      <c r="OPR143" s="3579"/>
      <c r="OPS143" s="3579"/>
      <c r="OPT143" s="3579"/>
      <c r="OPU143" s="3579"/>
      <c r="OPV143" s="3579"/>
      <c r="OPW143" s="3579"/>
      <c r="OPX143" s="3579"/>
      <c r="OPY143" s="3579"/>
      <c r="OPZ143" s="3579"/>
      <c r="OQA143" s="3579"/>
      <c r="OQB143" s="3579"/>
      <c r="OQC143" s="3579"/>
      <c r="OQD143" s="3579"/>
      <c r="OQE143" s="3579"/>
      <c r="OQF143" s="3579"/>
      <c r="OQG143" s="3579"/>
      <c r="OQH143" s="3579"/>
      <c r="OQI143" s="3579"/>
      <c r="OQJ143" s="3579"/>
      <c r="OQK143" s="3579"/>
      <c r="OQL143" s="3579"/>
      <c r="OQM143" s="3579"/>
      <c r="OQN143" s="3579"/>
      <c r="OQO143" s="3579"/>
      <c r="OQP143" s="3579"/>
      <c r="OQQ143" s="3579"/>
      <c r="OQR143" s="3579"/>
      <c r="OQS143" s="3579"/>
      <c r="OQT143" s="3579"/>
      <c r="OQU143" s="3579"/>
      <c r="OQV143" s="3579"/>
      <c r="OQW143" s="3579"/>
      <c r="OQX143" s="3579"/>
      <c r="OQY143" s="3579"/>
      <c r="OQZ143" s="3579"/>
      <c r="ORA143" s="3579"/>
      <c r="ORB143" s="3579"/>
      <c r="ORC143" s="3579"/>
      <c r="ORD143" s="3579"/>
      <c r="ORE143" s="3579"/>
      <c r="ORF143" s="3579"/>
      <c r="ORG143" s="3579"/>
      <c r="ORH143" s="3579"/>
      <c r="ORI143" s="3579"/>
      <c r="ORJ143" s="3579"/>
      <c r="ORK143" s="3579"/>
      <c r="ORL143" s="3579"/>
      <c r="ORM143" s="3579"/>
      <c r="ORN143" s="3579"/>
      <c r="ORO143" s="3579"/>
      <c r="ORP143" s="3579"/>
      <c r="ORQ143" s="3579"/>
      <c r="ORR143" s="3579"/>
      <c r="ORS143" s="3579"/>
      <c r="ORT143" s="3579"/>
      <c r="ORU143" s="3579"/>
      <c r="ORV143" s="3579"/>
      <c r="ORW143" s="3579"/>
      <c r="ORX143" s="3579"/>
      <c r="ORY143" s="3579"/>
      <c r="ORZ143" s="3579"/>
      <c r="OSA143" s="3579"/>
      <c r="OSB143" s="3579"/>
      <c r="OSC143" s="3579"/>
      <c r="OSD143" s="3579"/>
      <c r="OSE143" s="3579"/>
      <c r="OSF143" s="3579"/>
      <c r="OSG143" s="3579"/>
      <c r="OSH143" s="3579"/>
      <c r="OSI143" s="3579"/>
      <c r="OSJ143" s="3579"/>
      <c r="OSK143" s="3579"/>
      <c r="OSL143" s="3579"/>
      <c r="OSM143" s="3579"/>
      <c r="OSN143" s="3579"/>
      <c r="OSO143" s="3579"/>
      <c r="OSP143" s="3579"/>
      <c r="OSQ143" s="3579"/>
      <c r="OSR143" s="3579"/>
      <c r="OSS143" s="3579"/>
      <c r="OST143" s="3579"/>
      <c r="OSU143" s="3579"/>
      <c r="OSV143" s="3579"/>
      <c r="OSW143" s="3579"/>
      <c r="OSX143" s="3579"/>
      <c r="OSY143" s="3579"/>
      <c r="OSZ143" s="3579"/>
      <c r="OTA143" s="3579"/>
      <c r="OTB143" s="3579"/>
      <c r="OTC143" s="3579"/>
      <c r="OTD143" s="3579"/>
      <c r="OTE143" s="3579"/>
      <c r="OTF143" s="3579"/>
      <c r="OTG143" s="3579"/>
      <c r="OTH143" s="3579"/>
      <c r="OTI143" s="3579"/>
      <c r="OTJ143" s="3579"/>
      <c r="OTK143" s="3579"/>
      <c r="OTL143" s="3579"/>
      <c r="OTM143" s="3579"/>
      <c r="OTN143" s="3579"/>
      <c r="OTO143" s="3579"/>
      <c r="OTP143" s="3579"/>
      <c r="OTQ143" s="3579"/>
      <c r="OTR143" s="3579"/>
      <c r="OTS143" s="3579"/>
      <c r="OTT143" s="3579"/>
      <c r="OTU143" s="3579"/>
      <c r="OTV143" s="3579"/>
      <c r="OTW143" s="3579"/>
      <c r="OTX143" s="3579"/>
      <c r="OTY143" s="3579"/>
      <c r="OTZ143" s="3579"/>
      <c r="OUA143" s="3579"/>
      <c r="OUB143" s="3579"/>
      <c r="OUC143" s="3579"/>
      <c r="OUD143" s="3579"/>
      <c r="OUE143" s="3579"/>
      <c r="OUF143" s="3579"/>
      <c r="OUG143" s="3579"/>
      <c r="OUH143" s="3579"/>
      <c r="OUI143" s="3579"/>
      <c r="OUJ143" s="3579"/>
      <c r="OUK143" s="3579"/>
      <c r="OUL143" s="3579"/>
      <c r="OUM143" s="3579"/>
      <c r="OUN143" s="3579"/>
      <c r="OUO143" s="3579"/>
      <c r="OUP143" s="3579"/>
      <c r="OUQ143" s="3579"/>
      <c r="OUR143" s="3579"/>
      <c r="OUS143" s="3579"/>
      <c r="OUT143" s="3579"/>
      <c r="OUU143" s="3579"/>
      <c r="OUV143" s="3579"/>
      <c r="OUW143" s="3579"/>
      <c r="OUX143" s="3579"/>
      <c r="OUY143" s="3579"/>
      <c r="OUZ143" s="3579"/>
      <c r="OVA143" s="3579"/>
      <c r="OVB143" s="3579"/>
      <c r="OVC143" s="3579"/>
      <c r="OVD143" s="3579"/>
      <c r="OVE143" s="3579"/>
      <c r="OVF143" s="3579"/>
      <c r="OVG143" s="3579"/>
      <c r="OVH143" s="3579"/>
      <c r="OVI143" s="3579"/>
      <c r="OVJ143" s="3579"/>
      <c r="OVK143" s="3579"/>
      <c r="OVL143" s="3579"/>
      <c r="OVM143" s="3579"/>
      <c r="OVN143" s="3579"/>
      <c r="OVO143" s="3579"/>
      <c r="OVP143" s="3579"/>
      <c r="OVQ143" s="3579"/>
      <c r="OVR143" s="3579"/>
      <c r="OVS143" s="3579"/>
      <c r="OVT143" s="3579"/>
      <c r="OVU143" s="3579"/>
      <c r="OVV143" s="3579"/>
      <c r="OVW143" s="3579"/>
      <c r="OVX143" s="3579"/>
      <c r="OVY143" s="3579"/>
      <c r="OVZ143" s="3579"/>
      <c r="OWA143" s="3579"/>
      <c r="OWB143" s="3579"/>
      <c r="OWC143" s="3579"/>
      <c r="OWD143" s="3579"/>
      <c r="OWE143" s="3579"/>
      <c r="OWF143" s="3579"/>
      <c r="OWG143" s="3579"/>
      <c r="OWH143" s="3579"/>
      <c r="OWI143" s="3579"/>
      <c r="OWJ143" s="3579"/>
      <c r="OWK143" s="3579"/>
      <c r="OWL143" s="3579"/>
      <c r="OWM143" s="3579"/>
      <c r="OWN143" s="3579"/>
      <c r="OWO143" s="3579"/>
      <c r="OWP143" s="3579"/>
      <c r="OWQ143" s="3579"/>
      <c r="OWR143" s="3579"/>
      <c r="OWS143" s="3579"/>
      <c r="OWT143" s="3579"/>
      <c r="OWU143" s="3579"/>
      <c r="OWV143" s="3579"/>
      <c r="OWW143" s="3579"/>
      <c r="OWX143" s="3579"/>
      <c r="OWY143" s="3579"/>
      <c r="OWZ143" s="3579"/>
      <c r="OXA143" s="3579"/>
      <c r="OXB143" s="3579"/>
      <c r="OXC143" s="3579"/>
      <c r="OXD143" s="3579"/>
      <c r="OXE143" s="3579"/>
      <c r="OXF143" s="3579"/>
      <c r="OXG143" s="3579"/>
      <c r="OXH143" s="3579"/>
      <c r="OXI143" s="3579"/>
      <c r="OXJ143" s="3579"/>
      <c r="OXK143" s="3579"/>
      <c r="OXL143" s="3579"/>
      <c r="OXM143" s="3579"/>
      <c r="OXN143" s="3579"/>
      <c r="OXO143" s="3579"/>
      <c r="OXP143" s="3579"/>
      <c r="OXQ143" s="3579"/>
      <c r="OXR143" s="3579"/>
      <c r="OXS143" s="3579"/>
      <c r="OXT143" s="3579"/>
      <c r="OXU143" s="3579"/>
      <c r="OXV143" s="3579"/>
      <c r="OXW143" s="3579"/>
      <c r="OXX143" s="3579"/>
      <c r="OXY143" s="3579"/>
      <c r="OXZ143" s="3579"/>
      <c r="OYA143" s="3579"/>
      <c r="OYB143" s="3579"/>
      <c r="OYC143" s="3579"/>
      <c r="OYD143" s="3579"/>
      <c r="OYE143" s="3579"/>
      <c r="OYF143" s="3579"/>
      <c r="OYG143" s="3579"/>
      <c r="OYH143" s="3579"/>
      <c r="OYI143" s="3579"/>
      <c r="OYJ143" s="3579"/>
      <c r="OYK143" s="3579"/>
      <c r="OYL143" s="3579"/>
      <c r="OYM143" s="3579"/>
      <c r="OYN143" s="3579"/>
      <c r="OYO143" s="3579"/>
      <c r="OYP143" s="3579"/>
      <c r="OYQ143" s="3579"/>
      <c r="OYR143" s="3579"/>
      <c r="OYS143" s="3579"/>
      <c r="OYT143" s="3579"/>
      <c r="OYU143" s="3579"/>
      <c r="OYV143" s="3579"/>
      <c r="OYW143" s="3579"/>
      <c r="OYX143" s="3579"/>
      <c r="OYY143" s="3579"/>
      <c r="OYZ143" s="3579"/>
      <c r="OZA143" s="3579"/>
      <c r="OZB143" s="3579"/>
      <c r="OZC143" s="3579"/>
      <c r="OZD143" s="3579"/>
      <c r="OZE143" s="3579"/>
      <c r="OZF143" s="3579"/>
      <c r="OZG143" s="3579"/>
      <c r="OZH143" s="3579"/>
      <c r="OZI143" s="3579"/>
      <c r="OZJ143" s="3579"/>
      <c r="OZK143" s="3579"/>
      <c r="OZL143" s="3579"/>
      <c r="OZM143" s="3579"/>
      <c r="OZN143" s="3579"/>
      <c r="OZO143" s="3579"/>
      <c r="OZP143" s="3579"/>
      <c r="OZQ143" s="3579"/>
      <c r="OZR143" s="3579"/>
      <c r="OZS143" s="3579"/>
      <c r="OZT143" s="3579"/>
      <c r="OZU143" s="3579"/>
      <c r="OZV143" s="3579"/>
      <c r="OZW143" s="3579"/>
      <c r="OZX143" s="3579"/>
      <c r="OZY143" s="3579"/>
      <c r="OZZ143" s="3579"/>
      <c r="PAA143" s="3579"/>
      <c r="PAB143" s="3579"/>
      <c r="PAC143" s="3579"/>
      <c r="PAD143" s="3579"/>
      <c r="PAE143" s="3579"/>
      <c r="PAF143" s="3579"/>
      <c r="PAG143" s="3579"/>
      <c r="PAH143" s="3579"/>
      <c r="PAI143" s="3579"/>
      <c r="PAJ143" s="3579"/>
      <c r="PAK143" s="3579"/>
      <c r="PAL143" s="3579"/>
      <c r="PAM143" s="3579"/>
      <c r="PAN143" s="3579"/>
      <c r="PAO143" s="3579"/>
      <c r="PAP143" s="3579"/>
      <c r="PAQ143" s="3579"/>
      <c r="PAR143" s="3579"/>
      <c r="PAS143" s="3579"/>
      <c r="PAT143" s="3579"/>
      <c r="PAU143" s="3579"/>
      <c r="PAV143" s="3579"/>
      <c r="PAW143" s="3579"/>
      <c r="PAX143" s="3579"/>
      <c r="PAY143" s="3579"/>
      <c r="PAZ143" s="3579"/>
      <c r="PBA143" s="3579"/>
      <c r="PBB143" s="3579"/>
      <c r="PBC143" s="3579"/>
      <c r="PBD143" s="3579"/>
      <c r="PBE143" s="3579"/>
      <c r="PBF143" s="3579"/>
      <c r="PBG143" s="3579"/>
      <c r="PBH143" s="3579"/>
      <c r="PBI143" s="3579"/>
      <c r="PBJ143" s="3579"/>
      <c r="PBK143" s="3579"/>
      <c r="PBL143" s="3579"/>
      <c r="PBM143" s="3579"/>
      <c r="PBN143" s="3579"/>
      <c r="PBO143" s="3579"/>
      <c r="PBP143" s="3579"/>
      <c r="PBQ143" s="3579"/>
      <c r="PBR143" s="3579"/>
      <c r="PBS143" s="3579"/>
      <c r="PBT143" s="3579"/>
      <c r="PBU143" s="3579"/>
      <c r="PBV143" s="3579"/>
      <c r="PBW143" s="3579"/>
      <c r="PBX143" s="3579"/>
      <c r="PBY143" s="3579"/>
      <c r="PBZ143" s="3579"/>
      <c r="PCA143" s="3579"/>
      <c r="PCB143" s="3579"/>
      <c r="PCC143" s="3579"/>
      <c r="PCD143" s="3579"/>
      <c r="PCE143" s="3579"/>
      <c r="PCF143" s="3579"/>
      <c r="PCG143" s="3579"/>
      <c r="PCH143" s="3579"/>
      <c r="PCI143" s="3579"/>
      <c r="PCJ143" s="3579"/>
      <c r="PCK143" s="3579"/>
      <c r="PCL143" s="3579"/>
      <c r="PCM143" s="3579"/>
      <c r="PCN143" s="3579"/>
      <c r="PCO143" s="3579"/>
      <c r="PCP143" s="3579"/>
      <c r="PCQ143" s="3579"/>
      <c r="PCR143" s="3579"/>
      <c r="PCS143" s="3579"/>
      <c r="PCT143" s="3579"/>
      <c r="PCU143" s="3579"/>
      <c r="PCV143" s="3579"/>
      <c r="PCW143" s="3579"/>
      <c r="PCX143" s="3579"/>
      <c r="PCY143" s="3579"/>
      <c r="PCZ143" s="3579"/>
      <c r="PDA143" s="3579"/>
      <c r="PDB143" s="3579"/>
      <c r="PDC143" s="3579"/>
      <c r="PDD143" s="3579"/>
      <c r="PDE143" s="3579"/>
      <c r="PDF143" s="3579"/>
      <c r="PDG143" s="3579"/>
      <c r="PDH143" s="3579"/>
      <c r="PDI143" s="3579"/>
      <c r="PDJ143" s="3579"/>
      <c r="PDK143" s="3579"/>
      <c r="PDL143" s="3579"/>
      <c r="PDM143" s="3579"/>
      <c r="PDN143" s="3579"/>
      <c r="PDO143" s="3579"/>
      <c r="PDP143" s="3579"/>
      <c r="PDQ143" s="3579"/>
      <c r="PDR143" s="3579"/>
      <c r="PDS143" s="3579"/>
      <c r="PDT143" s="3579"/>
      <c r="PDU143" s="3579"/>
      <c r="PDV143" s="3579"/>
      <c r="PDW143" s="3579"/>
      <c r="PDX143" s="3579"/>
      <c r="PDY143" s="3579"/>
      <c r="PDZ143" s="3579"/>
      <c r="PEA143" s="3579"/>
      <c r="PEB143" s="3579"/>
      <c r="PEC143" s="3579"/>
      <c r="PED143" s="3579"/>
      <c r="PEE143" s="3579"/>
      <c r="PEF143" s="3579"/>
      <c r="PEG143" s="3579"/>
      <c r="PEH143" s="3579"/>
      <c r="PEI143" s="3579"/>
      <c r="PEJ143" s="3579"/>
      <c r="PEK143" s="3579"/>
      <c r="PEL143" s="3579"/>
      <c r="PEM143" s="3579"/>
      <c r="PEN143" s="3579"/>
      <c r="PEO143" s="3579"/>
      <c r="PEP143" s="3579"/>
      <c r="PEQ143" s="3579"/>
      <c r="PER143" s="3579"/>
      <c r="PES143" s="3579"/>
      <c r="PET143" s="3579"/>
      <c r="PEU143" s="3579"/>
      <c r="PEV143" s="3579"/>
      <c r="PEW143" s="3579"/>
      <c r="PEX143" s="3579"/>
      <c r="PEY143" s="3579"/>
      <c r="PEZ143" s="3579"/>
      <c r="PFA143" s="3579"/>
      <c r="PFB143" s="3579"/>
      <c r="PFC143" s="3579"/>
      <c r="PFD143" s="3579"/>
      <c r="PFE143" s="3579"/>
      <c r="PFF143" s="3579"/>
      <c r="PFG143" s="3579"/>
      <c r="PFH143" s="3579"/>
      <c r="PFI143" s="3579"/>
      <c r="PFJ143" s="3579"/>
      <c r="PFK143" s="3579"/>
      <c r="PFL143" s="3579"/>
      <c r="PFM143" s="3579"/>
      <c r="PFN143" s="3579"/>
      <c r="PFO143" s="3579"/>
      <c r="PFP143" s="3579"/>
      <c r="PFQ143" s="3579"/>
      <c r="PFR143" s="3579"/>
      <c r="PFS143" s="3579"/>
      <c r="PFT143" s="3579"/>
      <c r="PFU143" s="3579"/>
      <c r="PFV143" s="3579"/>
      <c r="PFW143" s="3579"/>
      <c r="PFX143" s="3579"/>
      <c r="PFY143" s="3579"/>
      <c r="PFZ143" s="3579"/>
      <c r="PGA143" s="3579"/>
      <c r="PGB143" s="3579"/>
      <c r="PGC143" s="3579"/>
      <c r="PGD143" s="3579"/>
      <c r="PGE143" s="3579"/>
      <c r="PGF143" s="3579"/>
      <c r="PGG143" s="3579"/>
      <c r="PGH143" s="3579"/>
      <c r="PGI143" s="3579"/>
      <c r="PGJ143" s="3579"/>
      <c r="PGK143" s="3579"/>
      <c r="PGL143" s="3579"/>
      <c r="PGM143" s="3579"/>
      <c r="PGN143" s="3579"/>
      <c r="PGO143" s="3579"/>
      <c r="PGP143" s="3579"/>
      <c r="PGQ143" s="3579"/>
      <c r="PGR143" s="3579"/>
      <c r="PGS143" s="3579"/>
      <c r="PGT143" s="3579"/>
      <c r="PGU143" s="3579"/>
      <c r="PGV143" s="3579"/>
      <c r="PGW143" s="3579"/>
      <c r="PGX143" s="3579"/>
      <c r="PGY143" s="3579"/>
      <c r="PGZ143" s="3579"/>
      <c r="PHA143" s="3579"/>
      <c r="PHB143" s="3579"/>
      <c r="PHC143" s="3579"/>
      <c r="PHD143" s="3579"/>
      <c r="PHE143" s="3579"/>
      <c r="PHF143" s="3579"/>
      <c r="PHG143" s="3579"/>
      <c r="PHH143" s="3579"/>
      <c r="PHI143" s="3579"/>
      <c r="PHJ143" s="3579"/>
      <c r="PHK143" s="3579"/>
      <c r="PHL143" s="3579"/>
      <c r="PHM143" s="3579"/>
      <c r="PHN143" s="3579"/>
      <c r="PHO143" s="3579"/>
      <c r="PHP143" s="3579"/>
      <c r="PHQ143" s="3579"/>
      <c r="PHR143" s="3579"/>
      <c r="PHS143" s="3579"/>
      <c r="PHT143" s="3579"/>
      <c r="PHU143" s="3579"/>
      <c r="PHV143" s="3579"/>
      <c r="PHW143" s="3579"/>
      <c r="PHX143" s="3579"/>
      <c r="PHY143" s="3579"/>
      <c r="PHZ143" s="3579"/>
      <c r="PIA143" s="3579"/>
      <c r="PIB143" s="3579"/>
      <c r="PIC143" s="3579"/>
      <c r="PID143" s="3579"/>
      <c r="PIE143" s="3579"/>
      <c r="PIF143" s="3579"/>
      <c r="PIG143" s="3579"/>
      <c r="PIH143" s="3579"/>
      <c r="PII143" s="3579"/>
      <c r="PIJ143" s="3579"/>
      <c r="PIK143" s="3579"/>
      <c r="PIL143" s="3579"/>
      <c r="PIM143" s="3579"/>
      <c r="PIN143" s="3579"/>
      <c r="PIO143" s="3579"/>
      <c r="PIP143" s="3579"/>
      <c r="PIQ143" s="3579"/>
      <c r="PIR143" s="3579"/>
      <c r="PIS143" s="3579"/>
      <c r="PIT143" s="3579"/>
      <c r="PIU143" s="3579"/>
      <c r="PIV143" s="3579"/>
      <c r="PIW143" s="3579"/>
      <c r="PIX143" s="3579"/>
      <c r="PIY143" s="3579"/>
      <c r="PIZ143" s="3579"/>
      <c r="PJA143" s="3579"/>
      <c r="PJB143" s="3579"/>
      <c r="PJC143" s="3579"/>
      <c r="PJD143" s="3579"/>
      <c r="PJE143" s="3579"/>
      <c r="PJF143" s="3579"/>
      <c r="PJG143" s="3579"/>
      <c r="PJH143" s="3579"/>
      <c r="PJI143" s="3579"/>
      <c r="PJJ143" s="3579"/>
      <c r="PJK143" s="3579"/>
      <c r="PJL143" s="3579"/>
      <c r="PJM143" s="3579"/>
      <c r="PJN143" s="3579"/>
      <c r="PJO143" s="3579"/>
      <c r="PJP143" s="3579"/>
      <c r="PJQ143" s="3579"/>
      <c r="PJR143" s="3579"/>
      <c r="PJS143" s="3579"/>
      <c r="PJT143" s="3579"/>
      <c r="PJU143" s="3579"/>
      <c r="PJV143" s="3579"/>
      <c r="PJW143" s="3579"/>
      <c r="PJX143" s="3579"/>
      <c r="PJY143" s="3579"/>
      <c r="PJZ143" s="3579"/>
      <c r="PKA143" s="3579"/>
      <c r="PKB143" s="3579"/>
      <c r="PKC143" s="3579"/>
      <c r="PKD143" s="3579"/>
      <c r="PKE143" s="3579"/>
      <c r="PKF143" s="3579"/>
      <c r="PKG143" s="3579"/>
      <c r="PKH143" s="3579"/>
      <c r="PKI143" s="3579"/>
      <c r="PKJ143" s="3579"/>
      <c r="PKK143" s="3579"/>
      <c r="PKL143" s="3579"/>
      <c r="PKM143" s="3579"/>
      <c r="PKN143" s="3579"/>
      <c r="PKO143" s="3579"/>
      <c r="PKP143" s="3579"/>
      <c r="PKQ143" s="3579"/>
      <c r="PKR143" s="3579"/>
      <c r="PKS143" s="3579"/>
      <c r="PKT143" s="3579"/>
      <c r="PKU143" s="3579"/>
      <c r="PKV143" s="3579"/>
      <c r="PKW143" s="3579"/>
      <c r="PKX143" s="3579"/>
      <c r="PKY143" s="3579"/>
      <c r="PKZ143" s="3579"/>
      <c r="PLA143" s="3579"/>
      <c r="PLB143" s="3579"/>
      <c r="PLC143" s="3579"/>
      <c r="PLD143" s="3579"/>
      <c r="PLE143" s="3579"/>
      <c r="PLF143" s="3579"/>
      <c r="PLG143" s="3579"/>
      <c r="PLH143" s="3579"/>
      <c r="PLI143" s="3579"/>
      <c r="PLJ143" s="3579"/>
      <c r="PLK143" s="3579"/>
      <c r="PLL143" s="3579"/>
      <c r="PLM143" s="3579"/>
      <c r="PLN143" s="3579"/>
      <c r="PLO143" s="3579"/>
      <c r="PLP143" s="3579"/>
      <c r="PLQ143" s="3579"/>
      <c r="PLR143" s="3579"/>
      <c r="PLS143" s="3579"/>
      <c r="PLT143" s="3579"/>
      <c r="PLU143" s="3579"/>
      <c r="PLV143" s="3579"/>
      <c r="PLW143" s="3579"/>
      <c r="PLX143" s="3579"/>
      <c r="PLY143" s="3579"/>
      <c r="PLZ143" s="3579"/>
      <c r="PMA143" s="3579"/>
      <c r="PMB143" s="3579"/>
      <c r="PMC143" s="3579"/>
      <c r="PMD143" s="3579"/>
      <c r="PME143" s="3579"/>
      <c r="PMF143" s="3579"/>
      <c r="PMG143" s="3579"/>
      <c r="PMH143" s="3579"/>
      <c r="PMI143" s="3579"/>
      <c r="PMJ143" s="3579"/>
      <c r="PMK143" s="3579"/>
      <c r="PML143" s="3579"/>
      <c r="PMM143" s="3579"/>
      <c r="PMN143" s="3579"/>
      <c r="PMO143" s="3579"/>
      <c r="PMP143" s="3579"/>
      <c r="PMQ143" s="3579"/>
      <c r="PMR143" s="3579"/>
      <c r="PMS143" s="3579"/>
      <c r="PMT143" s="3579"/>
      <c r="PMU143" s="3579"/>
      <c r="PMV143" s="3579"/>
      <c r="PMW143" s="3579"/>
      <c r="PMX143" s="3579"/>
      <c r="PMY143" s="3579"/>
      <c r="PMZ143" s="3579"/>
      <c r="PNA143" s="3579"/>
      <c r="PNB143" s="3579"/>
      <c r="PNC143" s="3579"/>
      <c r="PND143" s="3579"/>
      <c r="PNE143" s="3579"/>
      <c r="PNF143" s="3579"/>
      <c r="PNG143" s="3579"/>
      <c r="PNH143" s="3579"/>
      <c r="PNI143" s="3579"/>
      <c r="PNJ143" s="3579"/>
      <c r="PNK143" s="3579"/>
      <c r="PNL143" s="3579"/>
      <c r="PNM143" s="3579"/>
      <c r="PNN143" s="3579"/>
      <c r="PNO143" s="3579"/>
      <c r="PNP143" s="3579"/>
      <c r="PNQ143" s="3579"/>
      <c r="PNR143" s="3579"/>
      <c r="PNS143" s="3579"/>
      <c r="PNT143" s="3579"/>
      <c r="PNU143" s="3579"/>
      <c r="PNV143" s="3579"/>
      <c r="PNW143" s="3579"/>
      <c r="PNX143" s="3579"/>
      <c r="PNY143" s="3579"/>
      <c r="PNZ143" s="3579"/>
      <c r="POA143" s="3579"/>
      <c r="POB143" s="3579"/>
      <c r="POC143" s="3579"/>
      <c r="POD143" s="3579"/>
      <c r="POE143" s="3579"/>
      <c r="POF143" s="3579"/>
      <c r="POG143" s="3579"/>
      <c r="POH143" s="3579"/>
      <c r="POI143" s="3579"/>
      <c r="POJ143" s="3579"/>
      <c r="POK143" s="3579"/>
      <c r="POL143" s="3579"/>
      <c r="POM143" s="3579"/>
      <c r="PON143" s="3579"/>
      <c r="POO143" s="3579"/>
      <c r="POP143" s="3579"/>
      <c r="POQ143" s="3579"/>
      <c r="POR143" s="3579"/>
      <c r="POS143" s="3579"/>
      <c r="POT143" s="3579"/>
      <c r="POU143" s="3579"/>
      <c r="POV143" s="3579"/>
      <c r="POW143" s="3579"/>
      <c r="POX143" s="3579"/>
      <c r="POY143" s="3579"/>
      <c r="POZ143" s="3579"/>
      <c r="PPA143" s="3579"/>
      <c r="PPB143" s="3579"/>
      <c r="PPC143" s="3579"/>
      <c r="PPD143" s="3579"/>
      <c r="PPE143" s="3579"/>
      <c r="PPF143" s="3579"/>
      <c r="PPG143" s="3579"/>
      <c r="PPH143" s="3579"/>
      <c r="PPI143" s="3579"/>
      <c r="PPJ143" s="3579"/>
      <c r="PPK143" s="3579"/>
      <c r="PPL143" s="3579"/>
      <c r="PPM143" s="3579"/>
      <c r="PPN143" s="3579"/>
      <c r="PPO143" s="3579"/>
      <c r="PPP143" s="3579"/>
      <c r="PPQ143" s="3579"/>
      <c r="PPR143" s="3579"/>
      <c r="PPS143" s="3579"/>
      <c r="PPT143" s="3579"/>
      <c r="PPU143" s="3579"/>
      <c r="PPV143" s="3579"/>
      <c r="PPW143" s="3579"/>
      <c r="PPX143" s="3579"/>
      <c r="PPY143" s="3579"/>
      <c r="PPZ143" s="3579"/>
      <c r="PQA143" s="3579"/>
      <c r="PQB143" s="3579"/>
      <c r="PQC143" s="3579"/>
      <c r="PQD143" s="3579"/>
      <c r="PQE143" s="3579"/>
      <c r="PQF143" s="3579"/>
      <c r="PQG143" s="3579"/>
      <c r="PQH143" s="3579"/>
      <c r="PQI143" s="3579"/>
      <c r="PQJ143" s="3579"/>
      <c r="PQK143" s="3579"/>
      <c r="PQL143" s="3579"/>
      <c r="PQM143" s="3579"/>
      <c r="PQN143" s="3579"/>
      <c r="PQO143" s="3579"/>
      <c r="PQP143" s="3579"/>
      <c r="PQQ143" s="3579"/>
      <c r="PQR143" s="3579"/>
      <c r="PQS143" s="3579"/>
      <c r="PQT143" s="3579"/>
      <c r="PQU143" s="3579"/>
      <c r="PQV143" s="3579"/>
      <c r="PQW143" s="3579"/>
      <c r="PQX143" s="3579"/>
      <c r="PQY143" s="3579"/>
      <c r="PQZ143" s="3579"/>
      <c r="PRA143" s="3579"/>
      <c r="PRB143" s="3579"/>
      <c r="PRC143" s="3579"/>
      <c r="PRD143" s="3579"/>
      <c r="PRE143" s="3579"/>
      <c r="PRF143" s="3579"/>
      <c r="PRG143" s="3579"/>
      <c r="PRH143" s="3579"/>
      <c r="PRI143" s="3579"/>
      <c r="PRJ143" s="3579"/>
      <c r="PRK143" s="3579"/>
      <c r="PRL143" s="3579"/>
      <c r="PRM143" s="3579"/>
      <c r="PRN143" s="3579"/>
      <c r="PRO143" s="3579"/>
      <c r="PRP143" s="3579"/>
      <c r="PRQ143" s="3579"/>
      <c r="PRR143" s="3579"/>
      <c r="PRS143" s="3579"/>
      <c r="PRT143" s="3579"/>
      <c r="PRU143" s="3579"/>
      <c r="PRV143" s="3579"/>
      <c r="PRW143" s="3579"/>
      <c r="PRX143" s="3579"/>
      <c r="PRY143" s="3579"/>
      <c r="PRZ143" s="3579"/>
      <c r="PSA143" s="3579"/>
      <c r="PSB143" s="3579"/>
      <c r="PSC143" s="3579"/>
      <c r="PSD143" s="3579"/>
      <c r="PSE143" s="3579"/>
      <c r="PSF143" s="3579"/>
      <c r="PSG143" s="3579"/>
      <c r="PSH143" s="3579"/>
      <c r="PSI143" s="3579"/>
      <c r="PSJ143" s="3579"/>
      <c r="PSK143" s="3579"/>
      <c r="PSL143" s="3579"/>
      <c r="PSM143" s="3579"/>
      <c r="PSN143" s="3579"/>
      <c r="PSO143" s="3579"/>
      <c r="PSP143" s="3579"/>
      <c r="PSQ143" s="3579"/>
      <c r="PSR143" s="3579"/>
      <c r="PSS143" s="3579"/>
      <c r="PST143" s="3579"/>
      <c r="PSU143" s="3579"/>
      <c r="PSV143" s="3579"/>
      <c r="PSW143" s="3579"/>
      <c r="PSX143" s="3579"/>
      <c r="PSY143" s="3579"/>
      <c r="PSZ143" s="3579"/>
      <c r="PTA143" s="3579"/>
      <c r="PTB143" s="3579"/>
      <c r="PTC143" s="3579"/>
      <c r="PTD143" s="3579"/>
      <c r="PTE143" s="3579"/>
      <c r="PTF143" s="3579"/>
      <c r="PTG143" s="3579"/>
      <c r="PTH143" s="3579"/>
      <c r="PTI143" s="3579"/>
      <c r="PTJ143" s="3579"/>
      <c r="PTK143" s="3579"/>
      <c r="PTL143" s="3579"/>
      <c r="PTM143" s="3579"/>
      <c r="PTN143" s="3579"/>
      <c r="PTO143" s="3579"/>
      <c r="PTP143" s="3579"/>
      <c r="PTQ143" s="3579"/>
      <c r="PTR143" s="3579"/>
      <c r="PTS143" s="3579"/>
      <c r="PTT143" s="3579"/>
      <c r="PTU143" s="3579"/>
      <c r="PTV143" s="3579"/>
      <c r="PTW143" s="3579"/>
      <c r="PTX143" s="3579"/>
      <c r="PTY143" s="3579"/>
      <c r="PTZ143" s="3579"/>
      <c r="PUA143" s="3579"/>
      <c r="PUB143" s="3579"/>
      <c r="PUC143" s="3579"/>
      <c r="PUD143" s="3579"/>
      <c r="PUE143" s="3579"/>
      <c r="PUF143" s="3579"/>
      <c r="PUG143" s="3579"/>
      <c r="PUH143" s="3579"/>
      <c r="PUI143" s="3579"/>
      <c r="PUJ143" s="3579"/>
      <c r="PUK143" s="3579"/>
      <c r="PUL143" s="3579"/>
      <c r="PUM143" s="3579"/>
      <c r="PUN143" s="3579"/>
      <c r="PUO143" s="3579"/>
      <c r="PUP143" s="3579"/>
      <c r="PUQ143" s="3579"/>
      <c r="PUR143" s="3579"/>
      <c r="PUS143" s="3579"/>
      <c r="PUT143" s="3579"/>
      <c r="PUU143" s="3579"/>
      <c r="PUV143" s="3579"/>
      <c r="PUW143" s="3579"/>
      <c r="PUX143" s="3579"/>
      <c r="PUY143" s="3579"/>
      <c r="PUZ143" s="3579"/>
      <c r="PVA143" s="3579"/>
      <c r="PVB143" s="3579"/>
      <c r="PVC143" s="3579"/>
      <c r="PVD143" s="3579"/>
      <c r="PVE143" s="3579"/>
      <c r="PVF143" s="3579"/>
      <c r="PVG143" s="3579"/>
      <c r="PVH143" s="3579"/>
      <c r="PVI143" s="3579"/>
      <c r="PVJ143" s="3579"/>
      <c r="PVK143" s="3579"/>
      <c r="PVL143" s="3579"/>
      <c r="PVM143" s="3579"/>
      <c r="PVN143" s="3579"/>
      <c r="PVO143" s="3579"/>
      <c r="PVP143" s="3579"/>
      <c r="PVQ143" s="3579"/>
      <c r="PVR143" s="3579"/>
      <c r="PVS143" s="3579"/>
      <c r="PVT143" s="3579"/>
      <c r="PVU143" s="3579"/>
      <c r="PVV143" s="3579"/>
      <c r="PVW143" s="3579"/>
      <c r="PVX143" s="3579"/>
      <c r="PVY143" s="3579"/>
      <c r="PVZ143" s="3579"/>
      <c r="PWA143" s="3579"/>
      <c r="PWB143" s="3579"/>
      <c r="PWC143" s="3579"/>
      <c r="PWD143" s="3579"/>
      <c r="PWE143" s="3579"/>
      <c r="PWF143" s="3579"/>
      <c r="PWG143" s="3579"/>
      <c r="PWH143" s="3579"/>
      <c r="PWI143" s="3579"/>
      <c r="PWJ143" s="3579"/>
      <c r="PWK143" s="3579"/>
      <c r="PWL143" s="3579"/>
      <c r="PWM143" s="3579"/>
      <c r="PWN143" s="3579"/>
      <c r="PWO143" s="3579"/>
      <c r="PWP143" s="3579"/>
      <c r="PWQ143" s="3579"/>
      <c r="PWR143" s="3579"/>
      <c r="PWS143" s="3579"/>
      <c r="PWT143" s="3579"/>
      <c r="PWU143" s="3579"/>
      <c r="PWV143" s="3579"/>
      <c r="PWW143" s="3579"/>
      <c r="PWX143" s="3579"/>
      <c r="PWY143" s="3579"/>
      <c r="PWZ143" s="3579"/>
      <c r="PXA143" s="3579"/>
      <c r="PXB143" s="3579"/>
      <c r="PXC143" s="3579"/>
      <c r="PXD143" s="3579"/>
      <c r="PXE143" s="3579"/>
      <c r="PXF143" s="3579"/>
      <c r="PXG143" s="3579"/>
      <c r="PXH143" s="3579"/>
      <c r="PXI143" s="3579"/>
      <c r="PXJ143" s="3579"/>
      <c r="PXK143" s="3579"/>
      <c r="PXL143" s="3579"/>
      <c r="PXM143" s="3579"/>
      <c r="PXN143" s="3579"/>
      <c r="PXO143" s="3579"/>
      <c r="PXP143" s="3579"/>
      <c r="PXQ143" s="3579"/>
      <c r="PXR143" s="3579"/>
      <c r="PXS143" s="3579"/>
      <c r="PXT143" s="3579"/>
      <c r="PXU143" s="3579"/>
      <c r="PXV143" s="3579"/>
      <c r="PXW143" s="3579"/>
      <c r="PXX143" s="3579"/>
      <c r="PXY143" s="3579"/>
      <c r="PXZ143" s="3579"/>
      <c r="PYA143" s="3579"/>
      <c r="PYB143" s="3579"/>
      <c r="PYC143" s="3579"/>
      <c r="PYD143" s="3579"/>
      <c r="PYE143" s="3579"/>
      <c r="PYF143" s="3579"/>
      <c r="PYG143" s="3579"/>
      <c r="PYH143" s="3579"/>
      <c r="PYI143" s="3579"/>
      <c r="PYJ143" s="3579"/>
      <c r="PYK143" s="3579"/>
      <c r="PYL143" s="3579"/>
      <c r="PYM143" s="3579"/>
      <c r="PYN143" s="3579"/>
      <c r="PYO143" s="3579"/>
      <c r="PYP143" s="3579"/>
      <c r="PYQ143" s="3579"/>
      <c r="PYR143" s="3579"/>
      <c r="PYS143" s="3579"/>
      <c r="PYT143" s="3579"/>
      <c r="PYU143" s="3579"/>
      <c r="PYV143" s="3579"/>
      <c r="PYW143" s="3579"/>
      <c r="PYX143" s="3579"/>
      <c r="PYY143" s="3579"/>
      <c r="PYZ143" s="3579"/>
      <c r="PZA143" s="3579"/>
      <c r="PZB143" s="3579"/>
      <c r="PZC143" s="3579"/>
      <c r="PZD143" s="3579"/>
      <c r="PZE143" s="3579"/>
      <c r="PZF143" s="3579"/>
      <c r="PZG143" s="3579"/>
      <c r="PZH143" s="3579"/>
      <c r="PZI143" s="3579"/>
      <c r="PZJ143" s="3579"/>
      <c r="PZK143" s="3579"/>
      <c r="PZL143" s="3579"/>
      <c r="PZM143" s="3579"/>
      <c r="PZN143" s="3579"/>
      <c r="PZO143" s="3579"/>
      <c r="PZP143" s="3579"/>
      <c r="PZQ143" s="3579"/>
      <c r="PZR143" s="3579"/>
      <c r="PZS143" s="3579"/>
      <c r="PZT143" s="3579"/>
      <c r="PZU143" s="3579"/>
      <c r="PZV143" s="3579"/>
      <c r="PZW143" s="3579"/>
      <c r="PZX143" s="3579"/>
      <c r="PZY143" s="3579"/>
      <c r="PZZ143" s="3579"/>
      <c r="QAA143" s="3579"/>
      <c r="QAB143" s="3579"/>
      <c r="QAC143" s="3579"/>
      <c r="QAD143" s="3579"/>
      <c r="QAE143" s="3579"/>
      <c r="QAF143" s="3579"/>
      <c r="QAG143" s="3579"/>
      <c r="QAH143" s="3579"/>
      <c r="QAI143" s="3579"/>
      <c r="QAJ143" s="3579"/>
      <c r="QAK143" s="3579"/>
      <c r="QAL143" s="3579"/>
      <c r="QAM143" s="3579"/>
      <c r="QAN143" s="3579"/>
      <c r="QAO143" s="3579"/>
      <c r="QAP143" s="3579"/>
      <c r="QAQ143" s="3579"/>
      <c r="QAR143" s="3579"/>
      <c r="QAS143" s="3579"/>
      <c r="QAT143" s="3579"/>
      <c r="QAU143" s="3579"/>
      <c r="QAV143" s="3579"/>
      <c r="QAW143" s="3579"/>
      <c r="QAX143" s="3579"/>
      <c r="QAY143" s="3579"/>
      <c r="QAZ143" s="3579"/>
      <c r="QBA143" s="3579"/>
      <c r="QBB143" s="3579"/>
      <c r="QBC143" s="3579"/>
      <c r="QBD143" s="3579"/>
      <c r="QBE143" s="3579"/>
      <c r="QBF143" s="3579"/>
      <c r="QBG143" s="3579"/>
      <c r="QBH143" s="3579"/>
      <c r="QBI143" s="3579"/>
      <c r="QBJ143" s="3579"/>
      <c r="QBK143" s="3579"/>
      <c r="QBL143" s="3579"/>
      <c r="QBM143" s="3579"/>
      <c r="QBN143" s="3579"/>
      <c r="QBO143" s="3579"/>
      <c r="QBP143" s="3579"/>
      <c r="QBQ143" s="3579"/>
      <c r="QBR143" s="3579"/>
      <c r="QBS143" s="3579"/>
      <c r="QBT143" s="3579"/>
      <c r="QBU143" s="3579"/>
      <c r="QBV143" s="3579"/>
      <c r="QBW143" s="3579"/>
      <c r="QBX143" s="3579"/>
      <c r="QBY143" s="3579"/>
      <c r="QBZ143" s="3579"/>
      <c r="QCA143" s="3579"/>
      <c r="QCB143" s="3579"/>
      <c r="QCC143" s="3579"/>
      <c r="QCD143" s="3579"/>
      <c r="QCE143" s="3579"/>
      <c r="QCF143" s="3579"/>
      <c r="QCG143" s="3579"/>
      <c r="QCH143" s="3579"/>
      <c r="QCI143" s="3579"/>
      <c r="QCJ143" s="3579"/>
      <c r="QCK143" s="3579"/>
      <c r="QCL143" s="3579"/>
      <c r="QCM143" s="3579"/>
      <c r="QCN143" s="3579"/>
      <c r="QCO143" s="3579"/>
      <c r="QCP143" s="3579"/>
      <c r="QCQ143" s="3579"/>
      <c r="QCR143" s="3579"/>
      <c r="QCS143" s="3579"/>
      <c r="QCT143" s="3579"/>
      <c r="QCU143" s="3579"/>
      <c r="QCV143" s="3579"/>
      <c r="QCW143" s="3579"/>
      <c r="QCX143" s="3579"/>
      <c r="QCY143" s="3579"/>
      <c r="QCZ143" s="3579"/>
      <c r="QDA143" s="3579"/>
      <c r="QDB143" s="3579"/>
      <c r="QDC143" s="3579"/>
      <c r="QDD143" s="3579"/>
      <c r="QDE143" s="3579"/>
      <c r="QDF143" s="3579"/>
      <c r="QDG143" s="3579"/>
      <c r="QDH143" s="3579"/>
      <c r="QDI143" s="3579"/>
      <c r="QDJ143" s="3579"/>
      <c r="QDK143" s="3579"/>
      <c r="QDL143" s="3579"/>
      <c r="QDM143" s="3579"/>
      <c r="QDN143" s="3579"/>
      <c r="QDO143" s="3579"/>
      <c r="QDP143" s="3579"/>
      <c r="QDQ143" s="3579"/>
      <c r="QDR143" s="3579"/>
      <c r="QDS143" s="3579"/>
      <c r="QDT143" s="3579"/>
      <c r="QDU143" s="3579"/>
      <c r="QDV143" s="3579"/>
      <c r="QDW143" s="3579"/>
      <c r="QDX143" s="3579"/>
      <c r="QDY143" s="3579"/>
      <c r="QDZ143" s="3579"/>
      <c r="QEA143" s="3579"/>
      <c r="QEB143" s="3579"/>
      <c r="QEC143" s="3579"/>
      <c r="QED143" s="3579"/>
      <c r="QEE143" s="3579"/>
      <c r="QEF143" s="3579"/>
      <c r="QEG143" s="3579"/>
      <c r="QEH143" s="3579"/>
      <c r="QEI143" s="3579"/>
      <c r="QEJ143" s="3579"/>
      <c r="QEK143" s="3579"/>
      <c r="QEL143" s="3579"/>
      <c r="QEM143" s="3579"/>
      <c r="QEN143" s="3579"/>
      <c r="QEO143" s="3579"/>
      <c r="QEP143" s="3579"/>
      <c r="QEQ143" s="3579"/>
      <c r="QER143" s="3579"/>
      <c r="QES143" s="3579"/>
      <c r="QET143" s="3579"/>
      <c r="QEU143" s="3579"/>
      <c r="QEV143" s="3579"/>
      <c r="QEW143" s="3579"/>
      <c r="QEX143" s="3579"/>
      <c r="QEY143" s="3579"/>
      <c r="QEZ143" s="3579"/>
      <c r="QFA143" s="3579"/>
      <c r="QFB143" s="3579"/>
      <c r="QFC143" s="3579"/>
      <c r="QFD143" s="3579"/>
      <c r="QFE143" s="3579"/>
      <c r="QFF143" s="3579"/>
      <c r="QFG143" s="3579"/>
      <c r="QFH143" s="3579"/>
      <c r="QFI143" s="3579"/>
      <c r="QFJ143" s="3579"/>
      <c r="QFK143" s="3579"/>
      <c r="QFL143" s="3579"/>
      <c r="QFM143" s="3579"/>
      <c r="QFN143" s="3579"/>
      <c r="QFO143" s="3579"/>
      <c r="QFP143" s="3579"/>
      <c r="QFQ143" s="3579"/>
      <c r="QFR143" s="3579"/>
      <c r="QFS143" s="3579"/>
      <c r="QFT143" s="3579"/>
      <c r="QFU143" s="3579"/>
      <c r="QFV143" s="3579"/>
      <c r="QFW143" s="3579"/>
      <c r="QFX143" s="3579"/>
      <c r="QFY143" s="3579"/>
      <c r="QFZ143" s="3579"/>
      <c r="QGA143" s="3579"/>
      <c r="QGB143" s="3579"/>
      <c r="QGC143" s="3579"/>
      <c r="QGD143" s="3579"/>
      <c r="QGE143" s="3579"/>
      <c r="QGF143" s="3579"/>
      <c r="QGG143" s="3579"/>
      <c r="QGH143" s="3579"/>
      <c r="QGI143" s="3579"/>
      <c r="QGJ143" s="3579"/>
      <c r="QGK143" s="3579"/>
      <c r="QGL143" s="3579"/>
      <c r="QGM143" s="3579"/>
      <c r="QGN143" s="3579"/>
      <c r="QGO143" s="3579"/>
      <c r="QGP143" s="3579"/>
      <c r="QGQ143" s="3579"/>
      <c r="QGR143" s="3579"/>
      <c r="QGS143" s="3579"/>
      <c r="QGT143" s="3579"/>
      <c r="QGU143" s="3579"/>
      <c r="QGV143" s="3579"/>
      <c r="QGW143" s="3579"/>
      <c r="QGX143" s="3579"/>
      <c r="QGY143" s="3579"/>
      <c r="QGZ143" s="3579"/>
      <c r="QHA143" s="3579"/>
      <c r="QHB143" s="3579"/>
      <c r="QHC143" s="3579"/>
      <c r="QHD143" s="3579"/>
      <c r="QHE143" s="3579"/>
      <c r="QHF143" s="3579"/>
      <c r="QHG143" s="3579"/>
      <c r="QHH143" s="3579"/>
      <c r="QHI143" s="3579"/>
      <c r="QHJ143" s="3579"/>
      <c r="QHK143" s="3579"/>
      <c r="QHL143" s="3579"/>
      <c r="QHM143" s="3579"/>
      <c r="QHN143" s="3579"/>
      <c r="QHO143" s="3579"/>
      <c r="QHP143" s="3579"/>
      <c r="QHQ143" s="3579"/>
      <c r="QHR143" s="3579"/>
      <c r="QHS143" s="3579"/>
      <c r="QHT143" s="3579"/>
      <c r="QHU143" s="3579"/>
      <c r="QHV143" s="3579"/>
      <c r="QHW143" s="3579"/>
      <c r="QHX143" s="3579"/>
      <c r="QHY143" s="3579"/>
      <c r="QHZ143" s="3579"/>
      <c r="QIA143" s="3579"/>
      <c r="QIB143" s="3579"/>
      <c r="QIC143" s="3579"/>
      <c r="QID143" s="3579"/>
      <c r="QIE143" s="3579"/>
      <c r="QIF143" s="3579"/>
      <c r="QIG143" s="3579"/>
      <c r="QIH143" s="3579"/>
      <c r="QII143" s="3579"/>
      <c r="QIJ143" s="3579"/>
      <c r="QIK143" s="3579"/>
      <c r="QIL143" s="3579"/>
      <c r="QIM143" s="3579"/>
      <c r="QIN143" s="3579"/>
      <c r="QIO143" s="3579"/>
      <c r="QIP143" s="3579"/>
      <c r="QIQ143" s="3579"/>
      <c r="QIR143" s="3579"/>
      <c r="QIS143" s="3579"/>
      <c r="QIT143" s="3579"/>
      <c r="QIU143" s="3579"/>
      <c r="QIV143" s="3579"/>
      <c r="QIW143" s="3579"/>
      <c r="QIX143" s="3579"/>
      <c r="QIY143" s="3579"/>
      <c r="QIZ143" s="3579"/>
      <c r="QJA143" s="3579"/>
      <c r="QJB143" s="3579"/>
      <c r="QJC143" s="3579"/>
      <c r="QJD143" s="3579"/>
      <c r="QJE143" s="3579"/>
      <c r="QJF143" s="3579"/>
      <c r="QJG143" s="3579"/>
      <c r="QJH143" s="3579"/>
      <c r="QJI143" s="3579"/>
      <c r="QJJ143" s="3579"/>
      <c r="QJK143" s="3579"/>
      <c r="QJL143" s="3579"/>
      <c r="QJM143" s="3579"/>
      <c r="QJN143" s="3579"/>
      <c r="QJO143" s="3579"/>
      <c r="QJP143" s="3579"/>
      <c r="QJQ143" s="3579"/>
      <c r="QJR143" s="3579"/>
      <c r="QJS143" s="3579"/>
      <c r="QJT143" s="3579"/>
      <c r="QJU143" s="3579"/>
      <c r="QJV143" s="3579"/>
      <c r="QJW143" s="3579"/>
      <c r="QJX143" s="3579"/>
      <c r="QJY143" s="3579"/>
      <c r="QJZ143" s="3579"/>
      <c r="QKA143" s="3579"/>
      <c r="QKB143" s="3579"/>
      <c r="QKC143" s="3579"/>
      <c r="QKD143" s="3579"/>
      <c r="QKE143" s="3579"/>
      <c r="QKF143" s="3579"/>
      <c r="QKG143" s="3579"/>
      <c r="QKH143" s="3579"/>
      <c r="QKI143" s="3579"/>
      <c r="QKJ143" s="3579"/>
      <c r="QKK143" s="3579"/>
      <c r="QKL143" s="3579"/>
      <c r="QKM143" s="3579"/>
      <c r="QKN143" s="3579"/>
      <c r="QKO143" s="3579"/>
      <c r="QKP143" s="3579"/>
      <c r="QKQ143" s="3579"/>
      <c r="QKR143" s="3579"/>
      <c r="QKS143" s="3579"/>
      <c r="QKT143" s="3579"/>
      <c r="QKU143" s="3579"/>
      <c r="QKV143" s="3579"/>
      <c r="QKW143" s="3579"/>
      <c r="QKX143" s="3579"/>
      <c r="QKY143" s="3579"/>
      <c r="QKZ143" s="3579"/>
      <c r="QLA143" s="3579"/>
      <c r="QLB143" s="3579"/>
      <c r="QLC143" s="3579"/>
      <c r="QLD143" s="3579"/>
      <c r="QLE143" s="3579"/>
      <c r="QLF143" s="3579"/>
      <c r="QLG143" s="3579"/>
      <c r="QLH143" s="3579"/>
      <c r="QLI143" s="3579"/>
      <c r="QLJ143" s="3579"/>
      <c r="QLK143" s="3579"/>
      <c r="QLL143" s="3579"/>
      <c r="QLM143" s="3579"/>
      <c r="QLN143" s="3579"/>
      <c r="QLO143" s="3579"/>
      <c r="QLP143" s="3579"/>
      <c r="QLQ143" s="3579"/>
      <c r="QLR143" s="3579"/>
      <c r="QLS143" s="3579"/>
      <c r="QLT143" s="3579"/>
      <c r="QLU143" s="3579"/>
      <c r="QLV143" s="3579"/>
      <c r="QLW143" s="3579"/>
      <c r="QLX143" s="3579"/>
      <c r="QLY143" s="3579"/>
      <c r="QLZ143" s="3579"/>
      <c r="QMA143" s="3579"/>
      <c r="QMB143" s="3579"/>
      <c r="QMC143" s="3579"/>
      <c r="QMD143" s="3579"/>
      <c r="QME143" s="3579"/>
      <c r="QMF143" s="3579"/>
      <c r="QMG143" s="3579"/>
      <c r="QMH143" s="3579"/>
      <c r="QMI143" s="3579"/>
      <c r="QMJ143" s="3579"/>
      <c r="QMK143" s="3579"/>
      <c r="QML143" s="3579"/>
      <c r="QMM143" s="3579"/>
      <c r="QMN143" s="3579"/>
      <c r="QMO143" s="3579"/>
      <c r="QMP143" s="3579"/>
      <c r="QMQ143" s="3579"/>
      <c r="QMR143" s="3579"/>
      <c r="QMS143" s="3579"/>
      <c r="QMT143" s="3579"/>
      <c r="QMU143" s="3579"/>
      <c r="QMV143" s="3579"/>
      <c r="QMW143" s="3579"/>
      <c r="QMX143" s="3579"/>
      <c r="QMY143" s="3579"/>
      <c r="QMZ143" s="3579"/>
      <c r="QNA143" s="3579"/>
      <c r="QNB143" s="3579"/>
      <c r="QNC143" s="3579"/>
      <c r="QND143" s="3579"/>
      <c r="QNE143" s="3579"/>
      <c r="QNF143" s="3579"/>
      <c r="QNG143" s="3579"/>
      <c r="QNH143" s="3579"/>
      <c r="QNI143" s="3579"/>
      <c r="QNJ143" s="3579"/>
      <c r="QNK143" s="3579"/>
      <c r="QNL143" s="3579"/>
      <c r="QNM143" s="3579"/>
      <c r="QNN143" s="3579"/>
      <c r="QNO143" s="3579"/>
      <c r="QNP143" s="3579"/>
      <c r="QNQ143" s="3579"/>
      <c r="QNR143" s="3579"/>
      <c r="QNS143" s="3579"/>
      <c r="QNT143" s="3579"/>
      <c r="QNU143" s="3579"/>
      <c r="QNV143" s="3579"/>
      <c r="QNW143" s="3579"/>
      <c r="QNX143" s="3579"/>
      <c r="QNY143" s="3579"/>
      <c r="QNZ143" s="3579"/>
      <c r="QOA143" s="3579"/>
      <c r="QOB143" s="3579"/>
      <c r="QOC143" s="3579"/>
      <c r="QOD143" s="3579"/>
      <c r="QOE143" s="3579"/>
      <c r="QOF143" s="3579"/>
      <c r="QOG143" s="3579"/>
      <c r="QOH143" s="3579"/>
      <c r="QOI143" s="3579"/>
      <c r="QOJ143" s="3579"/>
      <c r="QOK143" s="3579"/>
      <c r="QOL143" s="3579"/>
      <c r="QOM143" s="3579"/>
      <c r="QON143" s="3579"/>
      <c r="QOO143" s="3579"/>
      <c r="QOP143" s="3579"/>
      <c r="QOQ143" s="3579"/>
      <c r="QOR143" s="3579"/>
      <c r="QOS143" s="3579"/>
      <c r="QOT143" s="3579"/>
      <c r="QOU143" s="3579"/>
      <c r="QOV143" s="3579"/>
      <c r="QOW143" s="3579"/>
      <c r="QOX143" s="3579"/>
      <c r="QOY143" s="3579"/>
      <c r="QOZ143" s="3579"/>
      <c r="QPA143" s="3579"/>
      <c r="QPB143" s="3579"/>
      <c r="QPC143" s="3579"/>
      <c r="QPD143" s="3579"/>
      <c r="QPE143" s="3579"/>
      <c r="QPF143" s="3579"/>
      <c r="QPG143" s="3579"/>
      <c r="QPH143" s="3579"/>
      <c r="QPI143" s="3579"/>
      <c r="QPJ143" s="3579"/>
      <c r="QPK143" s="3579"/>
      <c r="QPL143" s="3579"/>
      <c r="QPM143" s="3579"/>
      <c r="QPN143" s="3579"/>
      <c r="QPO143" s="3579"/>
      <c r="QPP143" s="3579"/>
      <c r="QPQ143" s="3579"/>
      <c r="QPR143" s="3579"/>
      <c r="QPS143" s="3579"/>
      <c r="QPT143" s="3579"/>
      <c r="QPU143" s="3579"/>
      <c r="QPV143" s="3579"/>
      <c r="QPW143" s="3579"/>
      <c r="QPX143" s="3579"/>
      <c r="QPY143" s="3579"/>
      <c r="QPZ143" s="3579"/>
      <c r="QQA143" s="3579"/>
      <c r="QQB143" s="3579"/>
      <c r="QQC143" s="3579"/>
      <c r="QQD143" s="3579"/>
      <c r="QQE143" s="3579"/>
      <c r="QQF143" s="3579"/>
      <c r="QQG143" s="3579"/>
      <c r="QQH143" s="3579"/>
      <c r="QQI143" s="3579"/>
      <c r="QQJ143" s="3579"/>
      <c r="QQK143" s="3579"/>
      <c r="QQL143" s="3579"/>
      <c r="QQM143" s="3579"/>
      <c r="QQN143" s="3579"/>
      <c r="QQO143" s="3579"/>
      <c r="QQP143" s="3579"/>
      <c r="QQQ143" s="3579"/>
      <c r="QQR143" s="3579"/>
      <c r="QQS143" s="3579"/>
      <c r="QQT143" s="3579"/>
      <c r="QQU143" s="3579"/>
      <c r="QQV143" s="3579"/>
      <c r="QQW143" s="3579"/>
      <c r="QQX143" s="3579"/>
      <c r="QQY143" s="3579"/>
      <c r="QQZ143" s="3579"/>
      <c r="QRA143" s="3579"/>
      <c r="QRB143" s="3579"/>
      <c r="QRC143" s="3579"/>
      <c r="QRD143" s="3579"/>
      <c r="QRE143" s="3579"/>
      <c r="QRF143" s="3579"/>
      <c r="QRG143" s="3579"/>
      <c r="QRH143" s="3579"/>
      <c r="QRI143" s="3579"/>
      <c r="QRJ143" s="3579"/>
      <c r="QRK143" s="3579"/>
      <c r="QRL143" s="3579"/>
      <c r="QRM143" s="3579"/>
      <c r="QRN143" s="3579"/>
      <c r="QRO143" s="3579"/>
      <c r="QRP143" s="3579"/>
      <c r="QRQ143" s="3579"/>
      <c r="QRR143" s="3579"/>
      <c r="QRS143" s="3579"/>
      <c r="QRT143" s="3579"/>
      <c r="QRU143" s="3579"/>
      <c r="QRV143" s="3579"/>
      <c r="QRW143" s="3579"/>
      <c r="QRX143" s="3579"/>
      <c r="QRY143" s="3579"/>
      <c r="QRZ143" s="3579"/>
      <c r="QSA143" s="3579"/>
      <c r="QSB143" s="3579"/>
      <c r="QSC143" s="3579"/>
      <c r="QSD143" s="3579"/>
      <c r="QSE143" s="3579"/>
      <c r="QSF143" s="3579"/>
      <c r="QSG143" s="3579"/>
      <c r="QSH143" s="3579"/>
      <c r="QSI143" s="3579"/>
      <c r="QSJ143" s="3579"/>
      <c r="QSK143" s="3579"/>
      <c r="QSL143" s="3579"/>
      <c r="QSM143" s="3579"/>
      <c r="QSN143" s="3579"/>
      <c r="QSO143" s="3579"/>
      <c r="QSP143" s="3579"/>
      <c r="QSQ143" s="3579"/>
      <c r="QSR143" s="3579"/>
      <c r="QSS143" s="3579"/>
      <c r="QST143" s="3579"/>
      <c r="QSU143" s="3579"/>
      <c r="QSV143" s="3579"/>
      <c r="QSW143" s="3579"/>
      <c r="QSX143" s="3579"/>
      <c r="QSY143" s="3579"/>
      <c r="QSZ143" s="3579"/>
      <c r="QTA143" s="3579"/>
      <c r="QTB143" s="3579"/>
      <c r="QTC143" s="3579"/>
      <c r="QTD143" s="3579"/>
      <c r="QTE143" s="3579"/>
      <c r="QTF143" s="3579"/>
      <c r="QTG143" s="3579"/>
      <c r="QTH143" s="3579"/>
      <c r="QTI143" s="3579"/>
      <c r="QTJ143" s="3579"/>
      <c r="QTK143" s="3579"/>
      <c r="QTL143" s="3579"/>
      <c r="QTM143" s="3579"/>
      <c r="QTN143" s="3579"/>
      <c r="QTO143" s="3579"/>
      <c r="QTP143" s="3579"/>
      <c r="QTQ143" s="3579"/>
      <c r="QTR143" s="3579"/>
      <c r="QTS143" s="3579"/>
      <c r="QTT143" s="3579"/>
      <c r="QTU143" s="3579"/>
      <c r="QTV143" s="3579"/>
      <c r="QTW143" s="3579"/>
      <c r="QTX143" s="3579"/>
      <c r="QTY143" s="3579"/>
      <c r="QTZ143" s="3579"/>
      <c r="QUA143" s="3579"/>
      <c r="QUB143" s="3579"/>
      <c r="QUC143" s="3579"/>
      <c r="QUD143" s="3579"/>
      <c r="QUE143" s="3579"/>
      <c r="QUF143" s="3579"/>
      <c r="QUG143" s="3579"/>
      <c r="QUH143" s="3579"/>
      <c r="QUI143" s="3579"/>
      <c r="QUJ143" s="3579"/>
      <c r="QUK143" s="3579"/>
      <c r="QUL143" s="3579"/>
      <c r="QUM143" s="3579"/>
      <c r="QUN143" s="3579"/>
      <c r="QUO143" s="3579"/>
      <c r="QUP143" s="3579"/>
      <c r="QUQ143" s="3579"/>
      <c r="QUR143" s="3579"/>
      <c r="QUS143" s="3579"/>
      <c r="QUT143" s="3579"/>
      <c r="QUU143" s="3579"/>
      <c r="QUV143" s="3579"/>
      <c r="QUW143" s="3579"/>
      <c r="QUX143" s="3579"/>
      <c r="QUY143" s="3579"/>
      <c r="QUZ143" s="3579"/>
      <c r="QVA143" s="3579"/>
      <c r="QVB143" s="3579"/>
      <c r="QVC143" s="3579"/>
      <c r="QVD143" s="3579"/>
      <c r="QVE143" s="3579"/>
      <c r="QVF143" s="3579"/>
      <c r="QVG143" s="3579"/>
      <c r="QVH143" s="3579"/>
      <c r="QVI143" s="3579"/>
      <c r="QVJ143" s="3579"/>
      <c r="QVK143" s="3579"/>
      <c r="QVL143" s="3579"/>
      <c r="QVM143" s="3579"/>
      <c r="QVN143" s="3579"/>
      <c r="QVO143" s="3579"/>
      <c r="QVP143" s="3579"/>
      <c r="QVQ143" s="3579"/>
      <c r="QVR143" s="3579"/>
      <c r="QVS143" s="3579"/>
      <c r="QVT143" s="3579"/>
      <c r="QVU143" s="3579"/>
      <c r="QVV143" s="3579"/>
      <c r="QVW143" s="3579"/>
      <c r="QVX143" s="3579"/>
      <c r="QVY143" s="3579"/>
      <c r="QVZ143" s="3579"/>
      <c r="QWA143" s="3579"/>
      <c r="QWB143" s="3579"/>
      <c r="QWC143" s="3579"/>
      <c r="QWD143" s="3579"/>
      <c r="QWE143" s="3579"/>
      <c r="QWF143" s="3579"/>
      <c r="QWG143" s="3579"/>
      <c r="QWH143" s="3579"/>
      <c r="QWI143" s="3579"/>
      <c r="QWJ143" s="3579"/>
      <c r="QWK143" s="3579"/>
      <c r="QWL143" s="3579"/>
      <c r="QWM143" s="3579"/>
      <c r="QWN143" s="3579"/>
      <c r="QWO143" s="3579"/>
      <c r="QWP143" s="3579"/>
      <c r="QWQ143" s="3579"/>
      <c r="QWR143" s="3579"/>
      <c r="QWS143" s="3579"/>
      <c r="QWT143" s="3579"/>
      <c r="QWU143" s="3579"/>
      <c r="QWV143" s="3579"/>
      <c r="QWW143" s="3579"/>
      <c r="QWX143" s="3579"/>
      <c r="QWY143" s="3579"/>
      <c r="QWZ143" s="3579"/>
      <c r="QXA143" s="3579"/>
      <c r="QXB143" s="3579"/>
      <c r="QXC143" s="3579"/>
      <c r="QXD143" s="3579"/>
      <c r="QXE143" s="3579"/>
      <c r="QXF143" s="3579"/>
      <c r="QXG143" s="3579"/>
      <c r="QXH143" s="3579"/>
      <c r="QXI143" s="3579"/>
      <c r="QXJ143" s="3579"/>
      <c r="QXK143" s="3579"/>
      <c r="QXL143" s="3579"/>
      <c r="QXM143" s="3579"/>
      <c r="QXN143" s="3579"/>
      <c r="QXO143" s="3579"/>
      <c r="QXP143" s="3579"/>
      <c r="QXQ143" s="3579"/>
      <c r="QXR143" s="3579"/>
      <c r="QXS143" s="3579"/>
      <c r="QXT143" s="3579"/>
      <c r="QXU143" s="3579"/>
      <c r="QXV143" s="3579"/>
      <c r="QXW143" s="3579"/>
      <c r="QXX143" s="3579"/>
      <c r="QXY143" s="3579"/>
      <c r="QXZ143" s="3579"/>
      <c r="QYA143" s="3579"/>
      <c r="QYB143" s="3579"/>
      <c r="QYC143" s="3579"/>
      <c r="QYD143" s="3579"/>
      <c r="QYE143" s="3579"/>
      <c r="QYF143" s="3579"/>
      <c r="QYG143" s="3579"/>
      <c r="QYH143" s="3579"/>
      <c r="QYI143" s="3579"/>
      <c r="QYJ143" s="3579"/>
      <c r="QYK143" s="3579"/>
      <c r="QYL143" s="3579"/>
      <c r="QYM143" s="3579"/>
      <c r="QYN143" s="3579"/>
      <c r="QYO143" s="3579"/>
      <c r="QYP143" s="3579"/>
      <c r="QYQ143" s="3579"/>
      <c r="QYR143" s="3579"/>
      <c r="QYS143" s="3579"/>
      <c r="QYT143" s="3579"/>
      <c r="QYU143" s="3579"/>
      <c r="QYV143" s="3579"/>
      <c r="QYW143" s="3579"/>
      <c r="QYX143" s="3579"/>
      <c r="QYY143" s="3579"/>
      <c r="QYZ143" s="3579"/>
      <c r="QZA143" s="3579"/>
      <c r="QZB143" s="3579"/>
      <c r="QZC143" s="3579"/>
      <c r="QZD143" s="3579"/>
      <c r="QZE143" s="3579"/>
      <c r="QZF143" s="3579"/>
      <c r="QZG143" s="3579"/>
      <c r="QZH143" s="3579"/>
      <c r="QZI143" s="3579"/>
      <c r="QZJ143" s="3579"/>
      <c r="QZK143" s="3579"/>
      <c r="QZL143" s="3579"/>
      <c r="QZM143" s="3579"/>
      <c r="QZN143" s="3579"/>
      <c r="QZO143" s="3579"/>
      <c r="QZP143" s="3579"/>
      <c r="QZQ143" s="3579"/>
      <c r="QZR143" s="3579"/>
      <c r="QZS143" s="3579"/>
      <c r="QZT143" s="3579"/>
      <c r="QZU143" s="3579"/>
      <c r="QZV143" s="3579"/>
      <c r="QZW143" s="3579"/>
      <c r="QZX143" s="3579"/>
      <c r="QZY143" s="3579"/>
      <c r="QZZ143" s="3579"/>
      <c r="RAA143" s="3579"/>
      <c r="RAB143" s="3579"/>
      <c r="RAC143" s="3579"/>
      <c r="RAD143" s="3579"/>
      <c r="RAE143" s="3579"/>
      <c r="RAF143" s="3579"/>
      <c r="RAG143" s="3579"/>
      <c r="RAH143" s="3579"/>
      <c r="RAI143" s="3579"/>
      <c r="RAJ143" s="3579"/>
      <c r="RAK143" s="3579"/>
      <c r="RAL143" s="3579"/>
      <c r="RAM143" s="3579"/>
      <c r="RAN143" s="3579"/>
      <c r="RAO143" s="3579"/>
      <c r="RAP143" s="3579"/>
      <c r="RAQ143" s="3579"/>
      <c r="RAR143" s="3579"/>
      <c r="RAS143" s="3579"/>
      <c r="RAT143" s="3579"/>
      <c r="RAU143" s="3579"/>
      <c r="RAV143" s="3579"/>
      <c r="RAW143" s="3579"/>
      <c r="RAX143" s="3579"/>
      <c r="RAY143" s="3579"/>
      <c r="RAZ143" s="3579"/>
      <c r="RBA143" s="3579"/>
      <c r="RBB143" s="3579"/>
      <c r="RBC143" s="3579"/>
      <c r="RBD143" s="3579"/>
      <c r="RBE143" s="3579"/>
      <c r="RBF143" s="3579"/>
      <c r="RBG143" s="3579"/>
      <c r="RBH143" s="3579"/>
      <c r="RBI143" s="3579"/>
      <c r="RBJ143" s="3579"/>
      <c r="RBK143" s="3579"/>
      <c r="RBL143" s="3579"/>
      <c r="RBM143" s="3579"/>
      <c r="RBN143" s="3579"/>
      <c r="RBO143" s="3579"/>
      <c r="RBP143" s="3579"/>
      <c r="RBQ143" s="3579"/>
      <c r="RBR143" s="3579"/>
      <c r="RBS143" s="3579"/>
      <c r="RBT143" s="3579"/>
      <c r="RBU143" s="3579"/>
      <c r="RBV143" s="3579"/>
      <c r="RBW143" s="3579"/>
      <c r="RBX143" s="3579"/>
      <c r="RBY143" s="3579"/>
      <c r="RBZ143" s="3579"/>
      <c r="RCA143" s="3579"/>
      <c r="RCB143" s="3579"/>
      <c r="RCC143" s="3579"/>
      <c r="RCD143" s="3579"/>
      <c r="RCE143" s="3579"/>
      <c r="RCF143" s="3579"/>
      <c r="RCG143" s="3579"/>
      <c r="RCH143" s="3579"/>
      <c r="RCI143" s="3579"/>
      <c r="RCJ143" s="3579"/>
      <c r="RCK143" s="3579"/>
      <c r="RCL143" s="3579"/>
      <c r="RCM143" s="3579"/>
      <c r="RCN143" s="3579"/>
      <c r="RCO143" s="3579"/>
      <c r="RCP143" s="3579"/>
      <c r="RCQ143" s="3579"/>
      <c r="RCR143" s="3579"/>
      <c r="RCS143" s="3579"/>
      <c r="RCT143" s="3579"/>
      <c r="RCU143" s="3579"/>
      <c r="RCV143" s="3579"/>
      <c r="RCW143" s="3579"/>
      <c r="RCX143" s="3579"/>
      <c r="RCY143" s="3579"/>
      <c r="RCZ143" s="3579"/>
      <c r="RDA143" s="3579"/>
      <c r="RDB143" s="3579"/>
      <c r="RDC143" s="3579"/>
      <c r="RDD143" s="3579"/>
      <c r="RDE143" s="3579"/>
      <c r="RDF143" s="3579"/>
      <c r="RDG143" s="3579"/>
      <c r="RDH143" s="3579"/>
      <c r="RDI143" s="3579"/>
      <c r="RDJ143" s="3579"/>
      <c r="RDK143" s="3579"/>
      <c r="RDL143" s="3579"/>
      <c r="RDM143" s="3579"/>
      <c r="RDN143" s="3579"/>
      <c r="RDO143" s="3579"/>
      <c r="RDP143" s="3579"/>
      <c r="RDQ143" s="3579"/>
      <c r="RDR143" s="3579"/>
      <c r="RDS143" s="3579"/>
      <c r="RDT143" s="3579"/>
      <c r="RDU143" s="3579"/>
      <c r="RDV143" s="3579"/>
      <c r="RDW143" s="3579"/>
      <c r="RDX143" s="3579"/>
      <c r="RDY143" s="3579"/>
      <c r="RDZ143" s="3579"/>
      <c r="REA143" s="3579"/>
      <c r="REB143" s="3579"/>
      <c r="REC143" s="3579"/>
      <c r="RED143" s="3579"/>
      <c r="REE143" s="3579"/>
      <c r="REF143" s="3579"/>
      <c r="REG143" s="3579"/>
      <c r="REH143" s="3579"/>
      <c r="REI143" s="3579"/>
      <c r="REJ143" s="3579"/>
      <c r="REK143" s="3579"/>
      <c r="REL143" s="3579"/>
      <c r="REM143" s="3579"/>
      <c r="REN143" s="3579"/>
      <c r="REO143" s="3579"/>
      <c r="REP143" s="3579"/>
      <c r="REQ143" s="3579"/>
      <c r="RER143" s="3579"/>
      <c r="RES143" s="3579"/>
      <c r="RET143" s="3579"/>
      <c r="REU143" s="3579"/>
      <c r="REV143" s="3579"/>
      <c r="REW143" s="3579"/>
      <c r="REX143" s="3579"/>
      <c r="REY143" s="3579"/>
      <c r="REZ143" s="3579"/>
      <c r="RFA143" s="3579"/>
      <c r="RFB143" s="3579"/>
      <c r="RFC143" s="3579"/>
      <c r="RFD143" s="3579"/>
      <c r="RFE143" s="3579"/>
      <c r="RFF143" s="3579"/>
      <c r="RFG143" s="3579"/>
      <c r="RFH143" s="3579"/>
      <c r="RFI143" s="3579"/>
      <c r="RFJ143" s="3579"/>
      <c r="RFK143" s="3579"/>
      <c r="RFL143" s="3579"/>
      <c r="RFM143" s="3579"/>
      <c r="RFN143" s="3579"/>
      <c r="RFO143" s="3579"/>
      <c r="RFP143" s="3579"/>
      <c r="RFQ143" s="3579"/>
      <c r="RFR143" s="3579"/>
      <c r="RFS143" s="3579"/>
      <c r="RFT143" s="3579"/>
      <c r="RFU143" s="3579"/>
      <c r="RFV143" s="3579"/>
      <c r="RFW143" s="3579"/>
      <c r="RFX143" s="3579"/>
      <c r="RFY143" s="3579"/>
      <c r="RFZ143" s="3579"/>
      <c r="RGA143" s="3579"/>
      <c r="RGB143" s="3579"/>
      <c r="RGC143" s="3579"/>
      <c r="RGD143" s="3579"/>
      <c r="RGE143" s="3579"/>
      <c r="RGF143" s="3579"/>
      <c r="RGG143" s="3579"/>
      <c r="RGH143" s="3579"/>
      <c r="RGI143" s="3579"/>
      <c r="RGJ143" s="3579"/>
      <c r="RGK143" s="3579"/>
      <c r="RGL143" s="3579"/>
      <c r="RGM143" s="3579"/>
      <c r="RGN143" s="3579"/>
      <c r="RGO143" s="3579"/>
      <c r="RGP143" s="3579"/>
      <c r="RGQ143" s="3579"/>
      <c r="RGR143" s="3579"/>
      <c r="RGS143" s="3579"/>
      <c r="RGT143" s="3579"/>
      <c r="RGU143" s="3579"/>
      <c r="RGV143" s="3579"/>
      <c r="RGW143" s="3579"/>
      <c r="RGX143" s="3579"/>
      <c r="RGY143" s="3579"/>
      <c r="RGZ143" s="3579"/>
      <c r="RHA143" s="3579"/>
      <c r="RHB143" s="3579"/>
      <c r="RHC143" s="3579"/>
      <c r="RHD143" s="3579"/>
      <c r="RHE143" s="3579"/>
      <c r="RHF143" s="3579"/>
      <c r="RHG143" s="3579"/>
      <c r="RHH143" s="3579"/>
      <c r="RHI143" s="3579"/>
      <c r="RHJ143" s="3579"/>
      <c r="RHK143" s="3579"/>
      <c r="RHL143" s="3579"/>
      <c r="RHM143" s="3579"/>
      <c r="RHN143" s="3579"/>
      <c r="RHO143" s="3579"/>
      <c r="RHP143" s="3579"/>
      <c r="RHQ143" s="3579"/>
      <c r="RHR143" s="3579"/>
      <c r="RHS143" s="3579"/>
      <c r="RHT143" s="3579"/>
      <c r="RHU143" s="3579"/>
      <c r="RHV143" s="3579"/>
      <c r="RHW143" s="3579"/>
      <c r="RHX143" s="3579"/>
      <c r="RHY143" s="3579"/>
      <c r="RHZ143" s="3579"/>
      <c r="RIA143" s="3579"/>
      <c r="RIB143" s="3579"/>
      <c r="RIC143" s="3579"/>
      <c r="RID143" s="3579"/>
      <c r="RIE143" s="3579"/>
      <c r="RIF143" s="3579"/>
      <c r="RIG143" s="3579"/>
      <c r="RIH143" s="3579"/>
      <c r="RII143" s="3579"/>
      <c r="RIJ143" s="3579"/>
      <c r="RIK143" s="3579"/>
      <c r="RIL143" s="3579"/>
      <c r="RIM143" s="3579"/>
      <c r="RIN143" s="3579"/>
      <c r="RIO143" s="3579"/>
      <c r="RIP143" s="3579"/>
      <c r="RIQ143" s="3579"/>
      <c r="RIR143" s="3579"/>
      <c r="RIS143" s="3579"/>
      <c r="RIT143" s="3579"/>
      <c r="RIU143" s="3579"/>
      <c r="RIV143" s="3579"/>
      <c r="RIW143" s="3579"/>
      <c r="RIX143" s="3579"/>
      <c r="RIY143" s="3579"/>
      <c r="RIZ143" s="3579"/>
      <c r="RJA143" s="3579"/>
      <c r="RJB143" s="3579"/>
      <c r="RJC143" s="3579"/>
      <c r="RJD143" s="3579"/>
      <c r="RJE143" s="3579"/>
      <c r="RJF143" s="3579"/>
      <c r="RJG143" s="3579"/>
      <c r="RJH143" s="3579"/>
      <c r="RJI143" s="3579"/>
      <c r="RJJ143" s="3579"/>
      <c r="RJK143" s="3579"/>
      <c r="RJL143" s="3579"/>
      <c r="RJM143" s="3579"/>
      <c r="RJN143" s="3579"/>
      <c r="RJO143" s="3579"/>
      <c r="RJP143" s="3579"/>
      <c r="RJQ143" s="3579"/>
      <c r="RJR143" s="3579"/>
      <c r="RJS143" s="3579"/>
      <c r="RJT143" s="3579"/>
      <c r="RJU143" s="3579"/>
      <c r="RJV143" s="3579"/>
      <c r="RJW143" s="3579"/>
      <c r="RJX143" s="3579"/>
      <c r="RJY143" s="3579"/>
      <c r="RJZ143" s="3579"/>
      <c r="RKA143" s="3579"/>
      <c r="RKB143" s="3579"/>
      <c r="RKC143" s="3579"/>
      <c r="RKD143" s="3579"/>
      <c r="RKE143" s="3579"/>
      <c r="RKF143" s="3579"/>
      <c r="RKG143" s="3579"/>
      <c r="RKH143" s="3579"/>
      <c r="RKI143" s="3579"/>
      <c r="RKJ143" s="3579"/>
      <c r="RKK143" s="3579"/>
      <c r="RKL143" s="3579"/>
      <c r="RKM143" s="3579"/>
      <c r="RKN143" s="3579"/>
      <c r="RKO143" s="3579"/>
      <c r="RKP143" s="3579"/>
      <c r="RKQ143" s="3579"/>
      <c r="RKR143" s="3579"/>
      <c r="RKS143" s="3579"/>
      <c r="RKT143" s="3579"/>
      <c r="RKU143" s="3579"/>
      <c r="RKV143" s="3579"/>
      <c r="RKW143" s="3579"/>
      <c r="RKX143" s="3579"/>
      <c r="RKY143" s="3579"/>
      <c r="RKZ143" s="3579"/>
      <c r="RLA143" s="3579"/>
      <c r="RLB143" s="3579"/>
      <c r="RLC143" s="3579"/>
      <c r="RLD143" s="3579"/>
      <c r="RLE143" s="3579"/>
      <c r="RLF143" s="3579"/>
      <c r="RLG143" s="3579"/>
      <c r="RLH143" s="3579"/>
      <c r="RLI143" s="3579"/>
      <c r="RLJ143" s="3579"/>
      <c r="RLK143" s="3579"/>
      <c r="RLL143" s="3579"/>
      <c r="RLM143" s="3579"/>
      <c r="RLN143" s="3579"/>
      <c r="RLO143" s="3579"/>
      <c r="RLP143" s="3579"/>
      <c r="RLQ143" s="3579"/>
      <c r="RLR143" s="3579"/>
      <c r="RLS143" s="3579"/>
      <c r="RLT143" s="3579"/>
      <c r="RLU143" s="3579"/>
      <c r="RLV143" s="3579"/>
      <c r="RLW143" s="3579"/>
      <c r="RLX143" s="3579"/>
      <c r="RLY143" s="3579"/>
      <c r="RLZ143" s="3579"/>
      <c r="RMA143" s="3579"/>
      <c r="RMB143" s="3579"/>
      <c r="RMC143" s="3579"/>
      <c r="RMD143" s="3579"/>
      <c r="RME143" s="3579"/>
      <c r="RMF143" s="3579"/>
      <c r="RMG143" s="3579"/>
      <c r="RMH143" s="3579"/>
      <c r="RMI143" s="3579"/>
      <c r="RMJ143" s="3579"/>
      <c r="RMK143" s="3579"/>
      <c r="RML143" s="3579"/>
      <c r="RMM143" s="3579"/>
      <c r="RMN143" s="3579"/>
      <c r="RMO143" s="3579"/>
      <c r="RMP143" s="3579"/>
      <c r="RMQ143" s="3579"/>
      <c r="RMR143" s="3579"/>
      <c r="RMS143" s="3579"/>
      <c r="RMT143" s="3579"/>
      <c r="RMU143" s="3579"/>
      <c r="RMV143" s="3579"/>
      <c r="RMW143" s="3579"/>
      <c r="RMX143" s="3579"/>
      <c r="RMY143" s="3579"/>
      <c r="RMZ143" s="3579"/>
      <c r="RNA143" s="3579"/>
      <c r="RNB143" s="3579"/>
      <c r="RNC143" s="3579"/>
      <c r="RND143" s="3579"/>
      <c r="RNE143" s="3579"/>
      <c r="RNF143" s="3579"/>
      <c r="RNG143" s="3579"/>
      <c r="RNH143" s="3579"/>
      <c r="RNI143" s="3579"/>
      <c r="RNJ143" s="3579"/>
      <c r="RNK143" s="3579"/>
      <c r="RNL143" s="3579"/>
      <c r="RNM143" s="3579"/>
      <c r="RNN143" s="3579"/>
      <c r="RNO143" s="3579"/>
      <c r="RNP143" s="3579"/>
      <c r="RNQ143" s="3579"/>
      <c r="RNR143" s="3579"/>
      <c r="RNS143" s="3579"/>
      <c r="RNT143" s="3579"/>
      <c r="RNU143" s="3579"/>
      <c r="RNV143" s="3579"/>
      <c r="RNW143" s="3579"/>
      <c r="RNX143" s="3579"/>
      <c r="RNY143" s="3579"/>
      <c r="RNZ143" s="3579"/>
      <c r="ROA143" s="3579"/>
      <c r="ROB143" s="3579"/>
      <c r="ROC143" s="3579"/>
      <c r="ROD143" s="3579"/>
      <c r="ROE143" s="3579"/>
      <c r="ROF143" s="3579"/>
      <c r="ROG143" s="3579"/>
      <c r="ROH143" s="3579"/>
      <c r="ROI143" s="3579"/>
      <c r="ROJ143" s="3579"/>
      <c r="ROK143" s="3579"/>
      <c r="ROL143" s="3579"/>
      <c r="ROM143" s="3579"/>
      <c r="RON143" s="3579"/>
      <c r="ROO143" s="3579"/>
      <c r="ROP143" s="3579"/>
      <c r="ROQ143" s="3579"/>
      <c r="ROR143" s="3579"/>
      <c r="ROS143" s="3579"/>
      <c r="ROT143" s="3579"/>
      <c r="ROU143" s="3579"/>
      <c r="ROV143" s="3579"/>
      <c r="ROW143" s="3579"/>
      <c r="ROX143" s="3579"/>
      <c r="ROY143" s="3579"/>
      <c r="ROZ143" s="3579"/>
      <c r="RPA143" s="3579"/>
      <c r="RPB143" s="3579"/>
      <c r="RPC143" s="3579"/>
      <c r="RPD143" s="3579"/>
      <c r="RPE143" s="3579"/>
      <c r="RPF143" s="3579"/>
      <c r="RPG143" s="3579"/>
      <c r="RPH143" s="3579"/>
      <c r="RPI143" s="3579"/>
      <c r="RPJ143" s="3579"/>
      <c r="RPK143" s="3579"/>
      <c r="RPL143" s="3579"/>
      <c r="RPM143" s="3579"/>
      <c r="RPN143" s="3579"/>
      <c r="RPO143" s="3579"/>
      <c r="RPP143" s="3579"/>
      <c r="RPQ143" s="3579"/>
      <c r="RPR143" s="3579"/>
      <c r="RPS143" s="3579"/>
      <c r="RPT143" s="3579"/>
      <c r="RPU143" s="3579"/>
      <c r="RPV143" s="3579"/>
      <c r="RPW143" s="3579"/>
      <c r="RPX143" s="3579"/>
      <c r="RPY143" s="3579"/>
      <c r="RPZ143" s="3579"/>
      <c r="RQA143" s="3579"/>
      <c r="RQB143" s="3579"/>
      <c r="RQC143" s="3579"/>
      <c r="RQD143" s="3579"/>
      <c r="RQE143" s="3579"/>
      <c r="RQF143" s="3579"/>
      <c r="RQG143" s="3579"/>
      <c r="RQH143" s="3579"/>
      <c r="RQI143" s="3579"/>
      <c r="RQJ143" s="3579"/>
      <c r="RQK143" s="3579"/>
      <c r="RQL143" s="3579"/>
      <c r="RQM143" s="3579"/>
      <c r="RQN143" s="3579"/>
      <c r="RQO143" s="3579"/>
      <c r="RQP143" s="3579"/>
      <c r="RQQ143" s="3579"/>
      <c r="RQR143" s="3579"/>
      <c r="RQS143" s="3579"/>
      <c r="RQT143" s="3579"/>
      <c r="RQU143" s="3579"/>
      <c r="RQV143" s="3579"/>
      <c r="RQW143" s="3579"/>
      <c r="RQX143" s="3579"/>
      <c r="RQY143" s="3579"/>
      <c r="RQZ143" s="3579"/>
      <c r="RRA143" s="3579"/>
      <c r="RRB143" s="3579"/>
      <c r="RRC143" s="3579"/>
      <c r="RRD143" s="3579"/>
      <c r="RRE143" s="3579"/>
      <c r="RRF143" s="3579"/>
      <c r="RRG143" s="3579"/>
      <c r="RRH143" s="3579"/>
      <c r="RRI143" s="3579"/>
      <c r="RRJ143" s="3579"/>
      <c r="RRK143" s="3579"/>
      <c r="RRL143" s="3579"/>
      <c r="RRM143" s="3579"/>
      <c r="RRN143" s="3579"/>
      <c r="RRO143" s="3579"/>
      <c r="RRP143" s="3579"/>
      <c r="RRQ143" s="3579"/>
      <c r="RRR143" s="3579"/>
      <c r="RRS143" s="3579"/>
      <c r="RRT143" s="3579"/>
      <c r="RRU143" s="3579"/>
      <c r="RRV143" s="3579"/>
      <c r="RRW143" s="3579"/>
      <c r="RRX143" s="3579"/>
      <c r="RRY143" s="3579"/>
      <c r="RRZ143" s="3579"/>
      <c r="RSA143" s="3579"/>
      <c r="RSB143" s="3579"/>
      <c r="RSC143" s="3579"/>
      <c r="RSD143" s="3579"/>
      <c r="RSE143" s="3579"/>
      <c r="RSF143" s="3579"/>
      <c r="RSG143" s="3579"/>
      <c r="RSH143" s="3579"/>
      <c r="RSI143" s="3579"/>
      <c r="RSJ143" s="3579"/>
      <c r="RSK143" s="3579"/>
      <c r="RSL143" s="3579"/>
      <c r="RSM143" s="3579"/>
      <c r="RSN143" s="3579"/>
      <c r="RSO143" s="3579"/>
      <c r="RSP143" s="3579"/>
      <c r="RSQ143" s="3579"/>
      <c r="RSR143" s="3579"/>
      <c r="RSS143" s="3579"/>
      <c r="RST143" s="3579"/>
      <c r="RSU143" s="3579"/>
      <c r="RSV143" s="3579"/>
      <c r="RSW143" s="3579"/>
      <c r="RSX143" s="3579"/>
      <c r="RSY143" s="3579"/>
      <c r="RSZ143" s="3579"/>
      <c r="RTA143" s="3579"/>
      <c r="RTB143" s="3579"/>
      <c r="RTC143" s="3579"/>
      <c r="RTD143" s="3579"/>
      <c r="RTE143" s="3579"/>
      <c r="RTF143" s="3579"/>
      <c r="RTG143" s="3579"/>
      <c r="RTH143" s="3579"/>
      <c r="RTI143" s="3579"/>
      <c r="RTJ143" s="3579"/>
      <c r="RTK143" s="3579"/>
      <c r="RTL143" s="3579"/>
      <c r="RTM143" s="3579"/>
      <c r="RTN143" s="3579"/>
      <c r="RTO143" s="3579"/>
      <c r="RTP143" s="3579"/>
      <c r="RTQ143" s="3579"/>
      <c r="RTR143" s="3579"/>
      <c r="RTS143" s="3579"/>
      <c r="RTT143" s="3579"/>
      <c r="RTU143" s="3579"/>
      <c r="RTV143" s="3579"/>
      <c r="RTW143" s="3579"/>
      <c r="RTX143" s="3579"/>
      <c r="RTY143" s="3579"/>
      <c r="RTZ143" s="3579"/>
      <c r="RUA143" s="3579"/>
      <c r="RUB143" s="3579"/>
      <c r="RUC143" s="3579"/>
      <c r="RUD143" s="3579"/>
      <c r="RUE143" s="3579"/>
      <c r="RUF143" s="3579"/>
      <c r="RUG143" s="3579"/>
      <c r="RUH143" s="3579"/>
      <c r="RUI143" s="3579"/>
      <c r="RUJ143" s="3579"/>
      <c r="RUK143" s="3579"/>
      <c r="RUL143" s="3579"/>
      <c r="RUM143" s="3579"/>
      <c r="RUN143" s="3579"/>
      <c r="RUO143" s="3579"/>
      <c r="RUP143" s="3579"/>
      <c r="RUQ143" s="3579"/>
      <c r="RUR143" s="3579"/>
      <c r="RUS143" s="3579"/>
      <c r="RUT143" s="3579"/>
      <c r="RUU143" s="3579"/>
      <c r="RUV143" s="3579"/>
      <c r="RUW143" s="3579"/>
      <c r="RUX143" s="3579"/>
      <c r="RUY143" s="3579"/>
      <c r="RUZ143" s="3579"/>
      <c r="RVA143" s="3579"/>
      <c r="RVB143" s="3579"/>
      <c r="RVC143" s="3579"/>
      <c r="RVD143" s="3579"/>
      <c r="RVE143" s="3579"/>
      <c r="RVF143" s="3579"/>
      <c r="RVG143" s="3579"/>
      <c r="RVH143" s="3579"/>
      <c r="RVI143" s="3579"/>
      <c r="RVJ143" s="3579"/>
      <c r="RVK143" s="3579"/>
      <c r="RVL143" s="3579"/>
      <c r="RVM143" s="3579"/>
      <c r="RVN143" s="3579"/>
      <c r="RVO143" s="3579"/>
      <c r="RVP143" s="3579"/>
      <c r="RVQ143" s="3579"/>
      <c r="RVR143" s="3579"/>
      <c r="RVS143" s="3579"/>
      <c r="RVT143" s="3579"/>
      <c r="RVU143" s="3579"/>
      <c r="RVV143" s="3579"/>
      <c r="RVW143" s="3579"/>
      <c r="RVX143" s="3579"/>
      <c r="RVY143" s="3579"/>
      <c r="RVZ143" s="3579"/>
      <c r="RWA143" s="3579"/>
      <c r="RWB143" s="3579"/>
      <c r="RWC143" s="3579"/>
      <c r="RWD143" s="3579"/>
      <c r="RWE143" s="3579"/>
      <c r="RWF143" s="3579"/>
      <c r="RWG143" s="3579"/>
      <c r="RWH143" s="3579"/>
      <c r="RWI143" s="3579"/>
      <c r="RWJ143" s="3579"/>
      <c r="RWK143" s="3579"/>
      <c r="RWL143" s="3579"/>
      <c r="RWM143" s="3579"/>
      <c r="RWN143" s="3579"/>
      <c r="RWO143" s="3579"/>
      <c r="RWP143" s="3579"/>
      <c r="RWQ143" s="3579"/>
      <c r="RWR143" s="3579"/>
      <c r="RWS143" s="3579"/>
      <c r="RWT143" s="3579"/>
      <c r="RWU143" s="3579"/>
      <c r="RWV143" s="3579"/>
      <c r="RWW143" s="3579"/>
      <c r="RWX143" s="3579"/>
      <c r="RWY143" s="3579"/>
      <c r="RWZ143" s="3579"/>
      <c r="RXA143" s="3579"/>
      <c r="RXB143" s="3579"/>
      <c r="RXC143" s="3579"/>
      <c r="RXD143" s="3579"/>
      <c r="RXE143" s="3579"/>
      <c r="RXF143" s="3579"/>
      <c r="RXG143" s="3579"/>
      <c r="RXH143" s="3579"/>
      <c r="RXI143" s="3579"/>
      <c r="RXJ143" s="3579"/>
      <c r="RXK143" s="3579"/>
      <c r="RXL143" s="3579"/>
      <c r="RXM143" s="3579"/>
      <c r="RXN143" s="3579"/>
      <c r="RXO143" s="3579"/>
      <c r="RXP143" s="3579"/>
      <c r="RXQ143" s="3579"/>
      <c r="RXR143" s="3579"/>
      <c r="RXS143" s="3579"/>
      <c r="RXT143" s="3579"/>
      <c r="RXU143" s="3579"/>
      <c r="RXV143" s="3579"/>
      <c r="RXW143" s="3579"/>
      <c r="RXX143" s="3579"/>
      <c r="RXY143" s="3579"/>
      <c r="RXZ143" s="3579"/>
      <c r="RYA143" s="3579"/>
      <c r="RYB143" s="3579"/>
      <c r="RYC143" s="3579"/>
      <c r="RYD143" s="3579"/>
      <c r="RYE143" s="3579"/>
      <c r="RYF143" s="3579"/>
      <c r="RYG143" s="3579"/>
      <c r="RYH143" s="3579"/>
      <c r="RYI143" s="3579"/>
      <c r="RYJ143" s="3579"/>
      <c r="RYK143" s="3579"/>
      <c r="RYL143" s="3579"/>
      <c r="RYM143" s="3579"/>
      <c r="RYN143" s="3579"/>
      <c r="RYO143" s="3579"/>
      <c r="RYP143" s="3579"/>
      <c r="RYQ143" s="3579"/>
      <c r="RYR143" s="3579"/>
      <c r="RYS143" s="3579"/>
      <c r="RYT143" s="3579"/>
      <c r="RYU143" s="3579"/>
      <c r="RYV143" s="3579"/>
      <c r="RYW143" s="3579"/>
      <c r="RYX143" s="3579"/>
      <c r="RYY143" s="3579"/>
      <c r="RYZ143" s="3579"/>
      <c r="RZA143" s="3579"/>
      <c r="RZB143" s="3579"/>
      <c r="RZC143" s="3579"/>
      <c r="RZD143" s="3579"/>
      <c r="RZE143" s="3579"/>
      <c r="RZF143" s="3579"/>
      <c r="RZG143" s="3579"/>
      <c r="RZH143" s="3579"/>
      <c r="RZI143" s="3579"/>
      <c r="RZJ143" s="3579"/>
      <c r="RZK143" s="3579"/>
      <c r="RZL143" s="3579"/>
      <c r="RZM143" s="3579"/>
      <c r="RZN143" s="3579"/>
      <c r="RZO143" s="3579"/>
      <c r="RZP143" s="3579"/>
      <c r="RZQ143" s="3579"/>
      <c r="RZR143" s="3579"/>
      <c r="RZS143" s="3579"/>
      <c r="RZT143" s="3579"/>
      <c r="RZU143" s="3579"/>
      <c r="RZV143" s="3579"/>
      <c r="RZW143" s="3579"/>
      <c r="RZX143" s="3579"/>
      <c r="RZY143" s="3579"/>
      <c r="RZZ143" s="3579"/>
      <c r="SAA143" s="3579"/>
      <c r="SAB143" s="3579"/>
      <c r="SAC143" s="3579"/>
      <c r="SAD143" s="3579"/>
      <c r="SAE143" s="3579"/>
      <c r="SAF143" s="3579"/>
      <c r="SAG143" s="3579"/>
      <c r="SAH143" s="3579"/>
      <c r="SAI143" s="3579"/>
      <c r="SAJ143" s="3579"/>
      <c r="SAK143" s="3579"/>
      <c r="SAL143" s="3579"/>
      <c r="SAM143" s="3579"/>
      <c r="SAN143" s="3579"/>
      <c r="SAO143" s="3579"/>
      <c r="SAP143" s="3579"/>
      <c r="SAQ143" s="3579"/>
      <c r="SAR143" s="3579"/>
      <c r="SAS143" s="3579"/>
      <c r="SAT143" s="3579"/>
      <c r="SAU143" s="3579"/>
      <c r="SAV143" s="3579"/>
      <c r="SAW143" s="3579"/>
      <c r="SAX143" s="3579"/>
      <c r="SAY143" s="3579"/>
      <c r="SAZ143" s="3579"/>
      <c r="SBA143" s="3579"/>
      <c r="SBB143" s="3579"/>
      <c r="SBC143" s="3579"/>
      <c r="SBD143" s="3579"/>
      <c r="SBE143" s="3579"/>
      <c r="SBF143" s="3579"/>
      <c r="SBG143" s="3579"/>
      <c r="SBH143" s="3579"/>
      <c r="SBI143" s="3579"/>
      <c r="SBJ143" s="3579"/>
      <c r="SBK143" s="3579"/>
      <c r="SBL143" s="3579"/>
      <c r="SBM143" s="3579"/>
      <c r="SBN143" s="3579"/>
      <c r="SBO143" s="3579"/>
      <c r="SBP143" s="3579"/>
      <c r="SBQ143" s="3579"/>
      <c r="SBR143" s="3579"/>
      <c r="SBS143" s="3579"/>
      <c r="SBT143" s="3579"/>
      <c r="SBU143" s="3579"/>
      <c r="SBV143" s="3579"/>
      <c r="SBW143" s="3579"/>
      <c r="SBX143" s="3579"/>
      <c r="SBY143" s="3579"/>
      <c r="SBZ143" s="3579"/>
      <c r="SCA143" s="3579"/>
      <c r="SCB143" s="3579"/>
      <c r="SCC143" s="3579"/>
      <c r="SCD143" s="3579"/>
      <c r="SCE143" s="3579"/>
      <c r="SCF143" s="3579"/>
      <c r="SCG143" s="3579"/>
      <c r="SCH143" s="3579"/>
      <c r="SCI143" s="3579"/>
      <c r="SCJ143" s="3579"/>
      <c r="SCK143" s="3579"/>
      <c r="SCL143" s="3579"/>
      <c r="SCM143" s="3579"/>
      <c r="SCN143" s="3579"/>
      <c r="SCO143" s="3579"/>
      <c r="SCP143" s="3579"/>
      <c r="SCQ143" s="3579"/>
      <c r="SCR143" s="3579"/>
      <c r="SCS143" s="3579"/>
      <c r="SCT143" s="3579"/>
      <c r="SCU143" s="3579"/>
      <c r="SCV143" s="3579"/>
      <c r="SCW143" s="3579"/>
      <c r="SCX143" s="3579"/>
      <c r="SCY143" s="3579"/>
      <c r="SCZ143" s="3579"/>
      <c r="SDA143" s="3579"/>
      <c r="SDB143" s="3579"/>
      <c r="SDC143" s="3579"/>
      <c r="SDD143" s="3579"/>
      <c r="SDE143" s="3579"/>
      <c r="SDF143" s="3579"/>
      <c r="SDG143" s="3579"/>
      <c r="SDH143" s="3579"/>
      <c r="SDI143" s="3579"/>
      <c r="SDJ143" s="3579"/>
      <c r="SDK143" s="3579"/>
      <c r="SDL143" s="3579"/>
      <c r="SDM143" s="3579"/>
      <c r="SDN143" s="3579"/>
      <c r="SDO143" s="3579"/>
      <c r="SDP143" s="3579"/>
      <c r="SDQ143" s="3579"/>
      <c r="SDR143" s="3579"/>
      <c r="SDS143" s="3579"/>
      <c r="SDT143" s="3579"/>
      <c r="SDU143" s="3579"/>
      <c r="SDV143" s="3579"/>
      <c r="SDW143" s="3579"/>
      <c r="SDX143" s="3579"/>
      <c r="SDY143" s="3579"/>
      <c r="SDZ143" s="3579"/>
      <c r="SEA143" s="3579"/>
      <c r="SEB143" s="3579"/>
      <c r="SEC143" s="3579"/>
      <c r="SED143" s="3579"/>
      <c r="SEE143" s="3579"/>
      <c r="SEF143" s="3579"/>
      <c r="SEG143" s="3579"/>
      <c r="SEH143" s="3579"/>
      <c r="SEI143" s="3579"/>
      <c r="SEJ143" s="3579"/>
      <c r="SEK143" s="3579"/>
      <c r="SEL143" s="3579"/>
      <c r="SEM143" s="3579"/>
      <c r="SEN143" s="3579"/>
      <c r="SEO143" s="3579"/>
      <c r="SEP143" s="3579"/>
      <c r="SEQ143" s="3579"/>
      <c r="SER143" s="3579"/>
      <c r="SES143" s="3579"/>
      <c r="SET143" s="3579"/>
      <c r="SEU143" s="3579"/>
      <c r="SEV143" s="3579"/>
      <c r="SEW143" s="3579"/>
      <c r="SEX143" s="3579"/>
      <c r="SEY143" s="3579"/>
      <c r="SEZ143" s="3579"/>
      <c r="SFA143" s="3579"/>
      <c r="SFB143" s="3579"/>
      <c r="SFC143" s="3579"/>
      <c r="SFD143" s="3579"/>
      <c r="SFE143" s="3579"/>
      <c r="SFF143" s="3579"/>
      <c r="SFG143" s="3579"/>
      <c r="SFH143" s="3579"/>
      <c r="SFI143" s="3579"/>
      <c r="SFJ143" s="3579"/>
      <c r="SFK143" s="3579"/>
      <c r="SFL143" s="3579"/>
      <c r="SFM143" s="3579"/>
      <c r="SFN143" s="3579"/>
      <c r="SFO143" s="3579"/>
      <c r="SFP143" s="3579"/>
      <c r="SFQ143" s="3579"/>
      <c r="SFR143" s="3579"/>
      <c r="SFS143" s="3579"/>
      <c r="SFT143" s="3579"/>
      <c r="SFU143" s="3579"/>
      <c r="SFV143" s="3579"/>
      <c r="SFW143" s="3579"/>
      <c r="SFX143" s="3579"/>
      <c r="SFY143" s="3579"/>
      <c r="SFZ143" s="3579"/>
      <c r="SGA143" s="3579"/>
      <c r="SGB143" s="3579"/>
      <c r="SGC143" s="3579"/>
      <c r="SGD143" s="3579"/>
      <c r="SGE143" s="3579"/>
      <c r="SGF143" s="3579"/>
      <c r="SGG143" s="3579"/>
      <c r="SGH143" s="3579"/>
      <c r="SGI143" s="3579"/>
      <c r="SGJ143" s="3579"/>
      <c r="SGK143" s="3579"/>
      <c r="SGL143" s="3579"/>
      <c r="SGM143" s="3579"/>
      <c r="SGN143" s="3579"/>
      <c r="SGO143" s="3579"/>
      <c r="SGP143" s="3579"/>
      <c r="SGQ143" s="3579"/>
      <c r="SGR143" s="3579"/>
      <c r="SGS143" s="3579"/>
      <c r="SGT143" s="3579"/>
      <c r="SGU143" s="3579"/>
      <c r="SGV143" s="3579"/>
      <c r="SGW143" s="3579"/>
      <c r="SGX143" s="3579"/>
      <c r="SGY143" s="3579"/>
      <c r="SGZ143" s="3579"/>
      <c r="SHA143" s="3579"/>
      <c r="SHB143" s="3579"/>
      <c r="SHC143" s="3579"/>
      <c r="SHD143" s="3579"/>
      <c r="SHE143" s="3579"/>
      <c r="SHF143" s="3579"/>
      <c r="SHG143" s="3579"/>
      <c r="SHH143" s="3579"/>
      <c r="SHI143" s="3579"/>
      <c r="SHJ143" s="3579"/>
      <c r="SHK143" s="3579"/>
      <c r="SHL143" s="3579"/>
      <c r="SHM143" s="3579"/>
      <c r="SHN143" s="3579"/>
      <c r="SHO143" s="3579"/>
      <c r="SHP143" s="3579"/>
      <c r="SHQ143" s="3579"/>
      <c r="SHR143" s="3579"/>
      <c r="SHS143" s="3579"/>
      <c r="SHT143" s="3579"/>
      <c r="SHU143" s="3579"/>
      <c r="SHV143" s="3579"/>
      <c r="SHW143" s="3579"/>
      <c r="SHX143" s="3579"/>
      <c r="SHY143" s="3579"/>
      <c r="SHZ143" s="3579"/>
      <c r="SIA143" s="3579"/>
      <c r="SIB143" s="3579"/>
      <c r="SIC143" s="3579"/>
      <c r="SID143" s="3579"/>
      <c r="SIE143" s="3579"/>
      <c r="SIF143" s="3579"/>
      <c r="SIG143" s="3579"/>
      <c r="SIH143" s="3579"/>
      <c r="SII143" s="3579"/>
      <c r="SIJ143" s="3579"/>
      <c r="SIK143" s="3579"/>
      <c r="SIL143" s="3579"/>
      <c r="SIM143" s="3579"/>
      <c r="SIN143" s="3579"/>
      <c r="SIO143" s="3579"/>
      <c r="SIP143" s="3579"/>
      <c r="SIQ143" s="3579"/>
      <c r="SIR143" s="3579"/>
      <c r="SIS143" s="3579"/>
      <c r="SIT143" s="3579"/>
      <c r="SIU143" s="3579"/>
      <c r="SIV143" s="3579"/>
      <c r="SIW143" s="3579"/>
      <c r="SIX143" s="3579"/>
      <c r="SIY143" s="3579"/>
      <c r="SIZ143" s="3579"/>
      <c r="SJA143" s="3579"/>
      <c r="SJB143" s="3579"/>
      <c r="SJC143" s="3579"/>
      <c r="SJD143" s="3579"/>
      <c r="SJE143" s="3579"/>
      <c r="SJF143" s="3579"/>
      <c r="SJG143" s="3579"/>
      <c r="SJH143" s="3579"/>
      <c r="SJI143" s="3579"/>
      <c r="SJJ143" s="3579"/>
      <c r="SJK143" s="3579"/>
      <c r="SJL143" s="3579"/>
      <c r="SJM143" s="3579"/>
      <c r="SJN143" s="3579"/>
      <c r="SJO143" s="3579"/>
      <c r="SJP143" s="3579"/>
      <c r="SJQ143" s="3579"/>
      <c r="SJR143" s="3579"/>
      <c r="SJS143" s="3579"/>
      <c r="SJT143" s="3579"/>
      <c r="SJU143" s="3579"/>
      <c r="SJV143" s="3579"/>
      <c r="SJW143" s="3579"/>
      <c r="SJX143" s="3579"/>
      <c r="SJY143" s="3579"/>
      <c r="SJZ143" s="3579"/>
      <c r="SKA143" s="3579"/>
      <c r="SKB143" s="3579"/>
      <c r="SKC143" s="3579"/>
      <c r="SKD143" s="3579"/>
      <c r="SKE143" s="3579"/>
      <c r="SKF143" s="3579"/>
      <c r="SKG143" s="3579"/>
      <c r="SKH143" s="3579"/>
      <c r="SKI143" s="3579"/>
      <c r="SKJ143" s="3579"/>
      <c r="SKK143" s="3579"/>
      <c r="SKL143" s="3579"/>
      <c r="SKM143" s="3579"/>
      <c r="SKN143" s="3579"/>
      <c r="SKO143" s="3579"/>
      <c r="SKP143" s="3579"/>
      <c r="SKQ143" s="3579"/>
      <c r="SKR143" s="3579"/>
      <c r="SKS143" s="3579"/>
      <c r="SKT143" s="3579"/>
      <c r="SKU143" s="3579"/>
      <c r="SKV143" s="3579"/>
      <c r="SKW143" s="3579"/>
      <c r="SKX143" s="3579"/>
      <c r="SKY143" s="3579"/>
      <c r="SKZ143" s="3579"/>
      <c r="SLA143" s="3579"/>
      <c r="SLB143" s="3579"/>
      <c r="SLC143" s="3579"/>
      <c r="SLD143" s="3579"/>
      <c r="SLE143" s="3579"/>
      <c r="SLF143" s="3579"/>
      <c r="SLG143" s="3579"/>
      <c r="SLH143" s="3579"/>
      <c r="SLI143" s="3579"/>
      <c r="SLJ143" s="3579"/>
      <c r="SLK143" s="3579"/>
      <c r="SLL143" s="3579"/>
      <c r="SLM143" s="3579"/>
      <c r="SLN143" s="3579"/>
      <c r="SLO143" s="3579"/>
      <c r="SLP143" s="3579"/>
      <c r="SLQ143" s="3579"/>
      <c r="SLR143" s="3579"/>
      <c r="SLS143" s="3579"/>
      <c r="SLT143" s="3579"/>
      <c r="SLU143" s="3579"/>
      <c r="SLV143" s="3579"/>
      <c r="SLW143" s="3579"/>
      <c r="SLX143" s="3579"/>
      <c r="SLY143" s="3579"/>
      <c r="SLZ143" s="3579"/>
      <c r="SMA143" s="3579"/>
      <c r="SMB143" s="3579"/>
      <c r="SMC143" s="3579"/>
      <c r="SMD143" s="3579"/>
      <c r="SME143" s="3579"/>
      <c r="SMF143" s="3579"/>
      <c r="SMG143" s="3579"/>
      <c r="SMH143" s="3579"/>
      <c r="SMI143" s="3579"/>
      <c r="SMJ143" s="3579"/>
      <c r="SMK143" s="3579"/>
      <c r="SML143" s="3579"/>
      <c r="SMM143" s="3579"/>
      <c r="SMN143" s="3579"/>
      <c r="SMO143" s="3579"/>
      <c r="SMP143" s="3579"/>
      <c r="SMQ143" s="3579"/>
      <c r="SMR143" s="3579"/>
      <c r="SMS143" s="3579"/>
      <c r="SMT143" s="3579"/>
      <c r="SMU143" s="3579"/>
      <c r="SMV143" s="3579"/>
      <c r="SMW143" s="3579"/>
      <c r="SMX143" s="3579"/>
      <c r="SMY143" s="3579"/>
      <c r="SMZ143" s="3579"/>
      <c r="SNA143" s="3579"/>
      <c r="SNB143" s="3579"/>
      <c r="SNC143" s="3579"/>
      <c r="SND143" s="3579"/>
      <c r="SNE143" s="3579"/>
      <c r="SNF143" s="3579"/>
      <c r="SNG143" s="3579"/>
      <c r="SNH143" s="3579"/>
      <c r="SNI143" s="3579"/>
      <c r="SNJ143" s="3579"/>
      <c r="SNK143" s="3579"/>
      <c r="SNL143" s="3579"/>
      <c r="SNM143" s="3579"/>
      <c r="SNN143" s="3579"/>
      <c r="SNO143" s="3579"/>
      <c r="SNP143" s="3579"/>
      <c r="SNQ143" s="3579"/>
      <c r="SNR143" s="3579"/>
      <c r="SNS143" s="3579"/>
      <c r="SNT143" s="3579"/>
      <c r="SNU143" s="3579"/>
      <c r="SNV143" s="3579"/>
      <c r="SNW143" s="3579"/>
      <c r="SNX143" s="3579"/>
      <c r="SNY143" s="3579"/>
      <c r="SNZ143" s="3579"/>
      <c r="SOA143" s="3579"/>
      <c r="SOB143" s="3579"/>
      <c r="SOC143" s="3579"/>
      <c r="SOD143" s="3579"/>
      <c r="SOE143" s="3579"/>
      <c r="SOF143" s="3579"/>
      <c r="SOG143" s="3579"/>
      <c r="SOH143" s="3579"/>
      <c r="SOI143" s="3579"/>
      <c r="SOJ143" s="3579"/>
      <c r="SOK143" s="3579"/>
      <c r="SOL143" s="3579"/>
      <c r="SOM143" s="3579"/>
      <c r="SON143" s="3579"/>
      <c r="SOO143" s="3579"/>
      <c r="SOP143" s="3579"/>
      <c r="SOQ143" s="3579"/>
      <c r="SOR143" s="3579"/>
      <c r="SOS143" s="3579"/>
      <c r="SOT143" s="3579"/>
      <c r="SOU143" s="3579"/>
      <c r="SOV143" s="3579"/>
      <c r="SOW143" s="3579"/>
      <c r="SOX143" s="3579"/>
      <c r="SOY143" s="3579"/>
      <c r="SOZ143" s="3579"/>
      <c r="SPA143" s="3579"/>
      <c r="SPB143" s="3579"/>
      <c r="SPC143" s="3579"/>
      <c r="SPD143" s="3579"/>
      <c r="SPE143" s="3579"/>
      <c r="SPF143" s="3579"/>
      <c r="SPG143" s="3579"/>
      <c r="SPH143" s="3579"/>
      <c r="SPI143" s="3579"/>
      <c r="SPJ143" s="3579"/>
      <c r="SPK143" s="3579"/>
      <c r="SPL143" s="3579"/>
      <c r="SPM143" s="3579"/>
      <c r="SPN143" s="3579"/>
      <c r="SPO143" s="3579"/>
      <c r="SPP143" s="3579"/>
      <c r="SPQ143" s="3579"/>
      <c r="SPR143" s="3579"/>
      <c r="SPS143" s="3579"/>
      <c r="SPT143" s="3579"/>
      <c r="SPU143" s="3579"/>
      <c r="SPV143" s="3579"/>
      <c r="SPW143" s="3579"/>
      <c r="SPX143" s="3579"/>
      <c r="SPY143" s="3579"/>
      <c r="SPZ143" s="3579"/>
      <c r="SQA143" s="3579"/>
      <c r="SQB143" s="3579"/>
      <c r="SQC143" s="3579"/>
      <c r="SQD143" s="3579"/>
      <c r="SQE143" s="3579"/>
      <c r="SQF143" s="3579"/>
      <c r="SQG143" s="3579"/>
      <c r="SQH143" s="3579"/>
      <c r="SQI143" s="3579"/>
      <c r="SQJ143" s="3579"/>
      <c r="SQK143" s="3579"/>
      <c r="SQL143" s="3579"/>
      <c r="SQM143" s="3579"/>
      <c r="SQN143" s="3579"/>
      <c r="SQO143" s="3579"/>
      <c r="SQP143" s="3579"/>
      <c r="SQQ143" s="3579"/>
      <c r="SQR143" s="3579"/>
      <c r="SQS143" s="3579"/>
      <c r="SQT143" s="3579"/>
      <c r="SQU143" s="3579"/>
      <c r="SQV143" s="3579"/>
      <c r="SQW143" s="3579"/>
      <c r="SQX143" s="3579"/>
      <c r="SQY143" s="3579"/>
      <c r="SQZ143" s="3579"/>
      <c r="SRA143" s="3579"/>
      <c r="SRB143" s="3579"/>
      <c r="SRC143" s="3579"/>
      <c r="SRD143" s="3579"/>
      <c r="SRE143" s="3579"/>
      <c r="SRF143" s="3579"/>
      <c r="SRG143" s="3579"/>
      <c r="SRH143" s="3579"/>
      <c r="SRI143" s="3579"/>
      <c r="SRJ143" s="3579"/>
      <c r="SRK143" s="3579"/>
      <c r="SRL143" s="3579"/>
      <c r="SRM143" s="3579"/>
      <c r="SRN143" s="3579"/>
      <c r="SRO143" s="3579"/>
      <c r="SRP143" s="3579"/>
      <c r="SRQ143" s="3579"/>
      <c r="SRR143" s="3579"/>
      <c r="SRS143" s="3579"/>
      <c r="SRT143" s="3579"/>
      <c r="SRU143" s="3579"/>
      <c r="SRV143" s="3579"/>
      <c r="SRW143" s="3579"/>
      <c r="SRX143" s="3579"/>
      <c r="SRY143" s="3579"/>
      <c r="SRZ143" s="3579"/>
      <c r="SSA143" s="3579"/>
      <c r="SSB143" s="3579"/>
      <c r="SSC143" s="3579"/>
      <c r="SSD143" s="3579"/>
      <c r="SSE143" s="3579"/>
      <c r="SSF143" s="3579"/>
      <c r="SSG143" s="3579"/>
      <c r="SSH143" s="3579"/>
      <c r="SSI143" s="3579"/>
      <c r="SSJ143" s="3579"/>
      <c r="SSK143" s="3579"/>
      <c r="SSL143" s="3579"/>
      <c r="SSM143" s="3579"/>
      <c r="SSN143" s="3579"/>
      <c r="SSO143" s="3579"/>
      <c r="SSP143" s="3579"/>
      <c r="SSQ143" s="3579"/>
      <c r="SSR143" s="3579"/>
      <c r="SSS143" s="3579"/>
      <c r="SST143" s="3579"/>
      <c r="SSU143" s="3579"/>
      <c r="SSV143" s="3579"/>
      <c r="SSW143" s="3579"/>
      <c r="SSX143" s="3579"/>
      <c r="SSY143" s="3579"/>
      <c r="SSZ143" s="3579"/>
      <c r="STA143" s="3579"/>
      <c r="STB143" s="3579"/>
      <c r="STC143" s="3579"/>
      <c r="STD143" s="3579"/>
      <c r="STE143" s="3579"/>
      <c r="STF143" s="3579"/>
      <c r="STG143" s="3579"/>
      <c r="STH143" s="3579"/>
      <c r="STI143" s="3579"/>
      <c r="STJ143" s="3579"/>
      <c r="STK143" s="3579"/>
      <c r="STL143" s="3579"/>
      <c r="STM143" s="3579"/>
      <c r="STN143" s="3579"/>
      <c r="STO143" s="3579"/>
      <c r="STP143" s="3579"/>
      <c r="STQ143" s="3579"/>
      <c r="STR143" s="3579"/>
      <c r="STS143" s="3579"/>
      <c r="STT143" s="3579"/>
      <c r="STU143" s="3579"/>
      <c r="STV143" s="3579"/>
      <c r="STW143" s="3579"/>
      <c r="STX143" s="3579"/>
      <c r="STY143" s="3579"/>
      <c r="STZ143" s="3579"/>
      <c r="SUA143" s="3579"/>
      <c r="SUB143" s="3579"/>
      <c r="SUC143" s="3579"/>
      <c r="SUD143" s="3579"/>
      <c r="SUE143" s="3579"/>
      <c r="SUF143" s="3579"/>
      <c r="SUG143" s="3579"/>
      <c r="SUH143" s="3579"/>
      <c r="SUI143" s="3579"/>
      <c r="SUJ143" s="3579"/>
      <c r="SUK143" s="3579"/>
      <c r="SUL143" s="3579"/>
      <c r="SUM143" s="3579"/>
      <c r="SUN143" s="3579"/>
      <c r="SUO143" s="3579"/>
      <c r="SUP143" s="3579"/>
      <c r="SUQ143" s="3579"/>
      <c r="SUR143" s="3579"/>
      <c r="SUS143" s="3579"/>
      <c r="SUT143" s="3579"/>
      <c r="SUU143" s="3579"/>
      <c r="SUV143" s="3579"/>
      <c r="SUW143" s="3579"/>
      <c r="SUX143" s="3579"/>
      <c r="SUY143" s="3579"/>
      <c r="SUZ143" s="3579"/>
      <c r="SVA143" s="3579"/>
      <c r="SVB143" s="3579"/>
      <c r="SVC143" s="3579"/>
      <c r="SVD143" s="3579"/>
      <c r="SVE143" s="3579"/>
      <c r="SVF143" s="3579"/>
      <c r="SVG143" s="3579"/>
      <c r="SVH143" s="3579"/>
      <c r="SVI143" s="3579"/>
      <c r="SVJ143" s="3579"/>
      <c r="SVK143" s="3579"/>
      <c r="SVL143" s="3579"/>
      <c r="SVM143" s="3579"/>
      <c r="SVN143" s="3579"/>
      <c r="SVO143" s="3579"/>
      <c r="SVP143" s="3579"/>
      <c r="SVQ143" s="3579"/>
      <c r="SVR143" s="3579"/>
      <c r="SVS143" s="3579"/>
      <c r="SVT143" s="3579"/>
      <c r="SVU143" s="3579"/>
      <c r="SVV143" s="3579"/>
      <c r="SVW143" s="3579"/>
      <c r="SVX143" s="3579"/>
      <c r="SVY143" s="3579"/>
      <c r="SVZ143" s="3579"/>
      <c r="SWA143" s="3579"/>
      <c r="SWB143" s="3579"/>
      <c r="SWC143" s="3579"/>
      <c r="SWD143" s="3579"/>
      <c r="SWE143" s="3579"/>
      <c r="SWF143" s="3579"/>
      <c r="SWG143" s="3579"/>
      <c r="SWH143" s="3579"/>
      <c r="SWI143" s="3579"/>
      <c r="SWJ143" s="3579"/>
      <c r="SWK143" s="3579"/>
      <c r="SWL143" s="3579"/>
      <c r="SWM143" s="3579"/>
      <c r="SWN143" s="3579"/>
      <c r="SWO143" s="3579"/>
      <c r="SWP143" s="3579"/>
      <c r="SWQ143" s="3579"/>
      <c r="SWR143" s="3579"/>
      <c r="SWS143" s="3579"/>
      <c r="SWT143" s="3579"/>
      <c r="SWU143" s="3579"/>
      <c r="SWV143" s="3579"/>
      <c r="SWW143" s="3579"/>
      <c r="SWX143" s="3579"/>
      <c r="SWY143" s="3579"/>
      <c r="SWZ143" s="3579"/>
      <c r="SXA143" s="3579"/>
      <c r="SXB143" s="3579"/>
      <c r="SXC143" s="3579"/>
      <c r="SXD143" s="3579"/>
      <c r="SXE143" s="3579"/>
      <c r="SXF143" s="3579"/>
      <c r="SXG143" s="3579"/>
      <c r="SXH143" s="3579"/>
      <c r="SXI143" s="3579"/>
      <c r="SXJ143" s="3579"/>
      <c r="SXK143" s="3579"/>
      <c r="SXL143" s="3579"/>
      <c r="SXM143" s="3579"/>
      <c r="SXN143" s="3579"/>
      <c r="SXO143" s="3579"/>
      <c r="SXP143" s="3579"/>
      <c r="SXQ143" s="3579"/>
      <c r="SXR143" s="3579"/>
      <c r="SXS143" s="3579"/>
      <c r="SXT143" s="3579"/>
      <c r="SXU143" s="3579"/>
      <c r="SXV143" s="3579"/>
      <c r="SXW143" s="3579"/>
      <c r="SXX143" s="3579"/>
      <c r="SXY143" s="3579"/>
      <c r="SXZ143" s="3579"/>
      <c r="SYA143" s="3579"/>
      <c r="SYB143" s="3579"/>
      <c r="SYC143" s="3579"/>
      <c r="SYD143" s="3579"/>
      <c r="SYE143" s="3579"/>
      <c r="SYF143" s="3579"/>
      <c r="SYG143" s="3579"/>
      <c r="SYH143" s="3579"/>
      <c r="SYI143" s="3579"/>
      <c r="SYJ143" s="3579"/>
      <c r="SYK143" s="3579"/>
      <c r="SYL143" s="3579"/>
      <c r="SYM143" s="3579"/>
      <c r="SYN143" s="3579"/>
      <c r="SYO143" s="3579"/>
      <c r="SYP143" s="3579"/>
      <c r="SYQ143" s="3579"/>
      <c r="SYR143" s="3579"/>
      <c r="SYS143" s="3579"/>
      <c r="SYT143" s="3579"/>
      <c r="SYU143" s="3579"/>
      <c r="SYV143" s="3579"/>
      <c r="SYW143" s="3579"/>
      <c r="SYX143" s="3579"/>
      <c r="SYY143" s="3579"/>
      <c r="SYZ143" s="3579"/>
      <c r="SZA143" s="3579"/>
      <c r="SZB143" s="3579"/>
      <c r="SZC143" s="3579"/>
      <c r="SZD143" s="3579"/>
      <c r="SZE143" s="3579"/>
      <c r="SZF143" s="3579"/>
      <c r="SZG143" s="3579"/>
      <c r="SZH143" s="3579"/>
      <c r="SZI143" s="3579"/>
      <c r="SZJ143" s="3579"/>
      <c r="SZK143" s="3579"/>
      <c r="SZL143" s="3579"/>
      <c r="SZM143" s="3579"/>
      <c r="SZN143" s="3579"/>
      <c r="SZO143" s="3579"/>
      <c r="SZP143" s="3579"/>
      <c r="SZQ143" s="3579"/>
      <c r="SZR143" s="3579"/>
      <c r="SZS143" s="3579"/>
      <c r="SZT143" s="3579"/>
      <c r="SZU143" s="3579"/>
      <c r="SZV143" s="3579"/>
      <c r="SZW143" s="3579"/>
      <c r="SZX143" s="3579"/>
      <c r="SZY143" s="3579"/>
      <c r="SZZ143" s="3579"/>
      <c r="TAA143" s="3579"/>
      <c r="TAB143" s="3579"/>
      <c r="TAC143" s="3579"/>
      <c r="TAD143" s="3579"/>
      <c r="TAE143" s="3579"/>
      <c r="TAF143" s="3579"/>
      <c r="TAG143" s="3579"/>
      <c r="TAH143" s="3579"/>
      <c r="TAI143" s="3579"/>
      <c r="TAJ143" s="3579"/>
      <c r="TAK143" s="3579"/>
      <c r="TAL143" s="3579"/>
      <c r="TAM143" s="3579"/>
      <c r="TAN143" s="3579"/>
      <c r="TAO143" s="3579"/>
      <c r="TAP143" s="3579"/>
      <c r="TAQ143" s="3579"/>
      <c r="TAR143" s="3579"/>
      <c r="TAS143" s="3579"/>
      <c r="TAT143" s="3579"/>
      <c r="TAU143" s="3579"/>
      <c r="TAV143" s="3579"/>
      <c r="TAW143" s="3579"/>
      <c r="TAX143" s="3579"/>
      <c r="TAY143" s="3579"/>
      <c r="TAZ143" s="3579"/>
      <c r="TBA143" s="3579"/>
      <c r="TBB143" s="3579"/>
      <c r="TBC143" s="3579"/>
      <c r="TBD143" s="3579"/>
      <c r="TBE143" s="3579"/>
      <c r="TBF143" s="3579"/>
      <c r="TBG143" s="3579"/>
      <c r="TBH143" s="3579"/>
      <c r="TBI143" s="3579"/>
      <c r="TBJ143" s="3579"/>
      <c r="TBK143" s="3579"/>
      <c r="TBL143" s="3579"/>
      <c r="TBM143" s="3579"/>
      <c r="TBN143" s="3579"/>
      <c r="TBO143" s="3579"/>
      <c r="TBP143" s="3579"/>
      <c r="TBQ143" s="3579"/>
      <c r="TBR143" s="3579"/>
      <c r="TBS143" s="3579"/>
      <c r="TBT143" s="3579"/>
      <c r="TBU143" s="3579"/>
      <c r="TBV143" s="3579"/>
      <c r="TBW143" s="3579"/>
      <c r="TBX143" s="3579"/>
      <c r="TBY143" s="3579"/>
      <c r="TBZ143" s="3579"/>
      <c r="TCA143" s="3579"/>
      <c r="TCB143" s="3579"/>
      <c r="TCC143" s="3579"/>
      <c r="TCD143" s="3579"/>
      <c r="TCE143" s="3579"/>
      <c r="TCF143" s="3579"/>
      <c r="TCG143" s="3579"/>
      <c r="TCH143" s="3579"/>
      <c r="TCI143" s="3579"/>
      <c r="TCJ143" s="3579"/>
      <c r="TCK143" s="3579"/>
      <c r="TCL143" s="3579"/>
      <c r="TCM143" s="3579"/>
      <c r="TCN143" s="3579"/>
      <c r="TCO143" s="3579"/>
      <c r="TCP143" s="3579"/>
      <c r="TCQ143" s="3579"/>
      <c r="TCR143" s="3579"/>
      <c r="TCS143" s="3579"/>
      <c r="TCT143" s="3579"/>
      <c r="TCU143" s="3579"/>
      <c r="TCV143" s="3579"/>
      <c r="TCW143" s="3579"/>
      <c r="TCX143" s="3579"/>
      <c r="TCY143" s="3579"/>
      <c r="TCZ143" s="3579"/>
      <c r="TDA143" s="3579"/>
      <c r="TDB143" s="3579"/>
      <c r="TDC143" s="3579"/>
      <c r="TDD143" s="3579"/>
      <c r="TDE143" s="3579"/>
      <c r="TDF143" s="3579"/>
      <c r="TDG143" s="3579"/>
      <c r="TDH143" s="3579"/>
      <c r="TDI143" s="3579"/>
      <c r="TDJ143" s="3579"/>
      <c r="TDK143" s="3579"/>
      <c r="TDL143" s="3579"/>
      <c r="TDM143" s="3579"/>
      <c r="TDN143" s="3579"/>
      <c r="TDO143" s="3579"/>
      <c r="TDP143" s="3579"/>
      <c r="TDQ143" s="3579"/>
      <c r="TDR143" s="3579"/>
      <c r="TDS143" s="3579"/>
      <c r="TDT143" s="3579"/>
      <c r="TDU143" s="3579"/>
      <c r="TDV143" s="3579"/>
      <c r="TDW143" s="3579"/>
      <c r="TDX143" s="3579"/>
      <c r="TDY143" s="3579"/>
      <c r="TDZ143" s="3579"/>
      <c r="TEA143" s="3579"/>
      <c r="TEB143" s="3579"/>
      <c r="TEC143" s="3579"/>
      <c r="TED143" s="3579"/>
      <c r="TEE143" s="3579"/>
      <c r="TEF143" s="3579"/>
      <c r="TEG143" s="3579"/>
      <c r="TEH143" s="3579"/>
      <c r="TEI143" s="3579"/>
      <c r="TEJ143" s="3579"/>
      <c r="TEK143" s="3579"/>
      <c r="TEL143" s="3579"/>
      <c r="TEM143" s="3579"/>
      <c r="TEN143" s="3579"/>
      <c r="TEO143" s="3579"/>
      <c r="TEP143" s="3579"/>
      <c r="TEQ143" s="3579"/>
      <c r="TER143" s="3579"/>
      <c r="TES143" s="3579"/>
      <c r="TET143" s="3579"/>
      <c r="TEU143" s="3579"/>
      <c r="TEV143" s="3579"/>
      <c r="TEW143" s="3579"/>
      <c r="TEX143" s="3579"/>
      <c r="TEY143" s="3579"/>
      <c r="TEZ143" s="3579"/>
      <c r="TFA143" s="3579"/>
      <c r="TFB143" s="3579"/>
      <c r="TFC143" s="3579"/>
      <c r="TFD143" s="3579"/>
      <c r="TFE143" s="3579"/>
      <c r="TFF143" s="3579"/>
      <c r="TFG143" s="3579"/>
      <c r="TFH143" s="3579"/>
      <c r="TFI143" s="3579"/>
      <c r="TFJ143" s="3579"/>
      <c r="TFK143" s="3579"/>
      <c r="TFL143" s="3579"/>
      <c r="TFM143" s="3579"/>
      <c r="TFN143" s="3579"/>
      <c r="TFO143" s="3579"/>
      <c r="TFP143" s="3579"/>
      <c r="TFQ143" s="3579"/>
      <c r="TFR143" s="3579"/>
      <c r="TFS143" s="3579"/>
      <c r="TFT143" s="3579"/>
      <c r="TFU143" s="3579"/>
      <c r="TFV143" s="3579"/>
      <c r="TFW143" s="3579"/>
      <c r="TFX143" s="3579"/>
      <c r="TFY143" s="3579"/>
      <c r="TFZ143" s="3579"/>
      <c r="TGA143" s="3579"/>
      <c r="TGB143" s="3579"/>
      <c r="TGC143" s="3579"/>
      <c r="TGD143" s="3579"/>
      <c r="TGE143" s="3579"/>
      <c r="TGF143" s="3579"/>
      <c r="TGG143" s="3579"/>
      <c r="TGH143" s="3579"/>
      <c r="TGI143" s="3579"/>
      <c r="TGJ143" s="3579"/>
      <c r="TGK143" s="3579"/>
      <c r="TGL143" s="3579"/>
      <c r="TGM143" s="3579"/>
      <c r="TGN143" s="3579"/>
      <c r="TGO143" s="3579"/>
      <c r="TGP143" s="3579"/>
      <c r="TGQ143" s="3579"/>
      <c r="TGR143" s="3579"/>
      <c r="TGS143" s="3579"/>
      <c r="TGT143" s="3579"/>
      <c r="TGU143" s="3579"/>
      <c r="TGV143" s="3579"/>
      <c r="TGW143" s="3579"/>
      <c r="TGX143" s="3579"/>
      <c r="TGY143" s="3579"/>
      <c r="TGZ143" s="3579"/>
      <c r="THA143" s="3579"/>
      <c r="THB143" s="3579"/>
      <c r="THC143" s="3579"/>
      <c r="THD143" s="3579"/>
      <c r="THE143" s="3579"/>
      <c r="THF143" s="3579"/>
      <c r="THG143" s="3579"/>
      <c r="THH143" s="3579"/>
      <c r="THI143" s="3579"/>
      <c r="THJ143" s="3579"/>
      <c r="THK143" s="3579"/>
      <c r="THL143" s="3579"/>
      <c r="THM143" s="3579"/>
      <c r="THN143" s="3579"/>
      <c r="THO143" s="3579"/>
      <c r="THP143" s="3579"/>
      <c r="THQ143" s="3579"/>
      <c r="THR143" s="3579"/>
      <c r="THS143" s="3579"/>
      <c r="THT143" s="3579"/>
      <c r="THU143" s="3579"/>
      <c r="THV143" s="3579"/>
      <c r="THW143" s="3579"/>
      <c r="THX143" s="3579"/>
      <c r="THY143" s="3579"/>
      <c r="THZ143" s="3579"/>
      <c r="TIA143" s="3579"/>
      <c r="TIB143" s="3579"/>
      <c r="TIC143" s="3579"/>
      <c r="TID143" s="3579"/>
      <c r="TIE143" s="3579"/>
      <c r="TIF143" s="3579"/>
      <c r="TIG143" s="3579"/>
      <c r="TIH143" s="3579"/>
      <c r="TII143" s="3579"/>
      <c r="TIJ143" s="3579"/>
      <c r="TIK143" s="3579"/>
      <c r="TIL143" s="3579"/>
      <c r="TIM143" s="3579"/>
      <c r="TIN143" s="3579"/>
      <c r="TIO143" s="3579"/>
      <c r="TIP143" s="3579"/>
      <c r="TIQ143" s="3579"/>
      <c r="TIR143" s="3579"/>
      <c r="TIS143" s="3579"/>
      <c r="TIT143" s="3579"/>
      <c r="TIU143" s="3579"/>
      <c r="TIV143" s="3579"/>
      <c r="TIW143" s="3579"/>
      <c r="TIX143" s="3579"/>
      <c r="TIY143" s="3579"/>
      <c r="TIZ143" s="3579"/>
      <c r="TJA143" s="3579"/>
      <c r="TJB143" s="3579"/>
      <c r="TJC143" s="3579"/>
      <c r="TJD143" s="3579"/>
      <c r="TJE143" s="3579"/>
      <c r="TJF143" s="3579"/>
      <c r="TJG143" s="3579"/>
      <c r="TJH143" s="3579"/>
      <c r="TJI143" s="3579"/>
      <c r="TJJ143" s="3579"/>
      <c r="TJK143" s="3579"/>
      <c r="TJL143" s="3579"/>
      <c r="TJM143" s="3579"/>
      <c r="TJN143" s="3579"/>
      <c r="TJO143" s="3579"/>
      <c r="TJP143" s="3579"/>
      <c r="TJQ143" s="3579"/>
      <c r="TJR143" s="3579"/>
      <c r="TJS143" s="3579"/>
      <c r="TJT143" s="3579"/>
      <c r="TJU143" s="3579"/>
      <c r="TJV143" s="3579"/>
      <c r="TJW143" s="3579"/>
      <c r="TJX143" s="3579"/>
      <c r="TJY143" s="3579"/>
      <c r="TJZ143" s="3579"/>
      <c r="TKA143" s="3579"/>
      <c r="TKB143" s="3579"/>
      <c r="TKC143" s="3579"/>
      <c r="TKD143" s="3579"/>
      <c r="TKE143" s="3579"/>
      <c r="TKF143" s="3579"/>
      <c r="TKG143" s="3579"/>
      <c r="TKH143" s="3579"/>
      <c r="TKI143" s="3579"/>
      <c r="TKJ143" s="3579"/>
      <c r="TKK143" s="3579"/>
      <c r="TKL143" s="3579"/>
      <c r="TKM143" s="3579"/>
      <c r="TKN143" s="3579"/>
      <c r="TKO143" s="3579"/>
      <c r="TKP143" s="3579"/>
      <c r="TKQ143" s="3579"/>
      <c r="TKR143" s="3579"/>
      <c r="TKS143" s="3579"/>
      <c r="TKT143" s="3579"/>
      <c r="TKU143" s="3579"/>
      <c r="TKV143" s="3579"/>
      <c r="TKW143" s="3579"/>
      <c r="TKX143" s="3579"/>
      <c r="TKY143" s="3579"/>
      <c r="TKZ143" s="3579"/>
      <c r="TLA143" s="3579"/>
      <c r="TLB143" s="3579"/>
      <c r="TLC143" s="3579"/>
      <c r="TLD143" s="3579"/>
      <c r="TLE143" s="3579"/>
      <c r="TLF143" s="3579"/>
      <c r="TLG143" s="3579"/>
      <c r="TLH143" s="3579"/>
      <c r="TLI143" s="3579"/>
      <c r="TLJ143" s="3579"/>
      <c r="TLK143" s="3579"/>
      <c r="TLL143" s="3579"/>
      <c r="TLM143" s="3579"/>
      <c r="TLN143" s="3579"/>
      <c r="TLO143" s="3579"/>
      <c r="TLP143" s="3579"/>
      <c r="TLQ143" s="3579"/>
      <c r="TLR143" s="3579"/>
      <c r="TLS143" s="3579"/>
      <c r="TLT143" s="3579"/>
      <c r="TLU143" s="3579"/>
      <c r="TLV143" s="3579"/>
      <c r="TLW143" s="3579"/>
      <c r="TLX143" s="3579"/>
      <c r="TLY143" s="3579"/>
      <c r="TLZ143" s="3579"/>
      <c r="TMA143" s="3579"/>
      <c r="TMB143" s="3579"/>
      <c r="TMC143" s="3579"/>
      <c r="TMD143" s="3579"/>
      <c r="TME143" s="3579"/>
      <c r="TMF143" s="3579"/>
      <c r="TMG143" s="3579"/>
      <c r="TMH143" s="3579"/>
      <c r="TMI143" s="3579"/>
      <c r="TMJ143" s="3579"/>
      <c r="TMK143" s="3579"/>
      <c r="TML143" s="3579"/>
      <c r="TMM143" s="3579"/>
      <c r="TMN143" s="3579"/>
      <c r="TMO143" s="3579"/>
      <c r="TMP143" s="3579"/>
      <c r="TMQ143" s="3579"/>
      <c r="TMR143" s="3579"/>
      <c r="TMS143" s="3579"/>
      <c r="TMT143" s="3579"/>
      <c r="TMU143" s="3579"/>
      <c r="TMV143" s="3579"/>
      <c r="TMW143" s="3579"/>
      <c r="TMX143" s="3579"/>
      <c r="TMY143" s="3579"/>
      <c r="TMZ143" s="3579"/>
      <c r="TNA143" s="3579"/>
      <c r="TNB143" s="3579"/>
      <c r="TNC143" s="3579"/>
      <c r="TND143" s="3579"/>
      <c r="TNE143" s="3579"/>
      <c r="TNF143" s="3579"/>
      <c r="TNG143" s="3579"/>
      <c r="TNH143" s="3579"/>
      <c r="TNI143" s="3579"/>
      <c r="TNJ143" s="3579"/>
      <c r="TNK143" s="3579"/>
      <c r="TNL143" s="3579"/>
      <c r="TNM143" s="3579"/>
      <c r="TNN143" s="3579"/>
      <c r="TNO143" s="3579"/>
      <c r="TNP143" s="3579"/>
      <c r="TNQ143" s="3579"/>
      <c r="TNR143" s="3579"/>
      <c r="TNS143" s="3579"/>
      <c r="TNT143" s="3579"/>
      <c r="TNU143" s="3579"/>
      <c r="TNV143" s="3579"/>
      <c r="TNW143" s="3579"/>
      <c r="TNX143" s="3579"/>
      <c r="TNY143" s="3579"/>
      <c r="TNZ143" s="3579"/>
      <c r="TOA143" s="3579"/>
      <c r="TOB143" s="3579"/>
      <c r="TOC143" s="3579"/>
      <c r="TOD143" s="3579"/>
      <c r="TOE143" s="3579"/>
      <c r="TOF143" s="3579"/>
      <c r="TOG143" s="3579"/>
      <c r="TOH143" s="3579"/>
      <c r="TOI143" s="3579"/>
      <c r="TOJ143" s="3579"/>
      <c r="TOK143" s="3579"/>
      <c r="TOL143" s="3579"/>
      <c r="TOM143" s="3579"/>
      <c r="TON143" s="3579"/>
      <c r="TOO143" s="3579"/>
      <c r="TOP143" s="3579"/>
      <c r="TOQ143" s="3579"/>
      <c r="TOR143" s="3579"/>
      <c r="TOS143" s="3579"/>
      <c r="TOT143" s="3579"/>
      <c r="TOU143" s="3579"/>
      <c r="TOV143" s="3579"/>
      <c r="TOW143" s="3579"/>
      <c r="TOX143" s="3579"/>
      <c r="TOY143" s="3579"/>
      <c r="TOZ143" s="3579"/>
      <c r="TPA143" s="3579"/>
      <c r="TPB143" s="3579"/>
      <c r="TPC143" s="3579"/>
      <c r="TPD143" s="3579"/>
      <c r="TPE143" s="3579"/>
      <c r="TPF143" s="3579"/>
      <c r="TPG143" s="3579"/>
      <c r="TPH143" s="3579"/>
      <c r="TPI143" s="3579"/>
      <c r="TPJ143" s="3579"/>
      <c r="TPK143" s="3579"/>
      <c r="TPL143" s="3579"/>
      <c r="TPM143" s="3579"/>
      <c r="TPN143" s="3579"/>
      <c r="TPO143" s="3579"/>
      <c r="TPP143" s="3579"/>
      <c r="TPQ143" s="3579"/>
      <c r="TPR143" s="3579"/>
      <c r="TPS143" s="3579"/>
      <c r="TPT143" s="3579"/>
      <c r="TPU143" s="3579"/>
      <c r="TPV143" s="3579"/>
      <c r="TPW143" s="3579"/>
      <c r="TPX143" s="3579"/>
      <c r="TPY143" s="3579"/>
      <c r="TPZ143" s="3579"/>
      <c r="TQA143" s="3579"/>
      <c r="TQB143" s="3579"/>
      <c r="TQC143" s="3579"/>
      <c r="TQD143" s="3579"/>
      <c r="TQE143" s="3579"/>
      <c r="TQF143" s="3579"/>
      <c r="TQG143" s="3579"/>
      <c r="TQH143" s="3579"/>
      <c r="TQI143" s="3579"/>
      <c r="TQJ143" s="3579"/>
      <c r="TQK143" s="3579"/>
      <c r="TQL143" s="3579"/>
      <c r="TQM143" s="3579"/>
      <c r="TQN143" s="3579"/>
      <c r="TQO143" s="3579"/>
      <c r="TQP143" s="3579"/>
      <c r="TQQ143" s="3579"/>
      <c r="TQR143" s="3579"/>
      <c r="TQS143" s="3579"/>
      <c r="TQT143" s="3579"/>
      <c r="TQU143" s="3579"/>
      <c r="TQV143" s="3579"/>
      <c r="TQW143" s="3579"/>
      <c r="TQX143" s="3579"/>
      <c r="TQY143" s="3579"/>
      <c r="TQZ143" s="3579"/>
      <c r="TRA143" s="3579"/>
      <c r="TRB143" s="3579"/>
      <c r="TRC143" s="3579"/>
      <c r="TRD143" s="3579"/>
      <c r="TRE143" s="3579"/>
      <c r="TRF143" s="3579"/>
      <c r="TRG143" s="3579"/>
      <c r="TRH143" s="3579"/>
      <c r="TRI143" s="3579"/>
      <c r="TRJ143" s="3579"/>
      <c r="TRK143" s="3579"/>
      <c r="TRL143" s="3579"/>
      <c r="TRM143" s="3579"/>
      <c r="TRN143" s="3579"/>
      <c r="TRO143" s="3579"/>
      <c r="TRP143" s="3579"/>
      <c r="TRQ143" s="3579"/>
      <c r="TRR143" s="3579"/>
      <c r="TRS143" s="3579"/>
      <c r="TRT143" s="3579"/>
      <c r="TRU143" s="3579"/>
      <c r="TRV143" s="3579"/>
      <c r="TRW143" s="3579"/>
      <c r="TRX143" s="3579"/>
      <c r="TRY143" s="3579"/>
      <c r="TRZ143" s="3579"/>
      <c r="TSA143" s="3579"/>
      <c r="TSB143" s="3579"/>
      <c r="TSC143" s="3579"/>
      <c r="TSD143" s="3579"/>
      <c r="TSE143" s="3579"/>
      <c r="TSF143" s="3579"/>
      <c r="TSG143" s="3579"/>
      <c r="TSH143" s="3579"/>
      <c r="TSI143" s="3579"/>
      <c r="TSJ143" s="3579"/>
      <c r="TSK143" s="3579"/>
      <c r="TSL143" s="3579"/>
      <c r="TSM143" s="3579"/>
      <c r="TSN143" s="3579"/>
      <c r="TSO143" s="3579"/>
      <c r="TSP143" s="3579"/>
      <c r="TSQ143" s="3579"/>
      <c r="TSR143" s="3579"/>
      <c r="TSS143" s="3579"/>
      <c r="TST143" s="3579"/>
      <c r="TSU143" s="3579"/>
      <c r="TSV143" s="3579"/>
      <c r="TSW143" s="3579"/>
      <c r="TSX143" s="3579"/>
      <c r="TSY143" s="3579"/>
      <c r="TSZ143" s="3579"/>
      <c r="TTA143" s="3579"/>
      <c r="TTB143" s="3579"/>
      <c r="TTC143" s="3579"/>
      <c r="TTD143" s="3579"/>
      <c r="TTE143" s="3579"/>
      <c r="TTF143" s="3579"/>
      <c r="TTG143" s="3579"/>
      <c r="TTH143" s="3579"/>
      <c r="TTI143" s="3579"/>
      <c r="TTJ143" s="3579"/>
      <c r="TTK143" s="3579"/>
      <c r="TTL143" s="3579"/>
      <c r="TTM143" s="3579"/>
      <c r="TTN143" s="3579"/>
      <c r="TTO143" s="3579"/>
      <c r="TTP143" s="3579"/>
      <c r="TTQ143" s="3579"/>
      <c r="TTR143" s="3579"/>
      <c r="TTS143" s="3579"/>
      <c r="TTT143" s="3579"/>
      <c r="TTU143" s="3579"/>
      <c r="TTV143" s="3579"/>
      <c r="TTW143" s="3579"/>
      <c r="TTX143" s="3579"/>
      <c r="TTY143" s="3579"/>
      <c r="TTZ143" s="3579"/>
      <c r="TUA143" s="3579"/>
      <c r="TUB143" s="3579"/>
      <c r="TUC143" s="3579"/>
      <c r="TUD143" s="3579"/>
      <c r="TUE143" s="3579"/>
      <c r="TUF143" s="3579"/>
      <c r="TUG143" s="3579"/>
      <c r="TUH143" s="3579"/>
      <c r="TUI143" s="3579"/>
      <c r="TUJ143" s="3579"/>
      <c r="TUK143" s="3579"/>
      <c r="TUL143" s="3579"/>
      <c r="TUM143" s="3579"/>
      <c r="TUN143" s="3579"/>
      <c r="TUO143" s="3579"/>
      <c r="TUP143" s="3579"/>
      <c r="TUQ143" s="3579"/>
      <c r="TUR143" s="3579"/>
      <c r="TUS143" s="3579"/>
      <c r="TUT143" s="3579"/>
      <c r="TUU143" s="3579"/>
      <c r="TUV143" s="3579"/>
      <c r="TUW143" s="3579"/>
      <c r="TUX143" s="3579"/>
      <c r="TUY143" s="3579"/>
      <c r="TUZ143" s="3579"/>
      <c r="TVA143" s="3579"/>
      <c r="TVB143" s="3579"/>
      <c r="TVC143" s="3579"/>
      <c r="TVD143" s="3579"/>
      <c r="TVE143" s="3579"/>
      <c r="TVF143" s="3579"/>
      <c r="TVG143" s="3579"/>
      <c r="TVH143" s="3579"/>
      <c r="TVI143" s="3579"/>
      <c r="TVJ143" s="3579"/>
      <c r="TVK143" s="3579"/>
      <c r="TVL143" s="3579"/>
      <c r="TVM143" s="3579"/>
      <c r="TVN143" s="3579"/>
      <c r="TVO143" s="3579"/>
      <c r="TVP143" s="3579"/>
      <c r="TVQ143" s="3579"/>
      <c r="TVR143" s="3579"/>
      <c r="TVS143" s="3579"/>
      <c r="TVT143" s="3579"/>
      <c r="TVU143" s="3579"/>
      <c r="TVV143" s="3579"/>
      <c r="TVW143" s="3579"/>
      <c r="TVX143" s="3579"/>
      <c r="TVY143" s="3579"/>
      <c r="TVZ143" s="3579"/>
      <c r="TWA143" s="3579"/>
      <c r="TWB143" s="3579"/>
      <c r="TWC143" s="3579"/>
      <c r="TWD143" s="3579"/>
      <c r="TWE143" s="3579"/>
      <c r="TWF143" s="3579"/>
      <c r="TWG143" s="3579"/>
      <c r="TWH143" s="3579"/>
      <c r="TWI143" s="3579"/>
      <c r="TWJ143" s="3579"/>
      <c r="TWK143" s="3579"/>
      <c r="TWL143" s="3579"/>
      <c r="TWM143" s="3579"/>
      <c r="TWN143" s="3579"/>
      <c r="TWO143" s="3579"/>
      <c r="TWP143" s="3579"/>
      <c r="TWQ143" s="3579"/>
      <c r="TWR143" s="3579"/>
      <c r="TWS143" s="3579"/>
      <c r="TWT143" s="3579"/>
      <c r="TWU143" s="3579"/>
      <c r="TWV143" s="3579"/>
      <c r="TWW143" s="3579"/>
      <c r="TWX143" s="3579"/>
      <c r="TWY143" s="3579"/>
      <c r="TWZ143" s="3579"/>
      <c r="TXA143" s="3579"/>
      <c r="TXB143" s="3579"/>
      <c r="TXC143" s="3579"/>
      <c r="TXD143" s="3579"/>
      <c r="TXE143" s="3579"/>
      <c r="TXF143" s="3579"/>
      <c r="TXG143" s="3579"/>
      <c r="TXH143" s="3579"/>
      <c r="TXI143" s="3579"/>
      <c r="TXJ143" s="3579"/>
      <c r="TXK143" s="3579"/>
      <c r="TXL143" s="3579"/>
      <c r="TXM143" s="3579"/>
      <c r="TXN143" s="3579"/>
      <c r="TXO143" s="3579"/>
      <c r="TXP143" s="3579"/>
      <c r="TXQ143" s="3579"/>
      <c r="TXR143" s="3579"/>
      <c r="TXS143" s="3579"/>
      <c r="TXT143" s="3579"/>
      <c r="TXU143" s="3579"/>
      <c r="TXV143" s="3579"/>
      <c r="TXW143" s="3579"/>
      <c r="TXX143" s="3579"/>
      <c r="TXY143" s="3579"/>
      <c r="TXZ143" s="3579"/>
      <c r="TYA143" s="3579"/>
      <c r="TYB143" s="3579"/>
      <c r="TYC143" s="3579"/>
      <c r="TYD143" s="3579"/>
      <c r="TYE143" s="3579"/>
      <c r="TYF143" s="3579"/>
      <c r="TYG143" s="3579"/>
      <c r="TYH143" s="3579"/>
      <c r="TYI143" s="3579"/>
      <c r="TYJ143" s="3579"/>
      <c r="TYK143" s="3579"/>
      <c r="TYL143" s="3579"/>
      <c r="TYM143" s="3579"/>
      <c r="TYN143" s="3579"/>
      <c r="TYO143" s="3579"/>
      <c r="TYP143" s="3579"/>
      <c r="TYQ143" s="3579"/>
      <c r="TYR143" s="3579"/>
      <c r="TYS143" s="3579"/>
      <c r="TYT143" s="3579"/>
      <c r="TYU143" s="3579"/>
      <c r="TYV143" s="3579"/>
      <c r="TYW143" s="3579"/>
      <c r="TYX143" s="3579"/>
      <c r="TYY143" s="3579"/>
      <c r="TYZ143" s="3579"/>
      <c r="TZA143" s="3579"/>
      <c r="TZB143" s="3579"/>
      <c r="TZC143" s="3579"/>
      <c r="TZD143" s="3579"/>
      <c r="TZE143" s="3579"/>
      <c r="TZF143" s="3579"/>
      <c r="TZG143" s="3579"/>
      <c r="TZH143" s="3579"/>
      <c r="TZI143" s="3579"/>
      <c r="TZJ143" s="3579"/>
      <c r="TZK143" s="3579"/>
      <c r="TZL143" s="3579"/>
      <c r="TZM143" s="3579"/>
      <c r="TZN143" s="3579"/>
      <c r="TZO143" s="3579"/>
      <c r="TZP143" s="3579"/>
      <c r="TZQ143" s="3579"/>
      <c r="TZR143" s="3579"/>
      <c r="TZS143" s="3579"/>
      <c r="TZT143" s="3579"/>
      <c r="TZU143" s="3579"/>
      <c r="TZV143" s="3579"/>
      <c r="TZW143" s="3579"/>
      <c r="TZX143" s="3579"/>
      <c r="TZY143" s="3579"/>
      <c r="TZZ143" s="3579"/>
      <c r="UAA143" s="3579"/>
      <c r="UAB143" s="3579"/>
      <c r="UAC143" s="3579"/>
      <c r="UAD143" s="3579"/>
      <c r="UAE143" s="3579"/>
      <c r="UAF143" s="3579"/>
      <c r="UAG143" s="3579"/>
      <c r="UAH143" s="3579"/>
      <c r="UAI143" s="3579"/>
      <c r="UAJ143" s="3579"/>
      <c r="UAK143" s="3579"/>
      <c r="UAL143" s="3579"/>
      <c r="UAM143" s="3579"/>
      <c r="UAN143" s="3579"/>
      <c r="UAO143" s="3579"/>
      <c r="UAP143" s="3579"/>
      <c r="UAQ143" s="3579"/>
      <c r="UAR143" s="3579"/>
      <c r="UAS143" s="3579"/>
      <c r="UAT143" s="3579"/>
      <c r="UAU143" s="3579"/>
      <c r="UAV143" s="3579"/>
      <c r="UAW143" s="3579"/>
      <c r="UAX143" s="3579"/>
      <c r="UAY143" s="3579"/>
      <c r="UAZ143" s="3579"/>
      <c r="UBA143" s="3579"/>
      <c r="UBB143" s="3579"/>
      <c r="UBC143" s="3579"/>
      <c r="UBD143" s="3579"/>
      <c r="UBE143" s="3579"/>
      <c r="UBF143" s="3579"/>
      <c r="UBG143" s="3579"/>
      <c r="UBH143" s="3579"/>
      <c r="UBI143" s="3579"/>
      <c r="UBJ143" s="3579"/>
      <c r="UBK143" s="3579"/>
      <c r="UBL143" s="3579"/>
      <c r="UBM143" s="3579"/>
      <c r="UBN143" s="3579"/>
      <c r="UBO143" s="3579"/>
      <c r="UBP143" s="3579"/>
      <c r="UBQ143" s="3579"/>
      <c r="UBR143" s="3579"/>
      <c r="UBS143" s="3579"/>
      <c r="UBT143" s="3579"/>
      <c r="UBU143" s="3579"/>
      <c r="UBV143" s="3579"/>
      <c r="UBW143" s="3579"/>
      <c r="UBX143" s="3579"/>
      <c r="UBY143" s="3579"/>
      <c r="UBZ143" s="3579"/>
      <c r="UCA143" s="3579"/>
      <c r="UCB143" s="3579"/>
      <c r="UCC143" s="3579"/>
      <c r="UCD143" s="3579"/>
      <c r="UCE143" s="3579"/>
      <c r="UCF143" s="3579"/>
      <c r="UCG143" s="3579"/>
      <c r="UCH143" s="3579"/>
      <c r="UCI143" s="3579"/>
      <c r="UCJ143" s="3579"/>
      <c r="UCK143" s="3579"/>
      <c r="UCL143" s="3579"/>
      <c r="UCM143" s="3579"/>
      <c r="UCN143" s="3579"/>
      <c r="UCO143" s="3579"/>
      <c r="UCP143" s="3579"/>
      <c r="UCQ143" s="3579"/>
      <c r="UCR143" s="3579"/>
      <c r="UCS143" s="3579"/>
      <c r="UCT143" s="3579"/>
      <c r="UCU143" s="3579"/>
      <c r="UCV143" s="3579"/>
      <c r="UCW143" s="3579"/>
      <c r="UCX143" s="3579"/>
      <c r="UCY143" s="3579"/>
      <c r="UCZ143" s="3579"/>
      <c r="UDA143" s="3579"/>
      <c r="UDB143" s="3579"/>
      <c r="UDC143" s="3579"/>
      <c r="UDD143" s="3579"/>
      <c r="UDE143" s="3579"/>
      <c r="UDF143" s="3579"/>
      <c r="UDG143" s="3579"/>
      <c r="UDH143" s="3579"/>
      <c r="UDI143" s="3579"/>
      <c r="UDJ143" s="3579"/>
      <c r="UDK143" s="3579"/>
      <c r="UDL143" s="3579"/>
      <c r="UDM143" s="3579"/>
      <c r="UDN143" s="3579"/>
      <c r="UDO143" s="3579"/>
      <c r="UDP143" s="3579"/>
      <c r="UDQ143" s="3579"/>
      <c r="UDR143" s="3579"/>
      <c r="UDS143" s="3579"/>
      <c r="UDT143" s="3579"/>
      <c r="UDU143" s="3579"/>
      <c r="UDV143" s="3579"/>
      <c r="UDW143" s="3579"/>
      <c r="UDX143" s="3579"/>
      <c r="UDY143" s="3579"/>
      <c r="UDZ143" s="3579"/>
      <c r="UEA143" s="3579"/>
      <c r="UEB143" s="3579"/>
      <c r="UEC143" s="3579"/>
      <c r="UED143" s="3579"/>
      <c r="UEE143" s="3579"/>
      <c r="UEF143" s="3579"/>
      <c r="UEG143" s="3579"/>
      <c r="UEH143" s="3579"/>
      <c r="UEI143" s="3579"/>
      <c r="UEJ143" s="3579"/>
      <c r="UEK143" s="3579"/>
      <c r="UEL143" s="3579"/>
      <c r="UEM143" s="3579"/>
      <c r="UEN143" s="3579"/>
      <c r="UEO143" s="3579"/>
      <c r="UEP143" s="3579"/>
      <c r="UEQ143" s="3579"/>
      <c r="UER143" s="3579"/>
      <c r="UES143" s="3579"/>
      <c r="UET143" s="3579"/>
      <c r="UEU143" s="3579"/>
      <c r="UEV143" s="3579"/>
      <c r="UEW143" s="3579"/>
      <c r="UEX143" s="3579"/>
      <c r="UEY143" s="3579"/>
      <c r="UEZ143" s="3579"/>
      <c r="UFA143" s="3579"/>
      <c r="UFB143" s="3579"/>
      <c r="UFC143" s="3579"/>
      <c r="UFD143" s="3579"/>
      <c r="UFE143" s="3579"/>
      <c r="UFF143" s="3579"/>
      <c r="UFG143" s="3579"/>
      <c r="UFH143" s="3579"/>
      <c r="UFI143" s="3579"/>
      <c r="UFJ143" s="3579"/>
      <c r="UFK143" s="3579"/>
      <c r="UFL143" s="3579"/>
      <c r="UFM143" s="3579"/>
      <c r="UFN143" s="3579"/>
      <c r="UFO143" s="3579"/>
      <c r="UFP143" s="3579"/>
      <c r="UFQ143" s="3579"/>
      <c r="UFR143" s="3579"/>
      <c r="UFS143" s="3579"/>
      <c r="UFT143" s="3579"/>
      <c r="UFU143" s="3579"/>
      <c r="UFV143" s="3579"/>
      <c r="UFW143" s="3579"/>
      <c r="UFX143" s="3579"/>
      <c r="UFY143" s="3579"/>
      <c r="UFZ143" s="3579"/>
      <c r="UGA143" s="3579"/>
      <c r="UGB143" s="3579"/>
      <c r="UGC143" s="3579"/>
      <c r="UGD143" s="3579"/>
      <c r="UGE143" s="3579"/>
      <c r="UGF143" s="3579"/>
      <c r="UGG143" s="3579"/>
      <c r="UGH143" s="3579"/>
      <c r="UGI143" s="3579"/>
      <c r="UGJ143" s="3579"/>
      <c r="UGK143" s="3579"/>
      <c r="UGL143" s="3579"/>
      <c r="UGM143" s="3579"/>
      <c r="UGN143" s="3579"/>
      <c r="UGO143" s="3579"/>
      <c r="UGP143" s="3579"/>
      <c r="UGQ143" s="3579"/>
      <c r="UGR143" s="3579"/>
      <c r="UGS143" s="3579"/>
      <c r="UGT143" s="3579"/>
      <c r="UGU143" s="3579"/>
      <c r="UGV143" s="3579"/>
      <c r="UGW143" s="3579"/>
      <c r="UGX143" s="3579"/>
      <c r="UGY143" s="3579"/>
      <c r="UGZ143" s="3579"/>
      <c r="UHA143" s="3579"/>
      <c r="UHB143" s="3579"/>
      <c r="UHC143" s="3579"/>
      <c r="UHD143" s="3579"/>
      <c r="UHE143" s="3579"/>
      <c r="UHF143" s="3579"/>
      <c r="UHG143" s="3579"/>
      <c r="UHH143" s="3579"/>
      <c r="UHI143" s="3579"/>
      <c r="UHJ143" s="3579"/>
      <c r="UHK143" s="3579"/>
      <c r="UHL143" s="3579"/>
      <c r="UHM143" s="3579"/>
      <c r="UHN143" s="3579"/>
      <c r="UHO143" s="3579"/>
      <c r="UHP143" s="3579"/>
      <c r="UHQ143" s="3579"/>
      <c r="UHR143" s="3579"/>
      <c r="UHS143" s="3579"/>
      <c r="UHT143" s="3579"/>
      <c r="UHU143" s="3579"/>
      <c r="UHV143" s="3579"/>
      <c r="UHW143" s="3579"/>
      <c r="UHX143" s="3579"/>
      <c r="UHY143" s="3579"/>
      <c r="UHZ143" s="3579"/>
      <c r="UIA143" s="3579"/>
      <c r="UIB143" s="3579"/>
      <c r="UIC143" s="3579"/>
      <c r="UID143" s="3579"/>
      <c r="UIE143" s="3579"/>
      <c r="UIF143" s="3579"/>
      <c r="UIG143" s="3579"/>
      <c r="UIH143" s="3579"/>
      <c r="UII143" s="3579"/>
      <c r="UIJ143" s="3579"/>
      <c r="UIK143" s="3579"/>
      <c r="UIL143" s="3579"/>
      <c r="UIM143" s="3579"/>
      <c r="UIN143" s="3579"/>
      <c r="UIO143" s="3579"/>
      <c r="UIP143" s="3579"/>
      <c r="UIQ143" s="3579"/>
      <c r="UIR143" s="3579"/>
      <c r="UIS143" s="3579"/>
      <c r="UIT143" s="3579"/>
      <c r="UIU143" s="3579"/>
      <c r="UIV143" s="3579"/>
      <c r="UIW143" s="3579"/>
      <c r="UIX143" s="3579"/>
      <c r="UIY143" s="3579"/>
      <c r="UIZ143" s="3579"/>
      <c r="UJA143" s="3579"/>
      <c r="UJB143" s="3579"/>
      <c r="UJC143" s="3579"/>
      <c r="UJD143" s="3579"/>
      <c r="UJE143" s="3579"/>
      <c r="UJF143" s="3579"/>
      <c r="UJG143" s="3579"/>
      <c r="UJH143" s="3579"/>
      <c r="UJI143" s="3579"/>
      <c r="UJJ143" s="3579"/>
      <c r="UJK143" s="3579"/>
      <c r="UJL143" s="3579"/>
      <c r="UJM143" s="3579"/>
      <c r="UJN143" s="3579"/>
      <c r="UJO143" s="3579"/>
      <c r="UJP143" s="3579"/>
      <c r="UJQ143" s="3579"/>
      <c r="UJR143" s="3579"/>
      <c r="UJS143" s="3579"/>
      <c r="UJT143" s="3579"/>
      <c r="UJU143" s="3579"/>
      <c r="UJV143" s="3579"/>
      <c r="UJW143" s="3579"/>
      <c r="UJX143" s="3579"/>
      <c r="UJY143" s="3579"/>
      <c r="UJZ143" s="3579"/>
      <c r="UKA143" s="3579"/>
      <c r="UKB143" s="3579"/>
      <c r="UKC143" s="3579"/>
      <c r="UKD143" s="3579"/>
      <c r="UKE143" s="3579"/>
      <c r="UKF143" s="3579"/>
      <c r="UKG143" s="3579"/>
      <c r="UKH143" s="3579"/>
      <c r="UKI143" s="3579"/>
      <c r="UKJ143" s="3579"/>
      <c r="UKK143" s="3579"/>
      <c r="UKL143" s="3579"/>
      <c r="UKM143" s="3579"/>
      <c r="UKN143" s="3579"/>
      <c r="UKO143" s="3579"/>
      <c r="UKP143" s="3579"/>
      <c r="UKQ143" s="3579"/>
      <c r="UKR143" s="3579"/>
      <c r="UKS143" s="3579"/>
      <c r="UKT143" s="3579"/>
      <c r="UKU143" s="3579"/>
      <c r="UKV143" s="3579"/>
      <c r="UKW143" s="3579"/>
      <c r="UKX143" s="3579"/>
      <c r="UKY143" s="3579"/>
      <c r="UKZ143" s="3579"/>
      <c r="ULA143" s="3579"/>
      <c r="ULB143" s="3579"/>
      <c r="ULC143" s="3579"/>
      <c r="ULD143" s="3579"/>
      <c r="ULE143" s="3579"/>
      <c r="ULF143" s="3579"/>
      <c r="ULG143" s="3579"/>
      <c r="ULH143" s="3579"/>
      <c r="ULI143" s="3579"/>
      <c r="ULJ143" s="3579"/>
      <c r="ULK143" s="3579"/>
      <c r="ULL143" s="3579"/>
      <c r="ULM143" s="3579"/>
      <c r="ULN143" s="3579"/>
      <c r="ULO143" s="3579"/>
      <c r="ULP143" s="3579"/>
      <c r="ULQ143" s="3579"/>
      <c r="ULR143" s="3579"/>
      <c r="ULS143" s="3579"/>
      <c r="ULT143" s="3579"/>
      <c r="ULU143" s="3579"/>
      <c r="ULV143" s="3579"/>
      <c r="ULW143" s="3579"/>
      <c r="ULX143" s="3579"/>
      <c r="ULY143" s="3579"/>
      <c r="ULZ143" s="3579"/>
      <c r="UMA143" s="3579"/>
      <c r="UMB143" s="3579"/>
      <c r="UMC143" s="3579"/>
      <c r="UMD143" s="3579"/>
      <c r="UME143" s="3579"/>
      <c r="UMF143" s="3579"/>
      <c r="UMG143" s="3579"/>
      <c r="UMH143" s="3579"/>
      <c r="UMI143" s="3579"/>
      <c r="UMJ143" s="3579"/>
      <c r="UMK143" s="3579"/>
      <c r="UML143" s="3579"/>
      <c r="UMM143" s="3579"/>
      <c r="UMN143" s="3579"/>
      <c r="UMO143" s="3579"/>
      <c r="UMP143" s="3579"/>
      <c r="UMQ143" s="3579"/>
      <c r="UMR143" s="3579"/>
      <c r="UMS143" s="3579"/>
      <c r="UMT143" s="3579"/>
      <c r="UMU143" s="3579"/>
      <c r="UMV143" s="3579"/>
      <c r="UMW143" s="3579"/>
      <c r="UMX143" s="3579"/>
      <c r="UMY143" s="3579"/>
      <c r="UMZ143" s="3579"/>
      <c r="UNA143" s="3579"/>
      <c r="UNB143" s="3579"/>
      <c r="UNC143" s="3579"/>
      <c r="UND143" s="3579"/>
      <c r="UNE143" s="3579"/>
      <c r="UNF143" s="3579"/>
      <c r="UNG143" s="3579"/>
      <c r="UNH143" s="3579"/>
      <c r="UNI143" s="3579"/>
      <c r="UNJ143" s="3579"/>
      <c r="UNK143" s="3579"/>
      <c r="UNL143" s="3579"/>
      <c r="UNM143" s="3579"/>
      <c r="UNN143" s="3579"/>
      <c r="UNO143" s="3579"/>
      <c r="UNP143" s="3579"/>
      <c r="UNQ143" s="3579"/>
      <c r="UNR143" s="3579"/>
      <c r="UNS143" s="3579"/>
      <c r="UNT143" s="3579"/>
      <c r="UNU143" s="3579"/>
      <c r="UNV143" s="3579"/>
      <c r="UNW143" s="3579"/>
      <c r="UNX143" s="3579"/>
      <c r="UNY143" s="3579"/>
      <c r="UNZ143" s="3579"/>
      <c r="UOA143" s="3579"/>
      <c r="UOB143" s="3579"/>
      <c r="UOC143" s="3579"/>
      <c r="UOD143" s="3579"/>
      <c r="UOE143" s="3579"/>
      <c r="UOF143" s="3579"/>
      <c r="UOG143" s="3579"/>
      <c r="UOH143" s="3579"/>
      <c r="UOI143" s="3579"/>
      <c r="UOJ143" s="3579"/>
      <c r="UOK143" s="3579"/>
      <c r="UOL143" s="3579"/>
      <c r="UOM143" s="3579"/>
      <c r="UON143" s="3579"/>
      <c r="UOO143" s="3579"/>
      <c r="UOP143" s="3579"/>
      <c r="UOQ143" s="3579"/>
      <c r="UOR143" s="3579"/>
      <c r="UOS143" s="3579"/>
      <c r="UOT143" s="3579"/>
      <c r="UOU143" s="3579"/>
      <c r="UOV143" s="3579"/>
      <c r="UOW143" s="3579"/>
      <c r="UOX143" s="3579"/>
      <c r="UOY143" s="3579"/>
      <c r="UOZ143" s="3579"/>
      <c r="UPA143" s="3579"/>
      <c r="UPB143" s="3579"/>
      <c r="UPC143" s="3579"/>
      <c r="UPD143" s="3579"/>
      <c r="UPE143" s="3579"/>
      <c r="UPF143" s="3579"/>
      <c r="UPG143" s="3579"/>
      <c r="UPH143" s="3579"/>
      <c r="UPI143" s="3579"/>
      <c r="UPJ143" s="3579"/>
      <c r="UPK143" s="3579"/>
      <c r="UPL143" s="3579"/>
      <c r="UPM143" s="3579"/>
      <c r="UPN143" s="3579"/>
      <c r="UPO143" s="3579"/>
      <c r="UPP143" s="3579"/>
      <c r="UPQ143" s="3579"/>
      <c r="UPR143" s="3579"/>
      <c r="UPS143" s="3579"/>
      <c r="UPT143" s="3579"/>
      <c r="UPU143" s="3579"/>
      <c r="UPV143" s="3579"/>
      <c r="UPW143" s="3579"/>
      <c r="UPX143" s="3579"/>
      <c r="UPY143" s="3579"/>
      <c r="UPZ143" s="3579"/>
      <c r="UQA143" s="3579"/>
      <c r="UQB143" s="3579"/>
      <c r="UQC143" s="3579"/>
      <c r="UQD143" s="3579"/>
      <c r="UQE143" s="3579"/>
      <c r="UQF143" s="3579"/>
      <c r="UQG143" s="3579"/>
      <c r="UQH143" s="3579"/>
      <c r="UQI143" s="3579"/>
      <c r="UQJ143" s="3579"/>
      <c r="UQK143" s="3579"/>
      <c r="UQL143" s="3579"/>
      <c r="UQM143" s="3579"/>
      <c r="UQN143" s="3579"/>
      <c r="UQO143" s="3579"/>
      <c r="UQP143" s="3579"/>
      <c r="UQQ143" s="3579"/>
      <c r="UQR143" s="3579"/>
      <c r="UQS143" s="3579"/>
      <c r="UQT143" s="3579"/>
      <c r="UQU143" s="3579"/>
      <c r="UQV143" s="3579"/>
      <c r="UQW143" s="3579"/>
      <c r="UQX143" s="3579"/>
      <c r="UQY143" s="3579"/>
      <c r="UQZ143" s="3579"/>
      <c r="URA143" s="3579"/>
      <c r="URB143" s="3579"/>
      <c r="URC143" s="3579"/>
      <c r="URD143" s="3579"/>
      <c r="URE143" s="3579"/>
      <c r="URF143" s="3579"/>
      <c r="URG143" s="3579"/>
      <c r="URH143" s="3579"/>
      <c r="URI143" s="3579"/>
      <c r="URJ143" s="3579"/>
      <c r="URK143" s="3579"/>
      <c r="URL143" s="3579"/>
      <c r="URM143" s="3579"/>
      <c r="URN143" s="3579"/>
      <c r="URO143" s="3579"/>
      <c r="URP143" s="3579"/>
      <c r="URQ143" s="3579"/>
      <c r="URR143" s="3579"/>
      <c r="URS143" s="3579"/>
      <c r="URT143" s="3579"/>
      <c r="URU143" s="3579"/>
      <c r="URV143" s="3579"/>
      <c r="URW143" s="3579"/>
      <c r="URX143" s="3579"/>
      <c r="URY143" s="3579"/>
      <c r="URZ143" s="3579"/>
      <c r="USA143" s="3579"/>
      <c r="USB143" s="3579"/>
      <c r="USC143" s="3579"/>
      <c r="USD143" s="3579"/>
      <c r="USE143" s="3579"/>
      <c r="USF143" s="3579"/>
      <c r="USG143" s="3579"/>
      <c r="USH143" s="3579"/>
      <c r="USI143" s="3579"/>
      <c r="USJ143" s="3579"/>
      <c r="USK143" s="3579"/>
      <c r="USL143" s="3579"/>
      <c r="USM143" s="3579"/>
      <c r="USN143" s="3579"/>
      <c r="USO143" s="3579"/>
      <c r="USP143" s="3579"/>
      <c r="USQ143" s="3579"/>
      <c r="USR143" s="3579"/>
      <c r="USS143" s="3579"/>
      <c r="UST143" s="3579"/>
      <c r="USU143" s="3579"/>
      <c r="USV143" s="3579"/>
      <c r="USW143" s="3579"/>
      <c r="USX143" s="3579"/>
      <c r="USY143" s="3579"/>
      <c r="USZ143" s="3579"/>
      <c r="UTA143" s="3579"/>
      <c r="UTB143" s="3579"/>
      <c r="UTC143" s="3579"/>
      <c r="UTD143" s="3579"/>
      <c r="UTE143" s="3579"/>
      <c r="UTF143" s="3579"/>
      <c r="UTG143" s="3579"/>
      <c r="UTH143" s="3579"/>
      <c r="UTI143" s="3579"/>
      <c r="UTJ143" s="3579"/>
      <c r="UTK143" s="3579"/>
      <c r="UTL143" s="3579"/>
      <c r="UTM143" s="3579"/>
      <c r="UTN143" s="3579"/>
      <c r="UTO143" s="3579"/>
      <c r="UTP143" s="3579"/>
      <c r="UTQ143" s="3579"/>
      <c r="UTR143" s="3579"/>
      <c r="UTS143" s="3579"/>
      <c r="UTT143" s="3579"/>
      <c r="UTU143" s="3579"/>
      <c r="UTV143" s="3579"/>
      <c r="UTW143" s="3579"/>
      <c r="UTX143" s="3579"/>
      <c r="UTY143" s="3579"/>
      <c r="UTZ143" s="3579"/>
      <c r="UUA143" s="3579"/>
      <c r="UUB143" s="3579"/>
      <c r="UUC143" s="3579"/>
      <c r="UUD143" s="3579"/>
      <c r="UUE143" s="3579"/>
      <c r="UUF143" s="3579"/>
      <c r="UUG143" s="3579"/>
      <c r="UUH143" s="3579"/>
      <c r="UUI143" s="3579"/>
      <c r="UUJ143" s="3579"/>
      <c r="UUK143" s="3579"/>
      <c r="UUL143" s="3579"/>
      <c r="UUM143" s="3579"/>
      <c r="UUN143" s="3579"/>
      <c r="UUO143" s="3579"/>
      <c r="UUP143" s="3579"/>
      <c r="UUQ143" s="3579"/>
      <c r="UUR143" s="3579"/>
      <c r="UUS143" s="3579"/>
      <c r="UUT143" s="3579"/>
      <c r="UUU143" s="3579"/>
      <c r="UUV143" s="3579"/>
      <c r="UUW143" s="3579"/>
      <c r="UUX143" s="3579"/>
      <c r="UUY143" s="3579"/>
      <c r="UUZ143" s="3579"/>
      <c r="UVA143" s="3579"/>
      <c r="UVB143" s="3579"/>
      <c r="UVC143" s="3579"/>
      <c r="UVD143" s="3579"/>
      <c r="UVE143" s="3579"/>
      <c r="UVF143" s="3579"/>
      <c r="UVG143" s="3579"/>
      <c r="UVH143" s="3579"/>
      <c r="UVI143" s="3579"/>
      <c r="UVJ143" s="3579"/>
      <c r="UVK143" s="3579"/>
      <c r="UVL143" s="3579"/>
      <c r="UVM143" s="3579"/>
      <c r="UVN143" s="3579"/>
      <c r="UVO143" s="3579"/>
      <c r="UVP143" s="3579"/>
      <c r="UVQ143" s="3579"/>
      <c r="UVR143" s="3579"/>
      <c r="UVS143" s="3579"/>
      <c r="UVT143" s="3579"/>
      <c r="UVU143" s="3579"/>
      <c r="UVV143" s="3579"/>
      <c r="UVW143" s="3579"/>
      <c r="UVX143" s="3579"/>
      <c r="UVY143" s="3579"/>
      <c r="UVZ143" s="3579"/>
      <c r="UWA143" s="3579"/>
      <c r="UWB143" s="3579"/>
      <c r="UWC143" s="3579"/>
      <c r="UWD143" s="3579"/>
      <c r="UWE143" s="3579"/>
      <c r="UWF143" s="3579"/>
      <c r="UWG143" s="3579"/>
      <c r="UWH143" s="3579"/>
      <c r="UWI143" s="3579"/>
      <c r="UWJ143" s="3579"/>
      <c r="UWK143" s="3579"/>
      <c r="UWL143" s="3579"/>
      <c r="UWM143" s="3579"/>
      <c r="UWN143" s="3579"/>
      <c r="UWO143" s="3579"/>
      <c r="UWP143" s="3579"/>
      <c r="UWQ143" s="3579"/>
      <c r="UWR143" s="3579"/>
      <c r="UWS143" s="3579"/>
      <c r="UWT143" s="3579"/>
      <c r="UWU143" s="3579"/>
      <c r="UWV143" s="3579"/>
      <c r="UWW143" s="3579"/>
      <c r="UWX143" s="3579"/>
      <c r="UWY143" s="3579"/>
      <c r="UWZ143" s="3579"/>
      <c r="UXA143" s="3579"/>
      <c r="UXB143" s="3579"/>
      <c r="UXC143" s="3579"/>
      <c r="UXD143" s="3579"/>
      <c r="UXE143" s="3579"/>
      <c r="UXF143" s="3579"/>
      <c r="UXG143" s="3579"/>
      <c r="UXH143" s="3579"/>
      <c r="UXI143" s="3579"/>
      <c r="UXJ143" s="3579"/>
      <c r="UXK143" s="3579"/>
      <c r="UXL143" s="3579"/>
      <c r="UXM143" s="3579"/>
      <c r="UXN143" s="3579"/>
      <c r="UXO143" s="3579"/>
      <c r="UXP143" s="3579"/>
      <c r="UXQ143" s="3579"/>
      <c r="UXR143" s="3579"/>
      <c r="UXS143" s="3579"/>
      <c r="UXT143" s="3579"/>
      <c r="UXU143" s="3579"/>
      <c r="UXV143" s="3579"/>
      <c r="UXW143" s="3579"/>
      <c r="UXX143" s="3579"/>
      <c r="UXY143" s="3579"/>
      <c r="UXZ143" s="3579"/>
      <c r="UYA143" s="3579"/>
      <c r="UYB143" s="3579"/>
      <c r="UYC143" s="3579"/>
      <c r="UYD143" s="3579"/>
      <c r="UYE143" s="3579"/>
      <c r="UYF143" s="3579"/>
      <c r="UYG143" s="3579"/>
      <c r="UYH143" s="3579"/>
      <c r="UYI143" s="3579"/>
      <c r="UYJ143" s="3579"/>
      <c r="UYK143" s="3579"/>
      <c r="UYL143" s="3579"/>
      <c r="UYM143" s="3579"/>
      <c r="UYN143" s="3579"/>
      <c r="UYO143" s="3579"/>
      <c r="UYP143" s="3579"/>
      <c r="UYQ143" s="3579"/>
      <c r="UYR143" s="3579"/>
      <c r="UYS143" s="3579"/>
      <c r="UYT143" s="3579"/>
      <c r="UYU143" s="3579"/>
      <c r="UYV143" s="3579"/>
      <c r="UYW143" s="3579"/>
      <c r="UYX143" s="3579"/>
      <c r="UYY143" s="3579"/>
      <c r="UYZ143" s="3579"/>
      <c r="UZA143" s="3579"/>
      <c r="UZB143" s="3579"/>
      <c r="UZC143" s="3579"/>
      <c r="UZD143" s="3579"/>
      <c r="UZE143" s="3579"/>
      <c r="UZF143" s="3579"/>
      <c r="UZG143" s="3579"/>
      <c r="UZH143" s="3579"/>
      <c r="UZI143" s="3579"/>
      <c r="UZJ143" s="3579"/>
      <c r="UZK143" s="3579"/>
      <c r="UZL143" s="3579"/>
      <c r="UZM143" s="3579"/>
      <c r="UZN143" s="3579"/>
      <c r="UZO143" s="3579"/>
      <c r="UZP143" s="3579"/>
      <c r="UZQ143" s="3579"/>
      <c r="UZR143" s="3579"/>
      <c r="UZS143" s="3579"/>
      <c r="UZT143" s="3579"/>
      <c r="UZU143" s="3579"/>
      <c r="UZV143" s="3579"/>
      <c r="UZW143" s="3579"/>
      <c r="UZX143" s="3579"/>
      <c r="UZY143" s="3579"/>
      <c r="UZZ143" s="3579"/>
      <c r="VAA143" s="3579"/>
      <c r="VAB143" s="3579"/>
      <c r="VAC143" s="3579"/>
      <c r="VAD143" s="3579"/>
      <c r="VAE143" s="3579"/>
      <c r="VAF143" s="3579"/>
      <c r="VAG143" s="3579"/>
      <c r="VAH143" s="3579"/>
      <c r="VAI143" s="3579"/>
      <c r="VAJ143" s="3579"/>
      <c r="VAK143" s="3579"/>
      <c r="VAL143" s="3579"/>
      <c r="VAM143" s="3579"/>
      <c r="VAN143" s="3579"/>
      <c r="VAO143" s="3579"/>
      <c r="VAP143" s="3579"/>
      <c r="VAQ143" s="3579"/>
      <c r="VAR143" s="3579"/>
      <c r="VAS143" s="3579"/>
      <c r="VAT143" s="3579"/>
      <c r="VAU143" s="3579"/>
      <c r="VAV143" s="3579"/>
      <c r="VAW143" s="3579"/>
      <c r="VAX143" s="3579"/>
      <c r="VAY143" s="3579"/>
      <c r="VAZ143" s="3579"/>
      <c r="VBA143" s="3579"/>
      <c r="VBB143" s="3579"/>
      <c r="VBC143" s="3579"/>
      <c r="VBD143" s="3579"/>
      <c r="VBE143" s="3579"/>
      <c r="VBF143" s="3579"/>
      <c r="VBG143" s="3579"/>
      <c r="VBH143" s="3579"/>
      <c r="VBI143" s="3579"/>
      <c r="VBJ143" s="3579"/>
      <c r="VBK143" s="3579"/>
      <c r="VBL143" s="3579"/>
      <c r="VBM143" s="3579"/>
      <c r="VBN143" s="3579"/>
      <c r="VBO143" s="3579"/>
      <c r="VBP143" s="3579"/>
      <c r="VBQ143" s="3579"/>
      <c r="VBR143" s="3579"/>
      <c r="VBS143" s="3579"/>
      <c r="VBT143" s="3579"/>
      <c r="VBU143" s="3579"/>
      <c r="VBV143" s="3579"/>
      <c r="VBW143" s="3579"/>
      <c r="VBX143" s="3579"/>
      <c r="VBY143" s="3579"/>
      <c r="VBZ143" s="3579"/>
      <c r="VCA143" s="3579"/>
      <c r="VCB143" s="3579"/>
      <c r="VCC143" s="3579"/>
      <c r="VCD143" s="3579"/>
      <c r="VCE143" s="3579"/>
      <c r="VCF143" s="3579"/>
      <c r="VCG143" s="3579"/>
      <c r="VCH143" s="3579"/>
      <c r="VCI143" s="3579"/>
      <c r="VCJ143" s="3579"/>
      <c r="VCK143" s="3579"/>
      <c r="VCL143" s="3579"/>
      <c r="VCM143" s="3579"/>
      <c r="VCN143" s="3579"/>
      <c r="VCO143" s="3579"/>
      <c r="VCP143" s="3579"/>
      <c r="VCQ143" s="3579"/>
      <c r="VCR143" s="3579"/>
      <c r="VCS143" s="3579"/>
      <c r="VCT143" s="3579"/>
      <c r="VCU143" s="3579"/>
      <c r="VCV143" s="3579"/>
      <c r="VCW143" s="3579"/>
      <c r="VCX143" s="3579"/>
      <c r="VCY143" s="3579"/>
      <c r="VCZ143" s="3579"/>
      <c r="VDA143" s="3579"/>
      <c r="VDB143" s="3579"/>
      <c r="VDC143" s="3579"/>
      <c r="VDD143" s="3579"/>
      <c r="VDE143" s="3579"/>
      <c r="VDF143" s="3579"/>
      <c r="VDG143" s="3579"/>
      <c r="VDH143" s="3579"/>
      <c r="VDI143" s="3579"/>
      <c r="VDJ143" s="3579"/>
      <c r="VDK143" s="3579"/>
      <c r="VDL143" s="3579"/>
      <c r="VDM143" s="3579"/>
      <c r="VDN143" s="3579"/>
      <c r="VDO143" s="3579"/>
      <c r="VDP143" s="3579"/>
      <c r="VDQ143" s="3579"/>
      <c r="VDR143" s="3579"/>
      <c r="VDS143" s="3579"/>
      <c r="VDT143" s="3579"/>
      <c r="VDU143" s="3579"/>
      <c r="VDV143" s="3579"/>
      <c r="VDW143" s="3579"/>
      <c r="VDX143" s="3579"/>
      <c r="VDY143" s="3579"/>
      <c r="VDZ143" s="3579"/>
      <c r="VEA143" s="3579"/>
      <c r="VEB143" s="3579"/>
      <c r="VEC143" s="3579"/>
      <c r="VED143" s="3579"/>
      <c r="VEE143" s="3579"/>
      <c r="VEF143" s="3579"/>
      <c r="VEG143" s="3579"/>
      <c r="VEH143" s="3579"/>
      <c r="VEI143" s="3579"/>
      <c r="VEJ143" s="3579"/>
      <c r="VEK143" s="3579"/>
      <c r="VEL143" s="3579"/>
      <c r="VEM143" s="3579"/>
      <c r="VEN143" s="3579"/>
      <c r="VEO143" s="3579"/>
      <c r="VEP143" s="3579"/>
      <c r="VEQ143" s="3579"/>
      <c r="VER143" s="3579"/>
      <c r="VES143" s="3579"/>
      <c r="VET143" s="3579"/>
      <c r="VEU143" s="3579"/>
      <c r="VEV143" s="3579"/>
      <c r="VEW143" s="3579"/>
      <c r="VEX143" s="3579"/>
      <c r="VEY143" s="3579"/>
      <c r="VEZ143" s="3579"/>
      <c r="VFA143" s="3579"/>
      <c r="VFB143" s="3579"/>
      <c r="VFC143" s="3579"/>
      <c r="VFD143" s="3579"/>
      <c r="VFE143" s="3579"/>
      <c r="VFF143" s="3579"/>
      <c r="VFG143" s="3579"/>
      <c r="VFH143" s="3579"/>
      <c r="VFI143" s="3579"/>
      <c r="VFJ143" s="3579"/>
      <c r="VFK143" s="3579"/>
      <c r="VFL143" s="3579"/>
      <c r="VFM143" s="3579"/>
      <c r="VFN143" s="3579"/>
      <c r="VFO143" s="3579"/>
      <c r="VFP143" s="3579"/>
      <c r="VFQ143" s="3579"/>
      <c r="VFR143" s="3579"/>
      <c r="VFS143" s="3579"/>
      <c r="VFT143" s="3579"/>
      <c r="VFU143" s="3579"/>
      <c r="VFV143" s="3579"/>
      <c r="VFW143" s="3579"/>
      <c r="VFX143" s="3579"/>
      <c r="VFY143" s="3579"/>
      <c r="VFZ143" s="3579"/>
      <c r="VGA143" s="3579"/>
      <c r="VGB143" s="3579"/>
      <c r="VGC143" s="3579"/>
      <c r="VGD143" s="3579"/>
      <c r="VGE143" s="3579"/>
      <c r="VGF143" s="3579"/>
      <c r="VGG143" s="3579"/>
      <c r="VGH143" s="3579"/>
      <c r="VGI143" s="3579"/>
      <c r="VGJ143" s="3579"/>
      <c r="VGK143" s="3579"/>
      <c r="VGL143" s="3579"/>
      <c r="VGM143" s="3579"/>
      <c r="VGN143" s="3579"/>
      <c r="VGO143" s="3579"/>
      <c r="VGP143" s="3579"/>
      <c r="VGQ143" s="3579"/>
      <c r="VGR143" s="3579"/>
      <c r="VGS143" s="3579"/>
      <c r="VGT143" s="3579"/>
      <c r="VGU143" s="3579"/>
      <c r="VGV143" s="3579"/>
      <c r="VGW143" s="3579"/>
      <c r="VGX143" s="3579"/>
      <c r="VGY143" s="3579"/>
      <c r="VGZ143" s="3579"/>
      <c r="VHA143" s="3579"/>
      <c r="VHB143" s="3579"/>
      <c r="VHC143" s="3579"/>
      <c r="VHD143" s="3579"/>
      <c r="VHE143" s="3579"/>
      <c r="VHF143" s="3579"/>
      <c r="VHG143" s="3579"/>
      <c r="VHH143" s="3579"/>
      <c r="VHI143" s="3579"/>
      <c r="VHJ143" s="3579"/>
      <c r="VHK143" s="3579"/>
      <c r="VHL143" s="3579"/>
      <c r="VHM143" s="3579"/>
      <c r="VHN143" s="3579"/>
      <c r="VHO143" s="3579"/>
      <c r="VHP143" s="3579"/>
      <c r="VHQ143" s="3579"/>
      <c r="VHR143" s="3579"/>
      <c r="VHS143" s="3579"/>
      <c r="VHT143" s="3579"/>
      <c r="VHU143" s="3579"/>
      <c r="VHV143" s="3579"/>
      <c r="VHW143" s="3579"/>
      <c r="VHX143" s="3579"/>
      <c r="VHY143" s="3579"/>
      <c r="VHZ143" s="3579"/>
      <c r="VIA143" s="3579"/>
      <c r="VIB143" s="3579"/>
      <c r="VIC143" s="3579"/>
      <c r="VID143" s="3579"/>
      <c r="VIE143" s="3579"/>
      <c r="VIF143" s="3579"/>
      <c r="VIG143" s="3579"/>
      <c r="VIH143" s="3579"/>
      <c r="VII143" s="3579"/>
      <c r="VIJ143" s="3579"/>
      <c r="VIK143" s="3579"/>
      <c r="VIL143" s="3579"/>
      <c r="VIM143" s="3579"/>
      <c r="VIN143" s="3579"/>
      <c r="VIO143" s="3579"/>
      <c r="VIP143" s="3579"/>
      <c r="VIQ143" s="3579"/>
      <c r="VIR143" s="3579"/>
      <c r="VIS143" s="3579"/>
      <c r="VIT143" s="3579"/>
      <c r="VIU143" s="3579"/>
      <c r="VIV143" s="3579"/>
      <c r="VIW143" s="3579"/>
      <c r="VIX143" s="3579"/>
      <c r="VIY143" s="3579"/>
      <c r="VIZ143" s="3579"/>
      <c r="VJA143" s="3579"/>
      <c r="VJB143" s="3579"/>
      <c r="VJC143" s="3579"/>
      <c r="VJD143" s="3579"/>
      <c r="VJE143" s="3579"/>
      <c r="VJF143" s="3579"/>
      <c r="VJG143" s="3579"/>
      <c r="VJH143" s="3579"/>
      <c r="VJI143" s="3579"/>
      <c r="VJJ143" s="3579"/>
      <c r="VJK143" s="3579"/>
      <c r="VJL143" s="3579"/>
      <c r="VJM143" s="3579"/>
      <c r="VJN143" s="3579"/>
      <c r="VJO143" s="3579"/>
      <c r="VJP143" s="3579"/>
      <c r="VJQ143" s="3579"/>
      <c r="VJR143" s="3579"/>
      <c r="VJS143" s="3579"/>
      <c r="VJT143" s="3579"/>
      <c r="VJU143" s="3579"/>
      <c r="VJV143" s="3579"/>
      <c r="VJW143" s="3579"/>
      <c r="VJX143" s="3579"/>
      <c r="VJY143" s="3579"/>
      <c r="VJZ143" s="3579"/>
      <c r="VKA143" s="3579"/>
      <c r="VKB143" s="3579"/>
      <c r="VKC143" s="3579"/>
      <c r="VKD143" s="3579"/>
      <c r="VKE143" s="3579"/>
      <c r="VKF143" s="3579"/>
      <c r="VKG143" s="3579"/>
      <c r="VKH143" s="3579"/>
      <c r="VKI143" s="3579"/>
      <c r="VKJ143" s="3579"/>
      <c r="VKK143" s="3579"/>
      <c r="VKL143" s="3579"/>
      <c r="VKM143" s="3579"/>
      <c r="VKN143" s="3579"/>
      <c r="VKO143" s="3579"/>
      <c r="VKP143" s="3579"/>
      <c r="VKQ143" s="3579"/>
      <c r="VKR143" s="3579"/>
      <c r="VKS143" s="3579"/>
      <c r="VKT143" s="3579"/>
      <c r="VKU143" s="3579"/>
      <c r="VKV143" s="3579"/>
      <c r="VKW143" s="3579"/>
      <c r="VKX143" s="3579"/>
      <c r="VKY143" s="3579"/>
      <c r="VKZ143" s="3579"/>
      <c r="VLA143" s="3579"/>
      <c r="VLB143" s="3579"/>
      <c r="VLC143" s="3579"/>
      <c r="VLD143" s="3579"/>
      <c r="VLE143" s="3579"/>
      <c r="VLF143" s="3579"/>
      <c r="VLG143" s="3579"/>
      <c r="VLH143" s="3579"/>
      <c r="VLI143" s="3579"/>
      <c r="VLJ143" s="3579"/>
      <c r="VLK143" s="3579"/>
      <c r="VLL143" s="3579"/>
      <c r="VLM143" s="3579"/>
      <c r="VLN143" s="3579"/>
      <c r="VLO143" s="3579"/>
      <c r="VLP143" s="3579"/>
      <c r="VLQ143" s="3579"/>
      <c r="VLR143" s="3579"/>
      <c r="VLS143" s="3579"/>
      <c r="VLT143" s="3579"/>
      <c r="VLU143" s="3579"/>
      <c r="VLV143" s="3579"/>
      <c r="VLW143" s="3579"/>
      <c r="VLX143" s="3579"/>
      <c r="VLY143" s="3579"/>
      <c r="VLZ143" s="3579"/>
      <c r="VMA143" s="3579"/>
      <c r="VMB143" s="3579"/>
      <c r="VMC143" s="3579"/>
      <c r="VMD143" s="3579"/>
      <c r="VME143" s="3579"/>
      <c r="VMF143" s="3579"/>
      <c r="VMG143" s="3579"/>
      <c r="VMH143" s="3579"/>
      <c r="VMI143" s="3579"/>
      <c r="VMJ143" s="3579"/>
      <c r="VMK143" s="3579"/>
      <c r="VML143" s="3579"/>
      <c r="VMM143" s="3579"/>
      <c r="VMN143" s="3579"/>
      <c r="VMO143" s="3579"/>
      <c r="VMP143" s="3579"/>
      <c r="VMQ143" s="3579"/>
      <c r="VMR143" s="3579"/>
      <c r="VMS143" s="3579"/>
      <c r="VMT143" s="3579"/>
      <c r="VMU143" s="3579"/>
      <c r="VMV143" s="3579"/>
      <c r="VMW143" s="3579"/>
      <c r="VMX143" s="3579"/>
      <c r="VMY143" s="3579"/>
      <c r="VMZ143" s="3579"/>
      <c r="VNA143" s="3579"/>
      <c r="VNB143" s="3579"/>
      <c r="VNC143" s="3579"/>
      <c r="VND143" s="3579"/>
      <c r="VNE143" s="3579"/>
      <c r="VNF143" s="3579"/>
      <c r="VNG143" s="3579"/>
      <c r="VNH143" s="3579"/>
      <c r="VNI143" s="3579"/>
      <c r="VNJ143" s="3579"/>
      <c r="VNK143" s="3579"/>
      <c r="VNL143" s="3579"/>
      <c r="VNM143" s="3579"/>
      <c r="VNN143" s="3579"/>
      <c r="VNO143" s="3579"/>
      <c r="VNP143" s="3579"/>
      <c r="VNQ143" s="3579"/>
      <c r="VNR143" s="3579"/>
      <c r="VNS143" s="3579"/>
      <c r="VNT143" s="3579"/>
      <c r="VNU143" s="3579"/>
      <c r="VNV143" s="3579"/>
      <c r="VNW143" s="3579"/>
      <c r="VNX143" s="3579"/>
      <c r="VNY143" s="3579"/>
      <c r="VNZ143" s="3579"/>
      <c r="VOA143" s="3579"/>
      <c r="VOB143" s="3579"/>
      <c r="VOC143" s="3579"/>
      <c r="VOD143" s="3579"/>
      <c r="VOE143" s="3579"/>
      <c r="VOF143" s="3579"/>
      <c r="VOG143" s="3579"/>
      <c r="VOH143" s="3579"/>
      <c r="VOI143" s="3579"/>
      <c r="VOJ143" s="3579"/>
      <c r="VOK143" s="3579"/>
      <c r="VOL143" s="3579"/>
      <c r="VOM143" s="3579"/>
      <c r="VON143" s="3579"/>
      <c r="VOO143" s="3579"/>
      <c r="VOP143" s="3579"/>
      <c r="VOQ143" s="3579"/>
      <c r="VOR143" s="3579"/>
      <c r="VOS143" s="3579"/>
      <c r="VOT143" s="3579"/>
      <c r="VOU143" s="3579"/>
      <c r="VOV143" s="3579"/>
      <c r="VOW143" s="3579"/>
      <c r="VOX143" s="3579"/>
      <c r="VOY143" s="3579"/>
      <c r="VOZ143" s="3579"/>
      <c r="VPA143" s="3579"/>
      <c r="VPB143" s="3579"/>
      <c r="VPC143" s="3579"/>
      <c r="VPD143" s="3579"/>
      <c r="VPE143" s="3579"/>
      <c r="VPF143" s="3579"/>
      <c r="VPG143" s="3579"/>
      <c r="VPH143" s="3579"/>
      <c r="VPI143" s="3579"/>
      <c r="VPJ143" s="3579"/>
      <c r="VPK143" s="3579"/>
      <c r="VPL143" s="3579"/>
      <c r="VPM143" s="3579"/>
      <c r="VPN143" s="3579"/>
      <c r="VPO143" s="3579"/>
      <c r="VPP143" s="3579"/>
      <c r="VPQ143" s="3579"/>
      <c r="VPR143" s="3579"/>
      <c r="VPS143" s="3579"/>
      <c r="VPT143" s="3579"/>
      <c r="VPU143" s="3579"/>
      <c r="VPV143" s="3579"/>
      <c r="VPW143" s="3579"/>
      <c r="VPX143" s="3579"/>
      <c r="VPY143" s="3579"/>
      <c r="VPZ143" s="3579"/>
      <c r="VQA143" s="3579"/>
      <c r="VQB143" s="3579"/>
      <c r="VQC143" s="3579"/>
      <c r="VQD143" s="3579"/>
      <c r="VQE143" s="3579"/>
      <c r="VQF143" s="3579"/>
      <c r="VQG143" s="3579"/>
      <c r="VQH143" s="3579"/>
      <c r="VQI143" s="3579"/>
      <c r="VQJ143" s="3579"/>
      <c r="VQK143" s="3579"/>
      <c r="VQL143" s="3579"/>
      <c r="VQM143" s="3579"/>
      <c r="VQN143" s="3579"/>
      <c r="VQO143" s="3579"/>
      <c r="VQP143" s="3579"/>
      <c r="VQQ143" s="3579"/>
      <c r="VQR143" s="3579"/>
      <c r="VQS143" s="3579"/>
      <c r="VQT143" s="3579"/>
      <c r="VQU143" s="3579"/>
      <c r="VQV143" s="3579"/>
      <c r="VQW143" s="3579"/>
      <c r="VQX143" s="3579"/>
      <c r="VQY143" s="3579"/>
      <c r="VQZ143" s="3579"/>
      <c r="VRA143" s="3579"/>
      <c r="VRB143" s="3579"/>
      <c r="VRC143" s="3579"/>
      <c r="VRD143" s="3579"/>
      <c r="VRE143" s="3579"/>
      <c r="VRF143" s="3579"/>
      <c r="VRG143" s="3579"/>
      <c r="VRH143" s="3579"/>
      <c r="VRI143" s="3579"/>
      <c r="VRJ143" s="3579"/>
      <c r="VRK143" s="3579"/>
      <c r="VRL143" s="3579"/>
      <c r="VRM143" s="3579"/>
      <c r="VRN143" s="3579"/>
      <c r="VRO143" s="3579"/>
      <c r="VRP143" s="3579"/>
      <c r="VRQ143" s="3579"/>
      <c r="VRR143" s="3579"/>
      <c r="VRS143" s="3579"/>
      <c r="VRT143" s="3579"/>
      <c r="VRU143" s="3579"/>
      <c r="VRV143" s="3579"/>
      <c r="VRW143" s="3579"/>
      <c r="VRX143" s="3579"/>
      <c r="VRY143" s="3579"/>
      <c r="VRZ143" s="3579"/>
      <c r="VSA143" s="3579"/>
      <c r="VSB143" s="3579"/>
      <c r="VSC143" s="3579"/>
      <c r="VSD143" s="3579"/>
      <c r="VSE143" s="3579"/>
      <c r="VSF143" s="3579"/>
      <c r="VSG143" s="3579"/>
      <c r="VSH143" s="3579"/>
      <c r="VSI143" s="3579"/>
      <c r="VSJ143" s="3579"/>
      <c r="VSK143" s="3579"/>
      <c r="VSL143" s="3579"/>
      <c r="VSM143" s="3579"/>
      <c r="VSN143" s="3579"/>
      <c r="VSO143" s="3579"/>
      <c r="VSP143" s="3579"/>
      <c r="VSQ143" s="3579"/>
      <c r="VSR143" s="3579"/>
      <c r="VSS143" s="3579"/>
      <c r="VST143" s="3579"/>
      <c r="VSU143" s="3579"/>
      <c r="VSV143" s="3579"/>
      <c r="VSW143" s="3579"/>
      <c r="VSX143" s="3579"/>
      <c r="VSY143" s="3579"/>
      <c r="VSZ143" s="3579"/>
      <c r="VTA143" s="3579"/>
      <c r="VTB143" s="3579"/>
      <c r="VTC143" s="3579"/>
      <c r="VTD143" s="3579"/>
      <c r="VTE143" s="3579"/>
      <c r="VTF143" s="3579"/>
      <c r="VTG143" s="3579"/>
      <c r="VTH143" s="3579"/>
      <c r="VTI143" s="3579"/>
      <c r="VTJ143" s="3579"/>
      <c r="VTK143" s="3579"/>
      <c r="VTL143" s="3579"/>
      <c r="VTM143" s="3579"/>
      <c r="VTN143" s="3579"/>
      <c r="VTO143" s="3579"/>
      <c r="VTP143" s="3579"/>
      <c r="VTQ143" s="3579"/>
      <c r="VTR143" s="3579"/>
      <c r="VTS143" s="3579"/>
      <c r="VTT143" s="3579"/>
      <c r="VTU143" s="3579"/>
      <c r="VTV143" s="3579"/>
      <c r="VTW143" s="3579"/>
      <c r="VTX143" s="3579"/>
      <c r="VTY143" s="3579"/>
      <c r="VTZ143" s="3579"/>
      <c r="VUA143" s="3579"/>
      <c r="VUB143" s="3579"/>
      <c r="VUC143" s="3579"/>
      <c r="VUD143" s="3579"/>
      <c r="VUE143" s="3579"/>
      <c r="VUF143" s="3579"/>
      <c r="VUG143" s="3579"/>
      <c r="VUH143" s="3579"/>
      <c r="VUI143" s="3579"/>
      <c r="VUJ143" s="3579"/>
      <c r="VUK143" s="3579"/>
      <c r="VUL143" s="3579"/>
      <c r="VUM143" s="3579"/>
      <c r="VUN143" s="3579"/>
      <c r="VUO143" s="3579"/>
      <c r="VUP143" s="3579"/>
      <c r="VUQ143" s="3579"/>
      <c r="VUR143" s="3579"/>
      <c r="VUS143" s="3579"/>
      <c r="VUT143" s="3579"/>
      <c r="VUU143" s="3579"/>
      <c r="VUV143" s="3579"/>
      <c r="VUW143" s="3579"/>
      <c r="VUX143" s="3579"/>
      <c r="VUY143" s="3579"/>
      <c r="VUZ143" s="3579"/>
      <c r="VVA143" s="3579"/>
      <c r="VVB143" s="3579"/>
      <c r="VVC143" s="3579"/>
      <c r="VVD143" s="3579"/>
      <c r="VVE143" s="3579"/>
      <c r="VVF143" s="3579"/>
      <c r="VVG143" s="3579"/>
      <c r="VVH143" s="3579"/>
      <c r="VVI143" s="3579"/>
      <c r="VVJ143" s="3579"/>
      <c r="VVK143" s="3579"/>
      <c r="VVL143" s="3579"/>
      <c r="VVM143" s="3579"/>
      <c r="VVN143" s="3579"/>
      <c r="VVO143" s="3579"/>
      <c r="VVP143" s="3579"/>
      <c r="VVQ143" s="3579"/>
      <c r="VVR143" s="3579"/>
      <c r="VVS143" s="3579"/>
      <c r="VVT143" s="3579"/>
      <c r="VVU143" s="3579"/>
      <c r="VVV143" s="3579"/>
      <c r="VVW143" s="3579"/>
      <c r="VVX143" s="3579"/>
      <c r="VVY143" s="3579"/>
      <c r="VVZ143" s="3579"/>
      <c r="VWA143" s="3579"/>
      <c r="VWB143" s="3579"/>
      <c r="VWC143" s="3579"/>
      <c r="VWD143" s="3579"/>
      <c r="VWE143" s="3579"/>
      <c r="VWF143" s="3579"/>
      <c r="VWG143" s="3579"/>
      <c r="VWH143" s="3579"/>
      <c r="VWI143" s="3579"/>
      <c r="VWJ143" s="3579"/>
      <c r="VWK143" s="3579"/>
      <c r="VWL143" s="3579"/>
      <c r="VWM143" s="3579"/>
      <c r="VWN143" s="3579"/>
      <c r="VWO143" s="3579"/>
      <c r="VWP143" s="3579"/>
      <c r="VWQ143" s="3579"/>
      <c r="VWR143" s="3579"/>
      <c r="VWS143" s="3579"/>
      <c r="VWT143" s="3579"/>
      <c r="VWU143" s="3579"/>
      <c r="VWV143" s="3579"/>
      <c r="VWW143" s="3579"/>
      <c r="VWX143" s="3579"/>
      <c r="VWY143" s="3579"/>
      <c r="VWZ143" s="3579"/>
      <c r="VXA143" s="3579"/>
      <c r="VXB143" s="3579"/>
      <c r="VXC143" s="3579"/>
      <c r="VXD143" s="3579"/>
      <c r="VXE143" s="3579"/>
      <c r="VXF143" s="3579"/>
      <c r="VXG143" s="3579"/>
      <c r="VXH143" s="3579"/>
      <c r="VXI143" s="3579"/>
      <c r="VXJ143" s="3579"/>
      <c r="VXK143" s="3579"/>
      <c r="VXL143" s="3579"/>
      <c r="VXM143" s="3579"/>
      <c r="VXN143" s="3579"/>
      <c r="VXO143" s="3579"/>
      <c r="VXP143" s="3579"/>
      <c r="VXQ143" s="3579"/>
      <c r="VXR143" s="3579"/>
      <c r="VXS143" s="3579"/>
      <c r="VXT143" s="3579"/>
      <c r="VXU143" s="3579"/>
      <c r="VXV143" s="3579"/>
      <c r="VXW143" s="3579"/>
      <c r="VXX143" s="3579"/>
      <c r="VXY143" s="3579"/>
      <c r="VXZ143" s="3579"/>
      <c r="VYA143" s="3579"/>
      <c r="VYB143" s="3579"/>
      <c r="VYC143" s="3579"/>
      <c r="VYD143" s="3579"/>
      <c r="VYE143" s="3579"/>
      <c r="VYF143" s="3579"/>
      <c r="VYG143" s="3579"/>
      <c r="VYH143" s="3579"/>
      <c r="VYI143" s="3579"/>
      <c r="VYJ143" s="3579"/>
      <c r="VYK143" s="3579"/>
      <c r="VYL143" s="3579"/>
      <c r="VYM143" s="3579"/>
      <c r="VYN143" s="3579"/>
      <c r="VYO143" s="3579"/>
      <c r="VYP143" s="3579"/>
      <c r="VYQ143" s="3579"/>
      <c r="VYR143" s="3579"/>
      <c r="VYS143" s="3579"/>
      <c r="VYT143" s="3579"/>
      <c r="VYU143" s="3579"/>
      <c r="VYV143" s="3579"/>
      <c r="VYW143" s="3579"/>
      <c r="VYX143" s="3579"/>
      <c r="VYY143" s="3579"/>
      <c r="VYZ143" s="3579"/>
      <c r="VZA143" s="3579"/>
      <c r="VZB143" s="3579"/>
      <c r="VZC143" s="3579"/>
      <c r="VZD143" s="3579"/>
      <c r="VZE143" s="3579"/>
      <c r="VZF143" s="3579"/>
      <c r="VZG143" s="3579"/>
      <c r="VZH143" s="3579"/>
      <c r="VZI143" s="3579"/>
      <c r="VZJ143" s="3579"/>
      <c r="VZK143" s="3579"/>
      <c r="VZL143" s="3579"/>
      <c r="VZM143" s="3579"/>
      <c r="VZN143" s="3579"/>
      <c r="VZO143" s="3579"/>
      <c r="VZP143" s="3579"/>
      <c r="VZQ143" s="3579"/>
      <c r="VZR143" s="3579"/>
      <c r="VZS143" s="3579"/>
      <c r="VZT143" s="3579"/>
      <c r="VZU143" s="3579"/>
      <c r="VZV143" s="3579"/>
      <c r="VZW143" s="3579"/>
      <c r="VZX143" s="3579"/>
      <c r="VZY143" s="3579"/>
      <c r="VZZ143" s="3579"/>
      <c r="WAA143" s="3579"/>
      <c r="WAB143" s="3579"/>
      <c r="WAC143" s="3579"/>
      <c r="WAD143" s="3579"/>
      <c r="WAE143" s="3579"/>
      <c r="WAF143" s="3579"/>
      <c r="WAG143" s="3579"/>
      <c r="WAH143" s="3579"/>
      <c r="WAI143" s="3579"/>
      <c r="WAJ143" s="3579"/>
      <c r="WAK143" s="3579"/>
      <c r="WAL143" s="3579"/>
      <c r="WAM143" s="3579"/>
      <c r="WAN143" s="3579"/>
      <c r="WAO143" s="3579"/>
      <c r="WAP143" s="3579"/>
      <c r="WAQ143" s="3579"/>
      <c r="WAR143" s="3579"/>
      <c r="WAS143" s="3579"/>
      <c r="WAT143" s="3579"/>
      <c r="WAU143" s="3579"/>
      <c r="WAV143" s="3579"/>
      <c r="WAW143" s="3579"/>
      <c r="WAX143" s="3579"/>
      <c r="WAY143" s="3579"/>
      <c r="WAZ143" s="3579"/>
      <c r="WBA143" s="3579"/>
      <c r="WBB143" s="3579"/>
      <c r="WBC143" s="3579"/>
      <c r="WBD143" s="3579"/>
      <c r="WBE143" s="3579"/>
      <c r="WBF143" s="3579"/>
      <c r="WBG143" s="3579"/>
      <c r="WBH143" s="3579"/>
      <c r="WBI143" s="3579"/>
      <c r="WBJ143" s="3579"/>
      <c r="WBK143" s="3579"/>
      <c r="WBL143" s="3579"/>
      <c r="WBM143" s="3579"/>
      <c r="WBN143" s="3579"/>
      <c r="WBO143" s="3579"/>
      <c r="WBP143" s="3579"/>
      <c r="WBQ143" s="3579"/>
      <c r="WBR143" s="3579"/>
      <c r="WBS143" s="3579"/>
      <c r="WBT143" s="3579"/>
      <c r="WBU143" s="3579"/>
      <c r="WBV143" s="3579"/>
      <c r="WBW143" s="3579"/>
      <c r="WBX143" s="3579"/>
      <c r="WBY143" s="3579"/>
      <c r="WBZ143" s="3579"/>
      <c r="WCA143" s="3579"/>
      <c r="WCB143" s="3579"/>
      <c r="WCC143" s="3579"/>
      <c r="WCD143" s="3579"/>
      <c r="WCE143" s="3579"/>
      <c r="WCF143" s="3579"/>
      <c r="WCG143" s="3579"/>
      <c r="WCH143" s="3579"/>
      <c r="WCI143" s="3579"/>
      <c r="WCJ143" s="3579"/>
      <c r="WCK143" s="3579"/>
      <c r="WCL143" s="3579"/>
      <c r="WCM143" s="3579"/>
      <c r="WCN143" s="3579"/>
      <c r="WCO143" s="3579"/>
      <c r="WCP143" s="3579"/>
      <c r="WCQ143" s="3579"/>
      <c r="WCR143" s="3579"/>
      <c r="WCS143" s="3579"/>
      <c r="WCT143" s="3579"/>
      <c r="WCU143" s="3579"/>
      <c r="WCV143" s="3579"/>
      <c r="WCW143" s="3579"/>
      <c r="WCX143" s="3579"/>
      <c r="WCY143" s="3579"/>
      <c r="WCZ143" s="3579"/>
      <c r="WDA143" s="3579"/>
      <c r="WDB143" s="3579"/>
      <c r="WDC143" s="3579"/>
      <c r="WDD143" s="3579"/>
      <c r="WDE143" s="3579"/>
      <c r="WDF143" s="3579"/>
      <c r="WDG143" s="3579"/>
      <c r="WDH143" s="3579"/>
      <c r="WDI143" s="3579"/>
      <c r="WDJ143" s="3579"/>
      <c r="WDK143" s="3579"/>
      <c r="WDL143" s="3579"/>
      <c r="WDM143" s="3579"/>
      <c r="WDN143" s="3579"/>
      <c r="WDO143" s="3579"/>
      <c r="WDP143" s="3579"/>
      <c r="WDQ143" s="3579"/>
      <c r="WDR143" s="3579"/>
      <c r="WDS143" s="3579"/>
      <c r="WDT143" s="3579"/>
      <c r="WDU143" s="3579"/>
      <c r="WDV143" s="3579"/>
      <c r="WDW143" s="3579"/>
      <c r="WDX143" s="3579"/>
      <c r="WDY143" s="3579"/>
      <c r="WDZ143" s="3579"/>
      <c r="WEA143" s="3579"/>
      <c r="WEB143" s="3579"/>
      <c r="WEC143" s="3579"/>
      <c r="WED143" s="3579"/>
      <c r="WEE143" s="3579"/>
      <c r="WEF143" s="3579"/>
      <c r="WEG143" s="3579"/>
      <c r="WEH143" s="3579"/>
      <c r="WEI143" s="3579"/>
      <c r="WEJ143" s="3579"/>
      <c r="WEK143" s="3579"/>
      <c r="WEL143" s="3579"/>
      <c r="WEM143" s="3579"/>
      <c r="WEN143" s="3579"/>
      <c r="WEO143" s="3579"/>
      <c r="WEP143" s="3579"/>
      <c r="WEQ143" s="3579"/>
      <c r="WER143" s="3579"/>
      <c r="WES143" s="3579"/>
      <c r="WET143" s="3579"/>
      <c r="WEU143" s="3579"/>
      <c r="WEV143" s="3579"/>
      <c r="WEW143" s="3579"/>
      <c r="WEX143" s="3579"/>
      <c r="WEY143" s="3579"/>
      <c r="WEZ143" s="3579"/>
      <c r="WFA143" s="3579"/>
      <c r="WFB143" s="3579"/>
      <c r="WFC143" s="3579"/>
      <c r="WFD143" s="3579"/>
      <c r="WFE143" s="3579"/>
      <c r="WFF143" s="3579"/>
      <c r="WFG143" s="3579"/>
      <c r="WFH143" s="3579"/>
      <c r="WFI143" s="3579"/>
      <c r="WFJ143" s="3579"/>
      <c r="WFK143" s="3579"/>
      <c r="WFL143" s="3579"/>
      <c r="WFM143" s="3579"/>
      <c r="WFN143" s="3579"/>
      <c r="WFO143" s="3579"/>
      <c r="WFP143" s="3579"/>
      <c r="WFQ143" s="3579"/>
      <c r="WFR143" s="3579"/>
      <c r="WFS143" s="3579"/>
      <c r="WFT143" s="3579"/>
      <c r="WFU143" s="3579"/>
      <c r="WFV143" s="3579"/>
      <c r="WFW143" s="3579"/>
      <c r="WFX143" s="3579"/>
      <c r="WFY143" s="3579"/>
      <c r="WFZ143" s="3579"/>
      <c r="WGA143" s="3579"/>
      <c r="WGB143" s="3579"/>
      <c r="WGC143" s="3579"/>
      <c r="WGD143" s="3579"/>
      <c r="WGE143" s="3579"/>
      <c r="WGF143" s="3579"/>
      <c r="WGG143" s="3579"/>
      <c r="WGH143" s="3579"/>
      <c r="WGI143" s="3579"/>
      <c r="WGJ143" s="3579"/>
      <c r="WGK143" s="3579"/>
      <c r="WGL143" s="3579"/>
      <c r="WGM143" s="3579"/>
      <c r="WGN143" s="3579"/>
      <c r="WGO143" s="3579"/>
      <c r="WGP143" s="3579"/>
      <c r="WGQ143" s="3579"/>
      <c r="WGR143" s="3579"/>
      <c r="WGS143" s="3579"/>
      <c r="WGT143" s="3579"/>
      <c r="WGU143" s="3579"/>
      <c r="WGV143" s="3579"/>
      <c r="WGW143" s="3579"/>
      <c r="WGX143" s="3579"/>
      <c r="WGY143" s="3579"/>
      <c r="WGZ143" s="3579"/>
      <c r="WHA143" s="3579"/>
      <c r="WHB143" s="3579"/>
      <c r="WHC143" s="3579"/>
      <c r="WHD143" s="3579"/>
      <c r="WHE143" s="3579"/>
      <c r="WHF143" s="3579"/>
      <c r="WHG143" s="3579"/>
      <c r="WHH143" s="3579"/>
      <c r="WHI143" s="3579"/>
      <c r="WHJ143" s="3579"/>
      <c r="WHK143" s="3579"/>
      <c r="WHL143" s="3579"/>
      <c r="WHM143" s="3579"/>
      <c r="WHN143" s="3579"/>
      <c r="WHO143" s="3579"/>
      <c r="WHP143" s="3579"/>
      <c r="WHQ143" s="3579"/>
      <c r="WHR143" s="3579"/>
      <c r="WHS143" s="3579"/>
      <c r="WHT143" s="3579"/>
      <c r="WHU143" s="3579"/>
      <c r="WHV143" s="3579"/>
      <c r="WHW143" s="3579"/>
      <c r="WHX143" s="3579"/>
      <c r="WHY143" s="3579"/>
      <c r="WHZ143" s="3579"/>
      <c r="WIA143" s="3579"/>
      <c r="WIB143" s="3579"/>
      <c r="WIC143" s="3579"/>
      <c r="WID143" s="3579"/>
      <c r="WIE143" s="3579"/>
      <c r="WIF143" s="3579"/>
      <c r="WIG143" s="3579"/>
      <c r="WIH143" s="3579"/>
      <c r="WII143" s="3579"/>
      <c r="WIJ143" s="3579"/>
      <c r="WIK143" s="3579"/>
      <c r="WIL143" s="3579"/>
      <c r="WIM143" s="3579"/>
      <c r="WIN143" s="3579"/>
      <c r="WIO143" s="3579"/>
      <c r="WIP143" s="3579"/>
      <c r="WIQ143" s="3579"/>
      <c r="WIR143" s="3579"/>
      <c r="WIS143" s="3579"/>
      <c r="WIT143" s="3579"/>
      <c r="WIU143" s="3579"/>
      <c r="WIV143" s="3579"/>
      <c r="WIW143" s="3579"/>
      <c r="WIX143" s="3579"/>
      <c r="WIY143" s="3579"/>
      <c r="WIZ143" s="3579"/>
      <c r="WJA143" s="3579"/>
      <c r="WJB143" s="3579"/>
      <c r="WJC143" s="3579"/>
      <c r="WJD143" s="3579"/>
      <c r="WJE143" s="3579"/>
      <c r="WJF143" s="3579"/>
      <c r="WJG143" s="3579"/>
      <c r="WJH143" s="3579"/>
      <c r="WJI143" s="3579"/>
      <c r="WJJ143" s="3579"/>
      <c r="WJK143" s="3579"/>
      <c r="WJL143" s="3579"/>
      <c r="WJM143" s="3579"/>
      <c r="WJN143" s="3579"/>
      <c r="WJO143" s="3579"/>
      <c r="WJP143" s="3579"/>
      <c r="WJQ143" s="3579"/>
      <c r="WJR143" s="3579"/>
      <c r="WJS143" s="3579"/>
      <c r="WJT143" s="3579"/>
      <c r="WJU143" s="3579"/>
      <c r="WJV143" s="3579"/>
      <c r="WJW143" s="3579"/>
      <c r="WJX143" s="3579"/>
      <c r="WJY143" s="3579"/>
      <c r="WJZ143" s="3579"/>
      <c r="WKA143" s="3579"/>
      <c r="WKB143" s="3579"/>
      <c r="WKC143" s="3579"/>
      <c r="WKD143" s="3579"/>
      <c r="WKE143" s="3579"/>
      <c r="WKF143" s="3579"/>
      <c r="WKG143" s="3579"/>
      <c r="WKH143" s="3579"/>
      <c r="WKI143" s="3579"/>
      <c r="WKJ143" s="3579"/>
      <c r="WKK143" s="3579"/>
      <c r="WKL143" s="3579"/>
      <c r="WKM143" s="3579"/>
      <c r="WKN143" s="3579"/>
      <c r="WKO143" s="3579"/>
      <c r="WKP143" s="3579"/>
      <c r="WKQ143" s="3579"/>
      <c r="WKR143" s="3579"/>
      <c r="WKS143" s="3579"/>
      <c r="WKT143" s="3579"/>
      <c r="WKU143" s="3579"/>
      <c r="WKV143" s="3579"/>
      <c r="WKW143" s="3579"/>
      <c r="WKX143" s="3579"/>
      <c r="WKY143" s="3579"/>
      <c r="WKZ143" s="3579"/>
      <c r="WLA143" s="3579"/>
      <c r="WLB143" s="3579"/>
      <c r="WLC143" s="3579"/>
      <c r="WLD143" s="3579"/>
      <c r="WLE143" s="3579"/>
      <c r="WLF143" s="3579"/>
      <c r="WLG143" s="3579"/>
      <c r="WLH143" s="3579"/>
      <c r="WLI143" s="3579"/>
      <c r="WLJ143" s="3579"/>
      <c r="WLK143" s="3579"/>
      <c r="WLL143" s="3579"/>
      <c r="WLM143" s="3579"/>
      <c r="WLN143" s="3579"/>
      <c r="WLO143" s="3579"/>
      <c r="WLP143" s="3579"/>
      <c r="WLQ143" s="3579"/>
      <c r="WLR143" s="3579"/>
      <c r="WLS143" s="3579"/>
      <c r="WLT143" s="3579"/>
      <c r="WLU143" s="3579"/>
      <c r="WLV143" s="3579"/>
      <c r="WLW143" s="3579"/>
      <c r="WLX143" s="3579"/>
      <c r="WLY143" s="3579"/>
      <c r="WLZ143" s="3579"/>
      <c r="WMA143" s="3579"/>
      <c r="WMB143" s="3579"/>
      <c r="WMC143" s="3579"/>
      <c r="WMD143" s="3579"/>
      <c r="WME143" s="3579"/>
      <c r="WMF143" s="3579"/>
      <c r="WMG143" s="3579"/>
      <c r="WMH143" s="3579"/>
      <c r="WMI143" s="3579"/>
      <c r="WMJ143" s="3579"/>
      <c r="WMK143" s="3579"/>
      <c r="WML143" s="3579"/>
      <c r="WMM143" s="3579"/>
      <c r="WMN143" s="3579"/>
      <c r="WMO143" s="3579"/>
      <c r="WMP143" s="3579"/>
      <c r="WMQ143" s="3579"/>
      <c r="WMR143" s="3579"/>
      <c r="WMS143" s="3579"/>
      <c r="WMT143" s="3579"/>
      <c r="WMU143" s="3579"/>
      <c r="WMV143" s="3579"/>
      <c r="WMW143" s="3579"/>
      <c r="WMX143" s="3579"/>
      <c r="WMY143" s="3579"/>
      <c r="WMZ143" s="3579"/>
      <c r="WNA143" s="3579"/>
      <c r="WNB143" s="3579"/>
      <c r="WNC143" s="3579"/>
      <c r="WND143" s="3579"/>
      <c r="WNE143" s="3579"/>
      <c r="WNF143" s="3579"/>
      <c r="WNG143" s="3579"/>
      <c r="WNH143" s="3579"/>
      <c r="WNI143" s="3579"/>
      <c r="WNJ143" s="3579"/>
      <c r="WNK143" s="3579"/>
      <c r="WNL143" s="3579"/>
      <c r="WNM143" s="3579"/>
      <c r="WNN143" s="3579"/>
      <c r="WNO143" s="3579"/>
      <c r="WNP143" s="3579"/>
      <c r="WNQ143" s="3579"/>
      <c r="WNR143" s="3579"/>
      <c r="WNS143" s="3579"/>
      <c r="WNT143" s="3579"/>
      <c r="WNU143" s="3579"/>
      <c r="WNV143" s="3579"/>
      <c r="WNW143" s="3579"/>
      <c r="WNX143" s="3579"/>
      <c r="WNY143" s="3579"/>
      <c r="WNZ143" s="3579"/>
      <c r="WOA143" s="3579"/>
      <c r="WOB143" s="3579"/>
      <c r="WOC143" s="3579"/>
      <c r="WOD143" s="3579"/>
      <c r="WOE143" s="3579"/>
      <c r="WOF143" s="3579"/>
      <c r="WOG143" s="3579"/>
      <c r="WOH143" s="3579"/>
      <c r="WOI143" s="3579"/>
      <c r="WOJ143" s="3579"/>
      <c r="WOK143" s="3579"/>
      <c r="WOL143" s="3579"/>
      <c r="WOM143" s="3579"/>
      <c r="WON143" s="3579"/>
      <c r="WOO143" s="3579"/>
      <c r="WOP143" s="3579"/>
      <c r="WOQ143" s="3579"/>
      <c r="WOR143" s="3579"/>
      <c r="WOS143" s="3579"/>
      <c r="WOT143" s="3579"/>
      <c r="WOU143" s="3579"/>
      <c r="WOV143" s="3579"/>
      <c r="WOW143" s="3579"/>
      <c r="WOX143" s="3579"/>
      <c r="WOY143" s="3579"/>
      <c r="WOZ143" s="3579"/>
      <c r="WPA143" s="3579"/>
      <c r="WPB143" s="3579"/>
      <c r="WPC143" s="3579"/>
      <c r="WPD143" s="3579"/>
      <c r="WPE143" s="3579"/>
      <c r="WPF143" s="3579"/>
      <c r="WPG143" s="3579"/>
      <c r="WPH143" s="3579"/>
      <c r="WPI143" s="3579"/>
      <c r="WPJ143" s="3579"/>
      <c r="WPK143" s="3579"/>
      <c r="WPL143" s="3579"/>
      <c r="WPM143" s="3579"/>
      <c r="WPN143" s="3579"/>
      <c r="WPO143" s="3579"/>
      <c r="WPP143" s="3579"/>
      <c r="WPQ143" s="3579"/>
      <c r="WPR143" s="3579"/>
      <c r="WPS143" s="3579"/>
      <c r="WPT143" s="3579"/>
      <c r="WPU143" s="3579"/>
      <c r="WPV143" s="3579"/>
      <c r="WPW143" s="3579"/>
      <c r="WPX143" s="3579"/>
      <c r="WPY143" s="3579"/>
      <c r="WPZ143" s="3579"/>
      <c r="WQA143" s="3579"/>
      <c r="WQB143" s="3579"/>
      <c r="WQC143" s="3579"/>
      <c r="WQD143" s="3579"/>
      <c r="WQE143" s="3579"/>
      <c r="WQF143" s="3579"/>
      <c r="WQG143" s="3579"/>
      <c r="WQH143" s="3579"/>
      <c r="WQI143" s="3579"/>
      <c r="WQJ143" s="3579"/>
      <c r="WQK143" s="3579"/>
      <c r="WQL143" s="3579"/>
      <c r="WQM143" s="3579"/>
      <c r="WQN143" s="3579"/>
      <c r="WQO143" s="3579"/>
      <c r="WQP143" s="3579"/>
      <c r="WQQ143" s="3579"/>
      <c r="WQR143" s="3579"/>
      <c r="WQS143" s="3579"/>
      <c r="WQT143" s="3579"/>
      <c r="WQU143" s="3579"/>
      <c r="WQV143" s="3579"/>
      <c r="WQW143" s="3579"/>
      <c r="WQX143" s="3579"/>
      <c r="WQY143" s="3579"/>
      <c r="WQZ143" s="3579"/>
      <c r="WRA143" s="3579"/>
      <c r="WRB143" s="3579"/>
      <c r="WRC143" s="3579"/>
      <c r="WRD143" s="3579"/>
      <c r="WRE143" s="3579"/>
      <c r="WRF143" s="3579"/>
      <c r="WRG143" s="3579"/>
      <c r="WRH143" s="3579"/>
      <c r="WRI143" s="3579"/>
      <c r="WRJ143" s="3579"/>
      <c r="WRK143" s="3579"/>
      <c r="WRL143" s="3579"/>
      <c r="WRM143" s="3579"/>
      <c r="WRN143" s="3579"/>
      <c r="WRO143" s="3579"/>
      <c r="WRP143" s="3579"/>
      <c r="WRQ143" s="3579"/>
      <c r="WRR143" s="3579"/>
      <c r="WRS143" s="3579"/>
      <c r="WRT143" s="3579"/>
      <c r="WRU143" s="3579"/>
      <c r="WRV143" s="3579"/>
      <c r="WRW143" s="3579"/>
      <c r="WRX143" s="3579"/>
      <c r="WRY143" s="3579"/>
      <c r="WRZ143" s="3579"/>
      <c r="WSA143" s="3579"/>
      <c r="WSB143" s="3579"/>
      <c r="WSC143" s="3579"/>
      <c r="WSD143" s="3579"/>
      <c r="WSE143" s="3579"/>
      <c r="WSF143" s="3579"/>
      <c r="WSG143" s="3579"/>
      <c r="WSH143" s="3579"/>
      <c r="WSI143" s="3579"/>
      <c r="WSJ143" s="3579"/>
      <c r="WSK143" s="3579"/>
      <c r="WSL143" s="3579"/>
      <c r="WSM143" s="3579"/>
      <c r="WSN143" s="3579"/>
      <c r="WSO143" s="3579"/>
      <c r="WSP143" s="3579"/>
      <c r="WSQ143" s="3579"/>
      <c r="WSR143" s="3579"/>
      <c r="WSS143" s="3579"/>
      <c r="WST143" s="3579"/>
      <c r="WSU143" s="3579"/>
      <c r="WSV143" s="3579"/>
      <c r="WSW143" s="3579"/>
      <c r="WSX143" s="3579"/>
      <c r="WSY143" s="3579"/>
      <c r="WSZ143" s="3579"/>
      <c r="WTA143" s="3579"/>
      <c r="WTB143" s="3579"/>
      <c r="WTC143" s="3579"/>
      <c r="WTD143" s="3579"/>
      <c r="WTE143" s="3579"/>
      <c r="WTF143" s="3579"/>
      <c r="WTG143" s="3579"/>
      <c r="WTH143" s="3579"/>
      <c r="WTI143" s="3579"/>
      <c r="WTJ143" s="3579"/>
      <c r="WTK143" s="3579"/>
      <c r="WTL143" s="3579"/>
      <c r="WTM143" s="3579"/>
      <c r="WTN143" s="3579"/>
      <c r="WTO143" s="3579"/>
      <c r="WTP143" s="3579"/>
      <c r="WTQ143" s="3579"/>
      <c r="WTR143" s="3579"/>
      <c r="WTS143" s="3579"/>
      <c r="WTT143" s="3579"/>
      <c r="WTU143" s="3579"/>
      <c r="WTV143" s="3579"/>
      <c r="WTW143" s="3579"/>
      <c r="WTX143" s="3579"/>
      <c r="WTY143" s="3579"/>
      <c r="WTZ143" s="3579"/>
      <c r="WUA143" s="3579"/>
      <c r="WUB143" s="3579"/>
      <c r="WUC143" s="3579"/>
      <c r="WUD143" s="3579"/>
      <c r="WUE143" s="3579"/>
      <c r="WUF143" s="3579"/>
      <c r="WUG143" s="3579"/>
      <c r="WUH143" s="3579"/>
      <c r="WUI143" s="3579"/>
      <c r="WUJ143" s="3579"/>
      <c r="WUK143" s="3579"/>
      <c r="WUL143" s="3579"/>
      <c r="WUM143" s="3579"/>
      <c r="WUN143" s="3579"/>
      <c r="WUO143" s="3579"/>
      <c r="WUP143" s="3579"/>
      <c r="WUQ143" s="3579"/>
      <c r="WUR143" s="3579"/>
      <c r="WUS143" s="3579"/>
      <c r="WUT143" s="3579"/>
      <c r="WUU143" s="3579"/>
      <c r="WUV143" s="3579"/>
      <c r="WUW143" s="3579"/>
      <c r="WUX143" s="3579"/>
      <c r="WUY143" s="3579"/>
      <c r="WUZ143" s="3579"/>
      <c r="WVA143" s="3579"/>
      <c r="WVB143" s="3579"/>
      <c r="WVC143" s="3579"/>
      <c r="WVD143" s="3579"/>
      <c r="WVE143" s="3579"/>
      <c r="WVF143" s="3579"/>
      <c r="WVG143" s="3579"/>
      <c r="WVH143" s="3579"/>
      <c r="WVI143" s="3579"/>
      <c r="WVJ143" s="3579"/>
      <c r="WVK143" s="3579"/>
      <c r="WVL143" s="3579"/>
      <c r="WVM143" s="3579"/>
      <c r="WVN143" s="3579"/>
      <c r="WVO143" s="3579"/>
      <c r="WVP143" s="3579"/>
      <c r="WVQ143" s="3579"/>
      <c r="WVR143" s="3579"/>
      <c r="WVS143" s="3579"/>
      <c r="WVT143" s="3579"/>
      <c r="WVU143" s="3579"/>
      <c r="WVV143" s="3579"/>
      <c r="WVW143" s="3579"/>
      <c r="WVX143" s="3579"/>
      <c r="WVY143" s="3579"/>
      <c r="WVZ143" s="3579"/>
      <c r="WWA143" s="3579"/>
      <c r="WWB143" s="3579"/>
      <c r="WWC143" s="3579"/>
      <c r="WWD143" s="3579"/>
      <c r="WWE143" s="3579"/>
      <c r="WWF143" s="3579"/>
      <c r="WWG143" s="3579"/>
      <c r="WWH143" s="3579"/>
      <c r="WWI143" s="3579"/>
      <c r="WWJ143" s="3579"/>
      <c r="WWK143" s="3579"/>
      <c r="WWL143" s="3579"/>
      <c r="WWM143" s="3579"/>
      <c r="WWN143" s="3579"/>
      <c r="WWO143" s="3579"/>
      <c r="WWP143" s="3579"/>
      <c r="WWQ143" s="3579"/>
      <c r="WWR143" s="3579"/>
      <c r="WWS143" s="3579"/>
      <c r="WWT143" s="3579"/>
      <c r="WWU143" s="3579"/>
      <c r="WWV143" s="3579"/>
      <c r="WWW143" s="3579"/>
      <c r="WWX143" s="3579"/>
      <c r="WWY143" s="3579"/>
      <c r="WWZ143" s="3579"/>
      <c r="WXA143" s="3579"/>
      <c r="WXB143" s="3579"/>
      <c r="WXC143" s="3579"/>
      <c r="WXD143" s="3579"/>
      <c r="WXE143" s="3579"/>
      <c r="WXF143" s="3579"/>
      <c r="WXG143" s="3579"/>
      <c r="WXH143" s="3579"/>
      <c r="WXI143" s="3579"/>
      <c r="WXJ143" s="3579"/>
      <c r="WXK143" s="3579"/>
      <c r="WXL143" s="3579"/>
      <c r="WXM143" s="3579"/>
      <c r="WXN143" s="3579"/>
      <c r="WXO143" s="3579"/>
      <c r="WXP143" s="3579"/>
      <c r="WXQ143" s="3579"/>
      <c r="WXR143" s="3579"/>
      <c r="WXS143" s="3579"/>
      <c r="WXT143" s="3579"/>
      <c r="WXU143" s="3579"/>
      <c r="WXV143" s="3579"/>
      <c r="WXW143" s="3579"/>
      <c r="WXX143" s="3579"/>
      <c r="WXY143" s="3579"/>
      <c r="WXZ143" s="3579"/>
      <c r="WYA143" s="3579"/>
      <c r="WYB143" s="3579"/>
      <c r="WYC143" s="3579"/>
      <c r="WYD143" s="3579"/>
      <c r="WYE143" s="3579"/>
      <c r="WYF143" s="3579"/>
      <c r="WYG143" s="3579"/>
      <c r="WYH143" s="3579"/>
      <c r="WYI143" s="3579"/>
      <c r="WYJ143" s="3579"/>
      <c r="WYK143" s="3579"/>
      <c r="WYL143" s="3579"/>
      <c r="WYM143" s="3579"/>
      <c r="WYN143" s="3579"/>
      <c r="WYO143" s="3579"/>
      <c r="WYP143" s="3579"/>
      <c r="WYQ143" s="3579"/>
      <c r="WYR143" s="3579"/>
      <c r="WYS143" s="3579"/>
      <c r="WYT143" s="3579"/>
      <c r="WYU143" s="3579"/>
      <c r="WYV143" s="3579"/>
      <c r="WYW143" s="3579"/>
      <c r="WYX143" s="3579"/>
      <c r="WYY143" s="3579"/>
      <c r="WYZ143" s="3579"/>
      <c r="WZA143" s="3579"/>
      <c r="WZB143" s="3579"/>
      <c r="WZC143" s="3579"/>
      <c r="WZD143" s="3579"/>
      <c r="WZE143" s="3579"/>
      <c r="WZF143" s="3579"/>
      <c r="WZG143" s="3579"/>
      <c r="WZH143" s="3579"/>
      <c r="WZI143" s="3579"/>
      <c r="WZJ143" s="3579"/>
      <c r="WZK143" s="3579"/>
      <c r="WZL143" s="3579"/>
      <c r="WZM143" s="3579"/>
      <c r="WZN143" s="3579"/>
      <c r="WZO143" s="3579"/>
      <c r="WZP143" s="3579"/>
      <c r="WZQ143" s="3579"/>
      <c r="WZR143" s="3579"/>
      <c r="WZS143" s="3579"/>
      <c r="WZT143" s="3579"/>
      <c r="WZU143" s="3579"/>
      <c r="WZV143" s="3579"/>
      <c r="WZW143" s="3579"/>
      <c r="WZX143" s="3579"/>
      <c r="WZY143" s="3579"/>
      <c r="WZZ143" s="3579"/>
      <c r="XAA143" s="3579"/>
      <c r="XAB143" s="3579"/>
      <c r="XAC143" s="3579"/>
      <c r="XAD143" s="3579"/>
      <c r="XAE143" s="3579"/>
      <c r="XAF143" s="3579"/>
      <c r="XAG143" s="3579"/>
      <c r="XAH143" s="3579"/>
      <c r="XAI143" s="3579"/>
      <c r="XAJ143" s="3579"/>
      <c r="XAK143" s="3579"/>
      <c r="XAL143" s="3579"/>
      <c r="XAM143" s="3579"/>
      <c r="XAN143" s="3579"/>
      <c r="XAO143" s="3579"/>
      <c r="XAP143" s="3579"/>
      <c r="XAQ143" s="3579"/>
      <c r="XAR143" s="3579"/>
      <c r="XAS143" s="3579"/>
      <c r="XAT143" s="3579"/>
      <c r="XAU143" s="3579"/>
      <c r="XAV143" s="3579"/>
      <c r="XAW143" s="3579"/>
      <c r="XAX143" s="3579"/>
      <c r="XAY143" s="3579"/>
      <c r="XAZ143" s="3579"/>
      <c r="XBA143" s="3579"/>
      <c r="XBB143" s="3579"/>
      <c r="XBC143" s="3579"/>
      <c r="XBD143" s="3579"/>
      <c r="XBE143" s="3579"/>
      <c r="XBF143" s="3579"/>
      <c r="XBG143" s="3579"/>
      <c r="XBH143" s="3579"/>
      <c r="XBI143" s="3579"/>
      <c r="XBJ143" s="3579"/>
      <c r="XBK143" s="3579"/>
      <c r="XBL143" s="3579"/>
      <c r="XBM143" s="3579"/>
      <c r="XBN143" s="3579"/>
      <c r="XBO143" s="3579"/>
      <c r="XBP143" s="3579"/>
      <c r="XBQ143" s="3579"/>
      <c r="XBR143" s="3579"/>
      <c r="XBS143" s="3579"/>
      <c r="XBT143" s="3579"/>
      <c r="XBU143" s="3579"/>
      <c r="XBV143" s="3579"/>
      <c r="XBW143" s="3579"/>
      <c r="XBX143" s="3579"/>
      <c r="XBY143" s="3579"/>
      <c r="XBZ143" s="3579"/>
      <c r="XCA143" s="3579"/>
      <c r="XCB143" s="3579"/>
      <c r="XCC143" s="3579"/>
      <c r="XCD143" s="3579"/>
      <c r="XCE143" s="3579"/>
      <c r="XCF143" s="3579"/>
      <c r="XCG143" s="3579"/>
      <c r="XCH143" s="3579"/>
      <c r="XCI143" s="3579"/>
      <c r="XCJ143" s="3579"/>
      <c r="XCK143" s="3579"/>
      <c r="XCL143" s="3579"/>
      <c r="XCM143" s="3579"/>
      <c r="XCN143" s="3579"/>
      <c r="XCO143" s="3579"/>
      <c r="XCP143" s="3579"/>
      <c r="XCQ143" s="3579"/>
      <c r="XCR143" s="3579"/>
      <c r="XCS143" s="3579"/>
      <c r="XCT143" s="3579"/>
      <c r="XCU143" s="3579"/>
      <c r="XCV143" s="3579"/>
      <c r="XCW143" s="3579"/>
      <c r="XCX143" s="3579"/>
      <c r="XCY143" s="3579"/>
      <c r="XCZ143" s="3579"/>
      <c r="XDA143" s="3579"/>
      <c r="XDB143" s="3579"/>
      <c r="XDC143" s="3579"/>
      <c r="XDD143" s="3579"/>
      <c r="XDE143" s="3579"/>
      <c r="XDF143" s="3579"/>
      <c r="XDG143" s="3579"/>
      <c r="XDH143" s="3579"/>
      <c r="XDI143" s="3579"/>
      <c r="XDJ143" s="3579"/>
      <c r="XDK143" s="3579"/>
      <c r="XDL143" s="3579"/>
      <c r="XDM143" s="3579"/>
      <c r="XDN143" s="3579"/>
      <c r="XDO143" s="3579"/>
      <c r="XDP143" s="3579"/>
      <c r="XDQ143" s="3579"/>
      <c r="XDR143" s="3579"/>
      <c r="XDS143" s="3579"/>
      <c r="XDT143" s="3579"/>
      <c r="XDU143" s="3579"/>
      <c r="XDV143" s="3579"/>
      <c r="XDW143" s="3579"/>
      <c r="XDX143" s="3579"/>
      <c r="XDY143" s="3579"/>
      <c r="XDZ143" s="3579"/>
      <c r="XEA143" s="3579"/>
      <c r="XEB143" s="3579"/>
      <c r="XEC143" s="3579"/>
      <c r="XED143" s="3579"/>
      <c r="XEE143" s="3579"/>
      <c r="XEF143" s="3579"/>
      <c r="XEG143" s="3579"/>
    </row>
    <row r="144" spans="1:16361" s="1949" customFormat="1" ht="69">
      <c r="A144" s="2255"/>
      <c r="B144" s="2255"/>
      <c r="C144" s="2256"/>
      <c r="D144" s="2244"/>
      <c r="E144" s="2244"/>
      <c r="F144" s="2244"/>
      <c r="G144" s="2244"/>
      <c r="H144" s="2244"/>
      <c r="I144" s="2257"/>
      <c r="J144" s="2398"/>
      <c r="K144" s="2398"/>
      <c r="L144" s="2398"/>
      <c r="M144" s="2398"/>
      <c r="N144" s="2398"/>
      <c r="O144" s="2398"/>
      <c r="P144" s="2398"/>
      <c r="Q144" s="2398"/>
      <c r="R144" s="2398"/>
      <c r="S144" s="250"/>
    </row>
    <row r="145" spans="9:19" ht="32.25" customHeight="1">
      <c r="I145" s="2257"/>
    </row>
    <row r="146" spans="9:19" ht="32.25" customHeight="1">
      <c r="I146" s="2257"/>
    </row>
    <row r="147" spans="9:19" ht="32.25" customHeight="1">
      <c r="I147" s="2257"/>
    </row>
    <row r="148" spans="9:19" ht="32.25" customHeight="1">
      <c r="I148" s="2257"/>
    </row>
    <row r="149" spans="9:19" ht="32.25" customHeight="1">
      <c r="I149" s="2257"/>
    </row>
    <row r="150" spans="9:19" ht="32.25" customHeight="1">
      <c r="I150" s="2257"/>
    </row>
    <row r="151" spans="9:19" ht="32.25" customHeight="1">
      <c r="I151" s="2257"/>
    </row>
    <row r="152" spans="9:19" ht="32.25" customHeight="1">
      <c r="I152" s="2249"/>
    </row>
    <row r="153" spans="9:19" ht="32.25" customHeight="1">
      <c r="I153" s="2247"/>
    </row>
    <row r="154" spans="9:19" ht="32.25" customHeight="1">
      <c r="I154" s="2247"/>
    </row>
    <row r="155" spans="9:19" ht="32.25" customHeight="1">
      <c r="I155" s="2258"/>
    </row>
    <row r="156" spans="9:19" ht="32.25" customHeight="1">
      <c r="I156" s="2259"/>
    </row>
    <row r="157" spans="9:19" ht="32.25" customHeight="1">
      <c r="I157" s="2244"/>
    </row>
    <row r="159" spans="9:19" ht="32.25" customHeight="1">
      <c r="S159" s="429"/>
    </row>
    <row r="160" spans="9:19" ht="32.25" customHeight="1">
      <c r="S160" s="1950"/>
    </row>
    <row r="161" spans="19:19" ht="32.25" customHeight="1">
      <c r="S161" s="1950"/>
    </row>
    <row r="162" spans="19:19" ht="32.25" customHeight="1">
      <c r="S162" s="1950"/>
    </row>
    <row r="163" spans="19:19" ht="32.25" customHeight="1">
      <c r="S163" s="1951"/>
    </row>
    <row r="164" spans="19:19" ht="32.25" customHeight="1">
      <c r="S164" s="1951"/>
    </row>
    <row r="165" spans="19:19" ht="32.25" customHeight="1">
      <c r="S165" s="1951"/>
    </row>
    <row r="166" spans="19:19" ht="32.25" customHeight="1">
      <c r="S166" s="1951"/>
    </row>
    <row r="167" spans="19:19" ht="32.25" customHeight="1">
      <c r="S167" s="1951"/>
    </row>
    <row r="168" spans="19:19" ht="32.25" customHeight="1">
      <c r="S168" s="1951"/>
    </row>
    <row r="169" spans="19:19" ht="32.25" customHeight="1">
      <c r="S169" s="1951"/>
    </row>
    <row r="170" spans="19:19" ht="32.25" customHeight="1">
      <c r="S170" s="1951"/>
    </row>
    <row r="171" spans="19:19" ht="32.25" customHeight="1">
      <c r="S171" s="1951"/>
    </row>
    <row r="172" spans="19:19" ht="32.25" customHeight="1">
      <c r="S172" s="1951"/>
    </row>
    <row r="173" spans="19:19" ht="32.25" customHeight="1">
      <c r="S173" s="1951"/>
    </row>
    <row r="174" spans="19:19" ht="32.25" customHeight="1">
      <c r="S174" s="1951"/>
    </row>
    <row r="175" spans="19:19" ht="32.25" customHeight="1">
      <c r="S175" s="1951"/>
    </row>
    <row r="176" spans="19:19" ht="32.25" customHeight="1">
      <c r="S176" s="1950"/>
    </row>
    <row r="177" spans="19:19" ht="32.25" customHeight="1">
      <c r="S177" s="1953"/>
    </row>
    <row r="178" spans="19:19" ht="32.25" customHeight="1">
      <c r="S178" s="1949"/>
    </row>
    <row r="179" spans="19:19" ht="32.25" customHeight="1">
      <c r="S179" s="1949"/>
    </row>
    <row r="180" spans="19:19" ht="32.25" customHeight="1">
      <c r="S180" s="1949"/>
    </row>
    <row r="181" spans="19:19" ht="32.25" customHeight="1">
      <c r="S181" s="1949"/>
    </row>
    <row r="182" spans="19:19" ht="32.25" customHeight="1">
      <c r="S182" s="1949"/>
    </row>
    <row r="183" spans="19:19" ht="32.25" customHeight="1">
      <c r="S183" s="1949"/>
    </row>
    <row r="184" spans="19:19" ht="32.25" customHeight="1">
      <c r="S184" s="1949"/>
    </row>
    <row r="185" spans="19:19" ht="32.25" customHeight="1">
      <c r="S185" s="1949"/>
    </row>
    <row r="186" spans="19:19" ht="32.25" customHeight="1">
      <c r="S186" s="1949"/>
    </row>
    <row r="187" spans="19:19" ht="32.25" customHeight="1">
      <c r="S187" s="1949"/>
    </row>
    <row r="188" spans="19:19" ht="32.25" customHeight="1">
      <c r="S188" s="1949"/>
    </row>
    <row r="189" spans="19:19" ht="32.25" customHeight="1">
      <c r="S189" s="1949"/>
    </row>
    <row r="190" spans="19:19" ht="32.25" customHeight="1">
      <c r="S190" s="1949"/>
    </row>
    <row r="191" spans="19:19" ht="32.25" customHeight="1">
      <c r="S191" s="1949"/>
    </row>
    <row r="192" spans="19:19" ht="32.25" customHeight="1">
      <c r="S192" s="1949"/>
    </row>
    <row r="193" spans="19:19" ht="32.25" customHeight="1">
      <c r="S193" s="1949"/>
    </row>
    <row r="194" spans="19:19" ht="32.25" customHeight="1">
      <c r="S194" s="2236"/>
    </row>
    <row r="195" spans="19:19" ht="32.25" customHeight="1">
      <c r="S195" s="1954"/>
    </row>
    <row r="196" spans="19:19" ht="32.25" customHeight="1">
      <c r="S196" s="1955"/>
    </row>
    <row r="197" spans="19:19" ht="32.25" customHeight="1">
      <c r="S197" s="1949"/>
    </row>
    <row r="198" spans="19:19" ht="32.25" customHeight="1">
      <c r="S198" s="1949"/>
    </row>
    <row r="199" spans="19:19" ht="32.25" customHeight="1">
      <c r="S199" s="1949"/>
    </row>
    <row r="200" spans="19:19" ht="32.25" customHeight="1">
      <c r="S200" s="1949"/>
    </row>
    <row r="201" spans="19:19" ht="32.25" customHeight="1">
      <c r="S201" s="1949"/>
    </row>
    <row r="202" spans="19:19" ht="32.25" customHeight="1">
      <c r="S202" s="1949"/>
    </row>
    <row r="203" spans="19:19" ht="32.25" customHeight="1">
      <c r="S203" s="1949"/>
    </row>
    <row r="204" spans="19:19" ht="32.25" customHeight="1">
      <c r="S204" s="1949"/>
    </row>
    <row r="205" spans="19:19" ht="32.25" customHeight="1">
      <c r="S205" s="1949"/>
    </row>
    <row r="206" spans="19:19" ht="32.25" customHeight="1">
      <c r="S206" s="1949"/>
    </row>
    <row r="207" spans="19:19" ht="32.25" customHeight="1">
      <c r="S207" s="1949"/>
    </row>
    <row r="208" spans="19:19" ht="32.25" customHeight="1">
      <c r="S208" s="1949"/>
    </row>
    <row r="209" spans="19:19" ht="32.25" customHeight="1">
      <c r="S209" s="1949"/>
    </row>
    <row r="210" spans="19:19" ht="32.25" customHeight="1">
      <c r="S210" s="1949"/>
    </row>
    <row r="211" spans="19:19" ht="32.25" customHeight="1">
      <c r="S211" s="1949"/>
    </row>
    <row r="212" spans="19:19" ht="32.25" customHeight="1">
      <c r="S212" s="1949"/>
    </row>
    <row r="213" spans="19:19" ht="32.25" customHeight="1">
      <c r="S213" s="1949"/>
    </row>
    <row r="214" spans="19:19" ht="32.25" customHeight="1">
      <c r="S214" s="1949"/>
    </row>
    <row r="215" spans="19:19" ht="32.25" customHeight="1">
      <c r="S215" s="1949"/>
    </row>
    <row r="216" spans="19:19" ht="32.25" customHeight="1">
      <c r="S216" s="1949"/>
    </row>
    <row r="217" spans="19:19" ht="32.25" customHeight="1">
      <c r="S217" s="1949"/>
    </row>
    <row r="218" spans="19:19" ht="32.25" customHeight="1">
      <c r="S218" s="1949"/>
    </row>
    <row r="219" spans="19:19" ht="32.25" customHeight="1">
      <c r="S219" s="1949"/>
    </row>
    <row r="220" spans="19:19" ht="32.25" customHeight="1">
      <c r="S220" s="1949"/>
    </row>
    <row r="221" spans="19:19" ht="32.25" customHeight="1">
      <c r="S221" s="1949"/>
    </row>
    <row r="222" spans="19:19" ht="32.25" customHeight="1">
      <c r="S222" s="1949"/>
    </row>
    <row r="223" spans="19:19" ht="32.25" customHeight="1">
      <c r="S223" s="1956"/>
    </row>
    <row r="224" spans="19:19" ht="32.25" customHeight="1">
      <c r="S224" s="2235"/>
    </row>
    <row r="225" spans="19:19" ht="32.25" customHeight="1">
      <c r="S225" s="1949"/>
    </row>
  </sheetData>
  <sheetProtection selectLockedCells="1" selectUnlockedCells="1"/>
  <mergeCells count="1049">
    <mergeCell ref="A1:R1"/>
    <mergeCell ref="D125:R125"/>
    <mergeCell ref="A3:R3"/>
    <mergeCell ref="B24:D24"/>
    <mergeCell ref="A2:R2"/>
    <mergeCell ref="P25:R25"/>
    <mergeCell ref="J66:R66"/>
    <mergeCell ref="T143:Y143"/>
    <mergeCell ref="Z143:AO143"/>
    <mergeCell ref="AP143:BE143"/>
    <mergeCell ref="C128:D128"/>
    <mergeCell ref="P82:R82"/>
    <mergeCell ref="C80:Q80"/>
    <mergeCell ref="J26:P26"/>
    <mergeCell ref="J98:P98"/>
    <mergeCell ref="A143:R143"/>
    <mergeCell ref="C96:R96"/>
    <mergeCell ref="A62:R62"/>
    <mergeCell ref="A63:R63"/>
    <mergeCell ref="A64:R64"/>
    <mergeCell ref="A60:R60"/>
    <mergeCell ref="A18:C18"/>
    <mergeCell ref="B57:R57"/>
    <mergeCell ref="MX143:NM143"/>
    <mergeCell ref="HJ143:HY143"/>
    <mergeCell ref="HZ143:IO143"/>
    <mergeCell ref="IP143:JE143"/>
    <mergeCell ref="JF143:JU143"/>
    <mergeCell ref="JV143:KK143"/>
    <mergeCell ref="EH143:EW143"/>
    <mergeCell ref="EX143:FM143"/>
    <mergeCell ref="FN143:GC143"/>
    <mergeCell ref="GD143:GS143"/>
    <mergeCell ref="GT143:HI143"/>
    <mergeCell ref="MH143:MW143"/>
    <mergeCell ref="D25:G25"/>
    <mergeCell ref="BF143:BU143"/>
    <mergeCell ref="BV143:CK143"/>
    <mergeCell ref="CL143:DA143"/>
    <mergeCell ref="DB143:DQ143"/>
    <mergeCell ref="DR143:EG143"/>
    <mergeCell ref="KL143:LA143"/>
    <mergeCell ref="LB143:LQ143"/>
    <mergeCell ref="LR143:MG143"/>
    <mergeCell ref="E66:G66"/>
    <mergeCell ref="D78:R78"/>
    <mergeCell ref="C79:R79"/>
    <mergeCell ref="L114:P114"/>
    <mergeCell ref="P49:R49"/>
    <mergeCell ref="A25:C25"/>
    <mergeCell ref="ACH143:ACW143"/>
    <mergeCell ref="WT143:XI143"/>
    <mergeCell ref="XJ143:XY143"/>
    <mergeCell ref="XZ143:YO143"/>
    <mergeCell ref="YP143:ZE143"/>
    <mergeCell ref="ZF143:ZU143"/>
    <mergeCell ref="TR143:UG143"/>
    <mergeCell ref="UH143:UW143"/>
    <mergeCell ref="UX143:VM143"/>
    <mergeCell ref="VN143:WC143"/>
    <mergeCell ref="WD143:WS143"/>
    <mergeCell ref="PJ143:PY143"/>
    <mergeCell ref="PZ143:QO143"/>
    <mergeCell ref="QP143:RE143"/>
    <mergeCell ref="RF143:RU143"/>
    <mergeCell ref="RV143:SK143"/>
    <mergeCell ref="SL143:TA143"/>
    <mergeCell ref="TB143:TQ143"/>
    <mergeCell ref="NN143:OC143"/>
    <mergeCell ref="OD143:OS143"/>
    <mergeCell ref="OT143:PI143"/>
    <mergeCell ref="APF143:APU143"/>
    <mergeCell ref="APV143:AQK143"/>
    <mergeCell ref="AQL143:ARA143"/>
    <mergeCell ref="ARB143:ARQ143"/>
    <mergeCell ref="ARR143:ASG143"/>
    <mergeCell ref="AMD143:AMS143"/>
    <mergeCell ref="AMT143:ANI143"/>
    <mergeCell ref="ANJ143:ANY143"/>
    <mergeCell ref="ANZ143:AOO143"/>
    <mergeCell ref="AOP143:APE143"/>
    <mergeCell ref="AJB143:AJQ143"/>
    <mergeCell ref="AJR143:AKG143"/>
    <mergeCell ref="AKH143:AKW143"/>
    <mergeCell ref="AKX143:ALM143"/>
    <mergeCell ref="ALN143:AMC143"/>
    <mergeCell ref="AFZ143:AGO143"/>
    <mergeCell ref="AGP143:AHE143"/>
    <mergeCell ref="AHF143:AHU143"/>
    <mergeCell ref="AHV143:AIK143"/>
    <mergeCell ref="AIL143:AJA143"/>
    <mergeCell ref="ACX143:ADM143"/>
    <mergeCell ref="ADN143:AEC143"/>
    <mergeCell ref="AED143:AES143"/>
    <mergeCell ref="AET143:AFI143"/>
    <mergeCell ref="AFJ143:AFY143"/>
    <mergeCell ref="ZV143:AAK143"/>
    <mergeCell ref="AAL143:ABA143"/>
    <mergeCell ref="ABB143:ABQ143"/>
    <mergeCell ref="ABR143:ACG143"/>
    <mergeCell ref="BBN143:BCC143"/>
    <mergeCell ref="BCD143:BCS143"/>
    <mergeCell ref="BCT143:BDI143"/>
    <mergeCell ref="BDJ143:BDY143"/>
    <mergeCell ref="BDZ143:BEO143"/>
    <mergeCell ref="AYL143:AZA143"/>
    <mergeCell ref="AZB143:AZQ143"/>
    <mergeCell ref="AZR143:BAG143"/>
    <mergeCell ref="BAH143:BAW143"/>
    <mergeCell ref="BAX143:BBM143"/>
    <mergeCell ref="AVJ143:AVY143"/>
    <mergeCell ref="AVZ143:AWO143"/>
    <mergeCell ref="AWP143:AXE143"/>
    <mergeCell ref="AXF143:AXU143"/>
    <mergeCell ref="AXV143:AYK143"/>
    <mergeCell ref="ASH143:ASW143"/>
    <mergeCell ref="ASX143:ATM143"/>
    <mergeCell ref="ATN143:AUC143"/>
    <mergeCell ref="AUD143:AUS143"/>
    <mergeCell ref="AUT143:AVI143"/>
    <mergeCell ref="BNV143:BOK143"/>
    <mergeCell ref="BOL143:BPA143"/>
    <mergeCell ref="BPB143:BPQ143"/>
    <mergeCell ref="BPR143:BQG143"/>
    <mergeCell ref="BQH143:BQW143"/>
    <mergeCell ref="BKT143:BLI143"/>
    <mergeCell ref="BLJ143:BLY143"/>
    <mergeCell ref="BLZ143:BMO143"/>
    <mergeCell ref="BMP143:BNE143"/>
    <mergeCell ref="BNF143:BNU143"/>
    <mergeCell ref="BHR143:BIG143"/>
    <mergeCell ref="BIH143:BIW143"/>
    <mergeCell ref="BIX143:BJM143"/>
    <mergeCell ref="BJN143:BKC143"/>
    <mergeCell ref="BKD143:BKS143"/>
    <mergeCell ref="BEP143:BFE143"/>
    <mergeCell ref="BFF143:BFU143"/>
    <mergeCell ref="BFV143:BGK143"/>
    <mergeCell ref="BGL143:BHA143"/>
    <mergeCell ref="BHB143:BHQ143"/>
    <mergeCell ref="CAD143:CAS143"/>
    <mergeCell ref="CAT143:CBI143"/>
    <mergeCell ref="CBJ143:CBY143"/>
    <mergeCell ref="CBZ143:CCO143"/>
    <mergeCell ref="CCP143:CDE143"/>
    <mergeCell ref="BXB143:BXQ143"/>
    <mergeCell ref="BXR143:BYG143"/>
    <mergeCell ref="BYH143:BYW143"/>
    <mergeCell ref="BYX143:BZM143"/>
    <mergeCell ref="BZN143:CAC143"/>
    <mergeCell ref="BTZ143:BUO143"/>
    <mergeCell ref="BUP143:BVE143"/>
    <mergeCell ref="BVF143:BVU143"/>
    <mergeCell ref="BVV143:BWK143"/>
    <mergeCell ref="BWL143:BXA143"/>
    <mergeCell ref="BQX143:BRM143"/>
    <mergeCell ref="BRN143:BSC143"/>
    <mergeCell ref="BSD143:BSS143"/>
    <mergeCell ref="BST143:BTI143"/>
    <mergeCell ref="BTJ143:BTY143"/>
    <mergeCell ref="CML143:CNA143"/>
    <mergeCell ref="CNB143:CNQ143"/>
    <mergeCell ref="CNR143:COG143"/>
    <mergeCell ref="COH143:COW143"/>
    <mergeCell ref="COX143:CPM143"/>
    <mergeCell ref="CJJ143:CJY143"/>
    <mergeCell ref="CJZ143:CKO143"/>
    <mergeCell ref="CKP143:CLE143"/>
    <mergeCell ref="CLF143:CLU143"/>
    <mergeCell ref="CLV143:CMK143"/>
    <mergeCell ref="CGH143:CGW143"/>
    <mergeCell ref="CGX143:CHM143"/>
    <mergeCell ref="CHN143:CIC143"/>
    <mergeCell ref="CID143:CIS143"/>
    <mergeCell ref="CIT143:CJI143"/>
    <mergeCell ref="CDF143:CDU143"/>
    <mergeCell ref="CDV143:CEK143"/>
    <mergeCell ref="CEL143:CFA143"/>
    <mergeCell ref="CFB143:CFQ143"/>
    <mergeCell ref="CFR143:CGG143"/>
    <mergeCell ref="CYT143:CZI143"/>
    <mergeCell ref="CZJ143:CZY143"/>
    <mergeCell ref="CZZ143:DAO143"/>
    <mergeCell ref="DAP143:DBE143"/>
    <mergeCell ref="DBF143:DBU143"/>
    <mergeCell ref="CVR143:CWG143"/>
    <mergeCell ref="CWH143:CWW143"/>
    <mergeCell ref="CWX143:CXM143"/>
    <mergeCell ref="CXN143:CYC143"/>
    <mergeCell ref="CYD143:CYS143"/>
    <mergeCell ref="CSP143:CTE143"/>
    <mergeCell ref="CTF143:CTU143"/>
    <mergeCell ref="CTV143:CUK143"/>
    <mergeCell ref="CUL143:CVA143"/>
    <mergeCell ref="CVB143:CVQ143"/>
    <mergeCell ref="CPN143:CQC143"/>
    <mergeCell ref="CQD143:CQS143"/>
    <mergeCell ref="CQT143:CRI143"/>
    <mergeCell ref="CRJ143:CRY143"/>
    <mergeCell ref="CRZ143:CSO143"/>
    <mergeCell ref="DLB143:DLQ143"/>
    <mergeCell ref="DLR143:DMG143"/>
    <mergeCell ref="DMH143:DMW143"/>
    <mergeCell ref="DMX143:DNM143"/>
    <mergeCell ref="DNN143:DOC143"/>
    <mergeCell ref="DHZ143:DIO143"/>
    <mergeCell ref="DIP143:DJE143"/>
    <mergeCell ref="DJF143:DJU143"/>
    <mergeCell ref="DJV143:DKK143"/>
    <mergeCell ref="DKL143:DLA143"/>
    <mergeCell ref="DEX143:DFM143"/>
    <mergeCell ref="DFN143:DGC143"/>
    <mergeCell ref="DGD143:DGS143"/>
    <mergeCell ref="DGT143:DHI143"/>
    <mergeCell ref="DHJ143:DHY143"/>
    <mergeCell ref="DBV143:DCK143"/>
    <mergeCell ref="DCL143:DDA143"/>
    <mergeCell ref="DDB143:DDQ143"/>
    <mergeCell ref="DDR143:DEG143"/>
    <mergeCell ref="DEH143:DEW143"/>
    <mergeCell ref="DXJ143:DXY143"/>
    <mergeCell ref="DXZ143:DYO143"/>
    <mergeCell ref="DYP143:DZE143"/>
    <mergeCell ref="DZF143:DZU143"/>
    <mergeCell ref="DZV143:EAK143"/>
    <mergeCell ref="DUH143:DUW143"/>
    <mergeCell ref="DUX143:DVM143"/>
    <mergeCell ref="DVN143:DWC143"/>
    <mergeCell ref="DWD143:DWS143"/>
    <mergeCell ref="DWT143:DXI143"/>
    <mergeCell ref="DRF143:DRU143"/>
    <mergeCell ref="DRV143:DSK143"/>
    <mergeCell ref="DSL143:DTA143"/>
    <mergeCell ref="DTB143:DTQ143"/>
    <mergeCell ref="DTR143:DUG143"/>
    <mergeCell ref="DOD143:DOS143"/>
    <mergeCell ref="DOT143:DPI143"/>
    <mergeCell ref="DPJ143:DPY143"/>
    <mergeCell ref="DPZ143:DQO143"/>
    <mergeCell ref="DQP143:DRE143"/>
    <mergeCell ref="EJR143:EKG143"/>
    <mergeCell ref="EKH143:EKW143"/>
    <mergeCell ref="EKX143:ELM143"/>
    <mergeCell ref="ELN143:EMC143"/>
    <mergeCell ref="EMD143:EMS143"/>
    <mergeCell ref="EGP143:EHE143"/>
    <mergeCell ref="EHF143:EHU143"/>
    <mergeCell ref="EHV143:EIK143"/>
    <mergeCell ref="EIL143:EJA143"/>
    <mergeCell ref="EJB143:EJQ143"/>
    <mergeCell ref="EDN143:EEC143"/>
    <mergeCell ref="EED143:EES143"/>
    <mergeCell ref="EET143:EFI143"/>
    <mergeCell ref="EFJ143:EFY143"/>
    <mergeCell ref="EFZ143:EGO143"/>
    <mergeCell ref="EAL143:EBA143"/>
    <mergeCell ref="EBB143:EBQ143"/>
    <mergeCell ref="EBR143:ECG143"/>
    <mergeCell ref="ECH143:ECW143"/>
    <mergeCell ref="ECX143:EDM143"/>
    <mergeCell ref="EVZ143:EWO143"/>
    <mergeCell ref="EWP143:EXE143"/>
    <mergeCell ref="EXF143:EXU143"/>
    <mergeCell ref="EXV143:EYK143"/>
    <mergeCell ref="EYL143:EZA143"/>
    <mergeCell ref="ESX143:ETM143"/>
    <mergeCell ref="ETN143:EUC143"/>
    <mergeCell ref="EUD143:EUS143"/>
    <mergeCell ref="EUT143:EVI143"/>
    <mergeCell ref="EVJ143:EVY143"/>
    <mergeCell ref="EPV143:EQK143"/>
    <mergeCell ref="EQL143:ERA143"/>
    <mergeCell ref="ERB143:ERQ143"/>
    <mergeCell ref="ERR143:ESG143"/>
    <mergeCell ref="ESH143:ESW143"/>
    <mergeCell ref="EMT143:ENI143"/>
    <mergeCell ref="ENJ143:ENY143"/>
    <mergeCell ref="ENZ143:EOO143"/>
    <mergeCell ref="EOP143:EPE143"/>
    <mergeCell ref="EPF143:EPU143"/>
    <mergeCell ref="FIH143:FIW143"/>
    <mergeCell ref="FIX143:FJM143"/>
    <mergeCell ref="FJN143:FKC143"/>
    <mergeCell ref="FKD143:FKS143"/>
    <mergeCell ref="FKT143:FLI143"/>
    <mergeCell ref="FFF143:FFU143"/>
    <mergeCell ref="FFV143:FGK143"/>
    <mergeCell ref="FGL143:FHA143"/>
    <mergeCell ref="FHB143:FHQ143"/>
    <mergeCell ref="FHR143:FIG143"/>
    <mergeCell ref="FCD143:FCS143"/>
    <mergeCell ref="FCT143:FDI143"/>
    <mergeCell ref="FDJ143:FDY143"/>
    <mergeCell ref="FDZ143:FEO143"/>
    <mergeCell ref="FEP143:FFE143"/>
    <mergeCell ref="EZB143:EZQ143"/>
    <mergeCell ref="EZR143:FAG143"/>
    <mergeCell ref="FAH143:FAW143"/>
    <mergeCell ref="FAX143:FBM143"/>
    <mergeCell ref="FBN143:FCC143"/>
    <mergeCell ref="FUP143:FVE143"/>
    <mergeCell ref="FVF143:FVU143"/>
    <mergeCell ref="FVV143:FWK143"/>
    <mergeCell ref="FWL143:FXA143"/>
    <mergeCell ref="FXB143:FXQ143"/>
    <mergeCell ref="FRN143:FSC143"/>
    <mergeCell ref="FSD143:FSS143"/>
    <mergeCell ref="FST143:FTI143"/>
    <mergeCell ref="FTJ143:FTY143"/>
    <mergeCell ref="FTZ143:FUO143"/>
    <mergeCell ref="FOL143:FPA143"/>
    <mergeCell ref="FPB143:FPQ143"/>
    <mergeCell ref="FPR143:FQG143"/>
    <mergeCell ref="FQH143:FQW143"/>
    <mergeCell ref="FQX143:FRM143"/>
    <mergeCell ref="FLJ143:FLY143"/>
    <mergeCell ref="FLZ143:FMO143"/>
    <mergeCell ref="FMP143:FNE143"/>
    <mergeCell ref="FNF143:FNU143"/>
    <mergeCell ref="FNV143:FOK143"/>
    <mergeCell ref="GGX143:GHM143"/>
    <mergeCell ref="GHN143:GIC143"/>
    <mergeCell ref="GID143:GIS143"/>
    <mergeCell ref="GIT143:GJI143"/>
    <mergeCell ref="GJJ143:GJY143"/>
    <mergeCell ref="GDV143:GEK143"/>
    <mergeCell ref="GEL143:GFA143"/>
    <mergeCell ref="GFB143:GFQ143"/>
    <mergeCell ref="GFR143:GGG143"/>
    <mergeCell ref="GGH143:GGW143"/>
    <mergeCell ref="GAT143:GBI143"/>
    <mergeCell ref="GBJ143:GBY143"/>
    <mergeCell ref="GBZ143:GCO143"/>
    <mergeCell ref="GCP143:GDE143"/>
    <mergeCell ref="GDF143:GDU143"/>
    <mergeCell ref="FXR143:FYG143"/>
    <mergeCell ref="FYH143:FYW143"/>
    <mergeCell ref="FYX143:FZM143"/>
    <mergeCell ref="FZN143:GAC143"/>
    <mergeCell ref="GAD143:GAS143"/>
    <mergeCell ref="GTF143:GTU143"/>
    <mergeCell ref="GTV143:GUK143"/>
    <mergeCell ref="GUL143:GVA143"/>
    <mergeCell ref="GVB143:GVQ143"/>
    <mergeCell ref="GVR143:GWG143"/>
    <mergeCell ref="GQD143:GQS143"/>
    <mergeCell ref="GQT143:GRI143"/>
    <mergeCell ref="GRJ143:GRY143"/>
    <mergeCell ref="GRZ143:GSO143"/>
    <mergeCell ref="GSP143:GTE143"/>
    <mergeCell ref="GNB143:GNQ143"/>
    <mergeCell ref="GNR143:GOG143"/>
    <mergeCell ref="GOH143:GOW143"/>
    <mergeCell ref="GOX143:GPM143"/>
    <mergeCell ref="GPN143:GQC143"/>
    <mergeCell ref="GJZ143:GKO143"/>
    <mergeCell ref="GKP143:GLE143"/>
    <mergeCell ref="GLF143:GLU143"/>
    <mergeCell ref="GLV143:GMK143"/>
    <mergeCell ref="GML143:GNA143"/>
    <mergeCell ref="HFN143:HGC143"/>
    <mergeCell ref="HGD143:HGS143"/>
    <mergeCell ref="HGT143:HHI143"/>
    <mergeCell ref="HHJ143:HHY143"/>
    <mergeCell ref="HHZ143:HIO143"/>
    <mergeCell ref="HCL143:HDA143"/>
    <mergeCell ref="HDB143:HDQ143"/>
    <mergeCell ref="HDR143:HEG143"/>
    <mergeCell ref="HEH143:HEW143"/>
    <mergeCell ref="HEX143:HFM143"/>
    <mergeCell ref="GZJ143:GZY143"/>
    <mergeCell ref="GZZ143:HAO143"/>
    <mergeCell ref="HAP143:HBE143"/>
    <mergeCell ref="HBF143:HBU143"/>
    <mergeCell ref="HBV143:HCK143"/>
    <mergeCell ref="GWH143:GWW143"/>
    <mergeCell ref="GWX143:GXM143"/>
    <mergeCell ref="GXN143:GYC143"/>
    <mergeCell ref="GYD143:GYS143"/>
    <mergeCell ref="GYT143:GZI143"/>
    <mergeCell ref="HRV143:HSK143"/>
    <mergeCell ref="HSL143:HTA143"/>
    <mergeCell ref="HTB143:HTQ143"/>
    <mergeCell ref="HTR143:HUG143"/>
    <mergeCell ref="HUH143:HUW143"/>
    <mergeCell ref="HOT143:HPI143"/>
    <mergeCell ref="HPJ143:HPY143"/>
    <mergeCell ref="HPZ143:HQO143"/>
    <mergeCell ref="HQP143:HRE143"/>
    <mergeCell ref="HRF143:HRU143"/>
    <mergeCell ref="HLR143:HMG143"/>
    <mergeCell ref="HMH143:HMW143"/>
    <mergeCell ref="HMX143:HNM143"/>
    <mergeCell ref="HNN143:HOC143"/>
    <mergeCell ref="HOD143:HOS143"/>
    <mergeCell ref="HIP143:HJE143"/>
    <mergeCell ref="HJF143:HJU143"/>
    <mergeCell ref="HJV143:HKK143"/>
    <mergeCell ref="HKL143:HLA143"/>
    <mergeCell ref="HLB143:HLQ143"/>
    <mergeCell ref="IED143:IES143"/>
    <mergeCell ref="IET143:IFI143"/>
    <mergeCell ref="IFJ143:IFY143"/>
    <mergeCell ref="IFZ143:IGO143"/>
    <mergeCell ref="IGP143:IHE143"/>
    <mergeCell ref="IBB143:IBQ143"/>
    <mergeCell ref="IBR143:ICG143"/>
    <mergeCell ref="ICH143:ICW143"/>
    <mergeCell ref="ICX143:IDM143"/>
    <mergeCell ref="IDN143:IEC143"/>
    <mergeCell ref="HXZ143:HYO143"/>
    <mergeCell ref="HYP143:HZE143"/>
    <mergeCell ref="HZF143:HZU143"/>
    <mergeCell ref="HZV143:IAK143"/>
    <mergeCell ref="IAL143:IBA143"/>
    <mergeCell ref="HUX143:HVM143"/>
    <mergeCell ref="HVN143:HWC143"/>
    <mergeCell ref="HWD143:HWS143"/>
    <mergeCell ref="HWT143:HXI143"/>
    <mergeCell ref="HXJ143:HXY143"/>
    <mergeCell ref="IQL143:IRA143"/>
    <mergeCell ref="IRB143:IRQ143"/>
    <mergeCell ref="IRR143:ISG143"/>
    <mergeCell ref="ISH143:ISW143"/>
    <mergeCell ref="ISX143:ITM143"/>
    <mergeCell ref="INJ143:INY143"/>
    <mergeCell ref="INZ143:IOO143"/>
    <mergeCell ref="IOP143:IPE143"/>
    <mergeCell ref="IPF143:IPU143"/>
    <mergeCell ref="IPV143:IQK143"/>
    <mergeCell ref="IKH143:IKW143"/>
    <mergeCell ref="IKX143:ILM143"/>
    <mergeCell ref="ILN143:IMC143"/>
    <mergeCell ref="IMD143:IMS143"/>
    <mergeCell ref="IMT143:INI143"/>
    <mergeCell ref="IHF143:IHU143"/>
    <mergeCell ref="IHV143:IIK143"/>
    <mergeCell ref="IIL143:IJA143"/>
    <mergeCell ref="IJB143:IJQ143"/>
    <mergeCell ref="IJR143:IKG143"/>
    <mergeCell ref="JCT143:JDI143"/>
    <mergeCell ref="JDJ143:JDY143"/>
    <mergeCell ref="JDZ143:JEO143"/>
    <mergeCell ref="JEP143:JFE143"/>
    <mergeCell ref="JFF143:JFU143"/>
    <mergeCell ref="IZR143:JAG143"/>
    <mergeCell ref="JAH143:JAW143"/>
    <mergeCell ref="JAX143:JBM143"/>
    <mergeCell ref="JBN143:JCC143"/>
    <mergeCell ref="JCD143:JCS143"/>
    <mergeCell ref="IWP143:IXE143"/>
    <mergeCell ref="IXF143:IXU143"/>
    <mergeCell ref="IXV143:IYK143"/>
    <mergeCell ref="IYL143:IZA143"/>
    <mergeCell ref="IZB143:IZQ143"/>
    <mergeCell ref="ITN143:IUC143"/>
    <mergeCell ref="IUD143:IUS143"/>
    <mergeCell ref="IUT143:IVI143"/>
    <mergeCell ref="IVJ143:IVY143"/>
    <mergeCell ref="IVZ143:IWO143"/>
    <mergeCell ref="JPB143:JPQ143"/>
    <mergeCell ref="JPR143:JQG143"/>
    <mergeCell ref="JQH143:JQW143"/>
    <mergeCell ref="JQX143:JRM143"/>
    <mergeCell ref="JRN143:JSC143"/>
    <mergeCell ref="JLZ143:JMO143"/>
    <mergeCell ref="JMP143:JNE143"/>
    <mergeCell ref="JNF143:JNU143"/>
    <mergeCell ref="JNV143:JOK143"/>
    <mergeCell ref="JOL143:JPA143"/>
    <mergeCell ref="JIX143:JJM143"/>
    <mergeCell ref="JJN143:JKC143"/>
    <mergeCell ref="JKD143:JKS143"/>
    <mergeCell ref="JKT143:JLI143"/>
    <mergeCell ref="JLJ143:JLY143"/>
    <mergeCell ref="JFV143:JGK143"/>
    <mergeCell ref="JGL143:JHA143"/>
    <mergeCell ref="JHB143:JHQ143"/>
    <mergeCell ref="JHR143:JIG143"/>
    <mergeCell ref="JIH143:JIW143"/>
    <mergeCell ref="KBJ143:KBY143"/>
    <mergeCell ref="KBZ143:KCO143"/>
    <mergeCell ref="KCP143:KDE143"/>
    <mergeCell ref="KDF143:KDU143"/>
    <mergeCell ref="KDV143:KEK143"/>
    <mergeCell ref="JYH143:JYW143"/>
    <mergeCell ref="JYX143:JZM143"/>
    <mergeCell ref="JZN143:KAC143"/>
    <mergeCell ref="KAD143:KAS143"/>
    <mergeCell ref="KAT143:KBI143"/>
    <mergeCell ref="JVF143:JVU143"/>
    <mergeCell ref="JVV143:JWK143"/>
    <mergeCell ref="JWL143:JXA143"/>
    <mergeCell ref="JXB143:JXQ143"/>
    <mergeCell ref="JXR143:JYG143"/>
    <mergeCell ref="JSD143:JSS143"/>
    <mergeCell ref="JST143:JTI143"/>
    <mergeCell ref="JTJ143:JTY143"/>
    <mergeCell ref="JTZ143:JUO143"/>
    <mergeCell ref="JUP143:JVE143"/>
    <mergeCell ref="KNR143:KOG143"/>
    <mergeCell ref="KOH143:KOW143"/>
    <mergeCell ref="KOX143:KPM143"/>
    <mergeCell ref="KPN143:KQC143"/>
    <mergeCell ref="KQD143:KQS143"/>
    <mergeCell ref="KKP143:KLE143"/>
    <mergeCell ref="KLF143:KLU143"/>
    <mergeCell ref="KLV143:KMK143"/>
    <mergeCell ref="KML143:KNA143"/>
    <mergeCell ref="KNB143:KNQ143"/>
    <mergeCell ref="KHN143:KIC143"/>
    <mergeCell ref="KID143:KIS143"/>
    <mergeCell ref="KIT143:KJI143"/>
    <mergeCell ref="KJJ143:KJY143"/>
    <mergeCell ref="KJZ143:KKO143"/>
    <mergeCell ref="KEL143:KFA143"/>
    <mergeCell ref="KFB143:KFQ143"/>
    <mergeCell ref="KFR143:KGG143"/>
    <mergeCell ref="KGH143:KGW143"/>
    <mergeCell ref="KGX143:KHM143"/>
    <mergeCell ref="KZZ143:LAO143"/>
    <mergeCell ref="LAP143:LBE143"/>
    <mergeCell ref="LBF143:LBU143"/>
    <mergeCell ref="LBV143:LCK143"/>
    <mergeCell ref="LCL143:LDA143"/>
    <mergeCell ref="KWX143:KXM143"/>
    <mergeCell ref="KXN143:KYC143"/>
    <mergeCell ref="KYD143:KYS143"/>
    <mergeCell ref="KYT143:KZI143"/>
    <mergeCell ref="KZJ143:KZY143"/>
    <mergeCell ref="KTV143:KUK143"/>
    <mergeCell ref="KUL143:KVA143"/>
    <mergeCell ref="KVB143:KVQ143"/>
    <mergeCell ref="KVR143:KWG143"/>
    <mergeCell ref="KWH143:KWW143"/>
    <mergeCell ref="KQT143:KRI143"/>
    <mergeCell ref="KRJ143:KRY143"/>
    <mergeCell ref="KRZ143:KSO143"/>
    <mergeCell ref="KSP143:KTE143"/>
    <mergeCell ref="KTF143:KTU143"/>
    <mergeCell ref="LMH143:LMW143"/>
    <mergeCell ref="LMX143:LNM143"/>
    <mergeCell ref="LNN143:LOC143"/>
    <mergeCell ref="LOD143:LOS143"/>
    <mergeCell ref="LOT143:LPI143"/>
    <mergeCell ref="LJF143:LJU143"/>
    <mergeCell ref="LJV143:LKK143"/>
    <mergeCell ref="LKL143:LLA143"/>
    <mergeCell ref="LLB143:LLQ143"/>
    <mergeCell ref="LLR143:LMG143"/>
    <mergeCell ref="LGD143:LGS143"/>
    <mergeCell ref="LGT143:LHI143"/>
    <mergeCell ref="LHJ143:LHY143"/>
    <mergeCell ref="LHZ143:LIO143"/>
    <mergeCell ref="LIP143:LJE143"/>
    <mergeCell ref="LDB143:LDQ143"/>
    <mergeCell ref="LDR143:LEG143"/>
    <mergeCell ref="LEH143:LEW143"/>
    <mergeCell ref="LEX143:LFM143"/>
    <mergeCell ref="LFN143:LGC143"/>
    <mergeCell ref="LYP143:LZE143"/>
    <mergeCell ref="LZF143:LZU143"/>
    <mergeCell ref="LZV143:MAK143"/>
    <mergeCell ref="MAL143:MBA143"/>
    <mergeCell ref="MBB143:MBQ143"/>
    <mergeCell ref="LVN143:LWC143"/>
    <mergeCell ref="LWD143:LWS143"/>
    <mergeCell ref="LWT143:LXI143"/>
    <mergeCell ref="LXJ143:LXY143"/>
    <mergeCell ref="LXZ143:LYO143"/>
    <mergeCell ref="LSL143:LTA143"/>
    <mergeCell ref="LTB143:LTQ143"/>
    <mergeCell ref="LTR143:LUG143"/>
    <mergeCell ref="LUH143:LUW143"/>
    <mergeCell ref="LUX143:LVM143"/>
    <mergeCell ref="LPJ143:LPY143"/>
    <mergeCell ref="LPZ143:LQO143"/>
    <mergeCell ref="LQP143:LRE143"/>
    <mergeCell ref="LRF143:LRU143"/>
    <mergeCell ref="LRV143:LSK143"/>
    <mergeCell ref="MKX143:MLM143"/>
    <mergeCell ref="MLN143:MMC143"/>
    <mergeCell ref="MMD143:MMS143"/>
    <mergeCell ref="MMT143:MNI143"/>
    <mergeCell ref="MNJ143:MNY143"/>
    <mergeCell ref="MHV143:MIK143"/>
    <mergeCell ref="MIL143:MJA143"/>
    <mergeCell ref="MJB143:MJQ143"/>
    <mergeCell ref="MJR143:MKG143"/>
    <mergeCell ref="MKH143:MKW143"/>
    <mergeCell ref="MET143:MFI143"/>
    <mergeCell ref="MFJ143:MFY143"/>
    <mergeCell ref="MFZ143:MGO143"/>
    <mergeCell ref="MGP143:MHE143"/>
    <mergeCell ref="MHF143:MHU143"/>
    <mergeCell ref="MBR143:MCG143"/>
    <mergeCell ref="MCH143:MCW143"/>
    <mergeCell ref="MCX143:MDM143"/>
    <mergeCell ref="MDN143:MEC143"/>
    <mergeCell ref="MED143:MES143"/>
    <mergeCell ref="MXF143:MXU143"/>
    <mergeCell ref="MXV143:MYK143"/>
    <mergeCell ref="MYL143:MZA143"/>
    <mergeCell ref="MZB143:MZQ143"/>
    <mergeCell ref="MZR143:NAG143"/>
    <mergeCell ref="MUD143:MUS143"/>
    <mergeCell ref="MUT143:MVI143"/>
    <mergeCell ref="MVJ143:MVY143"/>
    <mergeCell ref="MVZ143:MWO143"/>
    <mergeCell ref="MWP143:MXE143"/>
    <mergeCell ref="MRB143:MRQ143"/>
    <mergeCell ref="MRR143:MSG143"/>
    <mergeCell ref="MSH143:MSW143"/>
    <mergeCell ref="MSX143:MTM143"/>
    <mergeCell ref="MTN143:MUC143"/>
    <mergeCell ref="MNZ143:MOO143"/>
    <mergeCell ref="MOP143:MPE143"/>
    <mergeCell ref="MPF143:MPU143"/>
    <mergeCell ref="MPV143:MQK143"/>
    <mergeCell ref="MQL143:MRA143"/>
    <mergeCell ref="NJN143:NKC143"/>
    <mergeCell ref="NKD143:NKS143"/>
    <mergeCell ref="NKT143:NLI143"/>
    <mergeCell ref="NLJ143:NLY143"/>
    <mergeCell ref="NLZ143:NMO143"/>
    <mergeCell ref="NGL143:NHA143"/>
    <mergeCell ref="NHB143:NHQ143"/>
    <mergeCell ref="NHR143:NIG143"/>
    <mergeCell ref="NIH143:NIW143"/>
    <mergeCell ref="NIX143:NJM143"/>
    <mergeCell ref="NDJ143:NDY143"/>
    <mergeCell ref="NDZ143:NEO143"/>
    <mergeCell ref="NEP143:NFE143"/>
    <mergeCell ref="NFF143:NFU143"/>
    <mergeCell ref="NFV143:NGK143"/>
    <mergeCell ref="NAH143:NAW143"/>
    <mergeCell ref="NAX143:NBM143"/>
    <mergeCell ref="NBN143:NCC143"/>
    <mergeCell ref="NCD143:NCS143"/>
    <mergeCell ref="NCT143:NDI143"/>
    <mergeCell ref="NVV143:NWK143"/>
    <mergeCell ref="NWL143:NXA143"/>
    <mergeCell ref="NXB143:NXQ143"/>
    <mergeCell ref="NXR143:NYG143"/>
    <mergeCell ref="NYH143:NYW143"/>
    <mergeCell ref="NST143:NTI143"/>
    <mergeCell ref="NTJ143:NTY143"/>
    <mergeCell ref="NTZ143:NUO143"/>
    <mergeCell ref="NUP143:NVE143"/>
    <mergeCell ref="NVF143:NVU143"/>
    <mergeCell ref="NPR143:NQG143"/>
    <mergeCell ref="NQH143:NQW143"/>
    <mergeCell ref="NQX143:NRM143"/>
    <mergeCell ref="NRN143:NSC143"/>
    <mergeCell ref="NSD143:NSS143"/>
    <mergeCell ref="NMP143:NNE143"/>
    <mergeCell ref="NNF143:NNU143"/>
    <mergeCell ref="NNV143:NOK143"/>
    <mergeCell ref="NOL143:NPA143"/>
    <mergeCell ref="NPB143:NPQ143"/>
    <mergeCell ref="OID143:OIS143"/>
    <mergeCell ref="OIT143:OJI143"/>
    <mergeCell ref="OJJ143:OJY143"/>
    <mergeCell ref="OJZ143:OKO143"/>
    <mergeCell ref="OKP143:OLE143"/>
    <mergeCell ref="OFB143:OFQ143"/>
    <mergeCell ref="OFR143:OGG143"/>
    <mergeCell ref="OGH143:OGW143"/>
    <mergeCell ref="OGX143:OHM143"/>
    <mergeCell ref="OHN143:OIC143"/>
    <mergeCell ref="OBZ143:OCO143"/>
    <mergeCell ref="OCP143:ODE143"/>
    <mergeCell ref="ODF143:ODU143"/>
    <mergeCell ref="ODV143:OEK143"/>
    <mergeCell ref="OEL143:OFA143"/>
    <mergeCell ref="NYX143:NZM143"/>
    <mergeCell ref="NZN143:OAC143"/>
    <mergeCell ref="OAD143:OAS143"/>
    <mergeCell ref="OAT143:OBI143"/>
    <mergeCell ref="OBJ143:OBY143"/>
    <mergeCell ref="OUL143:OVA143"/>
    <mergeCell ref="OVB143:OVQ143"/>
    <mergeCell ref="OVR143:OWG143"/>
    <mergeCell ref="OWH143:OWW143"/>
    <mergeCell ref="OWX143:OXM143"/>
    <mergeCell ref="ORJ143:ORY143"/>
    <mergeCell ref="ORZ143:OSO143"/>
    <mergeCell ref="OSP143:OTE143"/>
    <mergeCell ref="OTF143:OTU143"/>
    <mergeCell ref="OTV143:OUK143"/>
    <mergeCell ref="OOH143:OOW143"/>
    <mergeCell ref="OOX143:OPM143"/>
    <mergeCell ref="OPN143:OQC143"/>
    <mergeCell ref="OQD143:OQS143"/>
    <mergeCell ref="OQT143:ORI143"/>
    <mergeCell ref="OLF143:OLU143"/>
    <mergeCell ref="OLV143:OMK143"/>
    <mergeCell ref="OML143:ONA143"/>
    <mergeCell ref="ONB143:ONQ143"/>
    <mergeCell ref="ONR143:OOG143"/>
    <mergeCell ref="PGT143:PHI143"/>
    <mergeCell ref="PHJ143:PHY143"/>
    <mergeCell ref="PHZ143:PIO143"/>
    <mergeCell ref="PIP143:PJE143"/>
    <mergeCell ref="PJF143:PJU143"/>
    <mergeCell ref="PDR143:PEG143"/>
    <mergeCell ref="PEH143:PEW143"/>
    <mergeCell ref="PEX143:PFM143"/>
    <mergeCell ref="PFN143:PGC143"/>
    <mergeCell ref="PGD143:PGS143"/>
    <mergeCell ref="PAP143:PBE143"/>
    <mergeCell ref="PBF143:PBU143"/>
    <mergeCell ref="PBV143:PCK143"/>
    <mergeCell ref="PCL143:PDA143"/>
    <mergeCell ref="PDB143:PDQ143"/>
    <mergeCell ref="OXN143:OYC143"/>
    <mergeCell ref="OYD143:OYS143"/>
    <mergeCell ref="OYT143:OZI143"/>
    <mergeCell ref="OZJ143:OZY143"/>
    <mergeCell ref="OZZ143:PAO143"/>
    <mergeCell ref="PTB143:PTQ143"/>
    <mergeCell ref="PTR143:PUG143"/>
    <mergeCell ref="PUH143:PUW143"/>
    <mergeCell ref="PUX143:PVM143"/>
    <mergeCell ref="PVN143:PWC143"/>
    <mergeCell ref="PPZ143:PQO143"/>
    <mergeCell ref="PQP143:PRE143"/>
    <mergeCell ref="PRF143:PRU143"/>
    <mergeCell ref="PRV143:PSK143"/>
    <mergeCell ref="PSL143:PTA143"/>
    <mergeCell ref="PMX143:PNM143"/>
    <mergeCell ref="PNN143:POC143"/>
    <mergeCell ref="POD143:POS143"/>
    <mergeCell ref="POT143:PPI143"/>
    <mergeCell ref="PPJ143:PPY143"/>
    <mergeCell ref="PJV143:PKK143"/>
    <mergeCell ref="PKL143:PLA143"/>
    <mergeCell ref="PLB143:PLQ143"/>
    <mergeCell ref="PLR143:PMG143"/>
    <mergeCell ref="PMH143:PMW143"/>
    <mergeCell ref="QFJ143:QFY143"/>
    <mergeCell ref="QFZ143:QGO143"/>
    <mergeCell ref="QGP143:QHE143"/>
    <mergeCell ref="QHF143:QHU143"/>
    <mergeCell ref="QHV143:QIK143"/>
    <mergeCell ref="QCH143:QCW143"/>
    <mergeCell ref="QCX143:QDM143"/>
    <mergeCell ref="QDN143:QEC143"/>
    <mergeCell ref="QED143:QES143"/>
    <mergeCell ref="QET143:QFI143"/>
    <mergeCell ref="PZF143:PZU143"/>
    <mergeCell ref="PZV143:QAK143"/>
    <mergeCell ref="QAL143:QBA143"/>
    <mergeCell ref="QBB143:QBQ143"/>
    <mergeCell ref="QBR143:QCG143"/>
    <mergeCell ref="PWD143:PWS143"/>
    <mergeCell ref="PWT143:PXI143"/>
    <mergeCell ref="PXJ143:PXY143"/>
    <mergeCell ref="PXZ143:PYO143"/>
    <mergeCell ref="PYP143:PZE143"/>
    <mergeCell ref="QRR143:QSG143"/>
    <mergeCell ref="QSH143:QSW143"/>
    <mergeCell ref="QSX143:QTM143"/>
    <mergeCell ref="QTN143:QUC143"/>
    <mergeCell ref="QUD143:QUS143"/>
    <mergeCell ref="QOP143:QPE143"/>
    <mergeCell ref="QPF143:QPU143"/>
    <mergeCell ref="QPV143:QQK143"/>
    <mergeCell ref="QQL143:QRA143"/>
    <mergeCell ref="QRB143:QRQ143"/>
    <mergeCell ref="QLN143:QMC143"/>
    <mergeCell ref="QMD143:QMS143"/>
    <mergeCell ref="QMT143:QNI143"/>
    <mergeCell ref="QNJ143:QNY143"/>
    <mergeCell ref="QNZ143:QOO143"/>
    <mergeCell ref="QIL143:QJA143"/>
    <mergeCell ref="QJB143:QJQ143"/>
    <mergeCell ref="QJR143:QKG143"/>
    <mergeCell ref="QKH143:QKW143"/>
    <mergeCell ref="QKX143:QLM143"/>
    <mergeCell ref="RDZ143:REO143"/>
    <mergeCell ref="REP143:RFE143"/>
    <mergeCell ref="RFF143:RFU143"/>
    <mergeCell ref="RFV143:RGK143"/>
    <mergeCell ref="RGL143:RHA143"/>
    <mergeCell ref="RAX143:RBM143"/>
    <mergeCell ref="RBN143:RCC143"/>
    <mergeCell ref="RCD143:RCS143"/>
    <mergeCell ref="RCT143:RDI143"/>
    <mergeCell ref="RDJ143:RDY143"/>
    <mergeCell ref="QXV143:QYK143"/>
    <mergeCell ref="QYL143:QZA143"/>
    <mergeCell ref="QZB143:QZQ143"/>
    <mergeCell ref="QZR143:RAG143"/>
    <mergeCell ref="RAH143:RAW143"/>
    <mergeCell ref="QUT143:QVI143"/>
    <mergeCell ref="QVJ143:QVY143"/>
    <mergeCell ref="QVZ143:QWO143"/>
    <mergeCell ref="QWP143:QXE143"/>
    <mergeCell ref="QXF143:QXU143"/>
    <mergeCell ref="RQH143:RQW143"/>
    <mergeCell ref="RQX143:RRM143"/>
    <mergeCell ref="RRN143:RSC143"/>
    <mergeCell ref="RSD143:RSS143"/>
    <mergeCell ref="RST143:RTI143"/>
    <mergeCell ref="RNF143:RNU143"/>
    <mergeCell ref="RNV143:ROK143"/>
    <mergeCell ref="ROL143:RPA143"/>
    <mergeCell ref="RPB143:RPQ143"/>
    <mergeCell ref="RPR143:RQG143"/>
    <mergeCell ref="RKD143:RKS143"/>
    <mergeCell ref="RKT143:RLI143"/>
    <mergeCell ref="RLJ143:RLY143"/>
    <mergeCell ref="RLZ143:RMO143"/>
    <mergeCell ref="RMP143:RNE143"/>
    <mergeCell ref="RHB143:RHQ143"/>
    <mergeCell ref="RHR143:RIG143"/>
    <mergeCell ref="RIH143:RIW143"/>
    <mergeCell ref="RIX143:RJM143"/>
    <mergeCell ref="RJN143:RKC143"/>
    <mergeCell ref="SCP143:SDE143"/>
    <mergeCell ref="SDF143:SDU143"/>
    <mergeCell ref="SDV143:SEK143"/>
    <mergeCell ref="SEL143:SFA143"/>
    <mergeCell ref="SFB143:SFQ143"/>
    <mergeCell ref="RZN143:SAC143"/>
    <mergeCell ref="SAD143:SAS143"/>
    <mergeCell ref="SAT143:SBI143"/>
    <mergeCell ref="SBJ143:SBY143"/>
    <mergeCell ref="SBZ143:SCO143"/>
    <mergeCell ref="RWL143:RXA143"/>
    <mergeCell ref="RXB143:RXQ143"/>
    <mergeCell ref="RXR143:RYG143"/>
    <mergeCell ref="RYH143:RYW143"/>
    <mergeCell ref="RYX143:RZM143"/>
    <mergeCell ref="RTJ143:RTY143"/>
    <mergeCell ref="RTZ143:RUO143"/>
    <mergeCell ref="RUP143:RVE143"/>
    <mergeCell ref="RVF143:RVU143"/>
    <mergeCell ref="RVV143:RWK143"/>
    <mergeCell ref="SOX143:SPM143"/>
    <mergeCell ref="SPN143:SQC143"/>
    <mergeCell ref="SQD143:SQS143"/>
    <mergeCell ref="SQT143:SRI143"/>
    <mergeCell ref="SRJ143:SRY143"/>
    <mergeCell ref="SLV143:SMK143"/>
    <mergeCell ref="SML143:SNA143"/>
    <mergeCell ref="SNB143:SNQ143"/>
    <mergeCell ref="SNR143:SOG143"/>
    <mergeCell ref="SOH143:SOW143"/>
    <mergeCell ref="SIT143:SJI143"/>
    <mergeCell ref="SJJ143:SJY143"/>
    <mergeCell ref="SJZ143:SKO143"/>
    <mergeCell ref="SKP143:SLE143"/>
    <mergeCell ref="SLF143:SLU143"/>
    <mergeCell ref="SFR143:SGG143"/>
    <mergeCell ref="SGH143:SGW143"/>
    <mergeCell ref="SGX143:SHM143"/>
    <mergeCell ref="SHN143:SIC143"/>
    <mergeCell ref="SID143:SIS143"/>
    <mergeCell ref="TBF143:TBU143"/>
    <mergeCell ref="TBV143:TCK143"/>
    <mergeCell ref="TCL143:TDA143"/>
    <mergeCell ref="TDB143:TDQ143"/>
    <mergeCell ref="TDR143:TEG143"/>
    <mergeCell ref="SYD143:SYS143"/>
    <mergeCell ref="SYT143:SZI143"/>
    <mergeCell ref="SZJ143:SZY143"/>
    <mergeCell ref="SZZ143:TAO143"/>
    <mergeCell ref="TAP143:TBE143"/>
    <mergeCell ref="SVB143:SVQ143"/>
    <mergeCell ref="SVR143:SWG143"/>
    <mergeCell ref="SWH143:SWW143"/>
    <mergeCell ref="SWX143:SXM143"/>
    <mergeCell ref="SXN143:SYC143"/>
    <mergeCell ref="SRZ143:SSO143"/>
    <mergeCell ref="SSP143:STE143"/>
    <mergeCell ref="STF143:STU143"/>
    <mergeCell ref="STV143:SUK143"/>
    <mergeCell ref="SUL143:SVA143"/>
    <mergeCell ref="TNN143:TOC143"/>
    <mergeCell ref="TOD143:TOS143"/>
    <mergeCell ref="TOT143:TPI143"/>
    <mergeCell ref="TPJ143:TPY143"/>
    <mergeCell ref="TPZ143:TQO143"/>
    <mergeCell ref="TKL143:TLA143"/>
    <mergeCell ref="TLB143:TLQ143"/>
    <mergeCell ref="TLR143:TMG143"/>
    <mergeCell ref="TMH143:TMW143"/>
    <mergeCell ref="TMX143:TNM143"/>
    <mergeCell ref="THJ143:THY143"/>
    <mergeCell ref="THZ143:TIO143"/>
    <mergeCell ref="TIP143:TJE143"/>
    <mergeCell ref="TJF143:TJU143"/>
    <mergeCell ref="TJV143:TKK143"/>
    <mergeCell ref="TEH143:TEW143"/>
    <mergeCell ref="TEX143:TFM143"/>
    <mergeCell ref="TFN143:TGC143"/>
    <mergeCell ref="TGD143:TGS143"/>
    <mergeCell ref="TGT143:THI143"/>
    <mergeCell ref="TZV143:UAK143"/>
    <mergeCell ref="UAL143:UBA143"/>
    <mergeCell ref="UBB143:UBQ143"/>
    <mergeCell ref="UBR143:UCG143"/>
    <mergeCell ref="UCH143:UCW143"/>
    <mergeCell ref="TWT143:TXI143"/>
    <mergeCell ref="TXJ143:TXY143"/>
    <mergeCell ref="TXZ143:TYO143"/>
    <mergeCell ref="TYP143:TZE143"/>
    <mergeCell ref="TZF143:TZU143"/>
    <mergeCell ref="TTR143:TUG143"/>
    <mergeCell ref="TUH143:TUW143"/>
    <mergeCell ref="TUX143:TVM143"/>
    <mergeCell ref="TVN143:TWC143"/>
    <mergeCell ref="TWD143:TWS143"/>
    <mergeCell ref="TQP143:TRE143"/>
    <mergeCell ref="TRF143:TRU143"/>
    <mergeCell ref="TRV143:TSK143"/>
    <mergeCell ref="TSL143:TTA143"/>
    <mergeCell ref="TTB143:TTQ143"/>
    <mergeCell ref="UMD143:UMS143"/>
    <mergeCell ref="UMT143:UNI143"/>
    <mergeCell ref="UNJ143:UNY143"/>
    <mergeCell ref="UNZ143:UOO143"/>
    <mergeCell ref="UOP143:UPE143"/>
    <mergeCell ref="UJB143:UJQ143"/>
    <mergeCell ref="UJR143:UKG143"/>
    <mergeCell ref="UKH143:UKW143"/>
    <mergeCell ref="UKX143:ULM143"/>
    <mergeCell ref="ULN143:UMC143"/>
    <mergeCell ref="UFZ143:UGO143"/>
    <mergeCell ref="UGP143:UHE143"/>
    <mergeCell ref="UHF143:UHU143"/>
    <mergeCell ref="UHV143:UIK143"/>
    <mergeCell ref="UIL143:UJA143"/>
    <mergeCell ref="UCX143:UDM143"/>
    <mergeCell ref="UDN143:UEC143"/>
    <mergeCell ref="UED143:UES143"/>
    <mergeCell ref="UET143:UFI143"/>
    <mergeCell ref="UFJ143:UFY143"/>
    <mergeCell ref="UYL143:UZA143"/>
    <mergeCell ref="UZB143:UZQ143"/>
    <mergeCell ref="UZR143:VAG143"/>
    <mergeCell ref="VAH143:VAW143"/>
    <mergeCell ref="VAX143:VBM143"/>
    <mergeCell ref="UVJ143:UVY143"/>
    <mergeCell ref="UVZ143:UWO143"/>
    <mergeCell ref="UWP143:UXE143"/>
    <mergeCell ref="UXF143:UXU143"/>
    <mergeCell ref="UXV143:UYK143"/>
    <mergeCell ref="USH143:USW143"/>
    <mergeCell ref="USX143:UTM143"/>
    <mergeCell ref="UTN143:UUC143"/>
    <mergeCell ref="UUD143:UUS143"/>
    <mergeCell ref="UUT143:UVI143"/>
    <mergeCell ref="UPF143:UPU143"/>
    <mergeCell ref="UPV143:UQK143"/>
    <mergeCell ref="UQL143:URA143"/>
    <mergeCell ref="URB143:URQ143"/>
    <mergeCell ref="URR143:USG143"/>
    <mergeCell ref="VKT143:VLI143"/>
    <mergeCell ref="VLJ143:VLY143"/>
    <mergeCell ref="VLZ143:VMO143"/>
    <mergeCell ref="VMP143:VNE143"/>
    <mergeCell ref="VNF143:VNU143"/>
    <mergeCell ref="VHR143:VIG143"/>
    <mergeCell ref="VIH143:VIW143"/>
    <mergeCell ref="VIX143:VJM143"/>
    <mergeCell ref="VJN143:VKC143"/>
    <mergeCell ref="VKD143:VKS143"/>
    <mergeCell ref="VEP143:VFE143"/>
    <mergeCell ref="VFF143:VFU143"/>
    <mergeCell ref="VFV143:VGK143"/>
    <mergeCell ref="VGL143:VHA143"/>
    <mergeCell ref="VHB143:VHQ143"/>
    <mergeCell ref="VBN143:VCC143"/>
    <mergeCell ref="VCD143:VCS143"/>
    <mergeCell ref="VCT143:VDI143"/>
    <mergeCell ref="VDJ143:VDY143"/>
    <mergeCell ref="VDZ143:VEO143"/>
    <mergeCell ref="VXB143:VXQ143"/>
    <mergeCell ref="VXR143:VYG143"/>
    <mergeCell ref="VYH143:VYW143"/>
    <mergeCell ref="VYX143:VZM143"/>
    <mergeCell ref="VZN143:WAC143"/>
    <mergeCell ref="VTZ143:VUO143"/>
    <mergeCell ref="VUP143:VVE143"/>
    <mergeCell ref="VVF143:VVU143"/>
    <mergeCell ref="VVV143:VWK143"/>
    <mergeCell ref="VWL143:VXA143"/>
    <mergeCell ref="VQX143:VRM143"/>
    <mergeCell ref="VRN143:VSC143"/>
    <mergeCell ref="VSD143:VSS143"/>
    <mergeCell ref="VST143:VTI143"/>
    <mergeCell ref="VTJ143:VTY143"/>
    <mergeCell ref="VNV143:VOK143"/>
    <mergeCell ref="VOL143:VPA143"/>
    <mergeCell ref="VPB143:VPQ143"/>
    <mergeCell ref="VPR143:VQG143"/>
    <mergeCell ref="VQH143:VQW143"/>
    <mergeCell ref="WLV143:WMK143"/>
    <mergeCell ref="WGH143:WGW143"/>
    <mergeCell ref="WGX143:WHM143"/>
    <mergeCell ref="WHN143:WIC143"/>
    <mergeCell ref="WID143:WIS143"/>
    <mergeCell ref="WIT143:WJI143"/>
    <mergeCell ref="WPN143:WQC143"/>
    <mergeCell ref="WDF143:WDU143"/>
    <mergeCell ref="WDV143:WEK143"/>
    <mergeCell ref="WEL143:WFA143"/>
    <mergeCell ref="WFB143:WFQ143"/>
    <mergeCell ref="WFR143:WGG143"/>
    <mergeCell ref="WAD143:WAS143"/>
    <mergeCell ref="WAT143:WBI143"/>
    <mergeCell ref="WBJ143:WBY143"/>
    <mergeCell ref="WBZ143:WCO143"/>
    <mergeCell ref="WCP143:WDE143"/>
    <mergeCell ref="WQD143:WQS143"/>
    <mergeCell ref="WQT143:WRI143"/>
    <mergeCell ref="WRJ143:WRY143"/>
    <mergeCell ref="WRZ143:WSO143"/>
    <mergeCell ref="WML143:WNA143"/>
    <mergeCell ref="WNB143:WNQ143"/>
    <mergeCell ref="WNR143:WOG143"/>
    <mergeCell ref="WOH143:WOW143"/>
    <mergeCell ref="WOX143:WPM143"/>
    <mergeCell ref="WJJ143:WJY143"/>
    <mergeCell ref="XBV143:XCK143"/>
    <mergeCell ref="XCL143:XDA143"/>
    <mergeCell ref="XDB143:XDQ143"/>
    <mergeCell ref="XDR143:XEG143"/>
    <mergeCell ref="WYT143:WZI143"/>
    <mergeCell ref="WZJ143:WZY143"/>
    <mergeCell ref="WZZ143:XAO143"/>
    <mergeCell ref="XAP143:XBE143"/>
    <mergeCell ref="XBF143:XBU143"/>
    <mergeCell ref="WVR143:WWG143"/>
    <mergeCell ref="WWH143:WWW143"/>
    <mergeCell ref="WWX143:WXM143"/>
    <mergeCell ref="WXN143:WYC143"/>
    <mergeCell ref="WYD143:WYS143"/>
    <mergeCell ref="WSP143:WTE143"/>
    <mergeCell ref="WTF143:WTU143"/>
    <mergeCell ref="WTV143:WUK143"/>
    <mergeCell ref="WUL143:WVA143"/>
    <mergeCell ref="WVB143:WVQ143"/>
    <mergeCell ref="WJZ143:WKO143"/>
    <mergeCell ref="WKP143:WLE143"/>
    <mergeCell ref="WLF143:WLU143"/>
  </mergeCells>
  <printOptions horizontalCentered="1" verticalCentered="1"/>
  <pageMargins left="0" right="0" top="0" bottom="0" header="0" footer="0"/>
  <pageSetup paperSize="9" scale="51" fitToWidth="0" fitToHeight="0" orientation="portrait" r:id="rId1"/>
  <rowBreaks count="1" manualBreakCount="1">
    <brk id="60" max="2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553"/>
  <sheetViews>
    <sheetView rightToLeft="1" zoomScale="78" zoomScaleNormal="78" zoomScaleSheetLayoutView="98" workbookViewId="0">
      <pane ySplit="2" topLeftCell="A522" activePane="bottomLeft" state="frozen"/>
      <selection activeCell="E19" sqref="E19:G19"/>
      <selection pane="bottomLeft" activeCell="E19" sqref="E19:G19"/>
    </sheetView>
  </sheetViews>
  <sheetFormatPr defaultColWidth="1.375" defaultRowHeight="19.5" customHeight="1"/>
  <cols>
    <col min="1" max="1" width="7.625" style="545" bestFit="1" customWidth="1"/>
    <col min="2" max="2" width="8" style="545" bestFit="1" customWidth="1"/>
    <col min="3" max="3" width="5.625" style="528" bestFit="1" customWidth="1"/>
    <col min="4" max="4" width="20.625" style="528" bestFit="1" customWidth="1"/>
    <col min="5" max="5" width="44.125" style="545" bestFit="1" customWidth="1"/>
    <col min="6" max="6" width="20.625" style="545" hidden="1" customWidth="1"/>
    <col min="7" max="7" width="17.75" style="545" hidden="1" customWidth="1"/>
    <col min="8" max="8" width="19.375" style="545" hidden="1" customWidth="1"/>
    <col min="9" max="9" width="20.25" style="545" hidden="1" customWidth="1"/>
    <col min="10" max="11" width="19.375" style="545" hidden="1" customWidth="1"/>
    <col min="12" max="12" width="17.75" style="545" hidden="1" customWidth="1"/>
    <col min="13" max="13" width="6.25" style="545" hidden="1" customWidth="1"/>
    <col min="14" max="16" width="19.375" style="545" hidden="1" customWidth="1"/>
    <col min="17" max="17" width="21.625" style="545" bestFit="1" customWidth="1"/>
    <col min="18" max="18" width="20.75" style="545" bestFit="1" customWidth="1"/>
    <col min="19" max="19" width="12.125" style="545" customWidth="1"/>
    <col min="20" max="20" width="12.625" style="545" customWidth="1"/>
    <col min="21" max="21" width="20.625" style="545" bestFit="1" customWidth="1"/>
    <col min="22" max="22" width="23" style="545" customWidth="1"/>
    <col min="23" max="23" width="21" style="545" bestFit="1" customWidth="1"/>
    <col min="24" max="24" width="13.875" style="545" bestFit="1" customWidth="1"/>
    <col min="25" max="16384" width="1.375" style="545"/>
  </cols>
  <sheetData>
    <row r="1" spans="1:24" s="556" customFormat="1" ht="18.75" customHeight="1">
      <c r="A1" s="3335" t="s">
        <v>1641</v>
      </c>
      <c r="B1" s="3335" t="s">
        <v>1617</v>
      </c>
      <c r="C1" s="3337" t="s">
        <v>1616</v>
      </c>
      <c r="D1" s="3372" t="s">
        <v>381</v>
      </c>
      <c r="E1" s="3374" t="s">
        <v>62</v>
      </c>
      <c r="F1" s="3343" t="s">
        <v>1525</v>
      </c>
      <c r="G1" s="3343" t="s">
        <v>1526</v>
      </c>
      <c r="H1" s="3343" t="s">
        <v>1527</v>
      </c>
      <c r="I1" s="3343" t="s">
        <v>1357</v>
      </c>
      <c r="J1" s="3343" t="s">
        <v>1358</v>
      </c>
      <c r="K1" s="3343" t="s">
        <v>1452</v>
      </c>
      <c r="L1" s="3343" t="s">
        <v>1416</v>
      </c>
      <c r="M1" s="3343" t="s">
        <v>1417</v>
      </c>
      <c r="N1" s="3343" t="s">
        <v>1418</v>
      </c>
      <c r="O1" s="3343" t="s">
        <v>1472</v>
      </c>
      <c r="P1" s="3343" t="s">
        <v>1528</v>
      </c>
      <c r="Q1" s="3347" t="s">
        <v>1524</v>
      </c>
      <c r="R1" s="3347">
        <v>1394</v>
      </c>
      <c r="S1" s="3347">
        <v>1395</v>
      </c>
      <c r="T1" s="3347">
        <v>1394</v>
      </c>
      <c r="U1" s="3353" t="s">
        <v>1450</v>
      </c>
      <c r="V1" s="3355" t="s">
        <v>1451</v>
      </c>
      <c r="W1" s="3347" t="s">
        <v>1530</v>
      </c>
      <c r="X1" s="3347" t="s">
        <v>1606</v>
      </c>
    </row>
    <row r="2" spans="1:24" s="557" customFormat="1" ht="18.75" customHeight="1">
      <c r="A2" s="3336"/>
      <c r="B2" s="3336"/>
      <c r="C2" s="3338"/>
      <c r="D2" s="3373"/>
      <c r="E2" s="3375"/>
      <c r="F2" s="3344"/>
      <c r="G2" s="3344"/>
      <c r="H2" s="3344"/>
      <c r="I2" s="3344"/>
      <c r="J2" s="3344"/>
      <c r="K2" s="3344"/>
      <c r="L2" s="3344"/>
      <c r="M2" s="3344"/>
      <c r="N2" s="3344"/>
      <c r="O2" s="3344"/>
      <c r="P2" s="3344"/>
      <c r="Q2" s="3348"/>
      <c r="R2" s="3348"/>
      <c r="S2" s="3348"/>
      <c r="T2" s="3348"/>
      <c r="U2" s="3354"/>
      <c r="V2" s="3356"/>
      <c r="W2" s="3348"/>
      <c r="X2" s="3348"/>
    </row>
    <row r="3" spans="1:24" ht="27" customHeight="1">
      <c r="A3" s="531"/>
      <c r="B3" s="531">
        <v>1012</v>
      </c>
      <c r="C3" s="529">
        <v>10</v>
      </c>
      <c r="D3" s="530" t="s">
        <v>425</v>
      </c>
      <c r="E3" s="531" t="s">
        <v>426</v>
      </c>
      <c r="F3" s="547">
        <v>-21226000</v>
      </c>
      <c r="G3" s="547">
        <v>0</v>
      </c>
      <c r="H3" s="547"/>
      <c r="I3" s="547"/>
      <c r="J3" s="547"/>
      <c r="K3" s="547"/>
      <c r="L3" s="547"/>
      <c r="M3" s="547"/>
      <c r="N3" s="547"/>
      <c r="O3" s="547"/>
      <c r="P3" s="547"/>
      <c r="Q3" s="812">
        <f>SUM(F3:P3)</f>
        <v>-21226000</v>
      </c>
      <c r="R3" s="547">
        <v>-4626000</v>
      </c>
      <c r="S3" s="812">
        <f t="shared" ref="S3:T71" si="0">ROUND((Q3/1000000),0)</f>
        <v>-21</v>
      </c>
      <c r="T3" s="547">
        <f t="shared" si="0"/>
        <v>-5</v>
      </c>
      <c r="U3" s="566"/>
      <c r="V3" s="567"/>
      <c r="W3" s="812">
        <f>Q3+V3-U3</f>
        <v>-21226000</v>
      </c>
      <c r="X3" s="812">
        <f>ROUND((W3/1000000),0)</f>
        <v>-21</v>
      </c>
    </row>
    <row r="4" spans="1:24" ht="27" customHeight="1">
      <c r="A4" s="531"/>
      <c r="B4" s="531">
        <v>1009</v>
      </c>
      <c r="C4" s="529">
        <v>10</v>
      </c>
      <c r="D4" s="530" t="s">
        <v>1201</v>
      </c>
      <c r="E4" s="531" t="s">
        <v>1081</v>
      </c>
      <c r="F4" s="547">
        <v>2834897</v>
      </c>
      <c r="G4" s="547">
        <v>5073600</v>
      </c>
      <c r="H4" s="547">
        <v>3956224</v>
      </c>
      <c r="I4" s="547">
        <v>38849279</v>
      </c>
      <c r="J4" s="547"/>
      <c r="K4" s="547"/>
      <c r="L4" s="547">
        <v>26768825</v>
      </c>
      <c r="M4" s="547"/>
      <c r="N4" s="547"/>
      <c r="O4" s="547"/>
      <c r="P4" s="547"/>
      <c r="Q4" s="812">
        <f t="shared" ref="Q4:Q67" si="1">SUM(F4:P4)</f>
        <v>77482825</v>
      </c>
      <c r="R4" s="547">
        <v>-4800000</v>
      </c>
      <c r="S4" s="812">
        <f t="shared" si="0"/>
        <v>77</v>
      </c>
      <c r="T4" s="547">
        <f t="shared" si="0"/>
        <v>-5</v>
      </c>
      <c r="U4" s="566"/>
      <c r="V4" s="567"/>
      <c r="W4" s="812">
        <f t="shared" ref="W4:W72" si="2">Q4+V4-U4</f>
        <v>77482825</v>
      </c>
      <c r="X4" s="812">
        <f t="shared" ref="X4:X67" si="3">ROUND((W4/1000000),0)</f>
        <v>77</v>
      </c>
    </row>
    <row r="5" spans="1:24" ht="27" customHeight="1">
      <c r="A5" s="531"/>
      <c r="B5" s="531">
        <v>401</v>
      </c>
      <c r="C5" s="529">
        <v>4</v>
      </c>
      <c r="D5" s="530" t="s">
        <v>824</v>
      </c>
      <c r="E5" s="531" t="s">
        <v>825</v>
      </c>
      <c r="F5" s="547">
        <v>0</v>
      </c>
      <c r="G5" s="547"/>
      <c r="H5" s="547"/>
      <c r="I5" s="547"/>
      <c r="J5" s="547"/>
      <c r="K5" s="547"/>
      <c r="L5" s="547"/>
      <c r="M5" s="547"/>
      <c r="N5" s="547"/>
      <c r="O5" s="547"/>
      <c r="P5" s="547"/>
      <c r="Q5" s="812">
        <f t="shared" si="1"/>
        <v>0</v>
      </c>
      <c r="R5" s="547">
        <v>87193158</v>
      </c>
      <c r="S5" s="812">
        <f t="shared" si="0"/>
        <v>0</v>
      </c>
      <c r="T5" s="547">
        <f t="shared" si="0"/>
        <v>87</v>
      </c>
      <c r="U5" s="566"/>
      <c r="V5" s="567"/>
      <c r="W5" s="812">
        <f t="shared" si="2"/>
        <v>0</v>
      </c>
      <c r="X5" s="812">
        <f t="shared" si="3"/>
        <v>0</v>
      </c>
    </row>
    <row r="6" spans="1:24" ht="27" customHeight="1">
      <c r="A6" s="531"/>
      <c r="B6" s="531">
        <v>1009</v>
      </c>
      <c r="C6" s="529">
        <v>10</v>
      </c>
      <c r="D6" s="530" t="s">
        <v>607</v>
      </c>
      <c r="E6" s="531" t="s">
        <v>606</v>
      </c>
      <c r="F6" s="547">
        <v>-6666672</v>
      </c>
      <c r="G6" s="547"/>
      <c r="H6" s="547"/>
      <c r="I6" s="547"/>
      <c r="J6" s="547"/>
      <c r="K6" s="547"/>
      <c r="L6" s="547"/>
      <c r="M6" s="547"/>
      <c r="N6" s="547"/>
      <c r="O6" s="547"/>
      <c r="P6" s="547"/>
      <c r="Q6" s="812">
        <f t="shared" si="1"/>
        <v>-6666672</v>
      </c>
      <c r="R6" s="547">
        <v>-3333336</v>
      </c>
      <c r="S6" s="812">
        <f t="shared" si="0"/>
        <v>-7</v>
      </c>
      <c r="T6" s="547">
        <f t="shared" si="0"/>
        <v>-3</v>
      </c>
      <c r="U6" s="566"/>
      <c r="V6" s="567"/>
      <c r="W6" s="812">
        <f t="shared" si="2"/>
        <v>-6666672</v>
      </c>
      <c r="X6" s="812">
        <f t="shared" si="3"/>
        <v>-7</v>
      </c>
    </row>
    <row r="7" spans="1:24" ht="27" customHeight="1">
      <c r="A7" s="531"/>
      <c r="B7" s="531">
        <v>1009</v>
      </c>
      <c r="C7" s="529">
        <v>10</v>
      </c>
      <c r="D7" s="530" t="s">
        <v>872</v>
      </c>
      <c r="E7" s="531" t="s">
        <v>826</v>
      </c>
      <c r="F7" s="547">
        <v>0</v>
      </c>
      <c r="G7" s="547"/>
      <c r="H7" s="547"/>
      <c r="I7" s="547"/>
      <c r="J7" s="547"/>
      <c r="K7" s="547"/>
      <c r="L7" s="547"/>
      <c r="M7" s="547"/>
      <c r="N7" s="547"/>
      <c r="O7" s="547"/>
      <c r="P7" s="547"/>
      <c r="Q7" s="812">
        <f t="shared" si="1"/>
        <v>0</v>
      </c>
      <c r="R7" s="547">
        <v>0</v>
      </c>
      <c r="S7" s="812">
        <f t="shared" si="0"/>
        <v>0</v>
      </c>
      <c r="T7" s="547">
        <f t="shared" si="0"/>
        <v>0</v>
      </c>
      <c r="U7" s="566"/>
      <c r="V7" s="567"/>
      <c r="W7" s="812">
        <f t="shared" si="2"/>
        <v>0</v>
      </c>
      <c r="X7" s="812">
        <f t="shared" si="3"/>
        <v>0</v>
      </c>
    </row>
    <row r="8" spans="1:24" ht="27" customHeight="1">
      <c r="A8" s="531"/>
      <c r="B8" s="531">
        <v>1009</v>
      </c>
      <c r="C8" s="529">
        <v>10</v>
      </c>
      <c r="D8" s="530" t="s">
        <v>427</v>
      </c>
      <c r="E8" s="531" t="s">
        <v>774</v>
      </c>
      <c r="F8" s="547">
        <v>-405078637</v>
      </c>
      <c r="G8" s="547"/>
      <c r="H8" s="547"/>
      <c r="I8" s="547"/>
      <c r="J8" s="547"/>
      <c r="K8" s="547"/>
      <c r="L8" s="547"/>
      <c r="M8" s="547"/>
      <c r="N8" s="547"/>
      <c r="O8" s="547"/>
      <c r="P8" s="547"/>
      <c r="Q8" s="812">
        <f t="shared" si="1"/>
        <v>-405078637</v>
      </c>
      <c r="R8" s="547">
        <v>-69856767</v>
      </c>
      <c r="S8" s="812">
        <f t="shared" si="0"/>
        <v>-405</v>
      </c>
      <c r="T8" s="547">
        <f t="shared" si="0"/>
        <v>-70</v>
      </c>
      <c r="U8" s="566"/>
      <c r="V8" s="567"/>
      <c r="W8" s="812">
        <f t="shared" si="2"/>
        <v>-405078637</v>
      </c>
      <c r="X8" s="812">
        <f t="shared" si="3"/>
        <v>-405</v>
      </c>
    </row>
    <row r="9" spans="1:24" ht="27" customHeight="1">
      <c r="A9" s="531"/>
      <c r="B9" s="531">
        <v>1009</v>
      </c>
      <c r="C9" s="529">
        <v>10</v>
      </c>
      <c r="D9" s="530" t="s">
        <v>828</v>
      </c>
      <c r="E9" s="531" t="s">
        <v>829</v>
      </c>
      <c r="F9" s="547">
        <v>0</v>
      </c>
      <c r="G9" s="547"/>
      <c r="H9" s="547"/>
      <c r="I9" s="547"/>
      <c r="J9" s="547"/>
      <c r="K9" s="547"/>
      <c r="L9" s="547"/>
      <c r="M9" s="547"/>
      <c r="N9" s="547"/>
      <c r="O9" s="547"/>
      <c r="P9" s="547"/>
      <c r="Q9" s="812">
        <f t="shared" si="1"/>
        <v>0</v>
      </c>
      <c r="R9" s="547">
        <v>0</v>
      </c>
      <c r="S9" s="812">
        <f t="shared" si="0"/>
        <v>0</v>
      </c>
      <c r="T9" s="547">
        <f t="shared" si="0"/>
        <v>0</v>
      </c>
      <c r="U9" s="566"/>
      <c r="V9" s="567"/>
      <c r="W9" s="812">
        <f t="shared" si="2"/>
        <v>0</v>
      </c>
      <c r="X9" s="812">
        <f t="shared" si="3"/>
        <v>0</v>
      </c>
    </row>
    <row r="10" spans="1:24" ht="27" customHeight="1">
      <c r="A10" s="531"/>
      <c r="B10" s="531">
        <v>401</v>
      </c>
      <c r="C10" s="529">
        <v>4</v>
      </c>
      <c r="D10" s="530" t="s">
        <v>1419</v>
      </c>
      <c r="E10" s="531" t="s">
        <v>1263</v>
      </c>
      <c r="F10" s="547">
        <v>-371671743</v>
      </c>
      <c r="G10" s="547"/>
      <c r="H10" s="547"/>
      <c r="I10" s="547"/>
      <c r="J10" s="547"/>
      <c r="K10" s="547"/>
      <c r="L10" s="547"/>
      <c r="M10" s="547"/>
      <c r="N10" s="547"/>
      <c r="O10" s="547"/>
      <c r="P10" s="547"/>
      <c r="Q10" s="812">
        <f t="shared" si="1"/>
        <v>-371671743</v>
      </c>
      <c r="R10" s="547">
        <v>0</v>
      </c>
      <c r="S10" s="812">
        <f t="shared" si="0"/>
        <v>-372</v>
      </c>
      <c r="T10" s="547">
        <f t="shared" si="0"/>
        <v>0</v>
      </c>
      <c r="U10" s="566"/>
      <c r="V10" s="567"/>
      <c r="W10" s="812">
        <f t="shared" si="2"/>
        <v>-371671743</v>
      </c>
      <c r="X10" s="812">
        <f t="shared" si="3"/>
        <v>-372</v>
      </c>
    </row>
    <row r="11" spans="1:24" ht="27" customHeight="1">
      <c r="A11" s="531"/>
      <c r="B11" s="531">
        <v>1009</v>
      </c>
      <c r="C11" s="529">
        <v>10</v>
      </c>
      <c r="D11" s="530" t="s">
        <v>1166</v>
      </c>
      <c r="E11" s="531" t="s">
        <v>1167</v>
      </c>
      <c r="F11" s="547">
        <v>-144181030</v>
      </c>
      <c r="G11" s="547"/>
      <c r="H11" s="547"/>
      <c r="I11" s="547">
        <v>-3053050</v>
      </c>
      <c r="J11" s="547"/>
      <c r="K11" s="547"/>
      <c r="L11" s="547"/>
      <c r="M11" s="547"/>
      <c r="N11" s="547"/>
      <c r="O11" s="547"/>
      <c r="P11" s="547"/>
      <c r="Q11" s="812">
        <f t="shared" si="1"/>
        <v>-147234080</v>
      </c>
      <c r="R11" s="547">
        <v>0</v>
      </c>
      <c r="S11" s="812">
        <f t="shared" si="0"/>
        <v>-147</v>
      </c>
      <c r="T11" s="547">
        <f t="shared" si="0"/>
        <v>0</v>
      </c>
      <c r="U11" s="566"/>
      <c r="V11" s="567"/>
      <c r="W11" s="812">
        <f t="shared" si="2"/>
        <v>-147234080</v>
      </c>
      <c r="X11" s="812">
        <f t="shared" si="3"/>
        <v>-147</v>
      </c>
    </row>
    <row r="12" spans="1:24" ht="27" customHeight="1">
      <c r="A12" s="531"/>
      <c r="B12" s="531">
        <v>1009</v>
      </c>
      <c r="C12" s="529">
        <v>10</v>
      </c>
      <c r="D12" s="530" t="s">
        <v>1224</v>
      </c>
      <c r="E12" s="531" t="s">
        <v>1225</v>
      </c>
      <c r="F12" s="547">
        <v>-16950000</v>
      </c>
      <c r="G12" s="547">
        <v>113450000</v>
      </c>
      <c r="H12" s="547"/>
      <c r="I12" s="547">
        <v>-40000000</v>
      </c>
      <c r="J12" s="547"/>
      <c r="K12" s="547"/>
      <c r="L12" s="547"/>
      <c r="M12" s="547"/>
      <c r="N12" s="547"/>
      <c r="O12" s="547"/>
      <c r="P12" s="547"/>
      <c r="Q12" s="812">
        <f t="shared" si="1"/>
        <v>56500000</v>
      </c>
      <c r="R12" s="547">
        <v>-31135217</v>
      </c>
      <c r="S12" s="812">
        <f t="shared" si="0"/>
        <v>57</v>
      </c>
      <c r="T12" s="547">
        <f t="shared" si="0"/>
        <v>-31</v>
      </c>
      <c r="U12" s="566"/>
      <c r="V12" s="567"/>
      <c r="W12" s="812">
        <f t="shared" si="2"/>
        <v>56500000</v>
      </c>
      <c r="X12" s="812">
        <f t="shared" si="3"/>
        <v>57</v>
      </c>
    </row>
    <row r="13" spans="1:24" ht="27" customHeight="1">
      <c r="A13" s="531"/>
      <c r="B13" s="531">
        <v>1009</v>
      </c>
      <c r="C13" s="529">
        <v>10</v>
      </c>
      <c r="D13" s="530" t="s">
        <v>430</v>
      </c>
      <c r="E13" s="531" t="s">
        <v>431</v>
      </c>
      <c r="F13" s="547">
        <v>104310000</v>
      </c>
      <c r="G13" s="547">
        <v>-113450000</v>
      </c>
      <c r="H13" s="547"/>
      <c r="I13" s="547"/>
      <c r="J13" s="547"/>
      <c r="K13" s="547"/>
      <c r="L13" s="547"/>
      <c r="M13" s="547"/>
      <c r="N13" s="547"/>
      <c r="O13" s="547"/>
      <c r="P13" s="547"/>
      <c r="Q13" s="812">
        <f t="shared" si="1"/>
        <v>-9140000</v>
      </c>
      <c r="R13" s="547">
        <v>-11025194</v>
      </c>
      <c r="S13" s="812">
        <f t="shared" si="0"/>
        <v>-9</v>
      </c>
      <c r="T13" s="547">
        <f t="shared" si="0"/>
        <v>-11</v>
      </c>
      <c r="U13" s="566"/>
      <c r="V13" s="567"/>
      <c r="W13" s="812">
        <f t="shared" si="2"/>
        <v>-9140000</v>
      </c>
      <c r="X13" s="812">
        <f t="shared" si="3"/>
        <v>-9</v>
      </c>
    </row>
    <row r="14" spans="1:24" ht="27" customHeight="1">
      <c r="A14" s="531"/>
      <c r="B14" s="531">
        <v>401</v>
      </c>
      <c r="C14" s="529">
        <v>4</v>
      </c>
      <c r="D14" s="530" t="s">
        <v>432</v>
      </c>
      <c r="E14" s="531" t="s">
        <v>433</v>
      </c>
      <c r="F14" s="547">
        <v>176902000</v>
      </c>
      <c r="G14" s="547">
        <v>0</v>
      </c>
      <c r="H14" s="547"/>
      <c r="I14" s="547"/>
      <c r="J14" s="547"/>
      <c r="K14" s="547"/>
      <c r="L14" s="547"/>
      <c r="M14" s="547"/>
      <c r="N14" s="547"/>
      <c r="O14" s="547"/>
      <c r="P14" s="547"/>
      <c r="Q14" s="812">
        <f t="shared" si="1"/>
        <v>176902000</v>
      </c>
      <c r="R14" s="547">
        <v>80000000</v>
      </c>
      <c r="S14" s="812">
        <f t="shared" si="0"/>
        <v>177</v>
      </c>
      <c r="T14" s="547">
        <f t="shared" si="0"/>
        <v>80</v>
      </c>
      <c r="U14" s="566"/>
      <c r="V14" s="567"/>
      <c r="W14" s="812">
        <f t="shared" si="2"/>
        <v>176902000</v>
      </c>
      <c r="X14" s="812">
        <f t="shared" si="3"/>
        <v>177</v>
      </c>
    </row>
    <row r="15" spans="1:24" ht="27" customHeight="1">
      <c r="A15" s="531"/>
      <c r="B15" s="531">
        <v>401</v>
      </c>
      <c r="C15" s="529">
        <v>4</v>
      </c>
      <c r="D15" s="530" t="s">
        <v>924</v>
      </c>
      <c r="E15" s="531" t="s">
        <v>925</v>
      </c>
      <c r="F15" s="547"/>
      <c r="G15" s="547"/>
      <c r="H15" s="547"/>
      <c r="I15" s="547"/>
      <c r="J15" s="547"/>
      <c r="K15" s="547"/>
      <c r="L15" s="547"/>
      <c r="M15" s="547"/>
      <c r="N15" s="547"/>
      <c r="O15" s="547"/>
      <c r="P15" s="547"/>
      <c r="Q15" s="812">
        <f t="shared" si="1"/>
        <v>0</v>
      </c>
      <c r="R15" s="547">
        <v>0</v>
      </c>
      <c r="S15" s="812">
        <f t="shared" si="0"/>
        <v>0</v>
      </c>
      <c r="T15" s="547">
        <f t="shared" si="0"/>
        <v>0</v>
      </c>
      <c r="U15" s="566"/>
      <c r="V15" s="567"/>
      <c r="W15" s="812">
        <f t="shared" si="2"/>
        <v>0</v>
      </c>
      <c r="X15" s="812">
        <f t="shared" si="3"/>
        <v>0</v>
      </c>
    </row>
    <row r="16" spans="1:24" ht="27" customHeight="1">
      <c r="A16" s="531"/>
      <c r="B16" s="531">
        <v>1009</v>
      </c>
      <c r="C16" s="529">
        <v>10</v>
      </c>
      <c r="D16" s="530" t="s">
        <v>434</v>
      </c>
      <c r="E16" s="531" t="s">
        <v>435</v>
      </c>
      <c r="F16" s="547"/>
      <c r="G16" s="547"/>
      <c r="H16" s="547"/>
      <c r="I16" s="547"/>
      <c r="J16" s="547"/>
      <c r="K16" s="547"/>
      <c r="L16" s="547"/>
      <c r="M16" s="547"/>
      <c r="N16" s="547"/>
      <c r="O16" s="547"/>
      <c r="P16" s="547"/>
      <c r="Q16" s="812">
        <f t="shared" si="1"/>
        <v>0</v>
      </c>
      <c r="R16" s="547">
        <v>0</v>
      </c>
      <c r="S16" s="812">
        <f t="shared" si="0"/>
        <v>0</v>
      </c>
      <c r="T16" s="547">
        <f t="shared" si="0"/>
        <v>0</v>
      </c>
      <c r="U16" s="566"/>
      <c r="V16" s="567"/>
      <c r="W16" s="812">
        <f t="shared" si="2"/>
        <v>0</v>
      </c>
      <c r="X16" s="812">
        <f t="shared" si="3"/>
        <v>0</v>
      </c>
    </row>
    <row r="17" spans="1:24" ht="27" customHeight="1">
      <c r="A17" s="531"/>
      <c r="B17" s="531">
        <v>401</v>
      </c>
      <c r="C17" s="529">
        <v>4</v>
      </c>
      <c r="D17" s="530" t="s">
        <v>436</v>
      </c>
      <c r="E17" s="531" t="s">
        <v>437</v>
      </c>
      <c r="F17" s="547"/>
      <c r="G17" s="547"/>
      <c r="H17" s="547"/>
      <c r="I17" s="547"/>
      <c r="J17" s="547"/>
      <c r="K17" s="547"/>
      <c r="L17" s="547"/>
      <c r="M17" s="547"/>
      <c r="N17" s="547"/>
      <c r="O17" s="547"/>
      <c r="P17" s="547"/>
      <c r="Q17" s="812">
        <f t="shared" si="1"/>
        <v>0</v>
      </c>
      <c r="R17" s="547">
        <v>0</v>
      </c>
      <c r="S17" s="812">
        <f t="shared" si="0"/>
        <v>0</v>
      </c>
      <c r="T17" s="547">
        <f t="shared" si="0"/>
        <v>0</v>
      </c>
      <c r="U17" s="566"/>
      <c r="V17" s="567"/>
      <c r="W17" s="812">
        <f t="shared" si="2"/>
        <v>0</v>
      </c>
      <c r="X17" s="812">
        <f t="shared" si="3"/>
        <v>0</v>
      </c>
    </row>
    <row r="18" spans="1:24" ht="27" customHeight="1">
      <c r="A18" s="531"/>
      <c r="B18" s="531">
        <v>1009</v>
      </c>
      <c r="C18" s="529">
        <v>10</v>
      </c>
      <c r="D18" s="530" t="s">
        <v>438</v>
      </c>
      <c r="E18" s="531" t="s">
        <v>176</v>
      </c>
      <c r="F18" s="547">
        <v>-2589480744</v>
      </c>
      <c r="G18" s="547">
        <v>232677000</v>
      </c>
      <c r="H18" s="547"/>
      <c r="I18" s="547">
        <v>-150395819</v>
      </c>
      <c r="J18" s="547"/>
      <c r="K18" s="547"/>
      <c r="L18" s="547"/>
      <c r="M18" s="547"/>
      <c r="N18" s="547"/>
      <c r="O18" s="547"/>
      <c r="P18" s="547"/>
      <c r="Q18" s="812">
        <f t="shared" si="1"/>
        <v>-2507199563</v>
      </c>
      <c r="R18" s="547">
        <v>-367997795</v>
      </c>
      <c r="S18" s="812">
        <f t="shared" si="0"/>
        <v>-2507</v>
      </c>
      <c r="T18" s="547">
        <f t="shared" si="0"/>
        <v>-368</v>
      </c>
      <c r="U18" s="566"/>
      <c r="V18" s="567"/>
      <c r="W18" s="812">
        <f t="shared" si="2"/>
        <v>-2507199563</v>
      </c>
      <c r="X18" s="812">
        <f t="shared" si="3"/>
        <v>-2507</v>
      </c>
    </row>
    <row r="19" spans="1:24" ht="27" customHeight="1">
      <c r="A19" s="531"/>
      <c r="B19" s="531">
        <v>401</v>
      </c>
      <c r="C19" s="529">
        <v>4</v>
      </c>
      <c r="D19" s="530" t="s">
        <v>1168</v>
      </c>
      <c r="E19" s="531" t="s">
        <v>1101</v>
      </c>
      <c r="F19" s="547">
        <v>-7500000</v>
      </c>
      <c r="G19" s="547"/>
      <c r="H19" s="547"/>
      <c r="I19" s="547">
        <v>7500000</v>
      </c>
      <c r="J19" s="547"/>
      <c r="K19" s="547"/>
      <c r="L19" s="547"/>
      <c r="M19" s="547"/>
      <c r="N19" s="547"/>
      <c r="O19" s="547"/>
      <c r="P19" s="547"/>
      <c r="Q19" s="812">
        <f t="shared" si="1"/>
        <v>0</v>
      </c>
      <c r="R19" s="547">
        <v>0</v>
      </c>
      <c r="S19" s="812">
        <f t="shared" si="0"/>
        <v>0</v>
      </c>
      <c r="T19" s="547">
        <f t="shared" si="0"/>
        <v>0</v>
      </c>
      <c r="U19" s="566"/>
      <c r="V19" s="567"/>
      <c r="W19" s="812">
        <f t="shared" si="2"/>
        <v>0</v>
      </c>
      <c r="X19" s="812">
        <f t="shared" si="3"/>
        <v>0</v>
      </c>
    </row>
    <row r="20" spans="1:24" ht="27" customHeight="1">
      <c r="A20" s="531"/>
      <c r="B20" s="531">
        <v>1009</v>
      </c>
      <c r="C20" s="529">
        <v>10</v>
      </c>
      <c r="D20" s="530" t="s">
        <v>472</v>
      </c>
      <c r="E20" s="531" t="s">
        <v>473</v>
      </c>
      <c r="F20" s="547">
        <v>-3904727707</v>
      </c>
      <c r="G20" s="547"/>
      <c r="H20" s="547"/>
      <c r="I20" s="547">
        <v>-383386578</v>
      </c>
      <c r="J20" s="547"/>
      <c r="K20" s="547"/>
      <c r="L20" s="547"/>
      <c r="M20" s="547"/>
      <c r="N20" s="547"/>
      <c r="O20" s="547"/>
      <c r="P20" s="547"/>
      <c r="Q20" s="812">
        <f t="shared" si="1"/>
        <v>-4288114285</v>
      </c>
      <c r="R20" s="547">
        <v>-2853542202</v>
      </c>
      <c r="S20" s="812">
        <f t="shared" si="0"/>
        <v>-4288</v>
      </c>
      <c r="T20" s="547">
        <f t="shared" si="0"/>
        <v>-2854</v>
      </c>
      <c r="U20" s="566"/>
      <c r="V20" s="567"/>
      <c r="W20" s="812">
        <f t="shared" si="2"/>
        <v>-4288114285</v>
      </c>
      <c r="X20" s="812">
        <f t="shared" si="3"/>
        <v>-4288</v>
      </c>
    </row>
    <row r="21" spans="1:24" ht="27" customHeight="1">
      <c r="A21" s="531"/>
      <c r="B21" s="531">
        <v>1009</v>
      </c>
      <c r="C21" s="529">
        <v>10</v>
      </c>
      <c r="D21" s="530" t="s">
        <v>698</v>
      </c>
      <c r="E21" s="531" t="s">
        <v>926</v>
      </c>
      <c r="F21" s="547"/>
      <c r="G21" s="547"/>
      <c r="H21" s="547"/>
      <c r="I21" s="547"/>
      <c r="J21" s="547"/>
      <c r="K21" s="547"/>
      <c r="L21" s="547"/>
      <c r="M21" s="547"/>
      <c r="N21" s="547"/>
      <c r="O21" s="547"/>
      <c r="P21" s="547"/>
      <c r="Q21" s="812">
        <f t="shared" si="1"/>
        <v>0</v>
      </c>
      <c r="R21" s="547">
        <v>0</v>
      </c>
      <c r="S21" s="812">
        <f t="shared" si="0"/>
        <v>0</v>
      </c>
      <c r="T21" s="547">
        <f t="shared" si="0"/>
        <v>0</v>
      </c>
      <c r="U21" s="566"/>
      <c r="V21" s="567"/>
      <c r="W21" s="812">
        <f t="shared" si="2"/>
        <v>0</v>
      </c>
      <c r="X21" s="812">
        <f t="shared" si="3"/>
        <v>0</v>
      </c>
    </row>
    <row r="22" spans="1:24" ht="27" customHeight="1">
      <c r="A22" s="531"/>
      <c r="B22" s="531">
        <v>1009</v>
      </c>
      <c r="C22" s="529">
        <v>10</v>
      </c>
      <c r="D22" s="530" t="s">
        <v>830</v>
      </c>
      <c r="E22" s="531" t="s">
        <v>552</v>
      </c>
      <c r="F22" s="547"/>
      <c r="G22" s="547"/>
      <c r="H22" s="547"/>
      <c r="I22" s="547"/>
      <c r="J22" s="547"/>
      <c r="K22" s="547"/>
      <c r="L22" s="547"/>
      <c r="M22" s="547"/>
      <c r="N22" s="547"/>
      <c r="O22" s="547"/>
      <c r="P22" s="547"/>
      <c r="Q22" s="812">
        <f t="shared" si="1"/>
        <v>0</v>
      </c>
      <c r="R22" s="547">
        <v>0</v>
      </c>
      <c r="S22" s="812">
        <f t="shared" si="0"/>
        <v>0</v>
      </c>
      <c r="T22" s="547">
        <f t="shared" si="0"/>
        <v>0</v>
      </c>
      <c r="U22" s="566"/>
      <c r="V22" s="567"/>
      <c r="W22" s="812">
        <f t="shared" si="2"/>
        <v>0</v>
      </c>
      <c r="X22" s="812">
        <f t="shared" si="3"/>
        <v>0</v>
      </c>
    </row>
    <row r="23" spans="1:24" ht="27" customHeight="1">
      <c r="A23" s="531"/>
      <c r="B23" s="531">
        <v>401</v>
      </c>
      <c r="C23" s="529">
        <v>4</v>
      </c>
      <c r="D23" s="530" t="s">
        <v>128</v>
      </c>
      <c r="E23" s="531" t="s">
        <v>1082</v>
      </c>
      <c r="F23" s="547"/>
      <c r="G23" s="547"/>
      <c r="H23" s="547"/>
      <c r="I23" s="547"/>
      <c r="J23" s="547"/>
      <c r="K23" s="547"/>
      <c r="L23" s="547"/>
      <c r="M23" s="547"/>
      <c r="N23" s="547"/>
      <c r="O23" s="547"/>
      <c r="P23" s="547"/>
      <c r="Q23" s="812">
        <f t="shared" si="1"/>
        <v>0</v>
      </c>
      <c r="R23" s="547">
        <v>0</v>
      </c>
      <c r="S23" s="812">
        <f t="shared" si="0"/>
        <v>0</v>
      </c>
      <c r="T23" s="547">
        <f t="shared" si="0"/>
        <v>0</v>
      </c>
      <c r="U23" s="566"/>
      <c r="V23" s="567"/>
      <c r="W23" s="812">
        <f t="shared" si="2"/>
        <v>0</v>
      </c>
      <c r="X23" s="812">
        <f t="shared" si="3"/>
        <v>0</v>
      </c>
    </row>
    <row r="24" spans="1:24" ht="27" customHeight="1">
      <c r="A24" s="531"/>
      <c r="B24" s="531">
        <v>1002</v>
      </c>
      <c r="C24" s="529">
        <v>10</v>
      </c>
      <c r="D24" s="530" t="s">
        <v>132</v>
      </c>
      <c r="E24" s="531" t="s">
        <v>133</v>
      </c>
      <c r="F24" s="547">
        <v>-1126991899</v>
      </c>
      <c r="G24" s="547">
        <v>-942890250</v>
      </c>
      <c r="H24" s="547">
        <v>-796288232</v>
      </c>
      <c r="I24" s="547">
        <v>-1513705918</v>
      </c>
      <c r="J24" s="547"/>
      <c r="K24" s="547"/>
      <c r="L24" s="547"/>
      <c r="M24" s="547"/>
      <c r="N24" s="547"/>
      <c r="O24" s="547"/>
      <c r="P24" s="547"/>
      <c r="Q24" s="812">
        <f t="shared" si="1"/>
        <v>-4379876299</v>
      </c>
      <c r="R24" s="547">
        <v>-5567743512</v>
      </c>
      <c r="S24" s="812">
        <f t="shared" si="0"/>
        <v>-4380</v>
      </c>
      <c r="T24" s="547">
        <f t="shared" si="0"/>
        <v>-5568</v>
      </c>
      <c r="U24" s="566"/>
      <c r="V24" s="567"/>
      <c r="W24" s="812">
        <f t="shared" si="2"/>
        <v>-4379876299</v>
      </c>
      <c r="X24" s="812">
        <f t="shared" si="3"/>
        <v>-4380</v>
      </c>
    </row>
    <row r="25" spans="1:24" ht="27" customHeight="1">
      <c r="A25" s="531"/>
      <c r="B25" s="531">
        <v>1301</v>
      </c>
      <c r="C25" s="529">
        <v>12</v>
      </c>
      <c r="D25" s="530" t="s">
        <v>134</v>
      </c>
      <c r="E25" s="531" t="s">
        <v>135</v>
      </c>
      <c r="F25" s="547">
        <v>-15709970555</v>
      </c>
      <c r="G25" s="547">
        <v>-560244600</v>
      </c>
      <c r="H25" s="547">
        <f>-6504675656+5021760242</f>
        <v>-1482915414</v>
      </c>
      <c r="I25" s="547">
        <v>357202727</v>
      </c>
      <c r="J25" s="547"/>
      <c r="K25" s="547"/>
      <c r="L25" s="547"/>
      <c r="M25" s="547"/>
      <c r="N25" s="547"/>
      <c r="O25" s="547"/>
      <c r="P25" s="547"/>
      <c r="Q25" s="812">
        <f t="shared" si="1"/>
        <v>-17395927842</v>
      </c>
      <c r="R25" s="547">
        <v>-18105317951</v>
      </c>
      <c r="S25" s="812">
        <f t="shared" si="0"/>
        <v>-17396</v>
      </c>
      <c r="T25" s="547">
        <f t="shared" si="0"/>
        <v>-18105</v>
      </c>
      <c r="U25" s="566"/>
      <c r="V25" s="567"/>
      <c r="W25" s="812">
        <f t="shared" si="2"/>
        <v>-17395927842</v>
      </c>
      <c r="X25" s="812">
        <f t="shared" si="3"/>
        <v>-17396</v>
      </c>
    </row>
    <row r="26" spans="1:24" ht="27" customHeight="1">
      <c r="A26" s="531"/>
      <c r="B26" s="531">
        <v>1009</v>
      </c>
      <c r="C26" s="529">
        <v>10</v>
      </c>
      <c r="D26" s="530" t="s">
        <v>1169</v>
      </c>
      <c r="E26" s="531" t="s">
        <v>1170</v>
      </c>
      <c r="F26" s="547">
        <v>-5130000</v>
      </c>
      <c r="G26" s="547"/>
      <c r="H26" s="547"/>
      <c r="I26" s="547"/>
      <c r="J26" s="547"/>
      <c r="K26" s="547"/>
      <c r="L26" s="547"/>
      <c r="M26" s="547"/>
      <c r="N26" s="547"/>
      <c r="O26" s="547"/>
      <c r="P26" s="547"/>
      <c r="Q26" s="812">
        <f t="shared" si="1"/>
        <v>-5130000</v>
      </c>
      <c r="R26" s="547">
        <v>0</v>
      </c>
      <c r="S26" s="812">
        <f t="shared" si="0"/>
        <v>-5</v>
      </c>
      <c r="T26" s="547">
        <f t="shared" si="0"/>
        <v>0</v>
      </c>
      <c r="U26" s="566"/>
      <c r="V26" s="567"/>
      <c r="W26" s="812">
        <f t="shared" si="2"/>
        <v>-5130000</v>
      </c>
      <c r="X26" s="812">
        <f t="shared" si="3"/>
        <v>-5</v>
      </c>
    </row>
    <row r="27" spans="1:24" ht="27" customHeight="1">
      <c r="A27" s="531"/>
      <c r="B27" s="531">
        <v>1009</v>
      </c>
      <c r="C27" s="529">
        <v>10</v>
      </c>
      <c r="D27" s="530" t="s">
        <v>1226</v>
      </c>
      <c r="E27" s="531" t="s">
        <v>1083</v>
      </c>
      <c r="F27" s="547"/>
      <c r="G27" s="547"/>
      <c r="H27" s="547"/>
      <c r="I27" s="547"/>
      <c r="J27" s="547"/>
      <c r="K27" s="547"/>
      <c r="L27" s="547"/>
      <c r="M27" s="547"/>
      <c r="N27" s="547"/>
      <c r="O27" s="547"/>
      <c r="P27" s="547"/>
      <c r="Q27" s="812">
        <f t="shared" si="1"/>
        <v>0</v>
      </c>
      <c r="R27" s="547">
        <v>0</v>
      </c>
      <c r="S27" s="812">
        <f t="shared" si="0"/>
        <v>0</v>
      </c>
      <c r="T27" s="547">
        <f t="shared" si="0"/>
        <v>0</v>
      </c>
      <c r="U27" s="566"/>
      <c r="V27" s="567"/>
      <c r="W27" s="812">
        <f t="shared" si="2"/>
        <v>0</v>
      </c>
      <c r="X27" s="812">
        <f t="shared" si="3"/>
        <v>0</v>
      </c>
    </row>
    <row r="28" spans="1:24" ht="27" customHeight="1">
      <c r="A28" s="531"/>
      <c r="B28" s="531">
        <v>1009</v>
      </c>
      <c r="C28" s="529">
        <v>10</v>
      </c>
      <c r="D28" s="530" t="s">
        <v>136</v>
      </c>
      <c r="E28" s="531" t="s">
        <v>700</v>
      </c>
      <c r="F28" s="547">
        <v>317794637</v>
      </c>
      <c r="G28" s="547">
        <v>0</v>
      </c>
      <c r="H28" s="547"/>
      <c r="I28" s="547"/>
      <c r="J28" s="547"/>
      <c r="K28" s="547"/>
      <c r="L28" s="547"/>
      <c r="M28" s="547"/>
      <c r="N28" s="547"/>
      <c r="O28" s="547"/>
      <c r="P28" s="547"/>
      <c r="Q28" s="812">
        <f t="shared" si="1"/>
        <v>317794637</v>
      </c>
      <c r="R28" s="547">
        <v>-23402531</v>
      </c>
      <c r="S28" s="812">
        <f t="shared" si="0"/>
        <v>318</v>
      </c>
      <c r="T28" s="547">
        <f t="shared" si="0"/>
        <v>-23</v>
      </c>
      <c r="U28" s="566"/>
      <c r="V28" s="567"/>
      <c r="W28" s="812">
        <f t="shared" si="2"/>
        <v>317794637</v>
      </c>
      <c r="X28" s="812">
        <f t="shared" si="3"/>
        <v>318</v>
      </c>
    </row>
    <row r="29" spans="1:24" ht="27" customHeight="1">
      <c r="A29" s="531"/>
      <c r="B29" s="531">
        <v>401</v>
      </c>
      <c r="C29" s="529">
        <v>4</v>
      </c>
      <c r="D29" s="530" t="s">
        <v>927</v>
      </c>
      <c r="E29" s="531" t="s">
        <v>928</v>
      </c>
      <c r="F29" s="547">
        <v>256170758002</v>
      </c>
      <c r="G29" s="547">
        <f>1900000-34746062532</f>
        <v>-34744162532</v>
      </c>
      <c r="H29" s="547">
        <f>-16379736341+34200000</f>
        <v>-16345536341</v>
      </c>
      <c r="I29" s="547">
        <v>-205081059129</v>
      </c>
      <c r="J29" s="547"/>
      <c r="K29" s="547"/>
      <c r="L29" s="547"/>
      <c r="M29" s="547"/>
      <c r="N29" s="547"/>
      <c r="O29" s="547"/>
      <c r="P29" s="547"/>
      <c r="Q29" s="812">
        <f t="shared" si="1"/>
        <v>0</v>
      </c>
      <c r="R29" s="547">
        <v>0</v>
      </c>
      <c r="S29" s="812">
        <f t="shared" si="0"/>
        <v>0</v>
      </c>
      <c r="T29" s="547">
        <f t="shared" si="0"/>
        <v>0</v>
      </c>
      <c r="U29" s="566"/>
      <c r="V29" s="567"/>
      <c r="W29" s="812">
        <f t="shared" si="2"/>
        <v>0</v>
      </c>
      <c r="X29" s="812">
        <f t="shared" si="3"/>
        <v>0</v>
      </c>
    </row>
    <row r="30" spans="1:24" ht="27" customHeight="1">
      <c r="A30" s="531"/>
      <c r="B30" s="531">
        <v>1009</v>
      </c>
      <c r="C30" s="529">
        <v>10</v>
      </c>
      <c r="D30" s="530" t="s">
        <v>83</v>
      </c>
      <c r="E30" s="531" t="s">
        <v>930</v>
      </c>
      <c r="F30" s="547">
        <v>-22387703</v>
      </c>
      <c r="G30" s="547"/>
      <c r="H30" s="547">
        <v>13897728</v>
      </c>
      <c r="I30" s="547"/>
      <c r="J30" s="547">
        <v>8489975</v>
      </c>
      <c r="K30" s="547"/>
      <c r="L30" s="547"/>
      <c r="M30" s="547"/>
      <c r="N30" s="547"/>
      <c r="O30" s="547"/>
      <c r="P30" s="547"/>
      <c r="Q30" s="812">
        <f t="shared" si="1"/>
        <v>0</v>
      </c>
      <c r="R30" s="547">
        <v>0</v>
      </c>
      <c r="S30" s="812">
        <f t="shared" si="0"/>
        <v>0</v>
      </c>
      <c r="T30" s="547">
        <f t="shared" si="0"/>
        <v>0</v>
      </c>
      <c r="U30" s="566"/>
      <c r="V30" s="567"/>
      <c r="W30" s="812">
        <f t="shared" si="2"/>
        <v>0</v>
      </c>
      <c r="X30" s="812">
        <f t="shared" si="3"/>
        <v>0</v>
      </c>
    </row>
    <row r="31" spans="1:24" ht="27" customHeight="1">
      <c r="A31" s="531"/>
      <c r="B31" s="531">
        <v>1009</v>
      </c>
      <c r="C31" s="529">
        <v>10</v>
      </c>
      <c r="D31" s="530" t="s">
        <v>212</v>
      </c>
      <c r="E31" s="531" t="s">
        <v>929</v>
      </c>
      <c r="F31" s="547">
        <v>-232809443078</v>
      </c>
      <c r="G31" s="547">
        <v>26095861250</v>
      </c>
      <c r="H31" s="547">
        <v>13351862307</v>
      </c>
      <c r="I31" s="547">
        <v>193361719521</v>
      </c>
      <c r="J31" s="547"/>
      <c r="K31" s="547"/>
      <c r="L31" s="547"/>
      <c r="M31" s="547"/>
      <c r="N31" s="547"/>
      <c r="O31" s="547"/>
      <c r="P31" s="547"/>
      <c r="Q31" s="812">
        <f t="shared" si="1"/>
        <v>0</v>
      </c>
      <c r="R31" s="547">
        <v>0</v>
      </c>
      <c r="S31" s="812">
        <f t="shared" si="0"/>
        <v>0</v>
      </c>
      <c r="T31" s="547">
        <f t="shared" si="0"/>
        <v>0</v>
      </c>
      <c r="U31" s="566"/>
      <c r="V31" s="567"/>
      <c r="W31" s="812">
        <f t="shared" si="2"/>
        <v>0</v>
      </c>
      <c r="X31" s="812">
        <f t="shared" si="3"/>
        <v>0</v>
      </c>
    </row>
    <row r="32" spans="1:24" ht="27" customHeight="1">
      <c r="A32" s="531"/>
      <c r="B32" s="531"/>
      <c r="C32" s="529" t="s">
        <v>764</v>
      </c>
      <c r="D32" s="530" t="s">
        <v>931</v>
      </c>
      <c r="E32" s="531" t="s">
        <v>933</v>
      </c>
      <c r="F32" s="547"/>
      <c r="G32" s="547"/>
      <c r="H32" s="547"/>
      <c r="I32" s="547"/>
      <c r="J32" s="547"/>
      <c r="K32" s="547"/>
      <c r="L32" s="547"/>
      <c r="M32" s="547"/>
      <c r="N32" s="547"/>
      <c r="O32" s="547"/>
      <c r="P32" s="547"/>
      <c r="Q32" s="812">
        <f t="shared" si="1"/>
        <v>0</v>
      </c>
      <c r="R32" s="547">
        <v>0</v>
      </c>
      <c r="S32" s="812">
        <f t="shared" si="0"/>
        <v>0</v>
      </c>
      <c r="T32" s="547">
        <f t="shared" si="0"/>
        <v>0</v>
      </c>
      <c r="U32" s="566"/>
      <c r="V32" s="567"/>
      <c r="W32" s="812">
        <f t="shared" si="2"/>
        <v>0</v>
      </c>
      <c r="X32" s="812">
        <f t="shared" si="3"/>
        <v>0</v>
      </c>
    </row>
    <row r="33" spans="1:24" ht="27" customHeight="1">
      <c r="A33" s="531"/>
      <c r="B33" s="531"/>
      <c r="C33" s="529" t="s">
        <v>764</v>
      </c>
      <c r="D33" s="530" t="s">
        <v>1406</v>
      </c>
      <c r="E33" s="531" t="s">
        <v>934</v>
      </c>
      <c r="F33" s="547"/>
      <c r="G33" s="547"/>
      <c r="H33" s="547"/>
      <c r="I33" s="547"/>
      <c r="J33" s="547"/>
      <c r="K33" s="547"/>
      <c r="L33" s="547"/>
      <c r="M33" s="547"/>
      <c r="N33" s="547"/>
      <c r="O33" s="547"/>
      <c r="P33" s="547"/>
      <c r="Q33" s="812">
        <f t="shared" si="1"/>
        <v>0</v>
      </c>
      <c r="R33" s="547">
        <v>0</v>
      </c>
      <c r="S33" s="812">
        <f t="shared" si="0"/>
        <v>0</v>
      </c>
      <c r="T33" s="547">
        <f t="shared" si="0"/>
        <v>0</v>
      </c>
      <c r="U33" s="566"/>
      <c r="V33" s="567"/>
      <c r="W33" s="812">
        <f t="shared" si="2"/>
        <v>0</v>
      </c>
      <c r="X33" s="812">
        <f t="shared" si="3"/>
        <v>0</v>
      </c>
    </row>
    <row r="34" spans="1:24" ht="27" customHeight="1">
      <c r="A34" s="531"/>
      <c r="B34" s="531">
        <v>1009</v>
      </c>
      <c r="C34" s="529">
        <v>10</v>
      </c>
      <c r="D34" s="530" t="s">
        <v>932</v>
      </c>
      <c r="E34" s="531" t="s">
        <v>935</v>
      </c>
      <c r="F34" s="547">
        <v>-2432100</v>
      </c>
      <c r="G34" s="547"/>
      <c r="H34" s="547">
        <v>2432100</v>
      </c>
      <c r="I34" s="547"/>
      <c r="J34" s="547"/>
      <c r="K34" s="547"/>
      <c r="L34" s="547"/>
      <c r="M34" s="547"/>
      <c r="N34" s="547"/>
      <c r="O34" s="547"/>
      <c r="P34" s="547"/>
      <c r="Q34" s="812">
        <f t="shared" si="1"/>
        <v>0</v>
      </c>
      <c r="R34" s="547">
        <v>0</v>
      </c>
      <c r="S34" s="812">
        <f t="shared" si="0"/>
        <v>0</v>
      </c>
      <c r="T34" s="547">
        <f t="shared" si="0"/>
        <v>0</v>
      </c>
      <c r="U34" s="566"/>
      <c r="V34" s="567"/>
      <c r="W34" s="812">
        <f t="shared" si="2"/>
        <v>0</v>
      </c>
      <c r="X34" s="812">
        <f t="shared" si="3"/>
        <v>0</v>
      </c>
    </row>
    <row r="35" spans="1:24" ht="27" customHeight="1">
      <c r="A35" s="531"/>
      <c r="B35" s="531">
        <v>1009</v>
      </c>
      <c r="C35" s="529">
        <v>10</v>
      </c>
      <c r="D35" s="530" t="s">
        <v>1531</v>
      </c>
      <c r="E35" s="531" t="s">
        <v>1532</v>
      </c>
      <c r="F35" s="547"/>
      <c r="G35" s="547"/>
      <c r="H35" s="547"/>
      <c r="I35" s="547"/>
      <c r="J35" s="547"/>
      <c r="K35" s="547"/>
      <c r="L35" s="547"/>
      <c r="M35" s="547"/>
      <c r="N35" s="547"/>
      <c r="O35" s="547"/>
      <c r="P35" s="547"/>
      <c r="Q35" s="812">
        <f t="shared" si="1"/>
        <v>0</v>
      </c>
      <c r="R35" s="547">
        <v>0</v>
      </c>
      <c r="S35" s="812">
        <f t="shared" si="0"/>
        <v>0</v>
      </c>
      <c r="T35" s="547">
        <f t="shared" si="0"/>
        <v>0</v>
      </c>
      <c r="U35" s="566"/>
      <c r="V35" s="567"/>
      <c r="W35" s="812">
        <f t="shared" si="2"/>
        <v>0</v>
      </c>
      <c r="X35" s="812">
        <f t="shared" si="3"/>
        <v>0</v>
      </c>
    </row>
    <row r="36" spans="1:24" ht="27" customHeight="1">
      <c r="A36" s="531"/>
      <c r="B36" s="531">
        <v>1009</v>
      </c>
      <c r="C36" s="529">
        <v>10</v>
      </c>
      <c r="D36" s="530" t="s">
        <v>1533</v>
      </c>
      <c r="E36" s="531" t="s">
        <v>1534</v>
      </c>
      <c r="F36" s="547"/>
      <c r="G36" s="547"/>
      <c r="H36" s="547"/>
      <c r="I36" s="547"/>
      <c r="J36" s="547"/>
      <c r="K36" s="547"/>
      <c r="L36" s="547"/>
      <c r="M36" s="547"/>
      <c r="N36" s="547"/>
      <c r="O36" s="547"/>
      <c r="P36" s="547"/>
      <c r="Q36" s="812">
        <f t="shared" si="1"/>
        <v>0</v>
      </c>
      <c r="R36" s="547">
        <v>0</v>
      </c>
      <c r="S36" s="812">
        <f t="shared" si="0"/>
        <v>0</v>
      </c>
      <c r="T36" s="547">
        <f t="shared" si="0"/>
        <v>0</v>
      </c>
      <c r="U36" s="566"/>
      <c r="V36" s="567"/>
      <c r="W36" s="812">
        <f t="shared" si="2"/>
        <v>0</v>
      </c>
      <c r="X36" s="812">
        <f t="shared" si="3"/>
        <v>0</v>
      </c>
    </row>
    <row r="37" spans="1:24" ht="27" customHeight="1">
      <c r="A37" s="531"/>
      <c r="B37" s="531">
        <v>1009</v>
      </c>
      <c r="C37" s="529">
        <v>10</v>
      </c>
      <c r="D37" s="530" t="s">
        <v>1227</v>
      </c>
      <c r="E37" s="531" t="s">
        <v>1228</v>
      </c>
      <c r="F37" s="547"/>
      <c r="G37" s="547"/>
      <c r="H37" s="547"/>
      <c r="I37" s="547"/>
      <c r="J37" s="547"/>
      <c r="K37" s="547"/>
      <c r="L37" s="547"/>
      <c r="M37" s="547"/>
      <c r="N37" s="547"/>
      <c r="O37" s="547"/>
      <c r="P37" s="547"/>
      <c r="Q37" s="812">
        <f t="shared" si="1"/>
        <v>0</v>
      </c>
      <c r="R37" s="547">
        <v>0</v>
      </c>
      <c r="S37" s="812">
        <f t="shared" si="0"/>
        <v>0</v>
      </c>
      <c r="T37" s="547">
        <f t="shared" si="0"/>
        <v>0</v>
      </c>
      <c r="U37" s="566"/>
      <c r="V37" s="567"/>
      <c r="W37" s="812">
        <f t="shared" si="2"/>
        <v>0</v>
      </c>
      <c r="X37" s="812">
        <f t="shared" si="3"/>
        <v>0</v>
      </c>
    </row>
    <row r="38" spans="1:24" ht="27" customHeight="1">
      <c r="A38" s="531"/>
      <c r="B38" s="531">
        <v>401</v>
      </c>
      <c r="C38" s="529">
        <v>4</v>
      </c>
      <c r="D38" s="530" t="s">
        <v>1084</v>
      </c>
      <c r="E38" s="531" t="s">
        <v>1085</v>
      </c>
      <c r="F38" s="547"/>
      <c r="G38" s="547"/>
      <c r="H38" s="547"/>
      <c r="I38" s="547"/>
      <c r="J38" s="547"/>
      <c r="K38" s="547"/>
      <c r="L38" s="547"/>
      <c r="M38" s="547"/>
      <c r="N38" s="547"/>
      <c r="O38" s="547"/>
      <c r="P38" s="547"/>
      <c r="Q38" s="812">
        <f t="shared" si="1"/>
        <v>0</v>
      </c>
      <c r="R38" s="547">
        <v>0</v>
      </c>
      <c r="S38" s="812">
        <f t="shared" si="0"/>
        <v>0</v>
      </c>
      <c r="T38" s="547">
        <f t="shared" si="0"/>
        <v>0</v>
      </c>
      <c r="U38" s="566"/>
      <c r="V38" s="567"/>
      <c r="W38" s="812">
        <f t="shared" si="2"/>
        <v>0</v>
      </c>
      <c r="X38" s="812">
        <f t="shared" si="3"/>
        <v>0</v>
      </c>
    </row>
    <row r="39" spans="1:24" ht="27" customHeight="1">
      <c r="A39" s="531"/>
      <c r="B39" s="531">
        <v>1009</v>
      </c>
      <c r="C39" s="529">
        <v>10</v>
      </c>
      <c r="D39" s="530" t="s">
        <v>84</v>
      </c>
      <c r="E39" s="531" t="s">
        <v>699</v>
      </c>
      <c r="F39" s="547">
        <v>-2060233382</v>
      </c>
      <c r="G39" s="547"/>
      <c r="H39" s="547"/>
      <c r="I39" s="547">
        <v>40000000</v>
      </c>
      <c r="J39" s="547"/>
      <c r="K39" s="547"/>
      <c r="L39" s="547"/>
      <c r="M39" s="547"/>
      <c r="N39" s="547"/>
      <c r="O39" s="547"/>
      <c r="P39" s="547"/>
      <c r="Q39" s="812">
        <f t="shared" si="1"/>
        <v>-2020233382</v>
      </c>
      <c r="R39" s="547">
        <v>-4609575</v>
      </c>
      <c r="S39" s="812">
        <f t="shared" si="0"/>
        <v>-2020</v>
      </c>
      <c r="T39" s="547">
        <f t="shared" si="0"/>
        <v>-5</v>
      </c>
      <c r="U39" s="566"/>
      <c r="V39" s="567"/>
      <c r="W39" s="812">
        <f t="shared" si="2"/>
        <v>-2020233382</v>
      </c>
      <c r="X39" s="812">
        <f t="shared" si="3"/>
        <v>-2020</v>
      </c>
    </row>
    <row r="40" spans="1:24" ht="27" customHeight="1">
      <c r="A40" s="531"/>
      <c r="B40" s="531">
        <v>401</v>
      </c>
      <c r="C40" s="529">
        <v>4</v>
      </c>
      <c r="D40" s="530" t="s">
        <v>873</v>
      </c>
      <c r="E40" s="531" t="s">
        <v>874</v>
      </c>
      <c r="F40" s="547">
        <v>408867857</v>
      </c>
      <c r="G40" s="547">
        <v>-8685375</v>
      </c>
      <c r="H40" s="547"/>
      <c r="I40" s="547">
        <v>-400182482</v>
      </c>
      <c r="J40" s="547"/>
      <c r="K40" s="547"/>
      <c r="L40" s="547"/>
      <c r="M40" s="547"/>
      <c r="N40" s="547"/>
      <c r="O40" s="547"/>
      <c r="P40" s="547"/>
      <c r="Q40" s="812">
        <f t="shared" si="1"/>
        <v>0</v>
      </c>
      <c r="R40" s="547">
        <v>0</v>
      </c>
      <c r="S40" s="812">
        <f t="shared" si="0"/>
        <v>0</v>
      </c>
      <c r="T40" s="547">
        <f t="shared" si="0"/>
        <v>0</v>
      </c>
      <c r="U40" s="566"/>
      <c r="V40" s="567"/>
      <c r="W40" s="812">
        <f t="shared" si="2"/>
        <v>0</v>
      </c>
      <c r="X40" s="812">
        <f t="shared" si="3"/>
        <v>0</v>
      </c>
    </row>
    <row r="41" spans="1:24" ht="27" customHeight="1">
      <c r="A41" s="531"/>
      <c r="B41" s="531">
        <v>401</v>
      </c>
      <c r="C41" s="529">
        <v>4</v>
      </c>
      <c r="D41" s="530" t="s">
        <v>86</v>
      </c>
      <c r="E41" s="531" t="s">
        <v>875</v>
      </c>
      <c r="F41" s="547">
        <v>-121498971</v>
      </c>
      <c r="G41" s="547">
        <v>56931734</v>
      </c>
      <c r="H41" s="547"/>
      <c r="I41" s="547">
        <v>64567237</v>
      </c>
      <c r="J41" s="547"/>
      <c r="K41" s="547"/>
      <c r="L41" s="547"/>
      <c r="M41" s="547"/>
      <c r="N41" s="547"/>
      <c r="O41" s="547"/>
      <c r="P41" s="547"/>
      <c r="Q41" s="812">
        <f t="shared" si="1"/>
        <v>0</v>
      </c>
      <c r="R41" s="547">
        <v>0</v>
      </c>
      <c r="S41" s="812">
        <f t="shared" si="0"/>
        <v>0</v>
      </c>
      <c r="T41" s="547">
        <f t="shared" si="0"/>
        <v>0</v>
      </c>
      <c r="U41" s="566"/>
      <c r="V41" s="567"/>
      <c r="W41" s="812">
        <f t="shared" si="2"/>
        <v>0</v>
      </c>
      <c r="X41" s="812">
        <f t="shared" si="3"/>
        <v>0</v>
      </c>
    </row>
    <row r="42" spans="1:24" ht="27" customHeight="1">
      <c r="A42" s="531"/>
      <c r="B42" s="531">
        <v>401</v>
      </c>
      <c r="C42" s="529">
        <v>4</v>
      </c>
      <c r="D42" s="530" t="s">
        <v>1171</v>
      </c>
      <c r="E42" s="531" t="s">
        <v>1172</v>
      </c>
      <c r="F42" s="547">
        <v>359103395</v>
      </c>
      <c r="G42" s="547">
        <v>-26444346</v>
      </c>
      <c r="H42" s="547">
        <v>-38000000</v>
      </c>
      <c r="I42" s="547">
        <v>-294659049</v>
      </c>
      <c r="J42" s="547"/>
      <c r="K42" s="547"/>
      <c r="L42" s="547"/>
      <c r="M42" s="547"/>
      <c r="N42" s="547"/>
      <c r="O42" s="547"/>
      <c r="P42" s="547"/>
      <c r="Q42" s="812">
        <f t="shared" si="1"/>
        <v>0</v>
      </c>
      <c r="R42" s="547">
        <v>0</v>
      </c>
      <c r="S42" s="812">
        <f t="shared" si="0"/>
        <v>0</v>
      </c>
      <c r="T42" s="547">
        <f t="shared" si="0"/>
        <v>0</v>
      </c>
      <c r="U42" s="566"/>
      <c r="V42" s="567"/>
      <c r="W42" s="812">
        <f t="shared" si="2"/>
        <v>0</v>
      </c>
      <c r="X42" s="812">
        <f t="shared" si="3"/>
        <v>0</v>
      </c>
    </row>
    <row r="43" spans="1:24" ht="27" customHeight="1">
      <c r="A43" s="531"/>
      <c r="B43" s="531">
        <v>401</v>
      </c>
      <c r="C43" s="529">
        <v>4</v>
      </c>
      <c r="D43" s="530" t="s">
        <v>1086</v>
      </c>
      <c r="E43" s="531" t="s">
        <v>1087</v>
      </c>
      <c r="F43" s="547">
        <v>455576</v>
      </c>
      <c r="G43" s="547"/>
      <c r="H43" s="547"/>
      <c r="I43" s="547"/>
      <c r="J43" s="547"/>
      <c r="K43" s="547"/>
      <c r="L43" s="547"/>
      <c r="M43" s="547"/>
      <c r="N43" s="547"/>
      <c r="O43" s="547"/>
      <c r="P43" s="547"/>
      <c r="Q43" s="812">
        <f t="shared" si="1"/>
        <v>455576</v>
      </c>
      <c r="R43" s="547">
        <v>455576</v>
      </c>
      <c r="S43" s="812">
        <f t="shared" si="0"/>
        <v>0</v>
      </c>
      <c r="T43" s="547">
        <f t="shared" si="0"/>
        <v>0</v>
      </c>
      <c r="U43" s="566"/>
      <c r="V43" s="567"/>
      <c r="W43" s="812">
        <f t="shared" si="2"/>
        <v>455576</v>
      </c>
      <c r="X43" s="812">
        <f t="shared" si="3"/>
        <v>0</v>
      </c>
    </row>
    <row r="44" spans="1:24" ht="27" customHeight="1">
      <c r="A44" s="531"/>
      <c r="B44" s="531">
        <v>401</v>
      </c>
      <c r="C44" s="529">
        <v>4</v>
      </c>
      <c r="D44" s="530" t="s">
        <v>1229</v>
      </c>
      <c r="E44" s="531" t="s">
        <v>1230</v>
      </c>
      <c r="F44" s="547">
        <v>32303000</v>
      </c>
      <c r="G44" s="547"/>
      <c r="H44" s="547"/>
      <c r="I44" s="547"/>
      <c r="J44" s="547"/>
      <c r="K44" s="547"/>
      <c r="L44" s="547"/>
      <c r="M44" s="547"/>
      <c r="N44" s="547"/>
      <c r="O44" s="547"/>
      <c r="P44" s="547"/>
      <c r="Q44" s="812">
        <f t="shared" si="1"/>
        <v>32303000</v>
      </c>
      <c r="R44" s="547">
        <v>32187000</v>
      </c>
      <c r="S44" s="812">
        <f t="shared" si="0"/>
        <v>32</v>
      </c>
      <c r="T44" s="547">
        <f t="shared" si="0"/>
        <v>32</v>
      </c>
      <c r="U44" s="566"/>
      <c r="V44" s="567"/>
      <c r="W44" s="812">
        <f t="shared" si="2"/>
        <v>32303000</v>
      </c>
      <c r="X44" s="812">
        <f t="shared" si="3"/>
        <v>32</v>
      </c>
    </row>
    <row r="45" spans="1:24" ht="27" customHeight="1">
      <c r="A45" s="531"/>
      <c r="B45" s="531">
        <v>1009</v>
      </c>
      <c r="C45" s="529">
        <v>10</v>
      </c>
      <c r="D45" s="530" t="s">
        <v>89</v>
      </c>
      <c r="E45" s="531" t="s">
        <v>936</v>
      </c>
      <c r="F45" s="547">
        <v>-82881168</v>
      </c>
      <c r="G45" s="547"/>
      <c r="H45" s="547">
        <v>17372160</v>
      </c>
      <c r="I45" s="547">
        <v>65509008</v>
      </c>
      <c r="J45" s="547"/>
      <c r="K45" s="547"/>
      <c r="L45" s="547"/>
      <c r="M45" s="547"/>
      <c r="N45" s="547"/>
      <c r="O45" s="547"/>
      <c r="P45" s="547"/>
      <c r="Q45" s="812">
        <f t="shared" si="1"/>
        <v>0</v>
      </c>
      <c r="R45" s="547">
        <v>0</v>
      </c>
      <c r="S45" s="812">
        <f t="shared" si="0"/>
        <v>0</v>
      </c>
      <c r="T45" s="547">
        <f t="shared" si="0"/>
        <v>0</v>
      </c>
      <c r="U45" s="566"/>
      <c r="V45" s="567"/>
      <c r="W45" s="812">
        <f t="shared" si="2"/>
        <v>0</v>
      </c>
      <c r="X45" s="812">
        <f t="shared" si="3"/>
        <v>0</v>
      </c>
    </row>
    <row r="46" spans="1:24" ht="27" customHeight="1">
      <c r="A46" s="531"/>
      <c r="B46" s="531">
        <v>1009</v>
      </c>
      <c r="C46" s="529">
        <v>10</v>
      </c>
      <c r="D46" s="530" t="s">
        <v>1535</v>
      </c>
      <c r="E46" s="531" t="s">
        <v>1536</v>
      </c>
      <c r="F46" s="547"/>
      <c r="G46" s="547"/>
      <c r="H46" s="547"/>
      <c r="I46" s="547"/>
      <c r="J46" s="547"/>
      <c r="K46" s="547"/>
      <c r="L46" s="547"/>
      <c r="M46" s="547"/>
      <c r="N46" s="547"/>
      <c r="O46" s="547"/>
      <c r="P46" s="547"/>
      <c r="Q46" s="812">
        <f t="shared" si="1"/>
        <v>0</v>
      </c>
      <c r="R46" s="547">
        <v>0</v>
      </c>
      <c r="S46" s="812">
        <f t="shared" si="0"/>
        <v>0</v>
      </c>
      <c r="T46" s="547">
        <f t="shared" si="0"/>
        <v>0</v>
      </c>
      <c r="U46" s="566"/>
      <c r="V46" s="567"/>
      <c r="W46" s="812">
        <f t="shared" si="2"/>
        <v>0</v>
      </c>
      <c r="X46" s="812">
        <f t="shared" si="3"/>
        <v>0</v>
      </c>
    </row>
    <row r="47" spans="1:24" ht="27" customHeight="1">
      <c r="A47" s="531"/>
      <c r="B47" s="531">
        <v>401</v>
      </c>
      <c r="C47" s="529">
        <v>4</v>
      </c>
      <c r="D47" s="530" t="s">
        <v>1088</v>
      </c>
      <c r="E47" s="531" t="s">
        <v>956</v>
      </c>
      <c r="F47" s="547">
        <v>7172677658</v>
      </c>
      <c r="G47" s="547">
        <f>19425020756-20153332050</f>
        <v>-728311294</v>
      </c>
      <c r="H47" s="547">
        <v>0</v>
      </c>
      <c r="I47" s="547">
        <v>-6333769370</v>
      </c>
      <c r="J47" s="547">
        <v>-110596994</v>
      </c>
      <c r="K47" s="547"/>
      <c r="L47" s="547"/>
      <c r="M47" s="547"/>
      <c r="N47" s="547"/>
      <c r="O47" s="547"/>
      <c r="P47" s="547"/>
      <c r="Q47" s="812">
        <f t="shared" si="1"/>
        <v>0</v>
      </c>
      <c r="R47" s="547">
        <v>0</v>
      </c>
      <c r="S47" s="812">
        <f t="shared" si="0"/>
        <v>0</v>
      </c>
      <c r="T47" s="547">
        <f t="shared" si="0"/>
        <v>0</v>
      </c>
      <c r="U47" s="566"/>
      <c r="V47" s="567"/>
      <c r="W47" s="812">
        <f t="shared" si="2"/>
        <v>0</v>
      </c>
      <c r="X47" s="812">
        <f t="shared" si="3"/>
        <v>0</v>
      </c>
    </row>
    <row r="48" spans="1:24" ht="27" customHeight="1">
      <c r="A48" s="531"/>
      <c r="B48" s="531">
        <v>401</v>
      </c>
      <c r="C48" s="529">
        <v>4</v>
      </c>
      <c r="D48" s="530" t="s">
        <v>1537</v>
      </c>
      <c r="E48" s="531" t="s">
        <v>956</v>
      </c>
      <c r="F48" s="547">
        <v>-20</v>
      </c>
      <c r="G48" s="547"/>
      <c r="H48" s="547"/>
      <c r="I48" s="547"/>
      <c r="J48" s="547"/>
      <c r="K48" s="547"/>
      <c r="L48" s="547"/>
      <c r="M48" s="547"/>
      <c r="N48" s="547"/>
      <c r="O48" s="547"/>
      <c r="P48" s="547"/>
      <c r="Q48" s="812">
        <f t="shared" si="1"/>
        <v>-20</v>
      </c>
      <c r="R48" s="547">
        <v>0</v>
      </c>
      <c r="S48" s="812">
        <f t="shared" si="0"/>
        <v>0</v>
      </c>
      <c r="T48" s="547">
        <f t="shared" si="0"/>
        <v>0</v>
      </c>
      <c r="U48" s="566"/>
      <c r="V48" s="567"/>
      <c r="W48" s="812">
        <f t="shared" si="2"/>
        <v>-20</v>
      </c>
      <c r="X48" s="812">
        <f t="shared" si="3"/>
        <v>0</v>
      </c>
    </row>
    <row r="49" spans="1:24" ht="27" customHeight="1">
      <c r="A49" s="531"/>
      <c r="B49" s="531">
        <v>1009</v>
      </c>
      <c r="C49" s="529">
        <v>10</v>
      </c>
      <c r="D49" s="530" t="s">
        <v>1327</v>
      </c>
      <c r="E49" s="531" t="s">
        <v>1326</v>
      </c>
      <c r="F49" s="547">
        <v>0</v>
      </c>
      <c r="G49" s="547"/>
      <c r="H49" s="547"/>
      <c r="I49" s="547"/>
      <c r="J49" s="547"/>
      <c r="K49" s="547"/>
      <c r="L49" s="547"/>
      <c r="M49" s="547"/>
      <c r="N49" s="547"/>
      <c r="O49" s="547"/>
      <c r="P49" s="547"/>
      <c r="Q49" s="812">
        <f t="shared" si="1"/>
        <v>0</v>
      </c>
      <c r="R49" s="547">
        <v>-11700000</v>
      </c>
      <c r="S49" s="812">
        <f t="shared" si="0"/>
        <v>0</v>
      </c>
      <c r="T49" s="547">
        <f t="shared" si="0"/>
        <v>-12</v>
      </c>
      <c r="U49" s="566"/>
      <c r="V49" s="567"/>
      <c r="W49" s="812">
        <f t="shared" si="2"/>
        <v>0</v>
      </c>
      <c r="X49" s="812">
        <f t="shared" si="3"/>
        <v>0</v>
      </c>
    </row>
    <row r="50" spans="1:24" ht="27" customHeight="1">
      <c r="A50" s="531"/>
      <c r="B50" s="531">
        <v>401</v>
      </c>
      <c r="C50" s="529">
        <v>4</v>
      </c>
      <c r="D50" s="530" t="s">
        <v>216</v>
      </c>
      <c r="E50" s="531" t="s">
        <v>706</v>
      </c>
      <c r="F50" s="547">
        <v>115627578</v>
      </c>
      <c r="G50" s="547"/>
      <c r="H50" s="547"/>
      <c r="I50" s="547"/>
      <c r="J50" s="547"/>
      <c r="K50" s="547"/>
      <c r="L50" s="547"/>
      <c r="M50" s="547"/>
      <c r="N50" s="547"/>
      <c r="O50" s="547"/>
      <c r="P50" s="547"/>
      <c r="Q50" s="812">
        <f t="shared" si="1"/>
        <v>115627578</v>
      </c>
      <c r="R50" s="547">
        <v>2528129786</v>
      </c>
      <c r="S50" s="812">
        <f t="shared" si="0"/>
        <v>116</v>
      </c>
      <c r="T50" s="547">
        <f t="shared" si="0"/>
        <v>2528</v>
      </c>
      <c r="U50" s="566"/>
      <c r="V50" s="567"/>
      <c r="W50" s="812">
        <f t="shared" si="2"/>
        <v>115627578</v>
      </c>
      <c r="X50" s="812">
        <f t="shared" si="3"/>
        <v>116</v>
      </c>
    </row>
    <row r="51" spans="1:24" ht="27" customHeight="1">
      <c r="A51" s="531"/>
      <c r="B51" s="531">
        <v>1009</v>
      </c>
      <c r="C51" s="529">
        <v>10</v>
      </c>
      <c r="D51" s="530" t="s">
        <v>562</v>
      </c>
      <c r="E51" s="531" t="s">
        <v>705</v>
      </c>
      <c r="F51" s="547"/>
      <c r="G51" s="547"/>
      <c r="H51" s="547"/>
      <c r="I51" s="547"/>
      <c r="J51" s="547"/>
      <c r="K51" s="547"/>
      <c r="L51" s="547"/>
      <c r="M51" s="547"/>
      <c r="N51" s="547"/>
      <c r="O51" s="547"/>
      <c r="P51" s="547"/>
      <c r="Q51" s="812">
        <f t="shared" si="1"/>
        <v>0</v>
      </c>
      <c r="R51" s="547">
        <v>0</v>
      </c>
      <c r="S51" s="812">
        <f t="shared" si="0"/>
        <v>0</v>
      </c>
      <c r="T51" s="547">
        <f t="shared" si="0"/>
        <v>0</v>
      </c>
      <c r="U51" s="566"/>
      <c r="V51" s="567"/>
      <c r="W51" s="812">
        <f t="shared" si="2"/>
        <v>0</v>
      </c>
      <c r="X51" s="812">
        <f t="shared" si="3"/>
        <v>0</v>
      </c>
    </row>
    <row r="52" spans="1:24" ht="27" customHeight="1">
      <c r="A52" s="531"/>
      <c r="B52" s="531">
        <v>401</v>
      </c>
      <c r="C52" s="529">
        <v>4</v>
      </c>
      <c r="D52" s="530" t="s">
        <v>564</v>
      </c>
      <c r="E52" s="531" t="s">
        <v>704</v>
      </c>
      <c r="F52" s="547">
        <v>74393788</v>
      </c>
      <c r="G52" s="547">
        <v>-4282909</v>
      </c>
      <c r="H52" s="547"/>
      <c r="I52" s="547"/>
      <c r="J52" s="547"/>
      <c r="K52" s="547"/>
      <c r="L52" s="547"/>
      <c r="M52" s="547"/>
      <c r="N52" s="547"/>
      <c r="O52" s="547"/>
      <c r="P52" s="547"/>
      <c r="Q52" s="812">
        <f t="shared" si="1"/>
        <v>70110879</v>
      </c>
      <c r="R52" s="547">
        <v>162115039</v>
      </c>
      <c r="S52" s="812">
        <f t="shared" si="0"/>
        <v>70</v>
      </c>
      <c r="T52" s="547">
        <f t="shared" si="0"/>
        <v>162</v>
      </c>
      <c r="U52" s="566"/>
      <c r="V52" s="567"/>
      <c r="W52" s="812">
        <f t="shared" si="2"/>
        <v>70110879</v>
      </c>
      <c r="X52" s="812">
        <f t="shared" si="3"/>
        <v>70</v>
      </c>
    </row>
    <row r="53" spans="1:24" ht="27" customHeight="1">
      <c r="A53" s="531"/>
      <c r="B53" s="531">
        <v>401</v>
      </c>
      <c r="C53" s="529">
        <v>4</v>
      </c>
      <c r="D53" s="530" t="s">
        <v>184</v>
      </c>
      <c r="E53" s="531" t="s">
        <v>831</v>
      </c>
      <c r="F53" s="547">
        <v>933444</v>
      </c>
      <c r="G53" s="547"/>
      <c r="H53" s="547"/>
      <c r="I53" s="547"/>
      <c r="J53" s="547"/>
      <c r="K53" s="547"/>
      <c r="L53" s="547"/>
      <c r="M53" s="547"/>
      <c r="N53" s="547"/>
      <c r="O53" s="547"/>
      <c r="P53" s="547"/>
      <c r="Q53" s="812">
        <f t="shared" si="1"/>
        <v>933444</v>
      </c>
      <c r="R53" s="547">
        <v>1733436</v>
      </c>
      <c r="S53" s="812">
        <f t="shared" si="0"/>
        <v>1</v>
      </c>
      <c r="T53" s="547">
        <f t="shared" si="0"/>
        <v>2</v>
      </c>
      <c r="U53" s="566"/>
      <c r="V53" s="567"/>
      <c r="W53" s="812">
        <f t="shared" si="2"/>
        <v>933444</v>
      </c>
      <c r="X53" s="812">
        <f t="shared" si="3"/>
        <v>1</v>
      </c>
    </row>
    <row r="54" spans="1:24" ht="27" customHeight="1">
      <c r="A54" s="531"/>
      <c r="B54" s="531">
        <v>401</v>
      </c>
      <c r="C54" s="529">
        <v>4</v>
      </c>
      <c r="D54" s="530" t="s">
        <v>479</v>
      </c>
      <c r="E54" s="531" t="s">
        <v>701</v>
      </c>
      <c r="F54" s="547">
        <v>23565275</v>
      </c>
      <c r="G54" s="547">
        <v>201516895</v>
      </c>
      <c r="H54" s="547"/>
      <c r="I54" s="547"/>
      <c r="J54" s="547"/>
      <c r="K54" s="547"/>
      <c r="L54" s="547"/>
      <c r="M54" s="547"/>
      <c r="N54" s="547"/>
      <c r="O54" s="547"/>
      <c r="P54" s="547"/>
      <c r="Q54" s="812">
        <f t="shared" si="1"/>
        <v>225082170</v>
      </c>
      <c r="R54" s="547">
        <v>1615930496</v>
      </c>
      <c r="S54" s="812">
        <f t="shared" si="0"/>
        <v>225</v>
      </c>
      <c r="T54" s="547">
        <f t="shared" si="0"/>
        <v>1616</v>
      </c>
      <c r="U54" s="566"/>
      <c r="V54" s="567"/>
      <c r="W54" s="812">
        <f t="shared" si="2"/>
        <v>225082170</v>
      </c>
      <c r="X54" s="812">
        <f t="shared" si="3"/>
        <v>225</v>
      </c>
    </row>
    <row r="55" spans="1:24" ht="27" customHeight="1">
      <c r="A55" s="531"/>
      <c r="B55" s="531">
        <v>401</v>
      </c>
      <c r="C55" s="529">
        <v>4</v>
      </c>
      <c r="D55" s="530" t="s">
        <v>480</v>
      </c>
      <c r="E55" s="531" t="s">
        <v>702</v>
      </c>
      <c r="F55" s="547"/>
      <c r="G55" s="547"/>
      <c r="H55" s="547"/>
      <c r="I55" s="547"/>
      <c r="J55" s="547"/>
      <c r="K55" s="547"/>
      <c r="L55" s="547"/>
      <c r="M55" s="547"/>
      <c r="N55" s="547"/>
      <c r="O55" s="547"/>
      <c r="P55" s="547"/>
      <c r="Q55" s="812">
        <f t="shared" si="1"/>
        <v>0</v>
      </c>
      <c r="R55" s="547">
        <v>0</v>
      </c>
      <c r="S55" s="812">
        <f t="shared" si="0"/>
        <v>0</v>
      </c>
      <c r="T55" s="547">
        <f t="shared" si="0"/>
        <v>0</v>
      </c>
      <c r="U55" s="566"/>
      <c r="V55" s="567"/>
      <c r="W55" s="812">
        <f t="shared" si="2"/>
        <v>0</v>
      </c>
      <c r="X55" s="812">
        <f t="shared" si="3"/>
        <v>0</v>
      </c>
    </row>
    <row r="56" spans="1:24" ht="27" customHeight="1">
      <c r="A56" s="531"/>
      <c r="B56" s="531">
        <v>1009</v>
      </c>
      <c r="C56" s="529">
        <v>10</v>
      </c>
      <c r="D56" s="530" t="s">
        <v>481</v>
      </c>
      <c r="E56" s="531" t="s">
        <v>1328</v>
      </c>
      <c r="F56" s="547">
        <v>0</v>
      </c>
      <c r="G56" s="547"/>
      <c r="H56" s="547"/>
      <c r="I56" s="547"/>
      <c r="J56" s="547"/>
      <c r="K56" s="547"/>
      <c r="L56" s="547"/>
      <c r="M56" s="547"/>
      <c r="N56" s="547"/>
      <c r="O56" s="547"/>
      <c r="P56" s="547"/>
      <c r="Q56" s="812">
        <f t="shared" si="1"/>
        <v>0</v>
      </c>
      <c r="R56" s="547">
        <v>-26600000</v>
      </c>
      <c r="S56" s="812">
        <f t="shared" si="0"/>
        <v>0</v>
      </c>
      <c r="T56" s="547">
        <f t="shared" si="0"/>
        <v>-27</v>
      </c>
      <c r="U56" s="566"/>
      <c r="V56" s="567"/>
      <c r="W56" s="812">
        <f t="shared" si="2"/>
        <v>0</v>
      </c>
      <c r="X56" s="812">
        <f t="shared" si="3"/>
        <v>0</v>
      </c>
    </row>
    <row r="57" spans="1:24" ht="27" customHeight="1">
      <c r="A57" s="531"/>
      <c r="B57" s="531">
        <v>401</v>
      </c>
      <c r="C57" s="529">
        <v>4</v>
      </c>
      <c r="D57" s="530" t="s">
        <v>220</v>
      </c>
      <c r="E57" s="531" t="s">
        <v>703</v>
      </c>
      <c r="F57" s="547"/>
      <c r="G57" s="547"/>
      <c r="H57" s="547"/>
      <c r="I57" s="547"/>
      <c r="J57" s="547"/>
      <c r="K57" s="547"/>
      <c r="L57" s="547"/>
      <c r="M57" s="547"/>
      <c r="N57" s="547"/>
      <c r="O57" s="547"/>
      <c r="P57" s="547"/>
      <c r="Q57" s="812">
        <f t="shared" si="1"/>
        <v>0</v>
      </c>
      <c r="R57" s="547">
        <v>0</v>
      </c>
      <c r="S57" s="812">
        <f t="shared" si="0"/>
        <v>0</v>
      </c>
      <c r="T57" s="547">
        <f t="shared" si="0"/>
        <v>0</v>
      </c>
      <c r="U57" s="566"/>
      <c r="V57" s="567"/>
      <c r="W57" s="812">
        <f t="shared" si="2"/>
        <v>0</v>
      </c>
      <c r="X57" s="812">
        <f t="shared" si="3"/>
        <v>0</v>
      </c>
    </row>
    <row r="58" spans="1:24" ht="27" customHeight="1">
      <c r="A58" s="531"/>
      <c r="B58" s="531">
        <v>420</v>
      </c>
      <c r="C58" s="529">
        <v>4</v>
      </c>
      <c r="D58" s="530" t="s">
        <v>483</v>
      </c>
      <c r="E58" s="531" t="s">
        <v>1056</v>
      </c>
      <c r="F58" s="547">
        <v>105799293829</v>
      </c>
      <c r="G58" s="547">
        <v>-2050803582</v>
      </c>
      <c r="H58" s="547">
        <f>4072355166-8788530085</f>
        <v>-4716174919</v>
      </c>
      <c r="I58" s="547">
        <v>-7358527524</v>
      </c>
      <c r="J58" s="547"/>
      <c r="K58" s="547"/>
      <c r="L58" s="547"/>
      <c r="M58" s="547"/>
      <c r="N58" s="547"/>
      <c r="O58" s="547"/>
      <c r="P58" s="547"/>
      <c r="Q58" s="812">
        <f t="shared" si="1"/>
        <v>91673787804</v>
      </c>
      <c r="R58" s="547">
        <v>116042911077</v>
      </c>
      <c r="S58" s="812">
        <f t="shared" si="0"/>
        <v>91674</v>
      </c>
      <c r="T58" s="547">
        <f t="shared" si="0"/>
        <v>116043</v>
      </c>
      <c r="U58" s="566"/>
      <c r="V58" s="567"/>
      <c r="W58" s="812">
        <f t="shared" si="2"/>
        <v>91673787804</v>
      </c>
      <c r="X58" s="812">
        <f t="shared" si="3"/>
        <v>91674</v>
      </c>
    </row>
    <row r="59" spans="1:24" ht="27" customHeight="1">
      <c r="A59" s="531"/>
      <c r="B59" s="531">
        <v>401</v>
      </c>
      <c r="C59" s="529">
        <v>4</v>
      </c>
      <c r="D59" s="530" t="s">
        <v>483</v>
      </c>
      <c r="E59" s="531" t="s">
        <v>1158</v>
      </c>
      <c r="F59" s="547"/>
      <c r="G59" s="547"/>
      <c r="H59" s="547"/>
      <c r="I59" s="547"/>
      <c r="J59" s="547"/>
      <c r="K59" s="547"/>
      <c r="L59" s="547"/>
      <c r="M59" s="547"/>
      <c r="N59" s="547"/>
      <c r="O59" s="547"/>
      <c r="P59" s="547"/>
      <c r="Q59" s="812">
        <f t="shared" si="1"/>
        <v>0</v>
      </c>
      <c r="R59" s="547">
        <v>0</v>
      </c>
      <c r="S59" s="812">
        <f t="shared" si="0"/>
        <v>0</v>
      </c>
      <c r="T59" s="547">
        <f t="shared" si="0"/>
        <v>0</v>
      </c>
      <c r="U59" s="566"/>
      <c r="V59" s="567"/>
      <c r="W59" s="812">
        <f t="shared" si="2"/>
        <v>0</v>
      </c>
      <c r="X59" s="812">
        <f t="shared" si="3"/>
        <v>0</v>
      </c>
    </row>
    <row r="60" spans="1:24" ht="27" customHeight="1">
      <c r="A60" s="531"/>
      <c r="B60" s="531">
        <v>401</v>
      </c>
      <c r="C60" s="529">
        <v>4</v>
      </c>
      <c r="D60" s="530" t="s">
        <v>0</v>
      </c>
      <c r="E60" s="531" t="s">
        <v>1089</v>
      </c>
      <c r="F60" s="547"/>
      <c r="G60" s="547"/>
      <c r="H60" s="547"/>
      <c r="I60" s="547"/>
      <c r="J60" s="547"/>
      <c r="K60" s="547"/>
      <c r="L60" s="547"/>
      <c r="M60" s="547"/>
      <c r="N60" s="547"/>
      <c r="O60" s="547"/>
      <c r="P60" s="547"/>
      <c r="Q60" s="812">
        <f t="shared" si="1"/>
        <v>0</v>
      </c>
      <c r="R60" s="547">
        <v>0</v>
      </c>
      <c r="S60" s="812">
        <f t="shared" si="0"/>
        <v>0</v>
      </c>
      <c r="T60" s="547">
        <f t="shared" si="0"/>
        <v>0</v>
      </c>
      <c r="U60" s="566"/>
      <c r="V60" s="567"/>
      <c r="W60" s="812">
        <f t="shared" si="2"/>
        <v>0</v>
      </c>
      <c r="X60" s="812">
        <f t="shared" si="3"/>
        <v>0</v>
      </c>
    </row>
    <row r="61" spans="1:24" ht="27" customHeight="1">
      <c r="A61" s="531"/>
      <c r="B61" s="531">
        <v>401</v>
      </c>
      <c r="C61" s="529">
        <v>4</v>
      </c>
      <c r="D61" s="530" t="s">
        <v>224</v>
      </c>
      <c r="E61" s="531" t="s">
        <v>474</v>
      </c>
      <c r="F61" s="547">
        <v>737860860</v>
      </c>
      <c r="G61" s="547">
        <v>-15799591</v>
      </c>
      <c r="H61" s="547"/>
      <c r="I61" s="547">
        <v>-36240300</v>
      </c>
      <c r="J61" s="547"/>
      <c r="K61" s="547"/>
      <c r="L61" s="547"/>
      <c r="M61" s="547"/>
      <c r="N61" s="547"/>
      <c r="O61" s="547"/>
      <c r="P61" s="547"/>
      <c r="Q61" s="812">
        <f t="shared" si="1"/>
        <v>685820969</v>
      </c>
      <c r="R61" s="547">
        <v>1865663644</v>
      </c>
      <c r="S61" s="812">
        <f t="shared" si="0"/>
        <v>686</v>
      </c>
      <c r="T61" s="547">
        <f t="shared" si="0"/>
        <v>1866</v>
      </c>
      <c r="U61" s="566"/>
      <c r="V61" s="567"/>
      <c r="W61" s="812">
        <f t="shared" si="2"/>
        <v>685820969</v>
      </c>
      <c r="X61" s="812">
        <f t="shared" si="3"/>
        <v>686</v>
      </c>
    </row>
    <row r="62" spans="1:24" ht="27" customHeight="1">
      <c r="A62" s="531"/>
      <c r="B62" s="531">
        <v>401</v>
      </c>
      <c r="C62" s="529">
        <v>4</v>
      </c>
      <c r="D62" s="530" t="s">
        <v>1231</v>
      </c>
      <c r="E62" s="531" t="s">
        <v>1232</v>
      </c>
      <c r="F62" s="547">
        <v>8710000000</v>
      </c>
      <c r="G62" s="547">
        <v>0</v>
      </c>
      <c r="H62" s="547"/>
      <c r="I62" s="547"/>
      <c r="J62" s="547"/>
      <c r="K62" s="547"/>
      <c r="L62" s="547"/>
      <c r="M62" s="547"/>
      <c r="N62" s="547"/>
      <c r="O62" s="547"/>
      <c r="P62" s="547"/>
      <c r="Q62" s="812">
        <f t="shared" si="1"/>
        <v>8710000000</v>
      </c>
      <c r="R62" s="547">
        <v>4060000000</v>
      </c>
      <c r="S62" s="812">
        <f t="shared" si="0"/>
        <v>8710</v>
      </c>
      <c r="T62" s="547">
        <f t="shared" si="0"/>
        <v>4060</v>
      </c>
      <c r="U62" s="566"/>
      <c r="V62" s="567"/>
      <c r="W62" s="812">
        <f t="shared" si="2"/>
        <v>8710000000</v>
      </c>
      <c r="X62" s="812">
        <f t="shared" si="3"/>
        <v>8710</v>
      </c>
    </row>
    <row r="63" spans="1:24" ht="27" customHeight="1">
      <c r="A63" s="531"/>
      <c r="B63" s="531">
        <v>401</v>
      </c>
      <c r="C63" s="529">
        <v>4</v>
      </c>
      <c r="D63" s="530" t="s">
        <v>1565</v>
      </c>
      <c r="E63" s="531" t="s">
        <v>1566</v>
      </c>
      <c r="F63" s="547">
        <v>-195700000</v>
      </c>
      <c r="G63" s="547">
        <v>140500000</v>
      </c>
      <c r="H63" s="547"/>
      <c r="I63" s="547">
        <v>55200000</v>
      </c>
      <c r="J63" s="547"/>
      <c r="K63" s="547"/>
      <c r="L63" s="547"/>
      <c r="M63" s="547"/>
      <c r="N63" s="547"/>
      <c r="O63" s="547"/>
      <c r="P63" s="547"/>
      <c r="Q63" s="812">
        <f t="shared" si="1"/>
        <v>0</v>
      </c>
      <c r="R63" s="547"/>
      <c r="S63" s="812">
        <f t="shared" si="0"/>
        <v>0</v>
      </c>
      <c r="T63" s="547">
        <f t="shared" si="0"/>
        <v>0</v>
      </c>
      <c r="U63" s="566"/>
      <c r="V63" s="567"/>
      <c r="W63" s="812">
        <f t="shared" si="2"/>
        <v>0</v>
      </c>
      <c r="X63" s="812">
        <f t="shared" si="3"/>
        <v>0</v>
      </c>
    </row>
    <row r="64" spans="1:24" ht="27" customHeight="1">
      <c r="A64" s="531"/>
      <c r="B64" s="531">
        <v>401</v>
      </c>
      <c r="C64" s="529">
        <v>4</v>
      </c>
      <c r="D64" s="530" t="s">
        <v>2</v>
      </c>
      <c r="E64" s="531" t="s">
        <v>876</v>
      </c>
      <c r="F64" s="547">
        <v>-6102932452</v>
      </c>
      <c r="G64" s="547">
        <v>2139390512</v>
      </c>
      <c r="H64" s="547">
        <f>8504230318-3735688493</f>
        <v>4768541825</v>
      </c>
      <c r="I64" s="547">
        <v>7358527524</v>
      </c>
      <c r="J64" s="547"/>
      <c r="K64" s="547"/>
      <c r="L64" s="547"/>
      <c r="M64" s="547"/>
      <c r="N64" s="547"/>
      <c r="O64" s="547"/>
      <c r="P64" s="547"/>
      <c r="Q64" s="812">
        <f t="shared" si="1"/>
        <v>8163527409</v>
      </c>
      <c r="R64" s="547">
        <v>698192619</v>
      </c>
      <c r="S64" s="812">
        <f t="shared" si="0"/>
        <v>8164</v>
      </c>
      <c r="T64" s="547">
        <f t="shared" si="0"/>
        <v>698</v>
      </c>
      <c r="U64" s="566"/>
      <c r="V64" s="567"/>
      <c r="W64" s="812">
        <f t="shared" si="2"/>
        <v>8163527409</v>
      </c>
      <c r="X64" s="812">
        <f t="shared" si="3"/>
        <v>8164</v>
      </c>
    </row>
    <row r="65" spans="1:24" ht="27" customHeight="1">
      <c r="A65" s="531"/>
      <c r="B65" s="531">
        <v>406</v>
      </c>
      <c r="C65" s="529">
        <v>4</v>
      </c>
      <c r="D65" s="530" t="s">
        <v>476</v>
      </c>
      <c r="E65" s="531" t="s">
        <v>1173</v>
      </c>
      <c r="F65" s="547"/>
      <c r="G65" s="547"/>
      <c r="H65" s="547"/>
      <c r="I65" s="547"/>
      <c r="J65" s="547"/>
      <c r="K65" s="547"/>
      <c r="L65" s="547"/>
      <c r="M65" s="547"/>
      <c r="N65" s="547"/>
      <c r="O65" s="547"/>
      <c r="P65" s="547"/>
      <c r="Q65" s="812">
        <f t="shared" si="1"/>
        <v>0</v>
      </c>
      <c r="R65" s="547">
        <v>1200000</v>
      </c>
      <c r="S65" s="812">
        <f t="shared" si="0"/>
        <v>0</v>
      </c>
      <c r="T65" s="547">
        <f t="shared" si="0"/>
        <v>1</v>
      </c>
      <c r="U65" s="566"/>
      <c r="V65" s="567"/>
      <c r="W65" s="812">
        <f t="shared" si="2"/>
        <v>0</v>
      </c>
      <c r="X65" s="812">
        <f t="shared" si="3"/>
        <v>0</v>
      </c>
    </row>
    <row r="66" spans="1:24" ht="27" customHeight="1">
      <c r="A66" s="531"/>
      <c r="B66" s="531">
        <v>1009</v>
      </c>
      <c r="C66" s="529">
        <v>10</v>
      </c>
      <c r="D66" s="530" t="s">
        <v>3</v>
      </c>
      <c r="E66" s="531" t="s">
        <v>937</v>
      </c>
      <c r="F66" s="547"/>
      <c r="G66" s="547"/>
      <c r="H66" s="547"/>
      <c r="I66" s="547"/>
      <c r="J66" s="547"/>
      <c r="K66" s="547"/>
      <c r="L66" s="547"/>
      <c r="M66" s="547"/>
      <c r="N66" s="547"/>
      <c r="O66" s="547"/>
      <c r="P66" s="547"/>
      <c r="Q66" s="812">
        <f t="shared" si="1"/>
        <v>0</v>
      </c>
      <c r="R66" s="547">
        <v>0</v>
      </c>
      <c r="S66" s="812">
        <f t="shared" si="0"/>
        <v>0</v>
      </c>
      <c r="T66" s="547">
        <f t="shared" si="0"/>
        <v>0</v>
      </c>
      <c r="U66" s="566"/>
      <c r="V66" s="567"/>
      <c r="W66" s="812">
        <f t="shared" si="2"/>
        <v>0</v>
      </c>
      <c r="X66" s="812">
        <f t="shared" si="3"/>
        <v>0</v>
      </c>
    </row>
    <row r="67" spans="1:24" ht="27" customHeight="1">
      <c r="A67" s="531"/>
      <c r="B67" s="531">
        <v>1009</v>
      </c>
      <c r="C67" s="529">
        <v>10</v>
      </c>
      <c r="D67" s="530" t="s">
        <v>4</v>
      </c>
      <c r="E67" s="531" t="s">
        <v>440</v>
      </c>
      <c r="F67" s="547">
        <v>-88306070502</v>
      </c>
      <c r="G67" s="547"/>
      <c r="H67" s="547"/>
      <c r="I67" s="547"/>
      <c r="J67" s="547"/>
      <c r="K67" s="547"/>
      <c r="L67" s="547"/>
      <c r="M67" s="547"/>
      <c r="N67" s="547"/>
      <c r="O67" s="547"/>
      <c r="P67" s="547"/>
      <c r="Q67" s="812">
        <f t="shared" si="1"/>
        <v>-88306070502</v>
      </c>
      <c r="R67" s="547">
        <v>0</v>
      </c>
      <c r="S67" s="812">
        <f t="shared" si="0"/>
        <v>-88306</v>
      </c>
      <c r="T67" s="547">
        <f t="shared" si="0"/>
        <v>0</v>
      </c>
      <c r="U67" s="566"/>
      <c r="V67" s="567"/>
      <c r="W67" s="812">
        <f t="shared" si="2"/>
        <v>-88306070502</v>
      </c>
      <c r="X67" s="812">
        <f t="shared" si="3"/>
        <v>-88306</v>
      </c>
    </row>
    <row r="68" spans="1:24" ht="27" customHeight="1">
      <c r="A68" s="531"/>
      <c r="B68" s="531">
        <v>401</v>
      </c>
      <c r="C68" s="529">
        <v>4</v>
      </c>
      <c r="D68" s="530" t="s">
        <v>441</v>
      </c>
      <c r="E68" s="531" t="s">
        <v>442</v>
      </c>
      <c r="F68" s="547">
        <v>452785964</v>
      </c>
      <c r="G68" s="547"/>
      <c r="H68" s="547"/>
      <c r="I68" s="547"/>
      <c r="J68" s="547"/>
      <c r="K68" s="547"/>
      <c r="L68" s="547"/>
      <c r="M68" s="547"/>
      <c r="N68" s="547"/>
      <c r="O68" s="547"/>
      <c r="P68" s="547"/>
      <c r="Q68" s="812">
        <f t="shared" ref="Q68:Q131" si="4">SUM(F68:P68)</f>
        <v>452785964</v>
      </c>
      <c r="R68" s="547">
        <v>1603005968</v>
      </c>
      <c r="S68" s="812">
        <f t="shared" si="0"/>
        <v>453</v>
      </c>
      <c r="T68" s="547">
        <f t="shared" si="0"/>
        <v>1603</v>
      </c>
      <c r="U68" s="566"/>
      <c r="V68" s="567"/>
      <c r="W68" s="812">
        <f t="shared" si="2"/>
        <v>452785964</v>
      </c>
      <c r="X68" s="812">
        <f t="shared" ref="X68:X131" si="5">ROUND((W68/1000000),0)</f>
        <v>453</v>
      </c>
    </row>
    <row r="69" spans="1:24" ht="27" customHeight="1">
      <c r="A69" s="531"/>
      <c r="B69" s="531">
        <v>1009</v>
      </c>
      <c r="C69" s="529">
        <v>10</v>
      </c>
      <c r="D69" s="530" t="s">
        <v>5</v>
      </c>
      <c r="E69" s="531" t="s">
        <v>827</v>
      </c>
      <c r="F69" s="547"/>
      <c r="G69" s="547"/>
      <c r="H69" s="547"/>
      <c r="I69" s="547"/>
      <c r="J69" s="547"/>
      <c r="K69" s="547"/>
      <c r="L69" s="547"/>
      <c r="M69" s="547"/>
      <c r="N69" s="547"/>
      <c r="O69" s="547"/>
      <c r="P69" s="547"/>
      <c r="Q69" s="812">
        <f t="shared" si="4"/>
        <v>0</v>
      </c>
      <c r="R69" s="547">
        <v>0</v>
      </c>
      <c r="S69" s="812">
        <f t="shared" si="0"/>
        <v>0</v>
      </c>
      <c r="T69" s="547">
        <f t="shared" si="0"/>
        <v>0</v>
      </c>
      <c r="U69" s="566"/>
      <c r="V69" s="567"/>
      <c r="W69" s="812">
        <f t="shared" si="2"/>
        <v>0</v>
      </c>
      <c r="X69" s="812">
        <f t="shared" si="5"/>
        <v>0</v>
      </c>
    </row>
    <row r="70" spans="1:24" ht="27" customHeight="1">
      <c r="A70" s="531"/>
      <c r="B70" s="531">
        <v>406</v>
      </c>
      <c r="C70" s="529">
        <v>4</v>
      </c>
      <c r="D70" s="530" t="s">
        <v>1329</v>
      </c>
      <c r="E70" s="531" t="s">
        <v>1570</v>
      </c>
      <c r="F70" s="547">
        <v>90227951830</v>
      </c>
      <c r="G70" s="547"/>
      <c r="H70" s="547"/>
      <c r="I70" s="547"/>
      <c r="J70" s="547"/>
      <c r="K70" s="547"/>
      <c r="L70" s="547"/>
      <c r="M70" s="547"/>
      <c r="N70" s="547"/>
      <c r="O70" s="547"/>
      <c r="P70" s="547"/>
      <c r="Q70" s="812">
        <f t="shared" si="4"/>
        <v>90227951830</v>
      </c>
      <c r="R70" s="547">
        <v>2278495063</v>
      </c>
      <c r="S70" s="812">
        <f t="shared" si="0"/>
        <v>90228</v>
      </c>
      <c r="T70" s="547">
        <f t="shared" si="0"/>
        <v>2278</v>
      </c>
      <c r="U70" s="566"/>
      <c r="V70" s="567"/>
      <c r="W70" s="812">
        <f t="shared" si="2"/>
        <v>90227951830</v>
      </c>
      <c r="X70" s="812">
        <f t="shared" si="5"/>
        <v>90228</v>
      </c>
    </row>
    <row r="71" spans="1:24" ht="27" customHeight="1">
      <c r="A71" s="531"/>
      <c r="B71" s="531">
        <v>1009</v>
      </c>
      <c r="C71" s="529">
        <v>10</v>
      </c>
      <c r="D71" s="530" t="s">
        <v>877</v>
      </c>
      <c r="E71" s="531" t="s">
        <v>878</v>
      </c>
      <c r="F71" s="547">
        <v>-96415434</v>
      </c>
      <c r="G71" s="547"/>
      <c r="H71" s="547"/>
      <c r="I71" s="547"/>
      <c r="J71" s="547">
        <f>96415434</f>
        <v>96415434</v>
      </c>
      <c r="K71" s="547"/>
      <c r="L71" s="547"/>
      <c r="M71" s="547"/>
      <c r="N71" s="547"/>
      <c r="O71" s="547"/>
      <c r="P71" s="547"/>
      <c r="Q71" s="812">
        <f t="shared" si="4"/>
        <v>0</v>
      </c>
      <c r="R71" s="547">
        <v>0</v>
      </c>
      <c r="S71" s="812">
        <f t="shared" si="0"/>
        <v>0</v>
      </c>
      <c r="T71" s="547">
        <f t="shared" si="0"/>
        <v>0</v>
      </c>
      <c r="U71" s="566"/>
      <c r="V71" s="567"/>
      <c r="W71" s="812">
        <f t="shared" si="2"/>
        <v>0</v>
      </c>
      <c r="X71" s="812">
        <f t="shared" si="5"/>
        <v>0</v>
      </c>
    </row>
    <row r="72" spans="1:24" ht="27" customHeight="1">
      <c r="A72" s="531"/>
      <c r="B72" s="531">
        <v>1009</v>
      </c>
      <c r="C72" s="529">
        <v>10</v>
      </c>
      <c r="D72" s="530" t="s">
        <v>1233</v>
      </c>
      <c r="E72" s="531" t="s">
        <v>1234</v>
      </c>
      <c r="F72" s="547">
        <v>-13214267</v>
      </c>
      <c r="G72" s="547"/>
      <c r="H72" s="547"/>
      <c r="I72" s="547">
        <v>-15290000</v>
      </c>
      <c r="J72" s="547"/>
      <c r="K72" s="547"/>
      <c r="L72" s="547"/>
      <c r="M72" s="547"/>
      <c r="N72" s="547"/>
      <c r="O72" s="547"/>
      <c r="P72" s="547"/>
      <c r="Q72" s="812">
        <f t="shared" si="4"/>
        <v>-28504267</v>
      </c>
      <c r="R72" s="547">
        <v>-48364267</v>
      </c>
      <c r="S72" s="812">
        <f t="shared" ref="S72:T135" si="6">ROUND((Q72/1000000),0)</f>
        <v>-29</v>
      </c>
      <c r="T72" s="547">
        <f t="shared" si="6"/>
        <v>-48</v>
      </c>
      <c r="U72" s="566"/>
      <c r="V72" s="567"/>
      <c r="W72" s="812">
        <f t="shared" si="2"/>
        <v>-28504267</v>
      </c>
      <c r="X72" s="812">
        <f t="shared" si="5"/>
        <v>-29</v>
      </c>
    </row>
    <row r="73" spans="1:24" ht="27" customHeight="1">
      <c r="A73" s="531"/>
      <c r="B73" s="531">
        <v>401</v>
      </c>
      <c r="C73" s="529">
        <v>4</v>
      </c>
      <c r="D73" s="530" t="s">
        <v>1174</v>
      </c>
      <c r="E73" s="531" t="s">
        <v>1167</v>
      </c>
      <c r="F73" s="547">
        <v>-162643378</v>
      </c>
      <c r="G73" s="547"/>
      <c r="H73" s="547"/>
      <c r="I73" s="547"/>
      <c r="J73" s="547"/>
      <c r="K73" s="547"/>
      <c r="L73" s="547"/>
      <c r="M73" s="547"/>
      <c r="N73" s="547"/>
      <c r="O73" s="547"/>
      <c r="P73" s="547"/>
      <c r="Q73" s="812">
        <f t="shared" si="4"/>
        <v>-162643378</v>
      </c>
      <c r="R73" s="547">
        <v>3014740</v>
      </c>
      <c r="S73" s="812">
        <f t="shared" si="6"/>
        <v>-163</v>
      </c>
      <c r="T73" s="547">
        <f t="shared" si="6"/>
        <v>3</v>
      </c>
      <c r="U73" s="566"/>
      <c r="V73" s="567"/>
      <c r="W73" s="812">
        <f t="shared" ref="W73:W136" si="7">Q73+V73-U73</f>
        <v>-162643378</v>
      </c>
      <c r="X73" s="812">
        <f t="shared" si="5"/>
        <v>-163</v>
      </c>
    </row>
    <row r="74" spans="1:24" ht="27" customHeight="1">
      <c r="A74" s="531"/>
      <c r="B74" s="531">
        <v>1009</v>
      </c>
      <c r="C74" s="529">
        <v>10</v>
      </c>
      <c r="D74" s="530" t="s">
        <v>832</v>
      </c>
      <c r="E74" s="531" t="s">
        <v>833</v>
      </c>
      <c r="F74" s="547"/>
      <c r="G74" s="547"/>
      <c r="H74" s="547"/>
      <c r="I74" s="547"/>
      <c r="J74" s="547"/>
      <c r="K74" s="547"/>
      <c r="L74" s="547"/>
      <c r="M74" s="547"/>
      <c r="N74" s="547"/>
      <c r="O74" s="547"/>
      <c r="P74" s="547"/>
      <c r="Q74" s="812">
        <f t="shared" si="4"/>
        <v>0</v>
      </c>
      <c r="R74" s="547">
        <v>0</v>
      </c>
      <c r="S74" s="812">
        <f t="shared" si="6"/>
        <v>0</v>
      </c>
      <c r="T74" s="547">
        <f t="shared" si="6"/>
        <v>0</v>
      </c>
      <c r="U74" s="566"/>
      <c r="V74" s="567"/>
      <c r="W74" s="812">
        <f t="shared" si="7"/>
        <v>0</v>
      </c>
      <c r="X74" s="812">
        <f t="shared" si="5"/>
        <v>0</v>
      </c>
    </row>
    <row r="75" spans="1:24" ht="27" customHeight="1">
      <c r="A75" s="531"/>
      <c r="B75" s="531">
        <v>401</v>
      </c>
      <c r="C75" s="529">
        <v>4</v>
      </c>
      <c r="D75" s="530" t="s">
        <v>834</v>
      </c>
      <c r="E75" s="531" t="s">
        <v>835</v>
      </c>
      <c r="F75" s="547">
        <v>10956086291</v>
      </c>
      <c r="G75" s="547">
        <v>-1753181223</v>
      </c>
      <c r="H75" s="547">
        <v>756737419</v>
      </c>
      <c r="I75" s="547"/>
      <c r="J75" s="547"/>
      <c r="K75" s="547"/>
      <c r="L75" s="547"/>
      <c r="M75" s="547"/>
      <c r="N75" s="547"/>
      <c r="O75" s="547"/>
      <c r="P75" s="547"/>
      <c r="Q75" s="812">
        <f t="shared" si="4"/>
        <v>9959642487</v>
      </c>
      <c r="R75" s="547">
        <v>1056530390</v>
      </c>
      <c r="S75" s="812">
        <f t="shared" si="6"/>
        <v>9960</v>
      </c>
      <c r="T75" s="547">
        <f t="shared" si="6"/>
        <v>1057</v>
      </c>
      <c r="U75" s="566"/>
      <c r="V75" s="567"/>
      <c r="W75" s="812">
        <f t="shared" si="7"/>
        <v>9959642487</v>
      </c>
      <c r="X75" s="812">
        <f t="shared" si="5"/>
        <v>9960</v>
      </c>
    </row>
    <row r="76" spans="1:24" ht="27" customHeight="1">
      <c r="A76" s="531"/>
      <c r="B76" s="531">
        <v>401</v>
      </c>
      <c r="C76" s="529">
        <v>4</v>
      </c>
      <c r="D76" s="530" t="s">
        <v>6</v>
      </c>
      <c r="E76" s="531" t="s">
        <v>204</v>
      </c>
      <c r="F76" s="547">
        <v>9092996755</v>
      </c>
      <c r="G76" s="547">
        <v>1045962044</v>
      </c>
      <c r="H76" s="547">
        <f>541502584-2085419213</f>
        <v>-1543916629</v>
      </c>
      <c r="I76" s="547">
        <v>19565631</v>
      </c>
      <c r="J76" s="547"/>
      <c r="K76" s="547"/>
      <c r="L76" s="547"/>
      <c r="M76" s="547"/>
      <c r="N76" s="547"/>
      <c r="O76" s="547"/>
      <c r="P76" s="547"/>
      <c r="Q76" s="812">
        <f t="shared" si="4"/>
        <v>8614607801</v>
      </c>
      <c r="R76" s="547">
        <v>7481012604</v>
      </c>
      <c r="S76" s="812">
        <f t="shared" si="6"/>
        <v>8615</v>
      </c>
      <c r="T76" s="547">
        <f t="shared" si="6"/>
        <v>7481</v>
      </c>
      <c r="U76" s="566"/>
      <c r="V76" s="567"/>
      <c r="W76" s="812">
        <f t="shared" si="7"/>
        <v>8614607801</v>
      </c>
      <c r="X76" s="812">
        <f t="shared" si="5"/>
        <v>8615</v>
      </c>
    </row>
    <row r="77" spans="1:24" ht="27" customHeight="1">
      <c r="A77" s="531"/>
      <c r="B77" s="1020">
        <v>1002</v>
      </c>
      <c r="C77" s="529">
        <v>10</v>
      </c>
      <c r="D77" s="530" t="s">
        <v>938</v>
      </c>
      <c r="E77" s="531" t="s">
        <v>939</v>
      </c>
      <c r="F77" s="547">
        <v>17924352455</v>
      </c>
      <c r="G77" s="547"/>
      <c r="H77" s="547">
        <v>-19527977165</v>
      </c>
      <c r="I77" s="547">
        <v>1603624710</v>
      </c>
      <c r="J77" s="547"/>
      <c r="K77" s="547"/>
      <c r="L77" s="547"/>
      <c r="M77" s="547"/>
      <c r="N77" s="547"/>
      <c r="O77" s="547"/>
      <c r="P77" s="547"/>
      <c r="Q77" s="812">
        <f t="shared" si="4"/>
        <v>0</v>
      </c>
      <c r="R77" s="547">
        <v>0</v>
      </c>
      <c r="S77" s="812">
        <f t="shared" si="6"/>
        <v>0</v>
      </c>
      <c r="T77" s="547">
        <f t="shared" si="6"/>
        <v>0</v>
      </c>
      <c r="U77" s="566"/>
      <c r="V77" s="567"/>
      <c r="W77" s="812">
        <f t="shared" si="7"/>
        <v>0</v>
      </c>
      <c r="X77" s="812">
        <f t="shared" si="5"/>
        <v>0</v>
      </c>
    </row>
    <row r="78" spans="1:24" ht="27" customHeight="1">
      <c r="A78" s="531"/>
      <c r="B78" s="531">
        <v>1009</v>
      </c>
      <c r="C78" s="529">
        <v>10</v>
      </c>
      <c r="D78" s="530" t="s">
        <v>8</v>
      </c>
      <c r="E78" s="531" t="s">
        <v>203</v>
      </c>
      <c r="F78" s="547">
        <v>-9225382651</v>
      </c>
      <c r="G78" s="547">
        <v>-2877954</v>
      </c>
      <c r="H78" s="547">
        <v>1687656129</v>
      </c>
      <c r="I78" s="547">
        <v>276088417</v>
      </c>
      <c r="J78" s="547"/>
      <c r="K78" s="547"/>
      <c r="L78" s="547"/>
      <c r="M78" s="547"/>
      <c r="N78" s="547"/>
      <c r="O78" s="547"/>
      <c r="P78" s="547"/>
      <c r="Q78" s="812">
        <f t="shared" si="4"/>
        <v>-7264516059</v>
      </c>
      <c r="R78" s="547">
        <v>-6081081997</v>
      </c>
      <c r="S78" s="812">
        <f t="shared" si="6"/>
        <v>-7265</v>
      </c>
      <c r="T78" s="547">
        <f t="shared" si="6"/>
        <v>-6081</v>
      </c>
      <c r="U78" s="566"/>
      <c r="V78" s="567"/>
      <c r="W78" s="812">
        <f t="shared" si="7"/>
        <v>-7264516059</v>
      </c>
      <c r="X78" s="812">
        <f t="shared" si="5"/>
        <v>-7265</v>
      </c>
    </row>
    <row r="79" spans="1:24" ht="27" customHeight="1">
      <c r="A79" s="531"/>
      <c r="B79" s="531">
        <v>401</v>
      </c>
      <c r="C79" s="529">
        <v>4</v>
      </c>
      <c r="D79" s="530" t="s">
        <v>1235</v>
      </c>
      <c r="E79" s="531" t="s">
        <v>1236</v>
      </c>
      <c r="F79" s="547"/>
      <c r="G79" s="547"/>
      <c r="H79" s="547"/>
      <c r="I79" s="547"/>
      <c r="J79" s="547"/>
      <c r="K79" s="547"/>
      <c r="L79" s="547"/>
      <c r="M79" s="547"/>
      <c r="N79" s="547"/>
      <c r="O79" s="547"/>
      <c r="P79" s="547"/>
      <c r="Q79" s="812">
        <f t="shared" si="4"/>
        <v>0</v>
      </c>
      <c r="R79" s="547">
        <v>0</v>
      </c>
      <c r="S79" s="812">
        <f t="shared" si="6"/>
        <v>0</v>
      </c>
      <c r="T79" s="547">
        <f t="shared" si="6"/>
        <v>0</v>
      </c>
      <c r="U79" s="566"/>
      <c r="V79" s="567"/>
      <c r="W79" s="812">
        <f t="shared" si="7"/>
        <v>0</v>
      </c>
      <c r="X79" s="812">
        <f t="shared" si="5"/>
        <v>0</v>
      </c>
    </row>
    <row r="80" spans="1:24" ht="27" customHeight="1">
      <c r="A80" s="531"/>
      <c r="B80" s="531">
        <v>1009</v>
      </c>
      <c r="C80" s="529">
        <v>10</v>
      </c>
      <c r="D80" s="530" t="s">
        <v>549</v>
      </c>
      <c r="E80" s="531" t="s">
        <v>550</v>
      </c>
      <c r="F80" s="547">
        <v>-171583327</v>
      </c>
      <c r="G80" s="547">
        <v>63541084</v>
      </c>
      <c r="H80" s="547"/>
      <c r="I80" s="547">
        <v>64188043</v>
      </c>
      <c r="J80" s="547"/>
      <c r="K80" s="547"/>
      <c r="L80" s="547"/>
      <c r="M80" s="547"/>
      <c r="N80" s="547"/>
      <c r="O80" s="547"/>
      <c r="P80" s="547"/>
      <c r="Q80" s="812">
        <f t="shared" si="4"/>
        <v>-43854200</v>
      </c>
      <c r="R80" s="547">
        <v>49119121</v>
      </c>
      <c r="S80" s="812">
        <f t="shared" si="6"/>
        <v>-44</v>
      </c>
      <c r="T80" s="547">
        <f t="shared" si="6"/>
        <v>49</v>
      </c>
      <c r="U80" s="566"/>
      <c r="V80" s="567"/>
      <c r="W80" s="812">
        <f t="shared" si="7"/>
        <v>-43854200</v>
      </c>
      <c r="X80" s="812">
        <f t="shared" si="5"/>
        <v>-44</v>
      </c>
    </row>
    <row r="81" spans="1:24" ht="27" customHeight="1">
      <c r="A81" s="531"/>
      <c r="B81" s="531">
        <v>1301</v>
      </c>
      <c r="C81" s="529">
        <v>12</v>
      </c>
      <c r="D81" s="530" t="s">
        <v>9</v>
      </c>
      <c r="E81" s="531" t="s">
        <v>590</v>
      </c>
      <c r="F81" s="547">
        <v>-3443740268333</v>
      </c>
      <c r="G81" s="547">
        <v>11847953853</v>
      </c>
      <c r="H81" s="547">
        <f>325360659099-69969535551</f>
        <v>255391123548</v>
      </c>
      <c r="I81" s="547">
        <v>-89949645558</v>
      </c>
      <c r="J81" s="547">
        <v>323241791</v>
      </c>
      <c r="K81" s="547"/>
      <c r="L81" s="547"/>
      <c r="M81" s="547"/>
      <c r="N81" s="547"/>
      <c r="O81" s="547"/>
      <c r="P81" s="547"/>
      <c r="Q81" s="812">
        <f t="shared" si="4"/>
        <v>-3266127594699</v>
      </c>
      <c r="R81" s="547">
        <v>-2847974575461</v>
      </c>
      <c r="S81" s="812">
        <f t="shared" si="6"/>
        <v>-3266128</v>
      </c>
      <c r="T81" s="547">
        <f t="shared" si="6"/>
        <v>-2847975</v>
      </c>
      <c r="U81" s="566"/>
      <c r="V81" s="567"/>
      <c r="W81" s="812">
        <f t="shared" si="7"/>
        <v>-3266127594699</v>
      </c>
      <c r="X81" s="812">
        <f t="shared" si="5"/>
        <v>-3266128</v>
      </c>
    </row>
    <row r="82" spans="1:24" ht="27" customHeight="1">
      <c r="A82" s="531"/>
      <c r="B82" s="531">
        <v>1009</v>
      </c>
      <c r="C82" s="529">
        <v>10</v>
      </c>
      <c r="D82" s="530" t="s">
        <v>11</v>
      </c>
      <c r="E82" s="531" t="s">
        <v>551</v>
      </c>
      <c r="F82" s="547">
        <v>-83175568</v>
      </c>
      <c r="G82" s="547">
        <v>17838070</v>
      </c>
      <c r="H82" s="547"/>
      <c r="I82" s="547"/>
      <c r="J82" s="547"/>
      <c r="K82" s="547"/>
      <c r="L82" s="547"/>
      <c r="M82" s="547"/>
      <c r="N82" s="547"/>
      <c r="O82" s="547"/>
      <c r="P82" s="547"/>
      <c r="Q82" s="812">
        <f t="shared" si="4"/>
        <v>-65337498</v>
      </c>
      <c r="R82" s="547">
        <v>-52200000</v>
      </c>
      <c r="S82" s="812">
        <f t="shared" si="6"/>
        <v>-65</v>
      </c>
      <c r="T82" s="547">
        <f t="shared" si="6"/>
        <v>-52</v>
      </c>
      <c r="U82" s="566"/>
      <c r="V82" s="567"/>
      <c r="W82" s="812">
        <f t="shared" si="7"/>
        <v>-65337498</v>
      </c>
      <c r="X82" s="812">
        <f t="shared" si="5"/>
        <v>-65</v>
      </c>
    </row>
    <row r="83" spans="1:24" ht="27" customHeight="1">
      <c r="A83" s="531"/>
      <c r="B83" s="531">
        <v>1009</v>
      </c>
      <c r="C83" s="529">
        <v>10</v>
      </c>
      <c r="D83" s="530" t="s">
        <v>12</v>
      </c>
      <c r="E83" s="531" t="s">
        <v>13</v>
      </c>
      <c r="F83" s="547">
        <v>29398932</v>
      </c>
      <c r="G83" s="547"/>
      <c r="H83" s="547"/>
      <c r="I83" s="547"/>
      <c r="J83" s="547"/>
      <c r="K83" s="547"/>
      <c r="L83" s="547"/>
      <c r="M83" s="547"/>
      <c r="N83" s="547"/>
      <c r="O83" s="547"/>
      <c r="P83" s="547"/>
      <c r="Q83" s="812">
        <f t="shared" si="4"/>
        <v>29398932</v>
      </c>
      <c r="R83" s="547">
        <v>-52540000</v>
      </c>
      <c r="S83" s="812">
        <f t="shared" si="6"/>
        <v>29</v>
      </c>
      <c r="T83" s="547">
        <f t="shared" si="6"/>
        <v>-53</v>
      </c>
      <c r="U83" s="566"/>
      <c r="V83" s="567"/>
      <c r="W83" s="812">
        <f t="shared" si="7"/>
        <v>29398932</v>
      </c>
      <c r="X83" s="812">
        <f t="shared" si="5"/>
        <v>29</v>
      </c>
    </row>
    <row r="84" spans="1:24" ht="27" customHeight="1">
      <c r="A84" s="531"/>
      <c r="B84" s="531">
        <v>1009</v>
      </c>
      <c r="C84" s="529">
        <v>10</v>
      </c>
      <c r="D84" s="530" t="s">
        <v>1090</v>
      </c>
      <c r="E84" s="531" t="s">
        <v>1091</v>
      </c>
      <c r="F84" s="547"/>
      <c r="G84" s="547"/>
      <c r="H84" s="547"/>
      <c r="I84" s="547"/>
      <c r="J84" s="547"/>
      <c r="K84" s="547"/>
      <c r="L84" s="547"/>
      <c r="M84" s="547"/>
      <c r="N84" s="547"/>
      <c r="O84" s="547"/>
      <c r="P84" s="547"/>
      <c r="Q84" s="812">
        <f t="shared" si="4"/>
        <v>0</v>
      </c>
      <c r="R84" s="547">
        <v>0</v>
      </c>
      <c r="S84" s="812">
        <f t="shared" si="6"/>
        <v>0</v>
      </c>
      <c r="T84" s="547">
        <f t="shared" si="6"/>
        <v>0</v>
      </c>
      <c r="U84" s="566"/>
      <c r="V84" s="567"/>
      <c r="W84" s="812">
        <f t="shared" si="7"/>
        <v>0</v>
      </c>
      <c r="X84" s="812">
        <f t="shared" si="5"/>
        <v>0</v>
      </c>
    </row>
    <row r="85" spans="1:24" ht="27" customHeight="1">
      <c r="A85" s="531"/>
      <c r="B85" s="531">
        <v>1009</v>
      </c>
      <c r="C85" s="529">
        <v>10</v>
      </c>
      <c r="D85" s="530" t="s">
        <v>14</v>
      </c>
      <c r="E85" s="531" t="s">
        <v>363</v>
      </c>
      <c r="F85" s="547">
        <v>-14924569106</v>
      </c>
      <c r="G85" s="547">
        <v>1553376000</v>
      </c>
      <c r="H85" s="547"/>
      <c r="I85" s="547">
        <v>-418166163</v>
      </c>
      <c r="J85" s="547"/>
      <c r="K85" s="547"/>
      <c r="L85" s="547"/>
      <c r="M85" s="547"/>
      <c r="N85" s="547"/>
      <c r="O85" s="547"/>
      <c r="P85" s="547"/>
      <c r="Q85" s="812">
        <f t="shared" si="4"/>
        <v>-13789359269</v>
      </c>
      <c r="R85" s="547">
        <v>-12623033729</v>
      </c>
      <c r="S85" s="812">
        <f t="shared" si="6"/>
        <v>-13789</v>
      </c>
      <c r="T85" s="547">
        <f t="shared" si="6"/>
        <v>-12623</v>
      </c>
      <c r="U85" s="566"/>
      <c r="V85" s="567"/>
      <c r="W85" s="812">
        <f t="shared" si="7"/>
        <v>-13789359269</v>
      </c>
      <c r="X85" s="812">
        <f t="shared" si="5"/>
        <v>-13789</v>
      </c>
    </row>
    <row r="86" spans="1:24" ht="27" customHeight="1">
      <c r="A86" s="531"/>
      <c r="B86" s="531">
        <v>1009</v>
      </c>
      <c r="C86" s="529">
        <v>10</v>
      </c>
      <c r="D86" s="530" t="s">
        <v>15</v>
      </c>
      <c r="E86" s="531" t="s">
        <v>552</v>
      </c>
      <c r="F86" s="547">
        <v>7225000</v>
      </c>
      <c r="G86" s="547"/>
      <c r="H86" s="547"/>
      <c r="I86" s="547">
        <v>-7225000</v>
      </c>
      <c r="J86" s="547"/>
      <c r="K86" s="547"/>
      <c r="L86" s="547"/>
      <c r="M86" s="547"/>
      <c r="N86" s="547"/>
      <c r="O86" s="547"/>
      <c r="P86" s="547"/>
      <c r="Q86" s="812">
        <f t="shared" si="4"/>
        <v>0</v>
      </c>
      <c r="R86" s="547">
        <v>-455756291</v>
      </c>
      <c r="S86" s="812">
        <f t="shared" si="6"/>
        <v>0</v>
      </c>
      <c r="T86" s="547">
        <f t="shared" si="6"/>
        <v>-456</v>
      </c>
      <c r="U86" s="566"/>
      <c r="V86" s="567"/>
      <c r="W86" s="812">
        <f t="shared" si="7"/>
        <v>0</v>
      </c>
      <c r="X86" s="812">
        <f t="shared" si="5"/>
        <v>0</v>
      </c>
    </row>
    <row r="87" spans="1:24" ht="27" customHeight="1">
      <c r="A87" s="531"/>
      <c r="B87" s="531">
        <v>1009</v>
      </c>
      <c r="C87" s="529">
        <v>10</v>
      </c>
      <c r="D87" s="530" t="s">
        <v>743</v>
      </c>
      <c r="E87" s="531" t="s">
        <v>1092</v>
      </c>
      <c r="F87" s="547">
        <v>-983703113</v>
      </c>
      <c r="G87" s="547">
        <v>-55896094</v>
      </c>
      <c r="H87" s="547">
        <v>429092921</v>
      </c>
      <c r="I87" s="547">
        <v>610749809</v>
      </c>
      <c r="J87" s="547">
        <f>-243523</f>
        <v>-243523</v>
      </c>
      <c r="K87" s="547"/>
      <c r="L87" s="547"/>
      <c r="M87" s="547"/>
      <c r="N87" s="547"/>
      <c r="O87" s="547"/>
      <c r="P87" s="547"/>
      <c r="Q87" s="812">
        <f t="shared" si="4"/>
        <v>0</v>
      </c>
      <c r="R87" s="547">
        <v>0</v>
      </c>
      <c r="S87" s="812">
        <f t="shared" si="6"/>
        <v>0</v>
      </c>
      <c r="T87" s="547">
        <f t="shared" si="6"/>
        <v>0</v>
      </c>
      <c r="U87" s="566"/>
      <c r="V87" s="567"/>
      <c r="W87" s="812">
        <f t="shared" si="7"/>
        <v>0</v>
      </c>
      <c r="X87" s="812">
        <f t="shared" si="5"/>
        <v>0</v>
      </c>
    </row>
    <row r="88" spans="1:24" ht="27" customHeight="1">
      <c r="A88" s="531"/>
      <c r="B88" s="531">
        <v>1002</v>
      </c>
      <c r="C88" s="529">
        <v>10</v>
      </c>
      <c r="D88" s="530" t="s">
        <v>39</v>
      </c>
      <c r="E88" s="531" t="s">
        <v>181</v>
      </c>
      <c r="F88" s="547">
        <v>-146724097069</v>
      </c>
      <c r="G88" s="547">
        <v>-92331459</v>
      </c>
      <c r="H88" s="547">
        <f>19534159447-6182282</f>
        <v>19527977165</v>
      </c>
      <c r="I88" s="547">
        <v>-1603624710</v>
      </c>
      <c r="J88" s="547"/>
      <c r="K88" s="547"/>
      <c r="L88" s="547"/>
      <c r="M88" s="547"/>
      <c r="N88" s="547"/>
      <c r="O88" s="547"/>
      <c r="P88" s="547"/>
      <c r="Q88" s="812">
        <f t="shared" si="4"/>
        <v>-128892076073</v>
      </c>
      <c r="R88" s="547">
        <v>-146228858721</v>
      </c>
      <c r="S88" s="812">
        <f t="shared" si="6"/>
        <v>-128892</v>
      </c>
      <c r="T88" s="547">
        <f t="shared" si="6"/>
        <v>-146229</v>
      </c>
      <c r="U88" s="566"/>
      <c r="V88" s="567"/>
      <c r="W88" s="812">
        <f t="shared" si="7"/>
        <v>-128892076073</v>
      </c>
      <c r="X88" s="812">
        <f t="shared" si="5"/>
        <v>-128892</v>
      </c>
    </row>
    <row r="89" spans="1:24" ht="27" customHeight="1">
      <c r="A89" s="531"/>
      <c r="B89" s="531">
        <v>1009</v>
      </c>
      <c r="C89" s="529">
        <v>10</v>
      </c>
      <c r="D89" s="530" t="s">
        <v>940</v>
      </c>
      <c r="E89" s="531" t="s">
        <v>941</v>
      </c>
      <c r="F89" s="547"/>
      <c r="G89" s="547"/>
      <c r="H89" s="547"/>
      <c r="I89" s="547"/>
      <c r="J89" s="547"/>
      <c r="K89" s="547"/>
      <c r="L89" s="547"/>
      <c r="M89" s="547"/>
      <c r="N89" s="547"/>
      <c r="O89" s="547"/>
      <c r="P89" s="547"/>
      <c r="Q89" s="812">
        <f t="shared" si="4"/>
        <v>0</v>
      </c>
      <c r="R89" s="547">
        <v>0</v>
      </c>
      <c r="S89" s="812">
        <f t="shared" si="6"/>
        <v>0</v>
      </c>
      <c r="T89" s="547">
        <f t="shared" si="6"/>
        <v>0</v>
      </c>
      <c r="U89" s="566"/>
      <c r="V89" s="567"/>
      <c r="W89" s="812">
        <f t="shared" si="7"/>
        <v>0</v>
      </c>
      <c r="X89" s="812">
        <f t="shared" si="5"/>
        <v>0</v>
      </c>
    </row>
    <row r="90" spans="1:24" ht="27" customHeight="1">
      <c r="A90" s="531"/>
      <c r="B90" s="531">
        <v>1009</v>
      </c>
      <c r="C90" s="529">
        <v>10</v>
      </c>
      <c r="D90" s="530" t="s">
        <v>40</v>
      </c>
      <c r="E90" s="531" t="s">
        <v>41</v>
      </c>
      <c r="F90" s="547"/>
      <c r="G90" s="547"/>
      <c r="H90" s="547"/>
      <c r="I90" s="547"/>
      <c r="J90" s="547"/>
      <c r="K90" s="547"/>
      <c r="L90" s="547"/>
      <c r="M90" s="547"/>
      <c r="N90" s="547"/>
      <c r="O90" s="547"/>
      <c r="P90" s="547"/>
      <c r="Q90" s="812">
        <f t="shared" si="4"/>
        <v>0</v>
      </c>
      <c r="R90" s="547">
        <v>0</v>
      </c>
      <c r="S90" s="812">
        <f t="shared" si="6"/>
        <v>0</v>
      </c>
      <c r="T90" s="547">
        <f t="shared" si="6"/>
        <v>0</v>
      </c>
      <c r="U90" s="566"/>
      <c r="V90" s="567"/>
      <c r="W90" s="812">
        <f t="shared" si="7"/>
        <v>0</v>
      </c>
      <c r="X90" s="812">
        <f t="shared" si="5"/>
        <v>0</v>
      </c>
    </row>
    <row r="91" spans="1:24" ht="27" customHeight="1">
      <c r="A91" s="531"/>
      <c r="B91" s="531">
        <v>1009</v>
      </c>
      <c r="C91" s="529">
        <v>10</v>
      </c>
      <c r="D91" s="530" t="s">
        <v>1093</v>
      </c>
      <c r="E91" s="531" t="s">
        <v>1094</v>
      </c>
      <c r="F91" s="547">
        <v>-368274766</v>
      </c>
      <c r="G91" s="547">
        <v>101653976</v>
      </c>
      <c r="H91" s="547">
        <v>247014186</v>
      </c>
      <c r="I91" s="547">
        <v>36646088</v>
      </c>
      <c r="J91" s="547">
        <f>-17039484</f>
        <v>-17039484</v>
      </c>
      <c r="K91" s="547"/>
      <c r="L91" s="547"/>
      <c r="M91" s="547"/>
      <c r="N91" s="547"/>
      <c r="O91" s="547"/>
      <c r="P91" s="547"/>
      <c r="Q91" s="812">
        <f t="shared" si="4"/>
        <v>0</v>
      </c>
      <c r="R91" s="547">
        <v>0</v>
      </c>
      <c r="S91" s="812">
        <f t="shared" si="6"/>
        <v>0</v>
      </c>
      <c r="T91" s="547">
        <f t="shared" si="6"/>
        <v>0</v>
      </c>
      <c r="U91" s="566"/>
      <c r="V91" s="567"/>
      <c r="W91" s="812">
        <f t="shared" si="7"/>
        <v>0</v>
      </c>
      <c r="X91" s="812">
        <f t="shared" si="5"/>
        <v>0</v>
      </c>
    </row>
    <row r="92" spans="1:24" ht="27" customHeight="1">
      <c r="A92" s="531"/>
      <c r="B92" s="531">
        <v>1009</v>
      </c>
      <c r="C92" s="529">
        <v>10</v>
      </c>
      <c r="D92" s="530" t="s">
        <v>1095</v>
      </c>
      <c r="E92" s="531" t="s">
        <v>1096</v>
      </c>
      <c r="F92" s="547">
        <v>120000</v>
      </c>
      <c r="G92" s="547"/>
      <c r="H92" s="547">
        <v>-360000</v>
      </c>
      <c r="I92" s="547">
        <v>240000</v>
      </c>
      <c r="J92" s="547"/>
      <c r="K92" s="547"/>
      <c r="L92" s="547"/>
      <c r="M92" s="547"/>
      <c r="N92" s="547"/>
      <c r="O92" s="547"/>
      <c r="P92" s="547"/>
      <c r="Q92" s="812">
        <f t="shared" si="4"/>
        <v>0</v>
      </c>
      <c r="R92" s="547">
        <v>0</v>
      </c>
      <c r="S92" s="812">
        <f t="shared" si="6"/>
        <v>0</v>
      </c>
      <c r="T92" s="547">
        <f t="shared" si="6"/>
        <v>0</v>
      </c>
      <c r="U92" s="566"/>
      <c r="V92" s="567"/>
      <c r="W92" s="812">
        <f t="shared" si="7"/>
        <v>0</v>
      </c>
      <c r="X92" s="812">
        <f t="shared" si="5"/>
        <v>0</v>
      </c>
    </row>
    <row r="93" spans="1:24" ht="27" customHeight="1">
      <c r="A93" s="531"/>
      <c r="B93" s="531">
        <v>1009</v>
      </c>
      <c r="C93" s="529">
        <v>10</v>
      </c>
      <c r="D93" s="530" t="s">
        <v>853</v>
      </c>
      <c r="E93" s="531" t="s">
        <v>1097</v>
      </c>
      <c r="F93" s="547">
        <v>-81993031</v>
      </c>
      <c r="G93" s="547">
        <v>-32730975</v>
      </c>
      <c r="H93" s="547">
        <v>84715492</v>
      </c>
      <c r="I93" s="547">
        <v>60017028</v>
      </c>
      <c r="J93" s="547">
        <f>-30008514</f>
        <v>-30008514</v>
      </c>
      <c r="K93" s="547"/>
      <c r="L93" s="547"/>
      <c r="M93" s="547"/>
      <c r="N93" s="547"/>
      <c r="O93" s="547"/>
      <c r="P93" s="547"/>
      <c r="Q93" s="812">
        <f t="shared" si="4"/>
        <v>0</v>
      </c>
      <c r="R93" s="547">
        <v>0</v>
      </c>
      <c r="S93" s="812">
        <f t="shared" si="6"/>
        <v>0</v>
      </c>
      <c r="T93" s="547">
        <f t="shared" si="6"/>
        <v>0</v>
      </c>
      <c r="U93" s="566"/>
      <c r="V93" s="567"/>
      <c r="W93" s="812">
        <f t="shared" si="7"/>
        <v>0</v>
      </c>
      <c r="X93" s="812">
        <f t="shared" si="5"/>
        <v>0</v>
      </c>
    </row>
    <row r="94" spans="1:24" ht="27" customHeight="1">
      <c r="A94" s="531"/>
      <c r="B94" s="531">
        <v>401</v>
      </c>
      <c r="C94" s="529">
        <v>4</v>
      </c>
      <c r="D94" s="530" t="s">
        <v>42</v>
      </c>
      <c r="E94" s="531" t="s">
        <v>942</v>
      </c>
      <c r="F94" s="547">
        <v>-48730352</v>
      </c>
      <c r="G94" s="547"/>
      <c r="H94" s="547">
        <v>48730352</v>
      </c>
      <c r="I94" s="547"/>
      <c r="J94" s="547"/>
      <c r="K94" s="547"/>
      <c r="L94" s="547"/>
      <c r="M94" s="547"/>
      <c r="N94" s="547"/>
      <c r="O94" s="547"/>
      <c r="P94" s="547"/>
      <c r="Q94" s="812">
        <f t="shared" si="4"/>
        <v>0</v>
      </c>
      <c r="R94" s="547">
        <v>0</v>
      </c>
      <c r="S94" s="812">
        <f t="shared" si="6"/>
        <v>0</v>
      </c>
      <c r="T94" s="547">
        <f t="shared" si="6"/>
        <v>0</v>
      </c>
      <c r="U94" s="566"/>
      <c r="V94" s="567"/>
      <c r="W94" s="812">
        <f t="shared" si="7"/>
        <v>0</v>
      </c>
      <c r="X94" s="812">
        <f t="shared" si="5"/>
        <v>0</v>
      </c>
    </row>
    <row r="95" spans="1:24" ht="27" customHeight="1">
      <c r="A95" s="531"/>
      <c r="B95" s="531">
        <v>1009</v>
      </c>
      <c r="C95" s="529">
        <v>10</v>
      </c>
      <c r="D95" s="530" t="s">
        <v>1098</v>
      </c>
      <c r="E95" s="531" t="s">
        <v>1083</v>
      </c>
      <c r="F95" s="547">
        <v>-50994888</v>
      </c>
      <c r="G95" s="547"/>
      <c r="H95" s="547"/>
      <c r="I95" s="547">
        <v>-7500000</v>
      </c>
      <c r="J95" s="547"/>
      <c r="K95" s="547"/>
      <c r="L95" s="547"/>
      <c r="M95" s="547"/>
      <c r="N95" s="547"/>
      <c r="O95" s="547"/>
      <c r="P95" s="547"/>
      <c r="Q95" s="812">
        <f t="shared" si="4"/>
        <v>-58494888</v>
      </c>
      <c r="R95" s="547">
        <v>-1262635888</v>
      </c>
      <c r="S95" s="812">
        <f t="shared" si="6"/>
        <v>-58</v>
      </c>
      <c r="T95" s="547">
        <f t="shared" si="6"/>
        <v>-1263</v>
      </c>
      <c r="U95" s="566"/>
      <c r="V95" s="567"/>
      <c r="W95" s="812">
        <f t="shared" si="7"/>
        <v>-58494888</v>
      </c>
      <c r="X95" s="812">
        <f t="shared" si="5"/>
        <v>-58</v>
      </c>
    </row>
    <row r="96" spans="1:24" ht="27" customHeight="1">
      <c r="A96" s="531"/>
      <c r="B96" s="531">
        <v>401</v>
      </c>
      <c r="C96" s="529">
        <v>4</v>
      </c>
      <c r="D96" s="530" t="s">
        <v>1099</v>
      </c>
      <c r="E96" s="531" t="s">
        <v>1101</v>
      </c>
      <c r="F96" s="547"/>
      <c r="G96" s="547"/>
      <c r="H96" s="547"/>
      <c r="I96" s="547"/>
      <c r="J96" s="547"/>
      <c r="K96" s="547"/>
      <c r="L96" s="547"/>
      <c r="M96" s="547"/>
      <c r="N96" s="547"/>
      <c r="O96" s="547"/>
      <c r="P96" s="547"/>
      <c r="Q96" s="812">
        <f t="shared" si="4"/>
        <v>0</v>
      </c>
      <c r="R96" s="547">
        <v>0</v>
      </c>
      <c r="S96" s="812">
        <f t="shared" si="6"/>
        <v>0</v>
      </c>
      <c r="T96" s="547">
        <f t="shared" si="6"/>
        <v>0</v>
      </c>
      <c r="U96" s="566"/>
      <c r="V96" s="567"/>
      <c r="W96" s="812">
        <f t="shared" si="7"/>
        <v>0</v>
      </c>
      <c r="X96" s="812">
        <f t="shared" si="5"/>
        <v>0</v>
      </c>
    </row>
    <row r="97" spans="1:24" ht="27" customHeight="1">
      <c r="A97" s="531"/>
      <c r="B97" s="531">
        <v>1009</v>
      </c>
      <c r="C97" s="529">
        <v>10</v>
      </c>
      <c r="D97" s="530" t="s">
        <v>1100</v>
      </c>
      <c r="E97" s="531" t="s">
        <v>1102</v>
      </c>
      <c r="F97" s="547">
        <v>-19528350</v>
      </c>
      <c r="G97" s="547">
        <v>19528350</v>
      </c>
      <c r="H97" s="547"/>
      <c r="I97" s="547"/>
      <c r="J97" s="547"/>
      <c r="K97" s="547"/>
      <c r="L97" s="547"/>
      <c r="M97" s="547"/>
      <c r="N97" s="547"/>
      <c r="O97" s="547"/>
      <c r="P97" s="547"/>
      <c r="Q97" s="812">
        <f t="shared" si="4"/>
        <v>0</v>
      </c>
      <c r="R97" s="547">
        <v>0</v>
      </c>
      <c r="S97" s="812">
        <f t="shared" si="6"/>
        <v>0</v>
      </c>
      <c r="T97" s="547">
        <f t="shared" si="6"/>
        <v>0</v>
      </c>
      <c r="U97" s="566"/>
      <c r="V97" s="567"/>
      <c r="W97" s="812">
        <f t="shared" si="7"/>
        <v>0</v>
      </c>
      <c r="X97" s="812">
        <f t="shared" si="5"/>
        <v>0</v>
      </c>
    </row>
    <row r="98" spans="1:24" ht="27" customHeight="1">
      <c r="A98" s="531"/>
      <c r="B98" s="531">
        <v>406</v>
      </c>
      <c r="C98" s="529">
        <v>4</v>
      </c>
      <c r="D98" s="530" t="s">
        <v>43</v>
      </c>
      <c r="E98" s="531" t="s">
        <v>1001</v>
      </c>
      <c r="F98" s="547">
        <v>3996000</v>
      </c>
      <c r="G98" s="547"/>
      <c r="H98" s="547"/>
      <c r="I98" s="547"/>
      <c r="J98" s="547"/>
      <c r="K98" s="547"/>
      <c r="L98" s="547"/>
      <c r="M98" s="547"/>
      <c r="N98" s="547"/>
      <c r="O98" s="547"/>
      <c r="P98" s="547"/>
      <c r="Q98" s="812">
        <f t="shared" si="4"/>
        <v>3996000</v>
      </c>
      <c r="R98" s="547">
        <v>142302000</v>
      </c>
      <c r="S98" s="812">
        <f t="shared" si="6"/>
        <v>4</v>
      </c>
      <c r="T98" s="547">
        <f t="shared" si="6"/>
        <v>142</v>
      </c>
      <c r="U98" s="566"/>
      <c r="V98" s="567"/>
      <c r="W98" s="812">
        <f t="shared" si="7"/>
        <v>3996000</v>
      </c>
      <c r="X98" s="812">
        <f t="shared" si="5"/>
        <v>4</v>
      </c>
    </row>
    <row r="99" spans="1:24" ht="27" customHeight="1">
      <c r="A99" s="531"/>
      <c r="B99" s="531">
        <v>401</v>
      </c>
      <c r="C99" s="529">
        <v>4</v>
      </c>
      <c r="D99" s="530" t="s">
        <v>1175</v>
      </c>
      <c r="E99" s="531" t="s">
        <v>1170</v>
      </c>
      <c r="F99" s="547">
        <v>-1810004</v>
      </c>
      <c r="G99" s="547"/>
      <c r="H99" s="547"/>
      <c r="I99" s="547"/>
      <c r="J99" s="547"/>
      <c r="K99" s="547"/>
      <c r="L99" s="547"/>
      <c r="M99" s="547"/>
      <c r="N99" s="547"/>
      <c r="O99" s="547"/>
      <c r="P99" s="547"/>
      <c r="Q99" s="812">
        <f t="shared" si="4"/>
        <v>-1810004</v>
      </c>
      <c r="R99" s="547">
        <v>0</v>
      </c>
      <c r="S99" s="812">
        <f t="shared" si="6"/>
        <v>-2</v>
      </c>
      <c r="T99" s="547">
        <f t="shared" si="6"/>
        <v>0</v>
      </c>
      <c r="U99" s="566"/>
      <c r="V99" s="567"/>
      <c r="W99" s="812">
        <f t="shared" si="7"/>
        <v>-1810004</v>
      </c>
      <c r="X99" s="812">
        <f t="shared" si="5"/>
        <v>-2</v>
      </c>
    </row>
    <row r="100" spans="1:24" ht="27" customHeight="1">
      <c r="A100" s="531"/>
      <c r="B100" s="531">
        <v>1009</v>
      </c>
      <c r="C100" s="529">
        <v>10</v>
      </c>
      <c r="D100" s="530" t="s">
        <v>44</v>
      </c>
      <c r="E100" s="531" t="s">
        <v>897</v>
      </c>
      <c r="F100" s="547"/>
      <c r="G100" s="547"/>
      <c r="H100" s="547"/>
      <c r="I100" s="547"/>
      <c r="J100" s="547"/>
      <c r="K100" s="547"/>
      <c r="L100" s="547"/>
      <c r="M100" s="547"/>
      <c r="N100" s="547"/>
      <c r="O100" s="547"/>
      <c r="P100" s="547"/>
      <c r="Q100" s="812">
        <f t="shared" si="4"/>
        <v>0</v>
      </c>
      <c r="R100" s="547">
        <v>0</v>
      </c>
      <c r="S100" s="812">
        <f t="shared" si="6"/>
        <v>0</v>
      </c>
      <c r="T100" s="547">
        <f t="shared" si="6"/>
        <v>0</v>
      </c>
      <c r="U100" s="566"/>
      <c r="V100" s="567"/>
      <c r="W100" s="812">
        <f t="shared" si="7"/>
        <v>0</v>
      </c>
      <c r="X100" s="812">
        <f t="shared" si="5"/>
        <v>0</v>
      </c>
    </row>
    <row r="101" spans="1:24" ht="27" customHeight="1">
      <c r="A101" s="531"/>
      <c r="B101" s="531">
        <v>401</v>
      </c>
      <c r="C101" s="529">
        <v>4</v>
      </c>
      <c r="D101" s="530" t="s">
        <v>943</v>
      </c>
      <c r="E101" s="531" t="s">
        <v>944</v>
      </c>
      <c r="F101" s="547">
        <v>3986199393620</v>
      </c>
      <c r="G101" s="547">
        <v>-721679050197</v>
      </c>
      <c r="H101" s="547">
        <v>-3264520343423</v>
      </c>
      <c r="I101" s="547"/>
      <c r="J101" s="547"/>
      <c r="K101" s="547"/>
      <c r="L101" s="547"/>
      <c r="M101" s="547"/>
      <c r="N101" s="547"/>
      <c r="O101" s="547"/>
      <c r="P101" s="547"/>
      <c r="Q101" s="812">
        <f t="shared" si="4"/>
        <v>0</v>
      </c>
      <c r="R101" s="547">
        <v>0</v>
      </c>
      <c r="S101" s="812">
        <f t="shared" si="6"/>
        <v>0</v>
      </c>
      <c r="T101" s="547">
        <f t="shared" si="6"/>
        <v>0</v>
      </c>
      <c r="U101" s="566"/>
      <c r="V101" s="567"/>
      <c r="W101" s="812">
        <f t="shared" si="7"/>
        <v>0</v>
      </c>
      <c r="X101" s="812">
        <f t="shared" si="5"/>
        <v>0</v>
      </c>
    </row>
    <row r="102" spans="1:24" ht="27" customHeight="1">
      <c r="A102" s="531"/>
      <c r="B102" s="531">
        <v>401</v>
      </c>
      <c r="C102" s="529">
        <v>4</v>
      </c>
      <c r="D102" s="530" t="s">
        <v>945</v>
      </c>
      <c r="E102" s="531" t="s">
        <v>946</v>
      </c>
      <c r="F102" s="547">
        <v>28308552694</v>
      </c>
      <c r="G102" s="547">
        <v>-2679613163</v>
      </c>
      <c r="H102" s="547">
        <v>-25628939531</v>
      </c>
      <c r="I102" s="547"/>
      <c r="J102" s="547"/>
      <c r="K102" s="547"/>
      <c r="L102" s="547"/>
      <c r="M102" s="547"/>
      <c r="N102" s="547"/>
      <c r="O102" s="547"/>
      <c r="P102" s="547"/>
      <c r="Q102" s="812">
        <f t="shared" si="4"/>
        <v>0</v>
      </c>
      <c r="R102" s="547">
        <v>0</v>
      </c>
      <c r="S102" s="812">
        <f t="shared" si="6"/>
        <v>0</v>
      </c>
      <c r="T102" s="547">
        <f t="shared" si="6"/>
        <v>0</v>
      </c>
      <c r="U102" s="566"/>
      <c r="V102" s="567"/>
      <c r="W102" s="812">
        <f t="shared" si="7"/>
        <v>0</v>
      </c>
      <c r="X102" s="812">
        <f t="shared" si="5"/>
        <v>0</v>
      </c>
    </row>
    <row r="103" spans="1:24" ht="27" customHeight="1">
      <c r="A103" s="531"/>
      <c r="B103" s="531">
        <v>401</v>
      </c>
      <c r="C103" s="529">
        <v>4</v>
      </c>
      <c r="D103" s="530" t="s">
        <v>947</v>
      </c>
      <c r="E103" s="531" t="s">
        <v>948</v>
      </c>
      <c r="F103" s="547">
        <v>247398064</v>
      </c>
      <c r="G103" s="547"/>
      <c r="H103" s="547">
        <v>-247398064</v>
      </c>
      <c r="I103" s="547"/>
      <c r="J103" s="547"/>
      <c r="K103" s="547"/>
      <c r="L103" s="547"/>
      <c r="M103" s="547"/>
      <c r="N103" s="547"/>
      <c r="O103" s="547"/>
      <c r="P103" s="547"/>
      <c r="Q103" s="812">
        <f t="shared" si="4"/>
        <v>0</v>
      </c>
      <c r="R103" s="547">
        <v>0</v>
      </c>
      <c r="S103" s="812">
        <f t="shared" si="6"/>
        <v>0</v>
      </c>
      <c r="T103" s="547">
        <f t="shared" si="6"/>
        <v>0</v>
      </c>
      <c r="U103" s="566"/>
      <c r="V103" s="567"/>
      <c r="W103" s="812">
        <f t="shared" si="7"/>
        <v>0</v>
      </c>
      <c r="X103" s="812">
        <f t="shared" si="5"/>
        <v>0</v>
      </c>
    </row>
    <row r="104" spans="1:24" ht="27" customHeight="1">
      <c r="A104" s="531"/>
      <c r="B104" s="531">
        <v>1009</v>
      </c>
      <c r="C104" s="529">
        <v>10</v>
      </c>
      <c r="D104" s="530" t="s">
        <v>949</v>
      </c>
      <c r="E104" s="531" t="s">
        <v>950</v>
      </c>
      <c r="F104" s="547">
        <v>-4014722038044</v>
      </c>
      <c r="G104" s="547">
        <v>724358663360</v>
      </c>
      <c r="H104" s="547">
        <v>3290363374684</v>
      </c>
      <c r="I104" s="547"/>
      <c r="J104" s="547"/>
      <c r="K104" s="547"/>
      <c r="L104" s="547"/>
      <c r="M104" s="547"/>
      <c r="N104" s="547"/>
      <c r="O104" s="547"/>
      <c r="P104" s="547"/>
      <c r="Q104" s="812">
        <f t="shared" si="4"/>
        <v>0</v>
      </c>
      <c r="R104" s="547">
        <v>0</v>
      </c>
      <c r="S104" s="812">
        <f t="shared" si="6"/>
        <v>0</v>
      </c>
      <c r="T104" s="547">
        <f t="shared" si="6"/>
        <v>0</v>
      </c>
      <c r="U104" s="566"/>
      <c r="V104" s="567"/>
      <c r="W104" s="812">
        <f t="shared" si="7"/>
        <v>0</v>
      </c>
      <c r="X104" s="812">
        <f t="shared" si="5"/>
        <v>0</v>
      </c>
    </row>
    <row r="105" spans="1:24" ht="27" customHeight="1">
      <c r="A105" s="531"/>
      <c r="B105" s="531">
        <v>401</v>
      </c>
      <c r="C105" s="529">
        <v>4</v>
      </c>
      <c r="D105" s="530" t="s">
        <v>45</v>
      </c>
      <c r="E105" s="531" t="s">
        <v>46</v>
      </c>
      <c r="F105" s="547">
        <v>472421462</v>
      </c>
      <c r="G105" s="547">
        <v>-593536604</v>
      </c>
      <c r="H105" s="547">
        <f>40767000-946667314</f>
        <v>-905900314</v>
      </c>
      <c r="I105" s="547">
        <v>-657342990</v>
      </c>
      <c r="J105" s="547">
        <v>-387344527</v>
      </c>
      <c r="K105" s="547">
        <v>387344527</v>
      </c>
      <c r="L105" s="547">
        <v>-154225853</v>
      </c>
      <c r="M105" s="547"/>
      <c r="N105" s="547"/>
      <c r="O105" s="547"/>
      <c r="P105" s="547"/>
      <c r="Q105" s="812">
        <f t="shared" si="4"/>
        <v>-1838584299</v>
      </c>
      <c r="R105" s="547">
        <v>-77355486</v>
      </c>
      <c r="S105" s="812">
        <f t="shared" si="6"/>
        <v>-1839</v>
      </c>
      <c r="T105" s="547">
        <f t="shared" si="6"/>
        <v>-77</v>
      </c>
      <c r="U105" s="566"/>
      <c r="V105" s="567"/>
      <c r="W105" s="812">
        <f t="shared" si="7"/>
        <v>-1838584299</v>
      </c>
      <c r="X105" s="812">
        <f t="shared" si="5"/>
        <v>-1839</v>
      </c>
    </row>
    <row r="106" spans="1:24" ht="27" customHeight="1">
      <c r="A106" s="531" t="s">
        <v>1709</v>
      </c>
      <c r="B106" s="531">
        <v>401</v>
      </c>
      <c r="C106" s="529">
        <v>4</v>
      </c>
      <c r="D106" s="530" t="s">
        <v>47</v>
      </c>
      <c r="E106" s="531" t="s">
        <v>1469</v>
      </c>
      <c r="F106" s="547">
        <v>-4645225392</v>
      </c>
      <c r="G106" s="547">
        <v>-12966333</v>
      </c>
      <c r="H106" s="547"/>
      <c r="I106" s="547"/>
      <c r="J106" s="547"/>
      <c r="K106" s="547"/>
      <c r="L106" s="547"/>
      <c r="M106" s="547"/>
      <c r="N106" s="547"/>
      <c r="O106" s="547"/>
      <c r="P106" s="547"/>
      <c r="Q106" s="812">
        <f t="shared" si="4"/>
        <v>-4658191725</v>
      </c>
      <c r="R106" s="547">
        <v>-3350004000</v>
      </c>
      <c r="S106" s="812">
        <f t="shared" si="6"/>
        <v>-4658</v>
      </c>
      <c r="T106" s="547">
        <f t="shared" si="6"/>
        <v>-3350</v>
      </c>
      <c r="U106" s="566"/>
      <c r="V106" s="567"/>
      <c r="W106" s="812">
        <f t="shared" si="7"/>
        <v>-4658191725</v>
      </c>
      <c r="X106" s="812">
        <f t="shared" si="5"/>
        <v>-4658</v>
      </c>
    </row>
    <row r="107" spans="1:24" ht="27" customHeight="1">
      <c r="A107" s="531"/>
      <c r="B107" s="531">
        <v>1009</v>
      </c>
      <c r="C107" s="529">
        <v>10</v>
      </c>
      <c r="D107" s="530" t="s">
        <v>47</v>
      </c>
      <c r="E107" s="531" t="s">
        <v>555</v>
      </c>
      <c r="F107" s="547"/>
      <c r="G107" s="547"/>
      <c r="H107" s="547"/>
      <c r="I107" s="547"/>
      <c r="J107" s="547"/>
      <c r="K107" s="547"/>
      <c r="L107" s="547"/>
      <c r="M107" s="547"/>
      <c r="N107" s="547"/>
      <c r="O107" s="547"/>
      <c r="P107" s="547"/>
      <c r="Q107" s="812">
        <f t="shared" si="4"/>
        <v>0</v>
      </c>
      <c r="R107" s="547">
        <v>-597537314</v>
      </c>
      <c r="S107" s="812">
        <f t="shared" si="6"/>
        <v>0</v>
      </c>
      <c r="T107" s="547">
        <f t="shared" si="6"/>
        <v>-598</v>
      </c>
      <c r="U107" s="566"/>
      <c r="V107" s="567"/>
      <c r="W107" s="812">
        <f t="shared" si="7"/>
        <v>0</v>
      </c>
      <c r="X107" s="812">
        <f t="shared" si="5"/>
        <v>0</v>
      </c>
    </row>
    <row r="108" spans="1:24" ht="27" customHeight="1">
      <c r="A108" s="531"/>
      <c r="B108" s="531">
        <v>401</v>
      </c>
      <c r="C108" s="529">
        <v>4</v>
      </c>
      <c r="D108" s="530" t="s">
        <v>951</v>
      </c>
      <c r="E108" s="531" t="s">
        <v>952</v>
      </c>
      <c r="F108" s="547"/>
      <c r="G108" s="547"/>
      <c r="H108" s="547"/>
      <c r="I108" s="547"/>
      <c r="J108" s="547"/>
      <c r="K108" s="547"/>
      <c r="L108" s="547"/>
      <c r="M108" s="547"/>
      <c r="N108" s="547"/>
      <c r="O108" s="547"/>
      <c r="P108" s="547"/>
      <c r="Q108" s="812">
        <f t="shared" si="4"/>
        <v>0</v>
      </c>
      <c r="R108" s="547">
        <v>0</v>
      </c>
      <c r="S108" s="812">
        <f t="shared" si="6"/>
        <v>0</v>
      </c>
      <c r="T108" s="547">
        <f t="shared" si="6"/>
        <v>0</v>
      </c>
      <c r="U108" s="566"/>
      <c r="V108" s="567"/>
      <c r="W108" s="812">
        <f t="shared" si="7"/>
        <v>0</v>
      </c>
      <c r="X108" s="812">
        <f t="shared" si="5"/>
        <v>0</v>
      </c>
    </row>
    <row r="109" spans="1:24" ht="27" customHeight="1">
      <c r="A109" s="531"/>
      <c r="B109" s="531">
        <v>401</v>
      </c>
      <c r="C109" s="529">
        <v>4</v>
      </c>
      <c r="D109" s="530" t="s">
        <v>836</v>
      </c>
      <c r="E109" s="531" t="s">
        <v>953</v>
      </c>
      <c r="F109" s="547">
        <v>417939781</v>
      </c>
      <c r="G109" s="547">
        <v>-22800000</v>
      </c>
      <c r="H109" s="547">
        <v>-177814544</v>
      </c>
      <c r="I109" s="547"/>
      <c r="J109" s="547">
        <f>-217325237</f>
        <v>-217325237</v>
      </c>
      <c r="K109" s="547"/>
      <c r="L109" s="547"/>
      <c r="M109" s="547"/>
      <c r="N109" s="547"/>
      <c r="O109" s="547"/>
      <c r="P109" s="547"/>
      <c r="Q109" s="812">
        <f t="shared" si="4"/>
        <v>0</v>
      </c>
      <c r="R109" s="547">
        <v>0</v>
      </c>
      <c r="S109" s="812">
        <f t="shared" si="6"/>
        <v>0</v>
      </c>
      <c r="T109" s="547">
        <f t="shared" si="6"/>
        <v>0</v>
      </c>
      <c r="U109" s="566"/>
      <c r="V109" s="567"/>
      <c r="W109" s="812">
        <f t="shared" si="7"/>
        <v>0</v>
      </c>
      <c r="X109" s="812">
        <f t="shared" si="5"/>
        <v>0</v>
      </c>
    </row>
    <row r="110" spans="1:24" ht="27" customHeight="1">
      <c r="A110" s="531"/>
      <c r="B110" s="531">
        <v>1009</v>
      </c>
      <c r="C110" s="529">
        <v>10</v>
      </c>
      <c r="D110" s="530" t="s">
        <v>954</v>
      </c>
      <c r="E110" s="531" t="s">
        <v>955</v>
      </c>
      <c r="F110" s="547">
        <v>-6887387985</v>
      </c>
      <c r="G110" s="547">
        <v>258292837</v>
      </c>
      <c r="H110" s="547">
        <v>4985801526</v>
      </c>
      <c r="I110" s="547">
        <v>1643293622</v>
      </c>
      <c r="J110" s="547"/>
      <c r="K110" s="547"/>
      <c r="L110" s="547"/>
      <c r="M110" s="547"/>
      <c r="N110" s="547"/>
      <c r="O110" s="547"/>
      <c r="P110" s="547"/>
      <c r="Q110" s="812">
        <f t="shared" si="4"/>
        <v>0</v>
      </c>
      <c r="R110" s="547">
        <v>0</v>
      </c>
      <c r="S110" s="812">
        <f t="shared" si="6"/>
        <v>0</v>
      </c>
      <c r="T110" s="547">
        <f t="shared" si="6"/>
        <v>0</v>
      </c>
      <c r="U110" s="566"/>
      <c r="V110" s="567"/>
      <c r="W110" s="812">
        <f t="shared" si="7"/>
        <v>0</v>
      </c>
      <c r="X110" s="812">
        <f t="shared" si="5"/>
        <v>0</v>
      </c>
    </row>
    <row r="111" spans="1:24" ht="27" customHeight="1">
      <c r="A111" s="531"/>
      <c r="B111" s="531">
        <v>1009</v>
      </c>
      <c r="C111" s="529">
        <v>10</v>
      </c>
      <c r="D111" s="530" t="s">
        <v>1103</v>
      </c>
      <c r="E111" s="531" t="s">
        <v>1104</v>
      </c>
      <c r="F111" s="547">
        <v>-1235652</v>
      </c>
      <c r="G111" s="547"/>
      <c r="H111" s="547"/>
      <c r="I111" s="547"/>
      <c r="J111" s="547">
        <f>1235652</f>
        <v>1235652</v>
      </c>
      <c r="K111" s="547"/>
      <c r="L111" s="547"/>
      <c r="M111" s="547"/>
      <c r="N111" s="547"/>
      <c r="O111" s="547"/>
      <c r="P111" s="547"/>
      <c r="Q111" s="812">
        <f t="shared" si="4"/>
        <v>0</v>
      </c>
      <c r="R111" s="547">
        <v>0</v>
      </c>
      <c r="S111" s="812">
        <f t="shared" si="6"/>
        <v>0</v>
      </c>
      <c r="T111" s="547">
        <f t="shared" si="6"/>
        <v>0</v>
      </c>
      <c r="U111" s="566"/>
      <c r="V111" s="567"/>
      <c r="W111" s="812">
        <f t="shared" si="7"/>
        <v>0</v>
      </c>
      <c r="X111" s="812">
        <f t="shared" si="5"/>
        <v>0</v>
      </c>
    </row>
    <row r="112" spans="1:24" ht="27" customHeight="1">
      <c r="A112" s="531"/>
      <c r="B112" s="531">
        <v>401</v>
      </c>
      <c r="C112" s="529">
        <v>4</v>
      </c>
      <c r="D112" s="530" t="s">
        <v>880</v>
      </c>
      <c r="E112" s="531" t="s">
        <v>879</v>
      </c>
      <c r="F112" s="547">
        <v>5386137821</v>
      </c>
      <c r="G112" s="547">
        <v>-3723822946</v>
      </c>
      <c r="H112" s="547">
        <f>9971348002-11100803699</f>
        <v>-1129455697</v>
      </c>
      <c r="I112" s="547">
        <v>-441163798</v>
      </c>
      <c r="J112" s="547">
        <v>-709781825</v>
      </c>
      <c r="K112" s="547"/>
      <c r="L112" s="547"/>
      <c r="M112" s="547"/>
      <c r="N112" s="547"/>
      <c r="O112" s="547"/>
      <c r="P112" s="547"/>
      <c r="Q112" s="812">
        <f t="shared" si="4"/>
        <v>-618086445</v>
      </c>
      <c r="R112" s="547">
        <v>-2208974033</v>
      </c>
      <c r="S112" s="812">
        <f t="shared" si="6"/>
        <v>-618</v>
      </c>
      <c r="T112" s="547">
        <f t="shared" si="6"/>
        <v>-2209</v>
      </c>
      <c r="U112" s="566"/>
      <c r="V112" s="567"/>
      <c r="W112" s="812">
        <f t="shared" si="7"/>
        <v>-618086445</v>
      </c>
      <c r="X112" s="812">
        <f t="shared" si="5"/>
        <v>-618</v>
      </c>
    </row>
    <row r="113" spans="1:24" ht="27" customHeight="1">
      <c r="A113" s="531"/>
      <c r="B113" s="531">
        <v>401</v>
      </c>
      <c r="C113" s="529">
        <v>4</v>
      </c>
      <c r="D113" s="530" t="s">
        <v>556</v>
      </c>
      <c r="E113" s="531" t="s">
        <v>956</v>
      </c>
      <c r="F113" s="547">
        <v>22968515744</v>
      </c>
      <c r="G113" s="547">
        <v>-767172912</v>
      </c>
      <c r="H113" s="547">
        <f>67213199532-67218447532</f>
        <v>-5248000</v>
      </c>
      <c r="I113" s="547">
        <v>-22184830638</v>
      </c>
      <c r="J113" s="547">
        <v>-7081394</v>
      </c>
      <c r="K113" s="547"/>
      <c r="L113" s="547"/>
      <c r="M113" s="547"/>
      <c r="N113" s="547"/>
      <c r="O113" s="547"/>
      <c r="P113" s="547"/>
      <c r="Q113" s="812">
        <f t="shared" si="4"/>
        <v>4182800</v>
      </c>
      <c r="R113" s="547">
        <v>0</v>
      </c>
      <c r="S113" s="812">
        <f t="shared" si="6"/>
        <v>4</v>
      </c>
      <c r="T113" s="547">
        <f t="shared" si="6"/>
        <v>0</v>
      </c>
      <c r="U113" s="566"/>
      <c r="V113" s="567"/>
      <c r="W113" s="812">
        <f t="shared" si="7"/>
        <v>4182800</v>
      </c>
      <c r="X113" s="812">
        <f t="shared" si="5"/>
        <v>4</v>
      </c>
    </row>
    <row r="114" spans="1:24" ht="27" customHeight="1">
      <c r="A114" s="531"/>
      <c r="B114" s="531">
        <v>402</v>
      </c>
      <c r="C114" s="529">
        <v>4</v>
      </c>
      <c r="D114" s="530" t="s">
        <v>48</v>
      </c>
      <c r="E114" s="531" t="s">
        <v>49</v>
      </c>
      <c r="F114" s="547">
        <v>10608448586</v>
      </c>
      <c r="G114" s="547">
        <v>0</v>
      </c>
      <c r="H114" s="547"/>
      <c r="I114" s="547"/>
      <c r="J114" s="547"/>
      <c r="K114" s="547"/>
      <c r="L114" s="547"/>
      <c r="M114" s="547"/>
      <c r="N114" s="547"/>
      <c r="O114" s="547"/>
      <c r="P114" s="547"/>
      <c r="Q114" s="812">
        <f t="shared" si="4"/>
        <v>10608448586</v>
      </c>
      <c r="R114" s="547">
        <v>10608448586</v>
      </c>
      <c r="S114" s="812">
        <f t="shared" si="6"/>
        <v>10608</v>
      </c>
      <c r="T114" s="547">
        <f t="shared" si="6"/>
        <v>10608</v>
      </c>
      <c r="U114" s="566"/>
      <c r="V114" s="567"/>
      <c r="W114" s="812">
        <f t="shared" si="7"/>
        <v>10608448586</v>
      </c>
      <c r="X114" s="812">
        <f t="shared" si="5"/>
        <v>10608</v>
      </c>
    </row>
    <row r="115" spans="1:24" ht="27" customHeight="1">
      <c r="A115" s="531"/>
      <c r="B115" s="531">
        <v>1024</v>
      </c>
      <c r="C115" s="529">
        <v>10</v>
      </c>
      <c r="D115" s="530" t="s">
        <v>50</v>
      </c>
      <c r="E115" s="531" t="s">
        <v>205</v>
      </c>
      <c r="F115" s="547">
        <v>-33557959949</v>
      </c>
      <c r="G115" s="547">
        <v>6681728381</v>
      </c>
      <c r="H115" s="547">
        <f>48720000-17337361190</f>
        <v>-17288641190</v>
      </c>
      <c r="I115" s="547">
        <v>349999736</v>
      </c>
      <c r="J115" s="547"/>
      <c r="K115" s="547"/>
      <c r="L115" s="547"/>
      <c r="M115" s="547"/>
      <c r="N115" s="547"/>
      <c r="O115" s="547"/>
      <c r="P115" s="547"/>
      <c r="Q115" s="812">
        <f t="shared" si="4"/>
        <v>-43814873022</v>
      </c>
      <c r="R115" s="547">
        <v>-66298693812</v>
      </c>
      <c r="S115" s="812">
        <f t="shared" si="6"/>
        <v>-43815</v>
      </c>
      <c r="T115" s="547">
        <f t="shared" si="6"/>
        <v>-66299</v>
      </c>
      <c r="U115" s="566"/>
      <c r="V115" s="567"/>
      <c r="W115" s="812">
        <f t="shared" si="7"/>
        <v>-43814873022</v>
      </c>
      <c r="X115" s="812">
        <f t="shared" si="5"/>
        <v>-43815</v>
      </c>
    </row>
    <row r="116" spans="1:24" ht="27" customHeight="1">
      <c r="A116" s="531"/>
      <c r="B116" s="531">
        <v>404</v>
      </c>
      <c r="C116" s="529">
        <v>4</v>
      </c>
      <c r="D116" s="530" t="s">
        <v>51</v>
      </c>
      <c r="E116" s="531" t="s">
        <v>155</v>
      </c>
      <c r="F116" s="547">
        <v>50500107179</v>
      </c>
      <c r="G116" s="547">
        <v>2519003024</v>
      </c>
      <c r="H116" s="547">
        <v>1131363083</v>
      </c>
      <c r="I116" s="547">
        <v>-37970944</v>
      </c>
      <c r="J116" s="547">
        <v>613366391</v>
      </c>
      <c r="K116" s="547"/>
      <c r="L116" s="547"/>
      <c r="M116" s="547"/>
      <c r="N116" s="547"/>
      <c r="O116" s="547"/>
      <c r="P116" s="547"/>
      <c r="Q116" s="812">
        <f t="shared" si="4"/>
        <v>54725868733</v>
      </c>
      <c r="R116" s="547">
        <v>38584669497</v>
      </c>
      <c r="S116" s="812">
        <f t="shared" si="6"/>
        <v>54726</v>
      </c>
      <c r="T116" s="547">
        <f t="shared" si="6"/>
        <v>38585</v>
      </c>
      <c r="U116" s="566"/>
      <c r="V116" s="567"/>
      <c r="W116" s="812">
        <f t="shared" si="7"/>
        <v>54725868733</v>
      </c>
      <c r="X116" s="812">
        <f t="shared" si="5"/>
        <v>54726</v>
      </c>
    </row>
    <row r="117" spans="1:24" ht="27" customHeight="1">
      <c r="A117" s="531"/>
      <c r="B117" s="531">
        <v>406</v>
      </c>
      <c r="C117" s="529">
        <v>4</v>
      </c>
      <c r="D117" s="530" t="s">
        <v>52</v>
      </c>
      <c r="E117" s="531" t="s">
        <v>206</v>
      </c>
      <c r="F117" s="547">
        <v>4041733401</v>
      </c>
      <c r="G117" s="547">
        <v>2520696166</v>
      </c>
      <c r="H117" s="547"/>
      <c r="I117" s="547"/>
      <c r="J117" s="547"/>
      <c r="K117" s="547"/>
      <c r="L117" s="547"/>
      <c r="M117" s="547"/>
      <c r="N117" s="547"/>
      <c r="O117" s="547"/>
      <c r="P117" s="547"/>
      <c r="Q117" s="812">
        <f t="shared" si="4"/>
        <v>6562429567</v>
      </c>
      <c r="R117" s="547">
        <v>2018966716</v>
      </c>
      <c r="S117" s="812">
        <f t="shared" si="6"/>
        <v>6562</v>
      </c>
      <c r="T117" s="547">
        <f t="shared" si="6"/>
        <v>2019</v>
      </c>
      <c r="U117" s="566"/>
      <c r="V117" s="567"/>
      <c r="W117" s="812">
        <f t="shared" si="7"/>
        <v>6562429567</v>
      </c>
      <c r="X117" s="812">
        <f t="shared" si="5"/>
        <v>6562</v>
      </c>
    </row>
    <row r="118" spans="1:24" ht="27" customHeight="1">
      <c r="A118" s="531"/>
      <c r="B118" s="531">
        <v>403</v>
      </c>
      <c r="C118" s="529">
        <v>4</v>
      </c>
      <c r="D118" s="530" t="s">
        <v>53</v>
      </c>
      <c r="E118" s="531" t="s">
        <v>756</v>
      </c>
      <c r="F118" s="547">
        <v>4487024463</v>
      </c>
      <c r="G118" s="547">
        <v>-4487024457</v>
      </c>
      <c r="H118" s="547"/>
      <c r="I118" s="547"/>
      <c r="J118" s="547"/>
      <c r="K118" s="547"/>
      <c r="L118" s="547"/>
      <c r="M118" s="547"/>
      <c r="N118" s="547"/>
      <c r="O118" s="547"/>
      <c r="P118" s="547"/>
      <c r="Q118" s="812">
        <f t="shared" si="4"/>
        <v>6</v>
      </c>
      <c r="R118" s="547">
        <v>17614317287</v>
      </c>
      <c r="S118" s="812">
        <f t="shared" si="6"/>
        <v>0</v>
      </c>
      <c r="T118" s="547">
        <f t="shared" si="6"/>
        <v>17614</v>
      </c>
      <c r="U118" s="566"/>
      <c r="V118" s="567"/>
      <c r="W118" s="812">
        <f t="shared" si="7"/>
        <v>6</v>
      </c>
      <c r="X118" s="812">
        <f t="shared" si="5"/>
        <v>0</v>
      </c>
    </row>
    <row r="119" spans="1:24" ht="27" customHeight="1">
      <c r="A119" s="531"/>
      <c r="B119" s="531">
        <v>406</v>
      </c>
      <c r="C119" s="529">
        <v>4</v>
      </c>
      <c r="D119" s="530" t="s">
        <v>55</v>
      </c>
      <c r="E119" s="531" t="s">
        <v>547</v>
      </c>
      <c r="F119" s="547">
        <v>830173309</v>
      </c>
      <c r="G119" s="547">
        <v>128250</v>
      </c>
      <c r="H119" s="547"/>
      <c r="I119" s="547">
        <v>-76950</v>
      </c>
      <c r="J119" s="547"/>
      <c r="K119" s="547"/>
      <c r="L119" s="547"/>
      <c r="M119" s="547"/>
      <c r="N119" s="547"/>
      <c r="O119" s="547"/>
      <c r="P119" s="547"/>
      <c r="Q119" s="812">
        <f t="shared" si="4"/>
        <v>830224609</v>
      </c>
      <c r="R119" s="547">
        <v>425865673</v>
      </c>
      <c r="S119" s="812">
        <f t="shared" si="6"/>
        <v>830</v>
      </c>
      <c r="T119" s="547">
        <f t="shared" si="6"/>
        <v>426</v>
      </c>
      <c r="U119" s="566"/>
      <c r="V119" s="567"/>
      <c r="W119" s="812">
        <f t="shared" si="7"/>
        <v>830224609</v>
      </c>
      <c r="X119" s="812">
        <f t="shared" si="5"/>
        <v>830</v>
      </c>
    </row>
    <row r="120" spans="1:24" ht="27" customHeight="1">
      <c r="A120" s="531"/>
      <c r="B120" s="531">
        <v>1009</v>
      </c>
      <c r="C120" s="529">
        <v>10</v>
      </c>
      <c r="D120" s="530" t="s">
        <v>56</v>
      </c>
      <c r="E120" s="531" t="s">
        <v>597</v>
      </c>
      <c r="F120" s="547"/>
      <c r="G120" s="547"/>
      <c r="H120" s="547"/>
      <c r="I120" s="547"/>
      <c r="J120" s="547"/>
      <c r="K120" s="547"/>
      <c r="L120" s="547"/>
      <c r="M120" s="547"/>
      <c r="N120" s="547"/>
      <c r="O120" s="547"/>
      <c r="P120" s="547"/>
      <c r="Q120" s="812">
        <f t="shared" si="4"/>
        <v>0</v>
      </c>
      <c r="R120" s="547">
        <v>-1937100</v>
      </c>
      <c r="S120" s="812">
        <f t="shared" si="6"/>
        <v>0</v>
      </c>
      <c r="T120" s="547">
        <f t="shared" si="6"/>
        <v>-2</v>
      </c>
      <c r="U120" s="566"/>
      <c r="V120" s="567"/>
      <c r="W120" s="812">
        <f t="shared" si="7"/>
        <v>0</v>
      </c>
      <c r="X120" s="812">
        <f t="shared" si="5"/>
        <v>0</v>
      </c>
    </row>
    <row r="121" spans="1:24" ht="27" customHeight="1">
      <c r="A121" s="531"/>
      <c r="B121" s="531">
        <v>1001</v>
      </c>
      <c r="C121" s="529">
        <v>10</v>
      </c>
      <c r="D121" s="530" t="s">
        <v>714</v>
      </c>
      <c r="E121" s="531" t="s">
        <v>715</v>
      </c>
      <c r="F121" s="547">
        <v>-142424657</v>
      </c>
      <c r="G121" s="547"/>
      <c r="H121" s="547">
        <v>-265828577</v>
      </c>
      <c r="I121" s="547"/>
      <c r="J121" s="547"/>
      <c r="K121" s="547"/>
      <c r="L121" s="547"/>
      <c r="M121" s="547"/>
      <c r="N121" s="547"/>
      <c r="O121" s="547"/>
      <c r="P121" s="547"/>
      <c r="Q121" s="812">
        <f t="shared" si="4"/>
        <v>-408253234</v>
      </c>
      <c r="R121" s="547">
        <v>46</v>
      </c>
      <c r="S121" s="812">
        <f t="shared" si="6"/>
        <v>-408</v>
      </c>
      <c r="T121" s="547">
        <f t="shared" si="6"/>
        <v>0</v>
      </c>
      <c r="U121" s="566"/>
      <c r="V121" s="567"/>
      <c r="W121" s="812">
        <f t="shared" si="7"/>
        <v>-408253234</v>
      </c>
      <c r="X121" s="812">
        <f t="shared" si="5"/>
        <v>-408</v>
      </c>
    </row>
    <row r="122" spans="1:24" ht="27" customHeight="1">
      <c r="A122" s="531"/>
      <c r="B122" s="531">
        <v>406</v>
      </c>
      <c r="C122" s="529">
        <v>4</v>
      </c>
      <c r="D122" s="530" t="s">
        <v>412</v>
      </c>
      <c r="E122" s="531" t="s">
        <v>17</v>
      </c>
      <c r="F122" s="547">
        <v>27206400</v>
      </c>
      <c r="G122" s="547">
        <v>-23805600</v>
      </c>
      <c r="H122" s="547"/>
      <c r="I122" s="547"/>
      <c r="J122" s="547"/>
      <c r="K122" s="547"/>
      <c r="L122" s="547"/>
      <c r="M122" s="547"/>
      <c r="N122" s="547"/>
      <c r="O122" s="547"/>
      <c r="P122" s="547"/>
      <c r="Q122" s="812">
        <f t="shared" si="4"/>
        <v>3400800</v>
      </c>
      <c r="R122" s="547">
        <v>13603200</v>
      </c>
      <c r="S122" s="812">
        <f t="shared" si="6"/>
        <v>3</v>
      </c>
      <c r="T122" s="547">
        <f t="shared" si="6"/>
        <v>14</v>
      </c>
      <c r="U122" s="566"/>
      <c r="V122" s="567"/>
      <c r="W122" s="812">
        <f t="shared" si="7"/>
        <v>3400800</v>
      </c>
      <c r="X122" s="812">
        <f t="shared" si="5"/>
        <v>3</v>
      </c>
    </row>
    <row r="123" spans="1:24" ht="27" customHeight="1">
      <c r="A123" s="531"/>
      <c r="B123" s="531">
        <v>1025</v>
      </c>
      <c r="C123" s="529">
        <v>10</v>
      </c>
      <c r="D123" s="530" t="s">
        <v>57</v>
      </c>
      <c r="E123" s="531" t="s">
        <v>137</v>
      </c>
      <c r="F123" s="547">
        <v>-8126476004</v>
      </c>
      <c r="G123" s="547">
        <v>-870095552</v>
      </c>
      <c r="H123" s="547"/>
      <c r="I123" s="547"/>
      <c r="J123" s="547"/>
      <c r="K123" s="547"/>
      <c r="L123" s="547"/>
      <c r="M123" s="547"/>
      <c r="N123" s="547"/>
      <c r="O123" s="547"/>
      <c r="P123" s="547"/>
      <c r="Q123" s="812">
        <f t="shared" si="4"/>
        <v>-8996571556</v>
      </c>
      <c r="R123" s="547">
        <v>-8307854868</v>
      </c>
      <c r="S123" s="812">
        <f t="shared" si="6"/>
        <v>-8997</v>
      </c>
      <c r="T123" s="547">
        <f t="shared" si="6"/>
        <v>-8308</v>
      </c>
      <c r="U123" s="566"/>
      <c r="V123" s="567"/>
      <c r="W123" s="812">
        <f t="shared" si="7"/>
        <v>-8996571556</v>
      </c>
      <c r="X123" s="812">
        <f t="shared" si="5"/>
        <v>-8997</v>
      </c>
    </row>
    <row r="124" spans="1:24" ht="27" customHeight="1">
      <c r="A124" s="531"/>
      <c r="B124" s="531">
        <v>407</v>
      </c>
      <c r="C124" s="529">
        <v>4</v>
      </c>
      <c r="D124" s="530" t="s">
        <v>58</v>
      </c>
      <c r="E124" s="531" t="s">
        <v>139</v>
      </c>
      <c r="F124" s="547">
        <v>-2154867102107</v>
      </c>
      <c r="G124" s="547"/>
      <c r="H124" s="547">
        <v>2154867102107</v>
      </c>
      <c r="I124" s="547"/>
      <c r="J124" s="547"/>
      <c r="K124" s="547"/>
      <c r="L124" s="547"/>
      <c r="M124" s="547"/>
      <c r="N124" s="547"/>
      <c r="O124" s="547"/>
      <c r="P124" s="547"/>
      <c r="Q124" s="812">
        <f t="shared" si="4"/>
        <v>0</v>
      </c>
      <c r="R124" s="547">
        <v>-345354084592</v>
      </c>
      <c r="S124" s="812">
        <f t="shared" si="6"/>
        <v>0</v>
      </c>
      <c r="T124" s="547">
        <f t="shared" si="6"/>
        <v>-345354</v>
      </c>
      <c r="U124" s="566"/>
      <c r="V124" s="567"/>
      <c r="W124" s="812">
        <f t="shared" si="7"/>
        <v>0</v>
      </c>
      <c r="X124" s="812">
        <f t="shared" si="5"/>
        <v>0</v>
      </c>
    </row>
    <row r="125" spans="1:24" ht="27" customHeight="1">
      <c r="A125" s="531"/>
      <c r="B125" s="531">
        <v>407</v>
      </c>
      <c r="C125" s="529">
        <v>4</v>
      </c>
      <c r="D125" s="530" t="s">
        <v>1364</v>
      </c>
      <c r="E125" s="531" t="s">
        <v>1365</v>
      </c>
      <c r="F125" s="547">
        <v>2218038002457</v>
      </c>
      <c r="G125" s="547">
        <v>7190788630</v>
      </c>
      <c r="H125" s="547">
        <f>862437000-2155928648607</f>
        <v>-2155066211607</v>
      </c>
      <c r="I125" s="547">
        <v>76951816567</v>
      </c>
      <c r="J125" s="547"/>
      <c r="K125" s="547"/>
      <c r="L125" s="547"/>
      <c r="M125" s="547"/>
      <c r="N125" s="547"/>
      <c r="O125" s="547"/>
      <c r="P125" s="547"/>
      <c r="Q125" s="812">
        <f t="shared" si="4"/>
        <v>147114396047</v>
      </c>
      <c r="R125" s="547">
        <v>471349075867</v>
      </c>
      <c r="S125" s="812">
        <f t="shared" si="6"/>
        <v>147114</v>
      </c>
      <c r="T125" s="547">
        <f t="shared" si="6"/>
        <v>471349</v>
      </c>
      <c r="U125" s="566"/>
      <c r="V125" s="567"/>
      <c r="W125" s="812">
        <f t="shared" si="7"/>
        <v>147114396047</v>
      </c>
      <c r="X125" s="812">
        <f t="shared" si="5"/>
        <v>147114</v>
      </c>
    </row>
    <row r="126" spans="1:24" ht="27" customHeight="1">
      <c r="A126" s="531"/>
      <c r="B126" s="531">
        <v>10040</v>
      </c>
      <c r="C126" s="529">
        <v>4</v>
      </c>
      <c r="D126" s="530" t="s">
        <v>59</v>
      </c>
      <c r="E126" s="531" t="s">
        <v>342</v>
      </c>
      <c r="F126" s="547">
        <v>5780890941612</v>
      </c>
      <c r="G126" s="547">
        <v>180071807531</v>
      </c>
      <c r="H126" s="547">
        <f>50771703-292695838</f>
        <v>-241924135</v>
      </c>
      <c r="I126" s="547">
        <v>-160085654524</v>
      </c>
      <c r="J126" s="547">
        <v>197711302427</v>
      </c>
      <c r="K126" s="547">
        <v>-49659986327</v>
      </c>
      <c r="L126" s="547"/>
      <c r="M126" s="547"/>
      <c r="N126" s="547">
        <f>-78918155730-892598785000</f>
        <v>-971516940730</v>
      </c>
      <c r="O126" s="547">
        <f>49659986327-344614164285</f>
        <v>-294954177958</v>
      </c>
      <c r="P126" s="547"/>
      <c r="Q126" s="547">
        <f t="shared" si="4"/>
        <v>4682215367896</v>
      </c>
      <c r="R126" s="547">
        <v>-2522192687949</v>
      </c>
      <c r="S126" s="547">
        <f t="shared" si="6"/>
        <v>4682215</v>
      </c>
      <c r="T126" s="547">
        <f t="shared" si="6"/>
        <v>-2522193</v>
      </c>
      <c r="U126" s="566"/>
      <c r="V126" s="567"/>
      <c r="W126" s="812">
        <f t="shared" si="7"/>
        <v>4682215367896</v>
      </c>
      <c r="X126" s="812">
        <f t="shared" si="5"/>
        <v>4682215</v>
      </c>
    </row>
    <row r="127" spans="1:24" ht="27" customHeight="1">
      <c r="A127" s="531"/>
      <c r="B127" s="531">
        <v>10040</v>
      </c>
      <c r="C127" s="529">
        <v>4</v>
      </c>
      <c r="D127" s="530" t="s">
        <v>59</v>
      </c>
      <c r="E127" s="531" t="s">
        <v>922</v>
      </c>
      <c r="F127" s="547"/>
      <c r="G127" s="547"/>
      <c r="H127" s="547"/>
      <c r="I127" s="547"/>
      <c r="J127" s="547"/>
      <c r="K127" s="547"/>
      <c r="L127" s="547"/>
      <c r="M127" s="547"/>
      <c r="N127" s="547"/>
      <c r="O127" s="547"/>
      <c r="P127" s="547"/>
      <c r="Q127" s="547">
        <f t="shared" si="4"/>
        <v>0</v>
      </c>
      <c r="R127" s="547">
        <v>0</v>
      </c>
      <c r="S127" s="547">
        <f t="shared" si="6"/>
        <v>0</v>
      </c>
      <c r="T127" s="547">
        <f t="shared" si="6"/>
        <v>0</v>
      </c>
      <c r="U127" s="566"/>
      <c r="V127" s="567"/>
      <c r="W127" s="812">
        <f t="shared" si="7"/>
        <v>0</v>
      </c>
      <c r="X127" s="812">
        <f t="shared" si="5"/>
        <v>0</v>
      </c>
    </row>
    <row r="128" spans="1:24" ht="27" customHeight="1">
      <c r="A128" s="531"/>
      <c r="B128" s="531">
        <v>10040</v>
      </c>
      <c r="C128" s="529">
        <v>4</v>
      </c>
      <c r="D128" s="530" t="s">
        <v>59</v>
      </c>
      <c r="E128" s="531" t="s">
        <v>922</v>
      </c>
      <c r="F128" s="547"/>
      <c r="G128" s="547"/>
      <c r="H128" s="547"/>
      <c r="I128" s="547"/>
      <c r="J128" s="547"/>
      <c r="K128" s="547"/>
      <c r="L128" s="547"/>
      <c r="M128" s="547"/>
      <c r="N128" s="547"/>
      <c r="O128" s="547"/>
      <c r="P128" s="547"/>
      <c r="Q128" s="547">
        <f t="shared" si="4"/>
        <v>0</v>
      </c>
      <c r="R128" s="547">
        <v>0</v>
      </c>
      <c r="S128" s="547">
        <f t="shared" si="6"/>
        <v>0</v>
      </c>
      <c r="T128" s="547">
        <f t="shared" si="6"/>
        <v>0</v>
      </c>
      <c r="U128" s="566"/>
      <c r="V128" s="567"/>
      <c r="W128" s="812">
        <f t="shared" si="7"/>
        <v>0</v>
      </c>
      <c r="X128" s="812">
        <f t="shared" si="5"/>
        <v>0</v>
      </c>
    </row>
    <row r="129" spans="1:24" ht="27" customHeight="1">
      <c r="A129" s="531"/>
      <c r="B129" s="531">
        <v>406</v>
      </c>
      <c r="C129" s="529">
        <v>4</v>
      </c>
      <c r="D129" s="530" t="s">
        <v>378</v>
      </c>
      <c r="E129" s="531" t="s">
        <v>957</v>
      </c>
      <c r="F129" s="547">
        <v>57960900</v>
      </c>
      <c r="G129" s="547"/>
      <c r="H129" s="547"/>
      <c r="I129" s="547"/>
      <c r="J129" s="547"/>
      <c r="K129" s="547"/>
      <c r="L129" s="547"/>
      <c r="M129" s="547"/>
      <c r="N129" s="547"/>
      <c r="O129" s="547"/>
      <c r="P129" s="547"/>
      <c r="Q129" s="812">
        <f t="shared" si="4"/>
        <v>57960900</v>
      </c>
      <c r="R129" s="547">
        <v>0</v>
      </c>
      <c r="S129" s="812">
        <f t="shared" si="6"/>
        <v>58</v>
      </c>
      <c r="T129" s="547">
        <f t="shared" si="6"/>
        <v>0</v>
      </c>
      <c r="U129" s="566"/>
      <c r="V129" s="567"/>
      <c r="W129" s="812">
        <f t="shared" si="7"/>
        <v>57960900</v>
      </c>
      <c r="X129" s="812">
        <f t="shared" si="5"/>
        <v>58</v>
      </c>
    </row>
    <row r="130" spans="1:24" ht="27" customHeight="1">
      <c r="A130" s="531"/>
      <c r="B130" s="531">
        <v>1022</v>
      </c>
      <c r="C130" s="529">
        <v>4</v>
      </c>
      <c r="D130" s="530" t="s">
        <v>60</v>
      </c>
      <c r="E130" s="531" t="s">
        <v>1366</v>
      </c>
      <c r="F130" s="547">
        <v>264426000079</v>
      </c>
      <c r="G130" s="547">
        <v>-79532220</v>
      </c>
      <c r="H130" s="547">
        <v>-72909373</v>
      </c>
      <c r="I130" s="547">
        <v>-1142815516</v>
      </c>
      <c r="J130" s="547"/>
      <c r="K130" s="547">
        <f>219765387</f>
        <v>219765387</v>
      </c>
      <c r="L130" s="547"/>
      <c r="M130" s="547"/>
      <c r="N130" s="547"/>
      <c r="O130" s="547"/>
      <c r="P130" s="547"/>
      <c r="Q130" s="812">
        <f t="shared" si="4"/>
        <v>263350508357</v>
      </c>
      <c r="R130" s="547">
        <v>262538144441</v>
      </c>
      <c r="S130" s="812">
        <f t="shared" si="6"/>
        <v>263351</v>
      </c>
      <c r="T130" s="547">
        <f t="shared" si="6"/>
        <v>262538</v>
      </c>
      <c r="U130" s="566"/>
      <c r="V130" s="567"/>
      <c r="W130" s="812">
        <f t="shared" si="7"/>
        <v>263350508357</v>
      </c>
      <c r="X130" s="812">
        <f t="shared" si="5"/>
        <v>263351</v>
      </c>
    </row>
    <row r="131" spans="1:24" ht="27" customHeight="1">
      <c r="A131" s="531"/>
      <c r="B131" s="531">
        <v>1022</v>
      </c>
      <c r="C131" s="529">
        <v>4</v>
      </c>
      <c r="D131" s="530" t="s">
        <v>1322</v>
      </c>
      <c r="E131" s="531" t="s">
        <v>777</v>
      </c>
      <c r="F131" s="547">
        <v>4159155645468</v>
      </c>
      <c r="G131" s="547">
        <v>752546881000</v>
      </c>
      <c r="H131" s="547"/>
      <c r="I131" s="547">
        <v>-4864751753069</v>
      </c>
      <c r="J131" s="547"/>
      <c r="K131" s="547">
        <f>-219765387</f>
        <v>-219765387</v>
      </c>
      <c r="L131" s="547"/>
      <c r="M131" s="547"/>
      <c r="N131" s="547">
        <f>-150882514835+892598785000</f>
        <v>741716270165</v>
      </c>
      <c r="O131" s="547"/>
      <c r="P131" s="547"/>
      <c r="Q131" s="812">
        <f t="shared" si="4"/>
        <v>788447278177</v>
      </c>
      <c r="R131" s="547">
        <v>-545017702533</v>
      </c>
      <c r="S131" s="812">
        <f t="shared" si="6"/>
        <v>788447</v>
      </c>
      <c r="T131" s="547">
        <f t="shared" si="6"/>
        <v>-545018</v>
      </c>
      <c r="U131" s="566"/>
      <c r="V131" s="567"/>
      <c r="W131" s="812">
        <f t="shared" si="7"/>
        <v>788447278177</v>
      </c>
      <c r="X131" s="812">
        <f t="shared" si="5"/>
        <v>788447</v>
      </c>
    </row>
    <row r="132" spans="1:24" ht="27" customHeight="1">
      <c r="A132" s="531"/>
      <c r="B132" s="531">
        <v>406</v>
      </c>
      <c r="C132" s="529">
        <v>4</v>
      </c>
      <c r="D132" s="530" t="s">
        <v>565</v>
      </c>
      <c r="E132" s="531" t="s">
        <v>566</v>
      </c>
      <c r="F132" s="547">
        <v>1838070340</v>
      </c>
      <c r="G132" s="547">
        <v>0</v>
      </c>
      <c r="H132" s="547"/>
      <c r="I132" s="547"/>
      <c r="J132" s="547"/>
      <c r="K132" s="547"/>
      <c r="L132" s="547"/>
      <c r="M132" s="547"/>
      <c r="N132" s="547"/>
      <c r="O132" s="547"/>
      <c r="P132" s="547"/>
      <c r="Q132" s="812">
        <f t="shared" ref="Q132:Q195" si="8">SUM(F132:P132)</f>
        <v>1838070340</v>
      </c>
      <c r="R132" s="547">
        <v>1714875360</v>
      </c>
      <c r="S132" s="812">
        <f t="shared" si="6"/>
        <v>1838</v>
      </c>
      <c r="T132" s="547">
        <f t="shared" si="6"/>
        <v>1715</v>
      </c>
      <c r="U132" s="566"/>
      <c r="V132" s="567"/>
      <c r="W132" s="812">
        <f t="shared" si="7"/>
        <v>1838070340</v>
      </c>
      <c r="X132" s="812">
        <f t="shared" ref="X132:X195" si="9">ROUND((W132/1000000),0)</f>
        <v>1838</v>
      </c>
    </row>
    <row r="133" spans="1:24" ht="27" customHeight="1">
      <c r="A133" s="531"/>
      <c r="B133" s="531">
        <v>1001</v>
      </c>
      <c r="C133" s="529">
        <v>10</v>
      </c>
      <c r="D133" s="530" t="s">
        <v>567</v>
      </c>
      <c r="E133" s="531" t="s">
        <v>776</v>
      </c>
      <c r="F133" s="547">
        <v>-251533549</v>
      </c>
      <c r="G133" s="547">
        <v>-254506905</v>
      </c>
      <c r="H133" s="547">
        <v>-10763226</v>
      </c>
      <c r="I133" s="547"/>
      <c r="J133" s="547"/>
      <c r="K133" s="547"/>
      <c r="L133" s="547"/>
      <c r="M133" s="547"/>
      <c r="N133" s="547"/>
      <c r="O133" s="547"/>
      <c r="P133" s="547"/>
      <c r="Q133" s="812">
        <f t="shared" si="8"/>
        <v>-516803680</v>
      </c>
      <c r="R133" s="547">
        <v>-1310417890</v>
      </c>
      <c r="S133" s="812">
        <f t="shared" si="6"/>
        <v>-517</v>
      </c>
      <c r="T133" s="547">
        <f t="shared" si="6"/>
        <v>-1310</v>
      </c>
      <c r="U133" s="566"/>
      <c r="V133" s="567"/>
      <c r="W133" s="812">
        <f t="shared" si="7"/>
        <v>-516803680</v>
      </c>
      <c r="X133" s="812">
        <f t="shared" si="9"/>
        <v>-517</v>
      </c>
    </row>
    <row r="134" spans="1:24" ht="27" customHeight="1">
      <c r="A134" s="531"/>
      <c r="B134" s="531">
        <v>406</v>
      </c>
      <c r="C134" s="529">
        <v>4</v>
      </c>
      <c r="D134" s="530" t="s">
        <v>361</v>
      </c>
      <c r="E134" s="531" t="s">
        <v>253</v>
      </c>
      <c r="F134" s="547"/>
      <c r="G134" s="547"/>
      <c r="H134" s="547"/>
      <c r="I134" s="547"/>
      <c r="J134" s="547"/>
      <c r="K134" s="547"/>
      <c r="L134" s="547"/>
      <c r="M134" s="547"/>
      <c r="N134" s="547"/>
      <c r="O134" s="547"/>
      <c r="P134" s="547"/>
      <c r="Q134" s="812">
        <f t="shared" si="8"/>
        <v>0</v>
      </c>
      <c r="R134" s="547">
        <v>0</v>
      </c>
      <c r="S134" s="812">
        <f t="shared" si="6"/>
        <v>0</v>
      </c>
      <c r="T134" s="547">
        <f t="shared" si="6"/>
        <v>0</v>
      </c>
      <c r="U134" s="566"/>
      <c r="V134" s="567"/>
      <c r="W134" s="812">
        <f t="shared" si="7"/>
        <v>0</v>
      </c>
      <c r="X134" s="812">
        <f t="shared" si="9"/>
        <v>0</v>
      </c>
    </row>
    <row r="135" spans="1:24" ht="27" customHeight="1">
      <c r="A135" s="531">
        <v>3214</v>
      </c>
      <c r="B135" s="531">
        <v>1028</v>
      </c>
      <c r="C135" s="529">
        <v>10</v>
      </c>
      <c r="D135" s="530" t="s">
        <v>568</v>
      </c>
      <c r="E135" s="531" t="s">
        <v>153</v>
      </c>
      <c r="F135" s="547">
        <v>-31418568071</v>
      </c>
      <c r="G135" s="547">
        <v>36450000</v>
      </c>
      <c r="H135" s="547">
        <v>-1059398507</v>
      </c>
      <c r="I135" s="547">
        <v>4522400000</v>
      </c>
      <c r="J135" s="547">
        <v>1000000</v>
      </c>
      <c r="K135" s="547"/>
      <c r="L135" s="547"/>
      <c r="M135" s="547"/>
      <c r="N135" s="547"/>
      <c r="O135" s="547"/>
      <c r="P135" s="547"/>
      <c r="Q135" s="812">
        <f t="shared" si="8"/>
        <v>-27918116578</v>
      </c>
      <c r="R135" s="547">
        <v>125244113940</v>
      </c>
      <c r="S135" s="812">
        <f t="shared" si="6"/>
        <v>-27918</v>
      </c>
      <c r="T135" s="547">
        <f t="shared" si="6"/>
        <v>125244</v>
      </c>
      <c r="U135" s="566"/>
      <c r="V135" s="567"/>
      <c r="W135" s="812">
        <f t="shared" si="7"/>
        <v>-27918116578</v>
      </c>
      <c r="X135" s="812">
        <f t="shared" si="9"/>
        <v>-27918</v>
      </c>
    </row>
    <row r="136" spans="1:24" ht="27" customHeight="1">
      <c r="A136" s="531"/>
      <c r="B136" s="531">
        <v>406</v>
      </c>
      <c r="C136" s="529">
        <v>4</v>
      </c>
      <c r="D136" s="530" t="s">
        <v>254</v>
      </c>
      <c r="E136" s="531" t="s">
        <v>958</v>
      </c>
      <c r="F136" s="547">
        <v>19017089977</v>
      </c>
      <c r="G136" s="547"/>
      <c r="H136" s="547"/>
      <c r="I136" s="547"/>
      <c r="J136" s="547"/>
      <c r="K136" s="547"/>
      <c r="L136" s="547"/>
      <c r="M136" s="547"/>
      <c r="N136" s="547"/>
      <c r="O136" s="547"/>
      <c r="P136" s="547"/>
      <c r="Q136" s="812">
        <f t="shared" si="8"/>
        <v>19017089977</v>
      </c>
      <c r="R136" s="547">
        <v>17215931290</v>
      </c>
      <c r="S136" s="812">
        <f t="shared" ref="S136:T201" si="10">ROUND((Q136/1000000),0)</f>
        <v>19017</v>
      </c>
      <c r="T136" s="547">
        <f t="shared" si="10"/>
        <v>17216</v>
      </c>
      <c r="U136" s="566"/>
      <c r="V136" s="567"/>
      <c r="W136" s="812">
        <f t="shared" si="7"/>
        <v>19017089977</v>
      </c>
      <c r="X136" s="812">
        <f t="shared" si="9"/>
        <v>19017</v>
      </c>
    </row>
    <row r="137" spans="1:24" ht="27" customHeight="1">
      <c r="A137" s="531"/>
      <c r="B137" s="531">
        <v>1001</v>
      </c>
      <c r="C137" s="529">
        <v>10</v>
      </c>
      <c r="D137" s="530" t="s">
        <v>569</v>
      </c>
      <c r="E137" s="531" t="s">
        <v>960</v>
      </c>
      <c r="F137" s="547"/>
      <c r="G137" s="547"/>
      <c r="H137" s="547"/>
      <c r="I137" s="547"/>
      <c r="J137" s="547"/>
      <c r="K137" s="547"/>
      <c r="L137" s="547"/>
      <c r="M137" s="547"/>
      <c r="N137" s="547"/>
      <c r="O137" s="547"/>
      <c r="P137" s="547"/>
      <c r="Q137" s="812">
        <f t="shared" si="8"/>
        <v>0</v>
      </c>
      <c r="R137" s="547">
        <v>-47653078</v>
      </c>
      <c r="S137" s="812">
        <f t="shared" si="10"/>
        <v>0</v>
      </c>
      <c r="T137" s="547">
        <f t="shared" si="10"/>
        <v>-48</v>
      </c>
      <c r="U137" s="566"/>
      <c r="V137" s="567"/>
      <c r="W137" s="812">
        <f t="shared" ref="W137:W202" si="11">Q137+V137-U137</f>
        <v>0</v>
      </c>
      <c r="X137" s="812">
        <f t="shared" si="9"/>
        <v>0</v>
      </c>
    </row>
    <row r="138" spans="1:24" ht="27" customHeight="1">
      <c r="A138" s="531"/>
      <c r="B138" s="531">
        <v>406</v>
      </c>
      <c r="C138" s="529">
        <v>4</v>
      </c>
      <c r="D138" s="530" t="s">
        <v>959</v>
      </c>
      <c r="E138" s="531" t="s">
        <v>961</v>
      </c>
      <c r="F138" s="547">
        <v>1818151118</v>
      </c>
      <c r="G138" s="547"/>
      <c r="H138" s="547"/>
      <c r="I138" s="547"/>
      <c r="J138" s="547"/>
      <c r="K138" s="547"/>
      <c r="L138" s="547"/>
      <c r="M138" s="547"/>
      <c r="N138" s="547"/>
      <c r="O138" s="547"/>
      <c r="P138" s="547"/>
      <c r="Q138" s="812">
        <f t="shared" si="8"/>
        <v>1818151118</v>
      </c>
      <c r="R138" s="547">
        <v>1153713868</v>
      </c>
      <c r="S138" s="812">
        <f t="shared" si="10"/>
        <v>1818</v>
      </c>
      <c r="T138" s="547">
        <f t="shared" si="10"/>
        <v>1154</v>
      </c>
      <c r="U138" s="566"/>
      <c r="V138" s="567"/>
      <c r="W138" s="812">
        <f t="shared" si="11"/>
        <v>1818151118</v>
      </c>
      <c r="X138" s="812">
        <f t="shared" si="9"/>
        <v>1818</v>
      </c>
    </row>
    <row r="139" spans="1:24" ht="27" customHeight="1">
      <c r="A139" s="531"/>
      <c r="B139" s="531">
        <v>406</v>
      </c>
      <c r="C139" s="529">
        <v>4</v>
      </c>
      <c r="D139" s="530" t="s">
        <v>732</v>
      </c>
      <c r="E139" s="531" t="s">
        <v>962</v>
      </c>
      <c r="F139" s="547"/>
      <c r="G139" s="547"/>
      <c r="H139" s="547"/>
      <c r="I139" s="547"/>
      <c r="J139" s="547"/>
      <c r="K139" s="547"/>
      <c r="L139" s="547"/>
      <c r="M139" s="547"/>
      <c r="N139" s="547"/>
      <c r="O139" s="547"/>
      <c r="P139" s="547"/>
      <c r="Q139" s="812">
        <f t="shared" si="8"/>
        <v>0</v>
      </c>
      <c r="R139" s="547">
        <v>659580150</v>
      </c>
      <c r="S139" s="812">
        <f t="shared" si="10"/>
        <v>0</v>
      </c>
      <c r="T139" s="547">
        <f t="shared" si="10"/>
        <v>660</v>
      </c>
      <c r="U139" s="566"/>
      <c r="V139" s="567"/>
      <c r="W139" s="812">
        <f t="shared" si="11"/>
        <v>0</v>
      </c>
      <c r="X139" s="812">
        <f t="shared" si="9"/>
        <v>0</v>
      </c>
    </row>
    <row r="140" spans="1:24" ht="27" customHeight="1">
      <c r="A140" s="531"/>
      <c r="B140" s="531">
        <v>406</v>
      </c>
      <c r="C140" s="529">
        <v>4</v>
      </c>
      <c r="D140" s="530" t="s">
        <v>570</v>
      </c>
      <c r="E140" s="531" t="s">
        <v>257</v>
      </c>
      <c r="F140" s="547">
        <v>591678100</v>
      </c>
      <c r="G140" s="547">
        <v>-8451000</v>
      </c>
      <c r="H140" s="547"/>
      <c r="I140" s="547"/>
      <c r="J140" s="547"/>
      <c r="K140" s="547"/>
      <c r="L140" s="547"/>
      <c r="M140" s="547"/>
      <c r="N140" s="547"/>
      <c r="O140" s="547"/>
      <c r="P140" s="547"/>
      <c r="Q140" s="812">
        <f t="shared" si="8"/>
        <v>583227100</v>
      </c>
      <c r="R140" s="547">
        <v>6237000</v>
      </c>
      <c r="S140" s="812">
        <f t="shared" si="10"/>
        <v>583</v>
      </c>
      <c r="T140" s="547">
        <f t="shared" si="10"/>
        <v>6</v>
      </c>
      <c r="U140" s="566"/>
      <c r="V140" s="567"/>
      <c r="W140" s="812">
        <f t="shared" si="11"/>
        <v>583227100</v>
      </c>
      <c r="X140" s="812">
        <f t="shared" si="9"/>
        <v>583</v>
      </c>
    </row>
    <row r="141" spans="1:24" ht="27" customHeight="1">
      <c r="A141" s="531"/>
      <c r="B141" s="531">
        <v>406</v>
      </c>
      <c r="C141" s="529">
        <v>4</v>
      </c>
      <c r="D141" s="530" t="s">
        <v>256</v>
      </c>
      <c r="E141" s="531" t="s">
        <v>258</v>
      </c>
      <c r="F141" s="547"/>
      <c r="G141" s="547"/>
      <c r="H141" s="547"/>
      <c r="I141" s="547"/>
      <c r="J141" s="547"/>
      <c r="K141" s="547"/>
      <c r="L141" s="547"/>
      <c r="M141" s="547"/>
      <c r="N141" s="547"/>
      <c r="O141" s="547"/>
      <c r="P141" s="547"/>
      <c r="Q141" s="812">
        <f t="shared" si="8"/>
        <v>0</v>
      </c>
      <c r="R141" s="547">
        <v>0</v>
      </c>
      <c r="S141" s="812">
        <f t="shared" si="10"/>
        <v>0</v>
      </c>
      <c r="T141" s="547">
        <f t="shared" si="10"/>
        <v>0</v>
      </c>
      <c r="U141" s="566"/>
      <c r="V141" s="567"/>
      <c r="W141" s="812">
        <f t="shared" si="11"/>
        <v>0</v>
      </c>
      <c r="X141" s="812">
        <f t="shared" si="9"/>
        <v>0</v>
      </c>
    </row>
    <row r="142" spans="1:24" ht="27" customHeight="1">
      <c r="A142" s="531"/>
      <c r="B142" s="531">
        <v>406</v>
      </c>
      <c r="C142" s="529">
        <v>4</v>
      </c>
      <c r="D142" s="530" t="s">
        <v>571</v>
      </c>
      <c r="E142" s="531" t="s">
        <v>259</v>
      </c>
      <c r="F142" s="547">
        <v>74120000</v>
      </c>
      <c r="G142" s="547"/>
      <c r="H142" s="547"/>
      <c r="I142" s="547"/>
      <c r="J142" s="547"/>
      <c r="K142" s="547"/>
      <c r="L142" s="547"/>
      <c r="M142" s="547"/>
      <c r="N142" s="547"/>
      <c r="O142" s="547"/>
      <c r="P142" s="547"/>
      <c r="Q142" s="812">
        <f t="shared" si="8"/>
        <v>74120000</v>
      </c>
      <c r="R142" s="547">
        <v>-50727994</v>
      </c>
      <c r="S142" s="812">
        <f t="shared" si="10"/>
        <v>74</v>
      </c>
      <c r="T142" s="547">
        <f t="shared" si="10"/>
        <v>-51</v>
      </c>
      <c r="U142" s="566"/>
      <c r="V142" s="567"/>
      <c r="W142" s="812">
        <f t="shared" si="11"/>
        <v>74120000</v>
      </c>
      <c r="X142" s="812">
        <f t="shared" si="9"/>
        <v>74</v>
      </c>
    </row>
    <row r="143" spans="1:24" ht="27" customHeight="1">
      <c r="A143" s="531"/>
      <c r="B143" s="531">
        <v>406</v>
      </c>
      <c r="C143" s="529">
        <v>4</v>
      </c>
      <c r="D143" s="530" t="s">
        <v>963</v>
      </c>
      <c r="E143" s="531" t="s">
        <v>964</v>
      </c>
      <c r="F143" s="547">
        <v>113374800</v>
      </c>
      <c r="G143" s="547"/>
      <c r="H143" s="547"/>
      <c r="I143" s="547"/>
      <c r="J143" s="547"/>
      <c r="K143" s="547"/>
      <c r="L143" s="547"/>
      <c r="M143" s="547"/>
      <c r="N143" s="547"/>
      <c r="O143" s="547"/>
      <c r="P143" s="547"/>
      <c r="Q143" s="812">
        <f t="shared" si="8"/>
        <v>113374800</v>
      </c>
      <c r="R143" s="547">
        <v>120997800</v>
      </c>
      <c r="S143" s="812">
        <f t="shared" si="10"/>
        <v>113</v>
      </c>
      <c r="T143" s="547">
        <f t="shared" si="10"/>
        <v>121</v>
      </c>
      <c r="U143" s="566"/>
      <c r="V143" s="567"/>
      <c r="W143" s="812">
        <f t="shared" si="11"/>
        <v>113374800</v>
      </c>
      <c r="X143" s="812">
        <f t="shared" si="9"/>
        <v>113</v>
      </c>
    </row>
    <row r="144" spans="1:24" ht="27" customHeight="1">
      <c r="A144" s="531"/>
      <c r="B144" s="531">
        <v>406</v>
      </c>
      <c r="C144" s="529">
        <v>4</v>
      </c>
      <c r="D144" s="530" t="s">
        <v>643</v>
      </c>
      <c r="E144" s="531" t="s">
        <v>642</v>
      </c>
      <c r="F144" s="547">
        <v>1214795820</v>
      </c>
      <c r="G144" s="547">
        <v>1572050000</v>
      </c>
      <c r="H144" s="547"/>
      <c r="I144" s="547"/>
      <c r="J144" s="547"/>
      <c r="K144" s="547"/>
      <c r="L144" s="547"/>
      <c r="M144" s="547"/>
      <c r="N144" s="547"/>
      <c r="O144" s="547"/>
      <c r="P144" s="547"/>
      <c r="Q144" s="812">
        <f t="shared" si="8"/>
        <v>2786845820</v>
      </c>
      <c r="R144" s="547">
        <v>118519900</v>
      </c>
      <c r="S144" s="812">
        <f t="shared" si="10"/>
        <v>2787</v>
      </c>
      <c r="T144" s="547">
        <f t="shared" si="10"/>
        <v>119</v>
      </c>
      <c r="U144" s="566"/>
      <c r="V144" s="567"/>
      <c r="W144" s="812">
        <f t="shared" si="11"/>
        <v>2786845820</v>
      </c>
      <c r="X144" s="812">
        <f t="shared" si="9"/>
        <v>2787</v>
      </c>
    </row>
    <row r="145" spans="1:24" ht="27" customHeight="1">
      <c r="A145" s="531"/>
      <c r="B145" s="531">
        <v>406</v>
      </c>
      <c r="C145" s="529">
        <v>4</v>
      </c>
      <c r="D145" s="530" t="s">
        <v>572</v>
      </c>
      <c r="E145" s="531" t="s">
        <v>168</v>
      </c>
      <c r="F145" s="547">
        <v>1332241000</v>
      </c>
      <c r="G145" s="547">
        <v>688195105</v>
      </c>
      <c r="H145" s="547"/>
      <c r="I145" s="547"/>
      <c r="J145" s="547"/>
      <c r="K145" s="547"/>
      <c r="L145" s="547"/>
      <c r="M145" s="547"/>
      <c r="N145" s="547"/>
      <c r="O145" s="547"/>
      <c r="P145" s="547"/>
      <c r="Q145" s="812">
        <f t="shared" si="8"/>
        <v>2020436105</v>
      </c>
      <c r="R145" s="547">
        <v>3307190358</v>
      </c>
      <c r="S145" s="812">
        <f t="shared" si="10"/>
        <v>2020</v>
      </c>
      <c r="T145" s="547">
        <f t="shared" si="10"/>
        <v>3307</v>
      </c>
      <c r="U145" s="566"/>
      <c r="V145" s="567"/>
      <c r="W145" s="812">
        <f t="shared" si="11"/>
        <v>2020436105</v>
      </c>
      <c r="X145" s="812">
        <f t="shared" si="9"/>
        <v>2020</v>
      </c>
    </row>
    <row r="146" spans="1:24" ht="27" customHeight="1">
      <c r="A146" s="531"/>
      <c r="B146" s="531">
        <v>1001</v>
      </c>
      <c r="C146" s="529">
        <v>10</v>
      </c>
      <c r="D146" s="530" t="s">
        <v>573</v>
      </c>
      <c r="E146" s="531" t="s">
        <v>965</v>
      </c>
      <c r="F146" s="547">
        <v>-192407109</v>
      </c>
      <c r="G146" s="547">
        <v>-230382463</v>
      </c>
      <c r="H146" s="547">
        <v>205469926</v>
      </c>
      <c r="I146" s="547"/>
      <c r="J146" s="547"/>
      <c r="K146" s="547"/>
      <c r="L146" s="547"/>
      <c r="M146" s="547"/>
      <c r="N146" s="547"/>
      <c r="O146" s="547"/>
      <c r="P146" s="547"/>
      <c r="Q146" s="812">
        <f t="shared" si="8"/>
        <v>-217319646</v>
      </c>
      <c r="R146" s="547">
        <v>-3043524469</v>
      </c>
      <c r="S146" s="812">
        <f t="shared" si="10"/>
        <v>-217</v>
      </c>
      <c r="T146" s="547">
        <f t="shared" si="10"/>
        <v>-3044</v>
      </c>
      <c r="U146" s="566"/>
      <c r="V146" s="567"/>
      <c r="W146" s="812">
        <f t="shared" si="11"/>
        <v>-217319646</v>
      </c>
      <c r="X146" s="812">
        <f t="shared" si="9"/>
        <v>-217</v>
      </c>
    </row>
    <row r="147" spans="1:24" ht="27" customHeight="1">
      <c r="A147" s="531"/>
      <c r="B147" s="531">
        <v>1001</v>
      </c>
      <c r="C147" s="529">
        <v>10</v>
      </c>
      <c r="D147" s="530" t="s">
        <v>575</v>
      </c>
      <c r="E147" s="531" t="s">
        <v>1567</v>
      </c>
      <c r="F147" s="547"/>
      <c r="G147" s="547"/>
      <c r="H147" s="547"/>
      <c r="I147" s="547"/>
      <c r="J147" s="547"/>
      <c r="K147" s="547"/>
      <c r="L147" s="547"/>
      <c r="M147" s="547"/>
      <c r="N147" s="547"/>
      <c r="O147" s="547"/>
      <c r="P147" s="547"/>
      <c r="Q147" s="812">
        <f t="shared" si="8"/>
        <v>0</v>
      </c>
      <c r="R147" s="547"/>
      <c r="S147" s="812">
        <f t="shared" si="10"/>
        <v>0</v>
      </c>
      <c r="T147" s="547">
        <f t="shared" si="10"/>
        <v>0</v>
      </c>
      <c r="U147" s="566"/>
      <c r="V147" s="567"/>
      <c r="W147" s="812">
        <f t="shared" si="11"/>
        <v>0</v>
      </c>
      <c r="X147" s="812">
        <f t="shared" si="9"/>
        <v>0</v>
      </c>
    </row>
    <row r="148" spans="1:24" ht="27" customHeight="1">
      <c r="A148" s="531"/>
      <c r="B148" s="531">
        <v>1018</v>
      </c>
      <c r="C148" s="529">
        <v>10</v>
      </c>
      <c r="D148" s="530" t="s">
        <v>577</v>
      </c>
      <c r="E148" s="531" t="s">
        <v>578</v>
      </c>
      <c r="F148" s="547">
        <v>-17923341969</v>
      </c>
      <c r="G148" s="547">
        <v>-22978290</v>
      </c>
      <c r="H148" s="547"/>
      <c r="I148" s="547">
        <v>-360880877</v>
      </c>
      <c r="J148" s="547">
        <v>6320000</v>
      </c>
      <c r="K148" s="547"/>
      <c r="L148" s="547">
        <v>-6320000</v>
      </c>
      <c r="M148" s="547"/>
      <c r="N148" s="547"/>
      <c r="O148" s="547"/>
      <c r="P148" s="547"/>
      <c r="Q148" s="812">
        <f t="shared" si="8"/>
        <v>-18307201136</v>
      </c>
      <c r="R148" s="547">
        <v>-5000644771</v>
      </c>
      <c r="S148" s="812">
        <f t="shared" si="10"/>
        <v>-18307</v>
      </c>
      <c r="T148" s="547">
        <f t="shared" si="10"/>
        <v>-5001</v>
      </c>
      <c r="U148" s="566"/>
      <c r="V148" s="567"/>
      <c r="W148" s="812">
        <f t="shared" si="11"/>
        <v>-18307201136</v>
      </c>
      <c r="X148" s="812">
        <f t="shared" si="9"/>
        <v>-18307</v>
      </c>
    </row>
    <row r="149" spans="1:24" ht="27" customHeight="1">
      <c r="A149" s="531"/>
      <c r="B149" s="531">
        <v>1001</v>
      </c>
      <c r="C149" s="529">
        <v>10</v>
      </c>
      <c r="D149" s="530" t="s">
        <v>1176</v>
      </c>
      <c r="E149" s="531" t="s">
        <v>1177</v>
      </c>
      <c r="F149" s="547">
        <v>-1909616588</v>
      </c>
      <c r="G149" s="547"/>
      <c r="H149" s="547"/>
      <c r="I149" s="547"/>
      <c r="J149" s="547"/>
      <c r="K149" s="547"/>
      <c r="L149" s="547"/>
      <c r="M149" s="547"/>
      <c r="N149" s="547"/>
      <c r="O149" s="547"/>
      <c r="P149" s="547"/>
      <c r="Q149" s="812">
        <f t="shared" si="8"/>
        <v>-1909616588</v>
      </c>
      <c r="R149" s="547">
        <v>937934287</v>
      </c>
      <c r="S149" s="812">
        <f t="shared" si="10"/>
        <v>-1910</v>
      </c>
      <c r="T149" s="547">
        <f t="shared" si="10"/>
        <v>938</v>
      </c>
      <c r="U149" s="566"/>
      <c r="V149" s="567"/>
      <c r="W149" s="812">
        <f t="shared" si="11"/>
        <v>-1909616588</v>
      </c>
      <c r="X149" s="812">
        <f t="shared" si="9"/>
        <v>-1910</v>
      </c>
    </row>
    <row r="150" spans="1:24" ht="27" customHeight="1">
      <c r="A150" s="531"/>
      <c r="B150" s="531">
        <v>406</v>
      </c>
      <c r="C150" s="529">
        <v>4</v>
      </c>
      <c r="D150" s="530" t="s">
        <v>579</v>
      </c>
      <c r="E150" s="531" t="s">
        <v>580</v>
      </c>
      <c r="F150" s="547">
        <v>2531362670</v>
      </c>
      <c r="G150" s="547"/>
      <c r="H150" s="547"/>
      <c r="I150" s="547"/>
      <c r="J150" s="547"/>
      <c r="K150" s="547"/>
      <c r="L150" s="547"/>
      <c r="M150" s="547"/>
      <c r="N150" s="547"/>
      <c r="O150" s="547"/>
      <c r="P150" s="547"/>
      <c r="Q150" s="812">
        <f t="shared" si="8"/>
        <v>2531362670</v>
      </c>
      <c r="R150" s="547">
        <v>2531362670</v>
      </c>
      <c r="S150" s="812">
        <f t="shared" si="10"/>
        <v>2531</v>
      </c>
      <c r="T150" s="547">
        <f t="shared" si="10"/>
        <v>2531</v>
      </c>
      <c r="U150" s="566"/>
      <c r="V150" s="567"/>
      <c r="W150" s="812">
        <f t="shared" si="11"/>
        <v>2531362670</v>
      </c>
      <c r="X150" s="812">
        <f t="shared" si="9"/>
        <v>2531</v>
      </c>
    </row>
    <row r="151" spans="1:24" ht="27" customHeight="1">
      <c r="A151" s="531"/>
      <c r="B151" s="531">
        <v>406</v>
      </c>
      <c r="C151" s="529">
        <v>4</v>
      </c>
      <c r="D151" s="530" t="s">
        <v>581</v>
      </c>
      <c r="E151" s="531" t="s">
        <v>755</v>
      </c>
      <c r="F151" s="547">
        <v>11666972238</v>
      </c>
      <c r="G151" s="547">
        <v>6626231946</v>
      </c>
      <c r="H151" s="547">
        <v>-134052909</v>
      </c>
      <c r="I151" s="547"/>
      <c r="J151" s="547"/>
      <c r="K151" s="547"/>
      <c r="L151" s="547"/>
      <c r="M151" s="547"/>
      <c r="N151" s="547"/>
      <c r="O151" s="547"/>
      <c r="P151" s="547"/>
      <c r="Q151" s="812">
        <f t="shared" si="8"/>
        <v>18159151275</v>
      </c>
      <c r="R151" s="547">
        <v>1792280901</v>
      </c>
      <c r="S151" s="812">
        <f t="shared" si="10"/>
        <v>18159</v>
      </c>
      <c r="T151" s="547">
        <f t="shared" si="10"/>
        <v>1792</v>
      </c>
      <c r="U151" s="566"/>
      <c r="V151" s="567"/>
      <c r="W151" s="812">
        <f t="shared" si="11"/>
        <v>18159151275</v>
      </c>
      <c r="X151" s="812">
        <f t="shared" si="9"/>
        <v>18159</v>
      </c>
    </row>
    <row r="152" spans="1:24" ht="27" customHeight="1">
      <c r="A152" s="531"/>
      <c r="B152" s="531">
        <v>406</v>
      </c>
      <c r="C152" s="529">
        <v>4</v>
      </c>
      <c r="D152" s="530" t="s">
        <v>881</v>
      </c>
      <c r="E152" s="531" t="s">
        <v>882</v>
      </c>
      <c r="F152" s="547"/>
      <c r="G152" s="547"/>
      <c r="H152" s="547"/>
      <c r="I152" s="547"/>
      <c r="J152" s="547"/>
      <c r="K152" s="547"/>
      <c r="L152" s="547"/>
      <c r="M152" s="547"/>
      <c r="N152" s="547"/>
      <c r="O152" s="547"/>
      <c r="P152" s="547"/>
      <c r="Q152" s="812">
        <f t="shared" si="8"/>
        <v>0</v>
      </c>
      <c r="R152" s="547">
        <v>11047000</v>
      </c>
      <c r="S152" s="812">
        <f t="shared" si="10"/>
        <v>0</v>
      </c>
      <c r="T152" s="547">
        <f t="shared" si="10"/>
        <v>11</v>
      </c>
      <c r="U152" s="566"/>
      <c r="V152" s="567"/>
      <c r="W152" s="812">
        <f t="shared" si="11"/>
        <v>0</v>
      </c>
      <c r="X152" s="812">
        <f t="shared" si="9"/>
        <v>0</v>
      </c>
    </row>
    <row r="153" spans="1:24" ht="27" customHeight="1">
      <c r="A153" s="531"/>
      <c r="B153" s="531">
        <v>1001</v>
      </c>
      <c r="C153" s="529">
        <v>10</v>
      </c>
      <c r="D153" s="530" t="s">
        <v>582</v>
      </c>
      <c r="E153" s="531" t="s">
        <v>583</v>
      </c>
      <c r="F153" s="547">
        <v>-2014476805</v>
      </c>
      <c r="G153" s="547">
        <v>-5988000</v>
      </c>
      <c r="H153" s="547"/>
      <c r="I153" s="547"/>
      <c r="J153" s="547"/>
      <c r="K153" s="547"/>
      <c r="L153" s="547"/>
      <c r="M153" s="547"/>
      <c r="N153" s="547"/>
      <c r="O153" s="547"/>
      <c r="P153" s="547"/>
      <c r="Q153" s="812">
        <f t="shared" si="8"/>
        <v>-2020464805</v>
      </c>
      <c r="R153" s="547">
        <v>-1594497865</v>
      </c>
      <c r="S153" s="812">
        <f t="shared" si="10"/>
        <v>-2020</v>
      </c>
      <c r="T153" s="547">
        <f t="shared" si="10"/>
        <v>-1594</v>
      </c>
      <c r="U153" s="566"/>
      <c r="V153" s="567"/>
      <c r="W153" s="812">
        <f t="shared" si="11"/>
        <v>-2020464805</v>
      </c>
      <c r="X153" s="812">
        <f t="shared" si="9"/>
        <v>-2020</v>
      </c>
    </row>
    <row r="154" spans="1:24" ht="27" customHeight="1">
      <c r="A154" s="531"/>
      <c r="B154" s="531">
        <v>406</v>
      </c>
      <c r="C154" s="529">
        <v>4</v>
      </c>
      <c r="D154" s="530" t="s">
        <v>260</v>
      </c>
      <c r="E154" s="531" t="s">
        <v>261</v>
      </c>
      <c r="F154" s="547">
        <v>58369500</v>
      </c>
      <c r="G154" s="547"/>
      <c r="H154" s="547"/>
      <c r="I154" s="547"/>
      <c r="J154" s="547"/>
      <c r="K154" s="547"/>
      <c r="L154" s="547"/>
      <c r="M154" s="547"/>
      <c r="N154" s="547"/>
      <c r="O154" s="547"/>
      <c r="P154" s="547"/>
      <c r="Q154" s="812">
        <f t="shared" si="8"/>
        <v>58369500</v>
      </c>
      <c r="R154" s="547">
        <v>25015500</v>
      </c>
      <c r="S154" s="812">
        <f t="shared" si="10"/>
        <v>58</v>
      </c>
      <c r="T154" s="547">
        <f t="shared" si="10"/>
        <v>25</v>
      </c>
      <c r="U154" s="566"/>
      <c r="V154" s="567"/>
      <c r="W154" s="812">
        <f t="shared" si="11"/>
        <v>58369500</v>
      </c>
      <c r="X154" s="812">
        <f t="shared" si="9"/>
        <v>58</v>
      </c>
    </row>
    <row r="155" spans="1:24" ht="27" customHeight="1">
      <c r="A155" s="531"/>
      <c r="B155" s="531">
        <v>1001</v>
      </c>
      <c r="C155" s="529">
        <v>10</v>
      </c>
      <c r="D155" s="530" t="s">
        <v>262</v>
      </c>
      <c r="E155" s="531" t="s">
        <v>263</v>
      </c>
      <c r="F155" s="547">
        <v>-740244473</v>
      </c>
      <c r="G155" s="547">
        <v>-662387673</v>
      </c>
      <c r="H155" s="547"/>
      <c r="I155" s="547">
        <v>-77626476</v>
      </c>
      <c r="J155" s="547"/>
      <c r="K155" s="547"/>
      <c r="L155" s="547"/>
      <c r="M155" s="547"/>
      <c r="N155" s="547"/>
      <c r="O155" s="547"/>
      <c r="P155" s="547"/>
      <c r="Q155" s="812">
        <f t="shared" si="8"/>
        <v>-1480258622</v>
      </c>
      <c r="R155" s="547">
        <v>-618616174</v>
      </c>
      <c r="S155" s="812">
        <f t="shared" si="10"/>
        <v>-1480</v>
      </c>
      <c r="T155" s="547">
        <f t="shared" si="10"/>
        <v>-619</v>
      </c>
      <c r="U155" s="566"/>
      <c r="V155" s="567"/>
      <c r="W155" s="812">
        <f t="shared" si="11"/>
        <v>-1480258622</v>
      </c>
      <c r="X155" s="812">
        <f t="shared" si="9"/>
        <v>-1480</v>
      </c>
    </row>
    <row r="156" spans="1:24" ht="27" customHeight="1">
      <c r="A156" s="531"/>
      <c r="B156" s="531">
        <v>1001</v>
      </c>
      <c r="C156" s="529">
        <v>10</v>
      </c>
      <c r="D156" s="530" t="s">
        <v>584</v>
      </c>
      <c r="E156" s="531" t="s">
        <v>645</v>
      </c>
      <c r="F156" s="547">
        <v>-303669378</v>
      </c>
      <c r="G156" s="547">
        <v>430215718</v>
      </c>
      <c r="H156" s="547"/>
      <c r="I156" s="547"/>
      <c r="J156" s="547"/>
      <c r="K156" s="547"/>
      <c r="L156" s="547"/>
      <c r="M156" s="547"/>
      <c r="N156" s="547"/>
      <c r="O156" s="547"/>
      <c r="P156" s="547"/>
      <c r="Q156" s="812">
        <f t="shared" si="8"/>
        <v>126546340</v>
      </c>
      <c r="R156" s="547">
        <v>-89072489</v>
      </c>
      <c r="S156" s="812">
        <f t="shared" si="10"/>
        <v>127</v>
      </c>
      <c r="T156" s="547">
        <f t="shared" si="10"/>
        <v>-89</v>
      </c>
      <c r="U156" s="566"/>
      <c r="V156" s="567"/>
      <c r="W156" s="812">
        <f t="shared" si="11"/>
        <v>126546340</v>
      </c>
      <c r="X156" s="812">
        <f t="shared" si="9"/>
        <v>127</v>
      </c>
    </row>
    <row r="157" spans="1:24" ht="27" customHeight="1">
      <c r="A157" s="531"/>
      <c r="B157" s="531">
        <v>1001</v>
      </c>
      <c r="C157" s="529">
        <v>10</v>
      </c>
      <c r="D157" s="530" t="s">
        <v>546</v>
      </c>
      <c r="E157" s="531" t="s">
        <v>170</v>
      </c>
      <c r="F157" s="547">
        <v>-7788747382</v>
      </c>
      <c r="G157" s="547">
        <v>-1117131553</v>
      </c>
      <c r="H157" s="547">
        <v>-581059937</v>
      </c>
      <c r="I157" s="547">
        <v>-397926737</v>
      </c>
      <c r="J157" s="547"/>
      <c r="K157" s="547"/>
      <c r="L157" s="547"/>
      <c r="M157" s="547"/>
      <c r="N157" s="547"/>
      <c r="O157" s="547"/>
      <c r="P157" s="547"/>
      <c r="Q157" s="812">
        <f t="shared" si="8"/>
        <v>-9884865609</v>
      </c>
      <c r="R157" s="547">
        <v>-6546392448</v>
      </c>
      <c r="S157" s="812">
        <f t="shared" si="10"/>
        <v>-9885</v>
      </c>
      <c r="T157" s="547">
        <f t="shared" si="10"/>
        <v>-6546</v>
      </c>
      <c r="U157" s="566"/>
      <c r="V157" s="567"/>
      <c r="W157" s="812">
        <f t="shared" si="11"/>
        <v>-9884865609</v>
      </c>
      <c r="X157" s="812">
        <f t="shared" si="9"/>
        <v>-9885</v>
      </c>
    </row>
    <row r="158" spans="1:24" ht="27" customHeight="1">
      <c r="A158" s="531"/>
      <c r="B158" s="531">
        <v>406</v>
      </c>
      <c r="C158" s="529">
        <v>4</v>
      </c>
      <c r="D158" s="530" t="s">
        <v>162</v>
      </c>
      <c r="E158" s="531" t="s">
        <v>171</v>
      </c>
      <c r="F158" s="547">
        <v>1586580473</v>
      </c>
      <c r="G158" s="547"/>
      <c r="H158" s="547"/>
      <c r="I158" s="547"/>
      <c r="J158" s="547"/>
      <c r="K158" s="547"/>
      <c r="L158" s="547"/>
      <c r="M158" s="547"/>
      <c r="N158" s="547"/>
      <c r="O158" s="547"/>
      <c r="P158" s="547"/>
      <c r="Q158" s="812">
        <f t="shared" si="8"/>
        <v>1586580473</v>
      </c>
      <c r="R158" s="547">
        <v>4060937514</v>
      </c>
      <c r="S158" s="812">
        <f t="shared" si="10"/>
        <v>1587</v>
      </c>
      <c r="T158" s="547">
        <f t="shared" si="10"/>
        <v>4061</v>
      </c>
      <c r="U158" s="566"/>
      <c r="V158" s="567"/>
      <c r="W158" s="812">
        <f t="shared" si="11"/>
        <v>1586580473</v>
      </c>
      <c r="X158" s="812">
        <f t="shared" si="9"/>
        <v>1587</v>
      </c>
    </row>
    <row r="159" spans="1:24" ht="27" customHeight="1">
      <c r="A159" s="531"/>
      <c r="B159" s="531">
        <v>406</v>
      </c>
      <c r="C159" s="529">
        <v>4</v>
      </c>
      <c r="D159" s="530" t="s">
        <v>299</v>
      </c>
      <c r="E159" s="531" t="s">
        <v>644</v>
      </c>
      <c r="F159" s="547">
        <v>74821109</v>
      </c>
      <c r="G159" s="547"/>
      <c r="H159" s="547"/>
      <c r="I159" s="547"/>
      <c r="J159" s="547"/>
      <c r="K159" s="547"/>
      <c r="L159" s="547"/>
      <c r="M159" s="547"/>
      <c r="N159" s="547"/>
      <c r="O159" s="547"/>
      <c r="P159" s="547"/>
      <c r="Q159" s="812">
        <f t="shared" si="8"/>
        <v>74821109</v>
      </c>
      <c r="R159" s="547">
        <v>98745960</v>
      </c>
      <c r="S159" s="812">
        <f t="shared" si="10"/>
        <v>75</v>
      </c>
      <c r="T159" s="547">
        <f t="shared" si="10"/>
        <v>99</v>
      </c>
      <c r="U159" s="566"/>
      <c r="V159" s="567"/>
      <c r="W159" s="812">
        <f t="shared" si="11"/>
        <v>74821109</v>
      </c>
      <c r="X159" s="812">
        <f t="shared" si="9"/>
        <v>75</v>
      </c>
    </row>
    <row r="160" spans="1:24" ht="27" customHeight="1">
      <c r="A160" s="531"/>
      <c r="B160" s="531">
        <v>406</v>
      </c>
      <c r="C160" s="529">
        <v>4</v>
      </c>
      <c r="D160" s="530" t="s">
        <v>838</v>
      </c>
      <c r="E160" s="531" t="s">
        <v>837</v>
      </c>
      <c r="F160" s="547">
        <v>393575214</v>
      </c>
      <c r="G160" s="547"/>
      <c r="H160" s="547"/>
      <c r="I160" s="547"/>
      <c r="J160" s="547"/>
      <c r="K160" s="547"/>
      <c r="L160" s="547"/>
      <c r="M160" s="547"/>
      <c r="N160" s="547"/>
      <c r="O160" s="547"/>
      <c r="P160" s="547"/>
      <c r="Q160" s="812">
        <f t="shared" si="8"/>
        <v>393575214</v>
      </c>
      <c r="R160" s="547">
        <v>396570654</v>
      </c>
      <c r="S160" s="812">
        <f t="shared" si="10"/>
        <v>394</v>
      </c>
      <c r="T160" s="547">
        <f t="shared" si="10"/>
        <v>397</v>
      </c>
      <c r="U160" s="566"/>
      <c r="V160" s="567"/>
      <c r="W160" s="812">
        <f t="shared" si="11"/>
        <v>393575214</v>
      </c>
      <c r="X160" s="812">
        <f t="shared" si="9"/>
        <v>394</v>
      </c>
    </row>
    <row r="161" spans="1:24" ht="27" customHeight="1">
      <c r="A161" s="531"/>
      <c r="B161" s="531">
        <v>406</v>
      </c>
      <c r="C161" s="529">
        <v>4</v>
      </c>
      <c r="D161" s="530" t="s">
        <v>883</v>
      </c>
      <c r="E161" s="531" t="s">
        <v>884</v>
      </c>
      <c r="F161" s="547">
        <v>65912922</v>
      </c>
      <c r="G161" s="547"/>
      <c r="H161" s="547"/>
      <c r="I161" s="547"/>
      <c r="J161" s="547"/>
      <c r="K161" s="547"/>
      <c r="L161" s="547"/>
      <c r="M161" s="547"/>
      <c r="N161" s="547"/>
      <c r="O161" s="547"/>
      <c r="P161" s="547"/>
      <c r="Q161" s="812">
        <f t="shared" si="8"/>
        <v>65912922</v>
      </c>
      <c r="R161" s="547">
        <v>57574422</v>
      </c>
      <c r="S161" s="812">
        <f t="shared" si="10"/>
        <v>66</v>
      </c>
      <c r="T161" s="547">
        <f t="shared" si="10"/>
        <v>58</v>
      </c>
      <c r="U161" s="566"/>
      <c r="V161" s="567"/>
      <c r="W161" s="812">
        <f t="shared" si="11"/>
        <v>65912922</v>
      </c>
      <c r="X161" s="812">
        <f t="shared" si="9"/>
        <v>66</v>
      </c>
    </row>
    <row r="162" spans="1:24" ht="27" customHeight="1">
      <c r="A162" s="531"/>
      <c r="B162" s="531">
        <v>1001</v>
      </c>
      <c r="C162" s="529">
        <v>10</v>
      </c>
      <c r="D162" s="530" t="s">
        <v>301</v>
      </c>
      <c r="E162" s="531" t="s">
        <v>885</v>
      </c>
      <c r="F162" s="547">
        <v>-29418821</v>
      </c>
      <c r="G162" s="547"/>
      <c r="H162" s="547"/>
      <c r="I162" s="547"/>
      <c r="J162" s="547"/>
      <c r="K162" s="547"/>
      <c r="L162" s="547"/>
      <c r="M162" s="547"/>
      <c r="N162" s="547"/>
      <c r="O162" s="547"/>
      <c r="P162" s="547"/>
      <c r="Q162" s="812">
        <f t="shared" si="8"/>
        <v>-29418821</v>
      </c>
      <c r="R162" s="547">
        <v>-122459140</v>
      </c>
      <c r="S162" s="812">
        <f t="shared" si="10"/>
        <v>-29</v>
      </c>
      <c r="T162" s="547">
        <f t="shared" si="10"/>
        <v>-122</v>
      </c>
      <c r="U162" s="566"/>
      <c r="V162" s="567"/>
      <c r="W162" s="812">
        <f t="shared" si="11"/>
        <v>-29418821</v>
      </c>
      <c r="X162" s="812">
        <f t="shared" si="9"/>
        <v>-29</v>
      </c>
    </row>
    <row r="163" spans="1:24" ht="27" customHeight="1">
      <c r="A163" s="531"/>
      <c r="B163" s="531">
        <v>406</v>
      </c>
      <c r="C163" s="529">
        <v>4</v>
      </c>
      <c r="D163" s="530" t="s">
        <v>303</v>
      </c>
      <c r="E163" s="531" t="s">
        <v>304</v>
      </c>
      <c r="F163" s="547"/>
      <c r="G163" s="547"/>
      <c r="H163" s="547"/>
      <c r="I163" s="547"/>
      <c r="J163" s="547"/>
      <c r="K163" s="547"/>
      <c r="L163" s="547"/>
      <c r="M163" s="547"/>
      <c r="N163" s="547"/>
      <c r="O163" s="547"/>
      <c r="P163" s="547"/>
      <c r="Q163" s="812">
        <f t="shared" si="8"/>
        <v>0</v>
      </c>
      <c r="R163" s="547">
        <v>8000</v>
      </c>
      <c r="S163" s="812">
        <f t="shared" si="10"/>
        <v>0</v>
      </c>
      <c r="T163" s="547">
        <f t="shared" si="10"/>
        <v>0</v>
      </c>
      <c r="U163" s="566"/>
      <c r="V163" s="567"/>
      <c r="W163" s="812">
        <f t="shared" si="11"/>
        <v>0</v>
      </c>
      <c r="X163" s="812">
        <f t="shared" si="9"/>
        <v>0</v>
      </c>
    </row>
    <row r="164" spans="1:24" ht="27" customHeight="1">
      <c r="A164" s="531"/>
      <c r="B164" s="531">
        <v>406</v>
      </c>
      <c r="C164" s="529">
        <v>4</v>
      </c>
      <c r="D164" s="530" t="s">
        <v>647</v>
      </c>
      <c r="E164" s="531" t="s">
        <v>646</v>
      </c>
      <c r="F164" s="547"/>
      <c r="G164" s="547"/>
      <c r="H164" s="547"/>
      <c r="I164" s="547"/>
      <c r="J164" s="547"/>
      <c r="K164" s="547"/>
      <c r="L164" s="547"/>
      <c r="M164" s="547"/>
      <c r="N164" s="547"/>
      <c r="O164" s="547"/>
      <c r="P164" s="547"/>
      <c r="Q164" s="812">
        <f t="shared" si="8"/>
        <v>0</v>
      </c>
      <c r="R164" s="547">
        <v>0</v>
      </c>
      <c r="S164" s="812">
        <f t="shared" si="10"/>
        <v>0</v>
      </c>
      <c r="T164" s="547">
        <f t="shared" si="10"/>
        <v>0</v>
      </c>
      <c r="U164" s="566"/>
      <c r="V164" s="567"/>
      <c r="W164" s="812">
        <f t="shared" si="11"/>
        <v>0</v>
      </c>
      <c r="X164" s="812">
        <f t="shared" si="9"/>
        <v>0</v>
      </c>
    </row>
    <row r="165" spans="1:24" ht="27" customHeight="1">
      <c r="A165" s="531"/>
      <c r="B165" s="531">
        <v>1026</v>
      </c>
      <c r="C165" s="529">
        <v>10</v>
      </c>
      <c r="D165" s="530" t="s">
        <v>305</v>
      </c>
      <c r="E165" s="531" t="s">
        <v>172</v>
      </c>
      <c r="F165" s="547">
        <v>-6568123686</v>
      </c>
      <c r="G165" s="547">
        <v>322833397</v>
      </c>
      <c r="H165" s="547">
        <f>27910000-152560182</f>
        <v>-124650182</v>
      </c>
      <c r="I165" s="547"/>
      <c r="J165" s="547"/>
      <c r="K165" s="547"/>
      <c r="L165" s="547"/>
      <c r="M165" s="547"/>
      <c r="N165" s="547"/>
      <c r="O165" s="547"/>
      <c r="P165" s="547"/>
      <c r="Q165" s="812">
        <f t="shared" si="8"/>
        <v>-6369940471</v>
      </c>
      <c r="R165" s="547">
        <v>-4556214445</v>
      </c>
      <c r="S165" s="812">
        <f t="shared" si="10"/>
        <v>-6370</v>
      </c>
      <c r="T165" s="547">
        <f t="shared" si="10"/>
        <v>-4556</v>
      </c>
      <c r="U165" s="566"/>
      <c r="V165" s="567"/>
      <c r="W165" s="812">
        <f t="shared" si="11"/>
        <v>-6369940471</v>
      </c>
      <c r="X165" s="812">
        <f t="shared" si="9"/>
        <v>-6370</v>
      </c>
    </row>
    <row r="166" spans="1:24" ht="27" customHeight="1">
      <c r="A166" s="531"/>
      <c r="B166" s="531">
        <v>406</v>
      </c>
      <c r="C166" s="529">
        <v>4</v>
      </c>
      <c r="D166" s="530" t="s">
        <v>306</v>
      </c>
      <c r="E166" s="531" t="s">
        <v>307</v>
      </c>
      <c r="F166" s="547">
        <v>943872294</v>
      </c>
      <c r="G166" s="547">
        <v>-1607600</v>
      </c>
      <c r="H166" s="547">
        <v>3368306</v>
      </c>
      <c r="I166" s="547">
        <v>-803800</v>
      </c>
      <c r="J166" s="547">
        <v>-39940800</v>
      </c>
      <c r="K166" s="547"/>
      <c r="L166" s="547"/>
      <c r="M166" s="547"/>
      <c r="N166" s="547"/>
      <c r="O166" s="547"/>
      <c r="P166" s="547"/>
      <c r="Q166" s="812">
        <f t="shared" si="8"/>
        <v>904888400</v>
      </c>
      <c r="R166" s="547">
        <v>327857089</v>
      </c>
      <c r="S166" s="812">
        <f t="shared" si="10"/>
        <v>905</v>
      </c>
      <c r="T166" s="547">
        <f t="shared" si="10"/>
        <v>328</v>
      </c>
      <c r="U166" s="566"/>
      <c r="V166" s="567"/>
      <c r="W166" s="812">
        <f t="shared" si="11"/>
        <v>904888400</v>
      </c>
      <c r="X166" s="812">
        <f t="shared" si="9"/>
        <v>905</v>
      </c>
    </row>
    <row r="167" spans="1:24" ht="27" customHeight="1">
      <c r="A167" s="531"/>
      <c r="B167" s="531">
        <v>406</v>
      </c>
      <c r="C167" s="529">
        <v>4</v>
      </c>
      <c r="D167" s="530" t="s">
        <v>308</v>
      </c>
      <c r="E167" s="531" t="s">
        <v>309</v>
      </c>
      <c r="F167" s="547">
        <v>580318179</v>
      </c>
      <c r="G167" s="547"/>
      <c r="H167" s="547"/>
      <c r="I167" s="547"/>
      <c r="J167" s="547"/>
      <c r="K167" s="547"/>
      <c r="L167" s="547"/>
      <c r="M167" s="547"/>
      <c r="N167" s="547"/>
      <c r="O167" s="547"/>
      <c r="P167" s="547"/>
      <c r="Q167" s="812">
        <f t="shared" si="8"/>
        <v>580318179</v>
      </c>
      <c r="R167" s="547">
        <v>425501570</v>
      </c>
      <c r="S167" s="812">
        <f t="shared" si="10"/>
        <v>580</v>
      </c>
      <c r="T167" s="547">
        <f t="shared" si="10"/>
        <v>426</v>
      </c>
      <c r="U167" s="566"/>
      <c r="V167" s="567"/>
      <c r="W167" s="812">
        <f t="shared" si="11"/>
        <v>580318179</v>
      </c>
      <c r="X167" s="812">
        <f t="shared" si="9"/>
        <v>580</v>
      </c>
    </row>
    <row r="168" spans="1:24" ht="27" customHeight="1">
      <c r="A168" s="531"/>
      <c r="B168" s="531">
        <v>1001</v>
      </c>
      <c r="C168" s="529">
        <v>10</v>
      </c>
      <c r="D168" s="530" t="s">
        <v>310</v>
      </c>
      <c r="E168" s="531" t="s">
        <v>966</v>
      </c>
      <c r="F168" s="547">
        <v>-9745000</v>
      </c>
      <c r="G168" s="547"/>
      <c r="H168" s="547"/>
      <c r="I168" s="547"/>
      <c r="J168" s="547"/>
      <c r="K168" s="547"/>
      <c r="L168" s="547"/>
      <c r="M168" s="547"/>
      <c r="N168" s="547"/>
      <c r="O168" s="547"/>
      <c r="P168" s="547"/>
      <c r="Q168" s="812">
        <f t="shared" si="8"/>
        <v>-9745000</v>
      </c>
      <c r="R168" s="547">
        <v>-87019472</v>
      </c>
      <c r="S168" s="812">
        <f t="shared" si="10"/>
        <v>-10</v>
      </c>
      <c r="T168" s="547">
        <f t="shared" si="10"/>
        <v>-87</v>
      </c>
      <c r="U168" s="566"/>
      <c r="V168" s="567"/>
      <c r="W168" s="812">
        <f t="shared" si="11"/>
        <v>-9745000</v>
      </c>
      <c r="X168" s="812">
        <f t="shared" si="9"/>
        <v>-10</v>
      </c>
    </row>
    <row r="169" spans="1:24" ht="27" customHeight="1">
      <c r="A169" s="531"/>
      <c r="B169" s="531">
        <v>406</v>
      </c>
      <c r="C169" s="529">
        <v>4</v>
      </c>
      <c r="D169" s="530" t="s">
        <v>1058</v>
      </c>
      <c r="E169" s="531" t="s">
        <v>1057</v>
      </c>
      <c r="F169" s="547">
        <v>754655645</v>
      </c>
      <c r="G169" s="547"/>
      <c r="H169" s="547"/>
      <c r="I169" s="547"/>
      <c r="J169" s="547"/>
      <c r="K169" s="547"/>
      <c r="L169" s="547"/>
      <c r="M169" s="547"/>
      <c r="N169" s="547"/>
      <c r="O169" s="547"/>
      <c r="P169" s="547"/>
      <c r="Q169" s="812">
        <f t="shared" si="8"/>
        <v>754655645</v>
      </c>
      <c r="R169" s="547">
        <v>503883503</v>
      </c>
      <c r="S169" s="812">
        <f t="shared" si="10"/>
        <v>755</v>
      </c>
      <c r="T169" s="547">
        <f t="shared" si="10"/>
        <v>504</v>
      </c>
      <c r="U169" s="566"/>
      <c r="V169" s="567"/>
      <c r="W169" s="812">
        <f t="shared" si="11"/>
        <v>754655645</v>
      </c>
      <c r="X169" s="812">
        <f t="shared" si="9"/>
        <v>755</v>
      </c>
    </row>
    <row r="170" spans="1:24" ht="27" customHeight="1">
      <c r="A170" s="531"/>
      <c r="B170" s="531">
        <v>406</v>
      </c>
      <c r="C170" s="529">
        <v>4</v>
      </c>
      <c r="D170" s="530" t="s">
        <v>109</v>
      </c>
      <c r="E170" s="531" t="s">
        <v>839</v>
      </c>
      <c r="F170" s="547">
        <v>1232111745</v>
      </c>
      <c r="G170" s="547">
        <v>6199776</v>
      </c>
      <c r="H170" s="547"/>
      <c r="I170" s="547"/>
      <c r="J170" s="547"/>
      <c r="K170" s="547"/>
      <c r="L170" s="547"/>
      <c r="M170" s="547"/>
      <c r="N170" s="547"/>
      <c r="O170" s="547"/>
      <c r="P170" s="547"/>
      <c r="Q170" s="812">
        <f t="shared" si="8"/>
        <v>1238311521</v>
      </c>
      <c r="R170" s="547">
        <v>3213180300</v>
      </c>
      <c r="S170" s="812">
        <f t="shared" si="10"/>
        <v>1238</v>
      </c>
      <c r="T170" s="547">
        <f t="shared" si="10"/>
        <v>3213</v>
      </c>
      <c r="U170" s="566"/>
      <c r="V170" s="567"/>
      <c r="W170" s="812">
        <f t="shared" si="11"/>
        <v>1238311521</v>
      </c>
      <c r="X170" s="812">
        <f t="shared" si="9"/>
        <v>1238</v>
      </c>
    </row>
    <row r="171" spans="1:24" ht="27" customHeight="1">
      <c r="A171" s="531"/>
      <c r="B171" s="531">
        <v>406</v>
      </c>
      <c r="C171" s="529">
        <v>4</v>
      </c>
      <c r="D171" s="530" t="s">
        <v>110</v>
      </c>
      <c r="E171" s="531" t="s">
        <v>174</v>
      </c>
      <c r="F171" s="547">
        <v>1975639234</v>
      </c>
      <c r="G171" s="547">
        <v>-64688041</v>
      </c>
      <c r="H171" s="547"/>
      <c r="I171" s="547"/>
      <c r="J171" s="547"/>
      <c r="K171" s="547"/>
      <c r="L171" s="547"/>
      <c r="M171" s="547"/>
      <c r="N171" s="547"/>
      <c r="O171" s="547"/>
      <c r="P171" s="547"/>
      <c r="Q171" s="812">
        <f t="shared" si="8"/>
        <v>1910951193</v>
      </c>
      <c r="R171" s="547">
        <v>2196710253</v>
      </c>
      <c r="S171" s="812">
        <f t="shared" si="10"/>
        <v>1911</v>
      </c>
      <c r="T171" s="547">
        <f t="shared" si="10"/>
        <v>2197</v>
      </c>
      <c r="U171" s="566"/>
      <c r="V171" s="567"/>
      <c r="W171" s="812">
        <f t="shared" si="11"/>
        <v>1910951193</v>
      </c>
      <c r="X171" s="812">
        <f t="shared" si="9"/>
        <v>1911</v>
      </c>
    </row>
    <row r="172" spans="1:24" ht="27" customHeight="1">
      <c r="A172" s="531"/>
      <c r="B172" s="531">
        <v>1001</v>
      </c>
      <c r="C172" s="529">
        <v>10</v>
      </c>
      <c r="D172" s="530" t="s">
        <v>335</v>
      </c>
      <c r="E172" s="531" t="s">
        <v>762</v>
      </c>
      <c r="F172" s="547"/>
      <c r="G172" s="547"/>
      <c r="H172" s="547"/>
      <c r="I172" s="547"/>
      <c r="J172" s="547"/>
      <c r="K172" s="547"/>
      <c r="L172" s="547"/>
      <c r="M172" s="547"/>
      <c r="N172" s="547"/>
      <c r="O172" s="547"/>
      <c r="P172" s="547"/>
      <c r="Q172" s="812">
        <f t="shared" si="8"/>
        <v>0</v>
      </c>
      <c r="R172" s="547">
        <v>0</v>
      </c>
      <c r="S172" s="812">
        <f t="shared" si="10"/>
        <v>0</v>
      </c>
      <c r="T172" s="547">
        <f t="shared" si="10"/>
        <v>0</v>
      </c>
      <c r="U172" s="566"/>
      <c r="V172" s="567"/>
      <c r="W172" s="812">
        <f t="shared" si="11"/>
        <v>0</v>
      </c>
      <c r="X172" s="812">
        <f t="shared" si="9"/>
        <v>0</v>
      </c>
    </row>
    <row r="173" spans="1:24" ht="27" customHeight="1">
      <c r="A173" s="531"/>
      <c r="B173" s="531">
        <v>406</v>
      </c>
      <c r="C173" s="529">
        <v>4</v>
      </c>
      <c r="D173" s="530" t="s">
        <v>336</v>
      </c>
      <c r="E173" s="531" t="s">
        <v>656</v>
      </c>
      <c r="F173" s="547">
        <v>3717648362</v>
      </c>
      <c r="G173" s="547">
        <v>1185754320</v>
      </c>
      <c r="H173" s="547">
        <v>-2395680</v>
      </c>
      <c r="I173" s="547"/>
      <c r="J173" s="547"/>
      <c r="K173" s="547"/>
      <c r="L173" s="547">
        <v>-1769040</v>
      </c>
      <c r="M173" s="547"/>
      <c r="N173" s="547">
        <v>-31191540</v>
      </c>
      <c r="O173" s="547"/>
      <c r="P173" s="547"/>
      <c r="Q173" s="812">
        <f t="shared" si="8"/>
        <v>4868046422</v>
      </c>
      <c r="R173" s="547">
        <v>4978771160</v>
      </c>
      <c r="S173" s="812">
        <f t="shared" si="10"/>
        <v>4868</v>
      </c>
      <c r="T173" s="547">
        <f t="shared" si="10"/>
        <v>4979</v>
      </c>
      <c r="U173" s="566"/>
      <c r="V173" s="567"/>
      <c r="W173" s="812">
        <f t="shared" si="11"/>
        <v>4868046422</v>
      </c>
      <c r="X173" s="812">
        <f t="shared" si="9"/>
        <v>4868</v>
      </c>
    </row>
    <row r="174" spans="1:24" ht="27" customHeight="1">
      <c r="A174" s="531"/>
      <c r="B174" s="531">
        <v>409</v>
      </c>
      <c r="C174" s="529">
        <v>4</v>
      </c>
      <c r="D174" s="530" t="s">
        <v>336</v>
      </c>
      <c r="E174" s="531" t="s">
        <v>655</v>
      </c>
      <c r="F174" s="547"/>
      <c r="G174" s="547"/>
      <c r="H174" s="547"/>
      <c r="I174" s="547"/>
      <c r="J174" s="547"/>
      <c r="K174" s="547"/>
      <c r="L174" s="547"/>
      <c r="M174" s="547"/>
      <c r="N174" s="547"/>
      <c r="O174" s="547"/>
      <c r="P174" s="547"/>
      <c r="Q174" s="812">
        <f t="shared" si="8"/>
        <v>0</v>
      </c>
      <c r="R174" s="547">
        <v>1339078831</v>
      </c>
      <c r="S174" s="812">
        <f t="shared" si="10"/>
        <v>0</v>
      </c>
      <c r="T174" s="547">
        <f t="shared" si="10"/>
        <v>1339</v>
      </c>
      <c r="U174" s="566"/>
      <c r="V174" s="567"/>
      <c r="W174" s="812">
        <f t="shared" si="11"/>
        <v>0</v>
      </c>
      <c r="X174" s="812">
        <f t="shared" si="9"/>
        <v>0</v>
      </c>
    </row>
    <row r="175" spans="1:24" ht="27" customHeight="1">
      <c r="A175" s="531"/>
      <c r="B175" s="531">
        <v>414</v>
      </c>
      <c r="C175" s="529">
        <v>4</v>
      </c>
      <c r="D175" s="530" t="s">
        <v>338</v>
      </c>
      <c r="E175" s="531" t="s">
        <v>152</v>
      </c>
      <c r="F175" s="547">
        <v>4963718210</v>
      </c>
      <c r="G175" s="547">
        <v>-498583765</v>
      </c>
      <c r="H175" s="547">
        <v>-810469411</v>
      </c>
      <c r="I175" s="547"/>
      <c r="J175" s="547"/>
      <c r="K175" s="547"/>
      <c r="L175" s="547"/>
      <c r="M175" s="547"/>
      <c r="N175" s="547"/>
      <c r="O175" s="547"/>
      <c r="P175" s="547"/>
      <c r="Q175" s="812">
        <f t="shared" si="8"/>
        <v>3654665034</v>
      </c>
      <c r="R175" s="547">
        <v>3151186826405</v>
      </c>
      <c r="S175" s="812">
        <f t="shared" si="10"/>
        <v>3655</v>
      </c>
      <c r="T175" s="547">
        <f t="shared" si="10"/>
        <v>3151187</v>
      </c>
      <c r="U175" s="566"/>
      <c r="V175" s="567"/>
      <c r="W175" s="812">
        <f t="shared" si="11"/>
        <v>3654665034</v>
      </c>
      <c r="X175" s="812">
        <f t="shared" si="9"/>
        <v>3655</v>
      </c>
    </row>
    <row r="176" spans="1:24" ht="27" customHeight="1">
      <c r="A176" s="531"/>
      <c r="B176" s="531">
        <v>414</v>
      </c>
      <c r="C176" s="529">
        <v>4</v>
      </c>
      <c r="D176" s="530" t="s">
        <v>1367</v>
      </c>
      <c r="E176" s="531" t="s">
        <v>1368</v>
      </c>
      <c r="F176" s="547">
        <v>1196467265112</v>
      </c>
      <c r="G176" s="547">
        <v>118470348094</v>
      </c>
      <c r="H176" s="547"/>
      <c r="I176" s="547">
        <v>-1314937613206</v>
      </c>
      <c r="J176" s="547"/>
      <c r="K176" s="547"/>
      <c r="L176" s="547"/>
      <c r="M176" s="547"/>
      <c r="N176" s="547"/>
      <c r="O176" s="547"/>
      <c r="P176" s="547"/>
      <c r="Q176" s="812">
        <f t="shared" si="8"/>
        <v>0</v>
      </c>
      <c r="R176" s="547">
        <v>-1057062232353</v>
      </c>
      <c r="S176" s="812">
        <f t="shared" si="10"/>
        <v>0</v>
      </c>
      <c r="T176" s="547">
        <f t="shared" si="10"/>
        <v>-1057062</v>
      </c>
      <c r="U176" s="566"/>
      <c r="V176" s="567"/>
      <c r="W176" s="812">
        <f t="shared" si="11"/>
        <v>0</v>
      </c>
      <c r="X176" s="812">
        <f t="shared" si="9"/>
        <v>0</v>
      </c>
    </row>
    <row r="177" spans="1:24" ht="27" customHeight="1">
      <c r="A177" s="531"/>
      <c r="B177" s="531">
        <v>1005</v>
      </c>
      <c r="C177" s="529">
        <v>10</v>
      </c>
      <c r="D177" s="530" t="s">
        <v>527</v>
      </c>
      <c r="E177" s="531" t="s">
        <v>528</v>
      </c>
      <c r="F177" s="547">
        <v>-1319042205</v>
      </c>
      <c r="G177" s="547">
        <v>-1096193898</v>
      </c>
      <c r="H177" s="547">
        <v>-585447811</v>
      </c>
      <c r="I177" s="547">
        <v>-86561870</v>
      </c>
      <c r="J177" s="547"/>
      <c r="K177" s="547"/>
      <c r="L177" s="547"/>
      <c r="M177" s="547"/>
      <c r="N177" s="547"/>
      <c r="O177" s="547"/>
      <c r="P177" s="547"/>
      <c r="Q177" s="812">
        <f t="shared" si="8"/>
        <v>-3087245784</v>
      </c>
      <c r="R177" s="547">
        <v>708009700083</v>
      </c>
      <c r="S177" s="812">
        <f t="shared" si="10"/>
        <v>-3087</v>
      </c>
      <c r="T177" s="547">
        <f t="shared" si="10"/>
        <v>708010</v>
      </c>
      <c r="U177" s="566"/>
      <c r="V177" s="567"/>
      <c r="W177" s="812">
        <f t="shared" si="11"/>
        <v>-3087245784</v>
      </c>
      <c r="X177" s="812">
        <f t="shared" si="9"/>
        <v>-3087</v>
      </c>
    </row>
    <row r="178" spans="1:24" ht="27" customHeight="1">
      <c r="A178" s="531"/>
      <c r="B178" s="531">
        <v>416</v>
      </c>
      <c r="C178" s="529">
        <v>4</v>
      </c>
      <c r="D178" s="530" t="s">
        <v>1369</v>
      </c>
      <c r="E178" s="531" t="s">
        <v>1370</v>
      </c>
      <c r="F178" s="547">
        <v>285554873028</v>
      </c>
      <c r="G178" s="547">
        <v>27218355556</v>
      </c>
      <c r="H178" s="547"/>
      <c r="I178" s="547">
        <v>-312773228584</v>
      </c>
      <c r="J178" s="547"/>
      <c r="K178" s="547"/>
      <c r="L178" s="547"/>
      <c r="M178" s="547"/>
      <c r="N178" s="547"/>
      <c r="O178" s="547"/>
      <c r="P178" s="547"/>
      <c r="Q178" s="812">
        <f t="shared" si="8"/>
        <v>0</v>
      </c>
      <c r="R178" s="547">
        <v>-253915272203</v>
      </c>
      <c r="S178" s="812">
        <f t="shared" si="10"/>
        <v>0</v>
      </c>
      <c r="T178" s="547">
        <f t="shared" si="10"/>
        <v>-253915</v>
      </c>
      <c r="U178" s="566"/>
      <c r="V178" s="567"/>
      <c r="W178" s="812">
        <f t="shared" si="11"/>
        <v>0</v>
      </c>
      <c r="X178" s="812">
        <f t="shared" si="9"/>
        <v>0</v>
      </c>
    </row>
    <row r="179" spans="1:24" ht="27" customHeight="1">
      <c r="A179" s="531"/>
      <c r="B179" s="531">
        <v>1006</v>
      </c>
      <c r="C179" s="529">
        <v>10</v>
      </c>
      <c r="D179" s="530" t="s">
        <v>529</v>
      </c>
      <c r="E179" s="531" t="s">
        <v>156</v>
      </c>
      <c r="F179" s="547">
        <v>-25931709369</v>
      </c>
      <c r="G179" s="547">
        <v>-249140363</v>
      </c>
      <c r="H179" s="547"/>
      <c r="I179" s="547">
        <v>-1258748576</v>
      </c>
      <c r="J179" s="547">
        <v>-101776333</v>
      </c>
      <c r="K179" s="547"/>
      <c r="L179" s="547">
        <f>-885879074-2766065143</f>
        <v>-3651944217</v>
      </c>
      <c r="M179" s="547"/>
      <c r="N179" s="547"/>
      <c r="O179" s="547"/>
      <c r="P179" s="547"/>
      <c r="Q179" s="812">
        <f t="shared" si="8"/>
        <v>-31193318858</v>
      </c>
      <c r="R179" s="547">
        <v>4796597726503</v>
      </c>
      <c r="S179" s="812">
        <f t="shared" si="10"/>
        <v>-31193</v>
      </c>
      <c r="T179" s="547">
        <f t="shared" si="10"/>
        <v>4796598</v>
      </c>
      <c r="U179" s="566"/>
      <c r="V179" s="567"/>
      <c r="W179" s="812">
        <f t="shared" si="11"/>
        <v>-31193318858</v>
      </c>
      <c r="X179" s="812">
        <f t="shared" si="9"/>
        <v>-31193</v>
      </c>
    </row>
    <row r="180" spans="1:24" ht="27" customHeight="1">
      <c r="A180" s="531"/>
      <c r="B180" s="531">
        <v>413</v>
      </c>
      <c r="C180" s="529">
        <v>4</v>
      </c>
      <c r="D180" s="530" t="s">
        <v>1372</v>
      </c>
      <c r="E180" s="531" t="s">
        <v>1371</v>
      </c>
      <c r="F180" s="547">
        <v>1701357714916</v>
      </c>
      <c r="G180" s="547">
        <v>161722483846</v>
      </c>
      <c r="H180" s="547"/>
      <c r="I180" s="547">
        <v>-1863080198762</v>
      </c>
      <c r="J180" s="547"/>
      <c r="K180" s="547"/>
      <c r="L180" s="547"/>
      <c r="M180" s="547"/>
      <c r="N180" s="547"/>
      <c r="O180" s="547"/>
      <c r="P180" s="547"/>
      <c r="Q180" s="812">
        <f t="shared" si="8"/>
        <v>0</v>
      </c>
      <c r="R180" s="547">
        <v>-1633118556313</v>
      </c>
      <c r="S180" s="812">
        <f t="shared" si="10"/>
        <v>0</v>
      </c>
      <c r="T180" s="547">
        <f t="shared" si="10"/>
        <v>-1633119</v>
      </c>
      <c r="U180" s="566"/>
      <c r="V180" s="567"/>
      <c r="W180" s="812">
        <f t="shared" si="11"/>
        <v>0</v>
      </c>
      <c r="X180" s="812">
        <f t="shared" si="9"/>
        <v>0</v>
      </c>
    </row>
    <row r="181" spans="1:24" ht="27" customHeight="1">
      <c r="A181" s="531"/>
      <c r="B181" s="531">
        <v>415</v>
      </c>
      <c r="C181" s="529">
        <v>4</v>
      </c>
      <c r="D181" s="530" t="s">
        <v>157</v>
      </c>
      <c r="E181" s="531" t="s">
        <v>558</v>
      </c>
      <c r="F181" s="547">
        <v>-1015766771</v>
      </c>
      <c r="G181" s="547">
        <v>-2505379392</v>
      </c>
      <c r="H181" s="547"/>
      <c r="I181" s="547">
        <v>32684490278</v>
      </c>
      <c r="J181" s="547"/>
      <c r="K181" s="547"/>
      <c r="L181" s="547"/>
      <c r="M181" s="547"/>
      <c r="N181" s="547"/>
      <c r="O181" s="547"/>
      <c r="P181" s="547"/>
      <c r="Q181" s="812">
        <f t="shared" si="8"/>
        <v>29163344115</v>
      </c>
      <c r="R181" s="547">
        <v>1093802723052</v>
      </c>
      <c r="S181" s="812">
        <f t="shared" si="10"/>
        <v>29163</v>
      </c>
      <c r="T181" s="547">
        <f t="shared" si="10"/>
        <v>1093803</v>
      </c>
      <c r="U181" s="566"/>
      <c r="V181" s="567"/>
      <c r="W181" s="812">
        <f t="shared" si="11"/>
        <v>29163344115</v>
      </c>
      <c r="X181" s="812">
        <f t="shared" si="9"/>
        <v>29163</v>
      </c>
    </row>
    <row r="182" spans="1:24" ht="27" customHeight="1">
      <c r="A182" s="531"/>
      <c r="B182" s="531">
        <v>415</v>
      </c>
      <c r="C182" s="529">
        <v>4</v>
      </c>
      <c r="D182" s="530" t="s">
        <v>1323</v>
      </c>
      <c r="E182" s="531" t="s">
        <v>558</v>
      </c>
      <c r="F182" s="547">
        <v>563775716143</v>
      </c>
      <c r="G182" s="547">
        <v>51775535714</v>
      </c>
      <c r="H182" s="547"/>
      <c r="I182" s="547">
        <v>-615551251857</v>
      </c>
      <c r="J182" s="547"/>
      <c r="K182" s="547"/>
      <c r="L182" s="547"/>
      <c r="M182" s="547"/>
      <c r="N182" s="547"/>
      <c r="O182" s="547"/>
      <c r="P182" s="547"/>
      <c r="Q182" s="812">
        <f t="shared" si="8"/>
        <v>0</v>
      </c>
      <c r="R182" s="547">
        <v>2032358267</v>
      </c>
      <c r="S182" s="812">
        <f t="shared" si="10"/>
        <v>0</v>
      </c>
      <c r="T182" s="547">
        <f t="shared" si="10"/>
        <v>2032</v>
      </c>
      <c r="U182" s="566"/>
      <c r="V182" s="567"/>
      <c r="W182" s="812">
        <f t="shared" si="11"/>
        <v>0</v>
      </c>
      <c r="X182" s="812">
        <f t="shared" si="9"/>
        <v>0</v>
      </c>
    </row>
    <row r="183" spans="1:24" ht="27" customHeight="1">
      <c r="A183" s="531"/>
      <c r="B183" s="531">
        <v>1019</v>
      </c>
      <c r="C183" s="529">
        <v>10</v>
      </c>
      <c r="D183" s="530" t="s">
        <v>158</v>
      </c>
      <c r="E183" s="531" t="s">
        <v>159</v>
      </c>
      <c r="F183" s="547">
        <v>-3458488300</v>
      </c>
      <c r="G183" s="547">
        <v>21422880</v>
      </c>
      <c r="H183" s="547">
        <v>-1478519345</v>
      </c>
      <c r="I183" s="547">
        <v>-2409149622</v>
      </c>
      <c r="J183" s="547"/>
      <c r="K183" s="547"/>
      <c r="L183" s="547">
        <v>-64268640</v>
      </c>
      <c r="M183" s="547"/>
      <c r="N183" s="547"/>
      <c r="O183" s="547"/>
      <c r="P183" s="547"/>
      <c r="Q183" s="812">
        <f t="shared" si="8"/>
        <v>-7389003027</v>
      </c>
      <c r="R183" s="547">
        <v>307459125956</v>
      </c>
      <c r="S183" s="812">
        <f t="shared" si="10"/>
        <v>-7389</v>
      </c>
      <c r="T183" s="547">
        <f t="shared" si="10"/>
        <v>307459</v>
      </c>
      <c r="U183" s="566"/>
      <c r="V183" s="567"/>
      <c r="W183" s="812">
        <f t="shared" si="11"/>
        <v>-7389003027</v>
      </c>
      <c r="X183" s="812">
        <f t="shared" si="9"/>
        <v>-7389</v>
      </c>
    </row>
    <row r="184" spans="1:24" ht="27" customHeight="1">
      <c r="A184" s="531"/>
      <c r="B184" s="531">
        <v>417</v>
      </c>
      <c r="C184" s="529">
        <v>4</v>
      </c>
      <c r="D184" s="530" t="s">
        <v>1529</v>
      </c>
      <c r="E184" s="531" t="s">
        <v>159</v>
      </c>
      <c r="F184" s="547">
        <v>78910613709</v>
      </c>
      <c r="G184" s="547">
        <v>11597050990</v>
      </c>
      <c r="H184" s="547"/>
      <c r="I184" s="547">
        <v>-90507664699</v>
      </c>
      <c r="J184" s="547"/>
      <c r="K184" s="547"/>
      <c r="L184" s="547"/>
      <c r="M184" s="547"/>
      <c r="N184" s="547"/>
      <c r="O184" s="547"/>
      <c r="P184" s="547"/>
      <c r="Q184" s="812">
        <f t="shared" si="8"/>
        <v>0</v>
      </c>
      <c r="R184" s="547">
        <v>-117969868390</v>
      </c>
      <c r="S184" s="812">
        <f t="shared" si="10"/>
        <v>0</v>
      </c>
      <c r="T184" s="547">
        <f t="shared" si="10"/>
        <v>-117970</v>
      </c>
      <c r="U184" s="566"/>
      <c r="V184" s="567"/>
      <c r="W184" s="812">
        <f t="shared" si="11"/>
        <v>0</v>
      </c>
      <c r="X184" s="812">
        <f t="shared" si="9"/>
        <v>0</v>
      </c>
    </row>
    <row r="185" spans="1:24" ht="27" customHeight="1">
      <c r="A185" s="531"/>
      <c r="B185" s="531">
        <v>1023</v>
      </c>
      <c r="C185" s="529">
        <v>10</v>
      </c>
      <c r="D185" s="530" t="s">
        <v>521</v>
      </c>
      <c r="E185" s="531" t="s">
        <v>207</v>
      </c>
      <c r="F185" s="547">
        <v>5869233137</v>
      </c>
      <c r="G185" s="547">
        <v>11212431911</v>
      </c>
      <c r="H185" s="547">
        <v>-40595276223</v>
      </c>
      <c r="I185" s="547">
        <v>-5154836154</v>
      </c>
      <c r="J185" s="547">
        <v>-100774071</v>
      </c>
      <c r="K185" s="547">
        <v>-3546114462</v>
      </c>
      <c r="L185" s="547">
        <v>-1203420793</v>
      </c>
      <c r="M185" s="547"/>
      <c r="N185" s="547"/>
      <c r="O185" s="547"/>
      <c r="P185" s="547"/>
      <c r="Q185" s="812">
        <f t="shared" si="8"/>
        <v>-33518756655</v>
      </c>
      <c r="R185" s="547">
        <v>-162003574279</v>
      </c>
      <c r="S185" s="812">
        <f t="shared" si="10"/>
        <v>-33519</v>
      </c>
      <c r="T185" s="547">
        <f t="shared" si="10"/>
        <v>-162004</v>
      </c>
      <c r="U185" s="566"/>
      <c r="V185" s="567"/>
      <c r="W185" s="812">
        <f t="shared" si="11"/>
        <v>-33518756655</v>
      </c>
      <c r="X185" s="812">
        <f t="shared" si="9"/>
        <v>-33519</v>
      </c>
    </row>
    <row r="186" spans="1:24" ht="27" customHeight="1">
      <c r="A186" s="531"/>
      <c r="B186" s="531">
        <v>1023</v>
      </c>
      <c r="C186" s="529">
        <v>10</v>
      </c>
      <c r="D186" s="530" t="s">
        <v>1324</v>
      </c>
      <c r="E186" s="531" t="s">
        <v>207</v>
      </c>
      <c r="F186" s="547">
        <v>475508675665</v>
      </c>
      <c r="G186" s="547">
        <v>65473699648</v>
      </c>
      <c r="H186" s="547">
        <v>-46411230</v>
      </c>
      <c r="I186" s="547">
        <v>-540935964083</v>
      </c>
      <c r="J186" s="547"/>
      <c r="K186" s="547"/>
      <c r="L186" s="547"/>
      <c r="M186" s="547"/>
      <c r="N186" s="547"/>
      <c r="O186" s="547"/>
      <c r="P186" s="547"/>
      <c r="Q186" s="812">
        <f t="shared" si="8"/>
        <v>0</v>
      </c>
      <c r="R186" s="547">
        <v>-1060842884</v>
      </c>
      <c r="S186" s="812">
        <f t="shared" si="10"/>
        <v>0</v>
      </c>
      <c r="T186" s="547">
        <f t="shared" si="10"/>
        <v>-1061</v>
      </c>
      <c r="U186" s="566"/>
      <c r="V186" s="567"/>
      <c r="W186" s="812">
        <f t="shared" si="11"/>
        <v>0</v>
      </c>
      <c r="X186" s="812">
        <f t="shared" si="9"/>
        <v>0</v>
      </c>
    </row>
    <row r="187" spans="1:24" ht="27" customHeight="1">
      <c r="A187" s="531"/>
      <c r="B187" s="531">
        <v>1003</v>
      </c>
      <c r="C187" s="529">
        <v>10</v>
      </c>
      <c r="D187" s="530" t="s">
        <v>208</v>
      </c>
      <c r="E187" s="531" t="s">
        <v>209</v>
      </c>
      <c r="F187" s="547">
        <v>2457351283</v>
      </c>
      <c r="G187" s="547">
        <v>-610078119</v>
      </c>
      <c r="H187" s="547">
        <v>420246336</v>
      </c>
      <c r="I187" s="547">
        <v>-2454774302</v>
      </c>
      <c r="J187" s="547"/>
      <c r="K187" s="547">
        <v>32289000</v>
      </c>
      <c r="L187" s="547">
        <v>-26768825</v>
      </c>
      <c r="M187" s="547"/>
      <c r="N187" s="547">
        <v>2720700</v>
      </c>
      <c r="O187" s="547"/>
      <c r="P187" s="547"/>
      <c r="Q187" s="812">
        <f t="shared" si="8"/>
        <v>-179013927</v>
      </c>
      <c r="R187" s="547">
        <v>-261474355428</v>
      </c>
      <c r="S187" s="812">
        <f t="shared" si="10"/>
        <v>-179</v>
      </c>
      <c r="T187" s="547">
        <f t="shared" si="10"/>
        <v>-261474</v>
      </c>
      <c r="U187" s="566"/>
      <c r="V187" s="567"/>
      <c r="W187" s="812">
        <f t="shared" si="11"/>
        <v>-179013927</v>
      </c>
      <c r="X187" s="812">
        <f t="shared" si="9"/>
        <v>-179</v>
      </c>
    </row>
    <row r="188" spans="1:24" ht="27" customHeight="1">
      <c r="A188" s="531"/>
      <c r="B188" s="531">
        <v>1003</v>
      </c>
      <c r="C188" s="529">
        <v>10</v>
      </c>
      <c r="D188" s="530" t="s">
        <v>1325</v>
      </c>
      <c r="E188" s="531" t="s">
        <v>209</v>
      </c>
      <c r="F188" s="547">
        <v>1025584903029</v>
      </c>
      <c r="G188" s="547">
        <v>117007509640</v>
      </c>
      <c r="H188" s="547"/>
      <c r="I188" s="547">
        <v>-1142592412669</v>
      </c>
      <c r="J188" s="547"/>
      <c r="K188" s="547"/>
      <c r="L188" s="547"/>
      <c r="M188" s="547"/>
      <c r="N188" s="547"/>
      <c r="O188" s="547"/>
      <c r="P188" s="547"/>
      <c r="Q188" s="812">
        <f t="shared" si="8"/>
        <v>0</v>
      </c>
      <c r="R188" s="547">
        <v>-3130579001</v>
      </c>
      <c r="S188" s="812">
        <f t="shared" si="10"/>
        <v>0</v>
      </c>
      <c r="T188" s="547">
        <f t="shared" si="10"/>
        <v>-3131</v>
      </c>
      <c r="U188" s="566"/>
      <c r="V188" s="567"/>
      <c r="W188" s="812">
        <f t="shared" si="11"/>
        <v>0</v>
      </c>
      <c r="X188" s="812">
        <f t="shared" si="9"/>
        <v>0</v>
      </c>
    </row>
    <row r="189" spans="1:24" ht="27" customHeight="1">
      <c r="A189" s="531"/>
      <c r="B189" s="531">
        <v>1021</v>
      </c>
      <c r="C189" s="529">
        <v>10</v>
      </c>
      <c r="D189" s="530" t="s">
        <v>343</v>
      </c>
      <c r="E189" s="531" t="s">
        <v>344</v>
      </c>
      <c r="F189" s="547">
        <v>-74366110178</v>
      </c>
      <c r="G189" s="547">
        <v>-21521695203</v>
      </c>
      <c r="H189" s="547"/>
      <c r="I189" s="547">
        <v>-12806485602</v>
      </c>
      <c r="J189" s="547"/>
      <c r="K189" s="547">
        <f>-116006158-1409908896</f>
        <v>-1525915054</v>
      </c>
      <c r="L189" s="547"/>
      <c r="M189" s="547"/>
      <c r="N189" s="547"/>
      <c r="O189" s="547"/>
      <c r="P189" s="547"/>
      <c r="Q189" s="812">
        <f t="shared" si="8"/>
        <v>-110220206037</v>
      </c>
      <c r="R189" s="547">
        <v>-66741436087</v>
      </c>
      <c r="S189" s="812">
        <f t="shared" si="10"/>
        <v>-110220</v>
      </c>
      <c r="T189" s="547">
        <f t="shared" si="10"/>
        <v>-66741</v>
      </c>
      <c r="U189" s="566"/>
      <c r="V189" s="567"/>
      <c r="W189" s="812">
        <f t="shared" si="11"/>
        <v>-110220206037</v>
      </c>
      <c r="X189" s="812">
        <f t="shared" si="9"/>
        <v>-110220</v>
      </c>
    </row>
    <row r="190" spans="1:24" ht="27" customHeight="1">
      <c r="A190" s="531"/>
      <c r="B190" s="531">
        <v>406</v>
      </c>
      <c r="C190" s="529">
        <v>4</v>
      </c>
      <c r="D190" s="530" t="s">
        <v>266</v>
      </c>
      <c r="E190" s="531" t="s">
        <v>267</v>
      </c>
      <c r="F190" s="547">
        <v>259829761</v>
      </c>
      <c r="G190" s="547">
        <v>-141019</v>
      </c>
      <c r="H190" s="547"/>
      <c r="I190" s="547"/>
      <c r="J190" s="547"/>
      <c r="K190" s="547"/>
      <c r="L190" s="547"/>
      <c r="M190" s="547"/>
      <c r="N190" s="547"/>
      <c r="O190" s="547"/>
      <c r="P190" s="547"/>
      <c r="Q190" s="812">
        <f t="shared" si="8"/>
        <v>259688742</v>
      </c>
      <c r="R190" s="547">
        <v>-1288204715</v>
      </c>
      <c r="S190" s="812">
        <f t="shared" si="10"/>
        <v>260</v>
      </c>
      <c r="T190" s="547">
        <f t="shared" si="10"/>
        <v>-1288</v>
      </c>
      <c r="U190" s="566"/>
      <c r="V190" s="567"/>
      <c r="W190" s="812">
        <f t="shared" si="11"/>
        <v>259688742</v>
      </c>
      <c r="X190" s="812">
        <f t="shared" si="9"/>
        <v>260</v>
      </c>
    </row>
    <row r="191" spans="1:24" ht="27" customHeight="1">
      <c r="A191" s="531"/>
      <c r="B191" s="531">
        <v>1001</v>
      </c>
      <c r="C191" s="529">
        <v>10</v>
      </c>
      <c r="D191" s="530" t="s">
        <v>393</v>
      </c>
      <c r="E191" s="531" t="s">
        <v>394</v>
      </c>
      <c r="F191" s="547"/>
      <c r="G191" s="547"/>
      <c r="H191" s="547"/>
      <c r="I191" s="547"/>
      <c r="J191" s="547"/>
      <c r="K191" s="547"/>
      <c r="L191" s="547"/>
      <c r="M191" s="547"/>
      <c r="N191" s="547"/>
      <c r="O191" s="547"/>
      <c r="P191" s="547"/>
      <c r="Q191" s="812">
        <f t="shared" si="8"/>
        <v>0</v>
      </c>
      <c r="R191" s="547">
        <v>0</v>
      </c>
      <c r="S191" s="812">
        <f t="shared" si="10"/>
        <v>0</v>
      </c>
      <c r="T191" s="547">
        <f t="shared" si="10"/>
        <v>0</v>
      </c>
      <c r="U191" s="566"/>
      <c r="V191" s="567"/>
      <c r="W191" s="812">
        <f t="shared" si="11"/>
        <v>0</v>
      </c>
      <c r="X191" s="812">
        <f t="shared" si="9"/>
        <v>0</v>
      </c>
    </row>
    <row r="192" spans="1:24" ht="27" customHeight="1">
      <c r="A192" s="531"/>
      <c r="B192" s="531">
        <v>406</v>
      </c>
      <c r="C192" s="529">
        <v>4</v>
      </c>
      <c r="D192" s="530" t="s">
        <v>345</v>
      </c>
      <c r="E192" s="531" t="s">
        <v>1331</v>
      </c>
      <c r="F192" s="547">
        <v>66708000</v>
      </c>
      <c r="G192" s="547"/>
      <c r="H192" s="547"/>
      <c r="I192" s="547"/>
      <c r="J192" s="547"/>
      <c r="K192" s="547"/>
      <c r="L192" s="547"/>
      <c r="M192" s="547"/>
      <c r="N192" s="547"/>
      <c r="O192" s="547"/>
      <c r="P192" s="547"/>
      <c r="Q192" s="812">
        <f t="shared" si="8"/>
        <v>66708000</v>
      </c>
      <c r="R192" s="547">
        <v>33354000</v>
      </c>
      <c r="S192" s="812">
        <f t="shared" si="10"/>
        <v>67</v>
      </c>
      <c r="T192" s="547">
        <f t="shared" si="10"/>
        <v>33</v>
      </c>
      <c r="U192" s="566"/>
      <c r="V192" s="567"/>
      <c r="W192" s="812">
        <f t="shared" si="11"/>
        <v>66708000</v>
      </c>
      <c r="X192" s="812">
        <f t="shared" si="9"/>
        <v>67</v>
      </c>
    </row>
    <row r="193" spans="1:24" ht="27" customHeight="1">
      <c r="A193" s="531"/>
      <c r="B193" s="531">
        <v>1001</v>
      </c>
      <c r="C193" s="529">
        <v>10</v>
      </c>
      <c r="D193" s="530" t="s">
        <v>269</v>
      </c>
      <c r="E193" s="531" t="s">
        <v>268</v>
      </c>
      <c r="F193" s="547">
        <v>-94998484</v>
      </c>
      <c r="G193" s="547"/>
      <c r="H193" s="547"/>
      <c r="I193" s="547"/>
      <c r="J193" s="547"/>
      <c r="K193" s="547"/>
      <c r="L193" s="547"/>
      <c r="M193" s="547"/>
      <c r="N193" s="547"/>
      <c r="O193" s="547"/>
      <c r="P193" s="547"/>
      <c r="Q193" s="812">
        <f t="shared" si="8"/>
        <v>-94998484</v>
      </c>
      <c r="R193" s="547">
        <v>2660153060</v>
      </c>
      <c r="S193" s="812">
        <f t="shared" si="10"/>
        <v>-95</v>
      </c>
      <c r="T193" s="547">
        <f t="shared" si="10"/>
        <v>2660</v>
      </c>
      <c r="U193" s="566"/>
      <c r="V193" s="567"/>
      <c r="W193" s="812">
        <f t="shared" si="11"/>
        <v>-94998484</v>
      </c>
      <c r="X193" s="812">
        <f t="shared" si="9"/>
        <v>-95</v>
      </c>
    </row>
    <row r="194" spans="1:24" ht="27" customHeight="1">
      <c r="A194" s="531"/>
      <c r="B194" s="531">
        <v>1001</v>
      </c>
      <c r="C194" s="529">
        <v>10</v>
      </c>
      <c r="D194" s="530" t="s">
        <v>535</v>
      </c>
      <c r="E194" s="531" t="s">
        <v>64</v>
      </c>
      <c r="F194" s="547">
        <v>-171832310</v>
      </c>
      <c r="G194" s="547"/>
      <c r="H194" s="547"/>
      <c r="I194" s="547"/>
      <c r="J194" s="547"/>
      <c r="K194" s="547"/>
      <c r="L194" s="547"/>
      <c r="M194" s="547"/>
      <c r="N194" s="547"/>
      <c r="O194" s="547"/>
      <c r="P194" s="547"/>
      <c r="Q194" s="812">
        <f t="shared" si="8"/>
        <v>-171832310</v>
      </c>
      <c r="R194" s="547">
        <v>0</v>
      </c>
      <c r="S194" s="812">
        <f t="shared" si="10"/>
        <v>-172</v>
      </c>
      <c r="T194" s="547">
        <f t="shared" si="10"/>
        <v>0</v>
      </c>
      <c r="U194" s="566"/>
      <c r="V194" s="567"/>
      <c r="W194" s="812">
        <f t="shared" si="11"/>
        <v>-171832310</v>
      </c>
      <c r="X194" s="812">
        <f t="shared" si="9"/>
        <v>-172</v>
      </c>
    </row>
    <row r="195" spans="1:24" ht="27" customHeight="1">
      <c r="A195" s="531"/>
      <c r="B195" s="531">
        <v>406</v>
      </c>
      <c r="C195" s="529">
        <v>4</v>
      </c>
      <c r="D195" s="530" t="s">
        <v>347</v>
      </c>
      <c r="E195" s="531" t="s">
        <v>1059</v>
      </c>
      <c r="F195" s="547"/>
      <c r="G195" s="547"/>
      <c r="H195" s="547"/>
      <c r="I195" s="547"/>
      <c r="J195" s="547"/>
      <c r="K195" s="547"/>
      <c r="L195" s="547"/>
      <c r="M195" s="547"/>
      <c r="N195" s="547"/>
      <c r="O195" s="547"/>
      <c r="P195" s="547"/>
      <c r="Q195" s="812">
        <f t="shared" si="8"/>
        <v>0</v>
      </c>
      <c r="R195" s="547">
        <v>3205885</v>
      </c>
      <c r="S195" s="812">
        <f t="shared" si="10"/>
        <v>0</v>
      </c>
      <c r="T195" s="547">
        <f t="shared" si="10"/>
        <v>3</v>
      </c>
      <c r="U195" s="566"/>
      <c r="V195" s="567"/>
      <c r="W195" s="812">
        <f t="shared" si="11"/>
        <v>0</v>
      </c>
      <c r="X195" s="812">
        <f t="shared" si="9"/>
        <v>0</v>
      </c>
    </row>
    <row r="196" spans="1:24" ht="27" customHeight="1">
      <c r="A196" s="531"/>
      <c r="B196" s="531">
        <v>406</v>
      </c>
      <c r="C196" s="529">
        <v>4</v>
      </c>
      <c r="D196" s="530" t="s">
        <v>270</v>
      </c>
      <c r="E196" s="531" t="s">
        <v>271</v>
      </c>
      <c r="F196" s="547"/>
      <c r="G196" s="547"/>
      <c r="H196" s="547"/>
      <c r="I196" s="547"/>
      <c r="J196" s="547"/>
      <c r="K196" s="547"/>
      <c r="L196" s="547"/>
      <c r="M196" s="547"/>
      <c r="N196" s="547"/>
      <c r="O196" s="547"/>
      <c r="P196" s="547"/>
      <c r="Q196" s="812">
        <f t="shared" ref="Q196:Q259" si="12">SUM(F196:P196)</f>
        <v>0</v>
      </c>
      <c r="R196" s="547">
        <v>0</v>
      </c>
      <c r="S196" s="812">
        <f t="shared" si="10"/>
        <v>0</v>
      </c>
      <c r="T196" s="547">
        <f t="shared" si="10"/>
        <v>0</v>
      </c>
      <c r="U196" s="566"/>
      <c r="V196" s="567"/>
      <c r="W196" s="812">
        <f t="shared" si="11"/>
        <v>0</v>
      </c>
      <c r="X196" s="812">
        <f t="shared" ref="X196:X260" si="13">ROUND((W196/1000000),0)</f>
        <v>0</v>
      </c>
    </row>
    <row r="197" spans="1:24" ht="27" customHeight="1">
      <c r="A197" s="531"/>
      <c r="B197" s="531">
        <v>1001</v>
      </c>
      <c r="C197" s="529">
        <v>10</v>
      </c>
      <c r="D197" s="530" t="s">
        <v>967</v>
      </c>
      <c r="E197" s="531" t="s">
        <v>968</v>
      </c>
      <c r="F197" s="547"/>
      <c r="G197" s="547"/>
      <c r="H197" s="547"/>
      <c r="I197" s="547"/>
      <c r="J197" s="547"/>
      <c r="K197" s="547"/>
      <c r="L197" s="547"/>
      <c r="M197" s="547"/>
      <c r="N197" s="547"/>
      <c r="O197" s="547"/>
      <c r="P197" s="547"/>
      <c r="Q197" s="812">
        <f t="shared" si="12"/>
        <v>0</v>
      </c>
      <c r="R197" s="547">
        <v>-1164937025</v>
      </c>
      <c r="S197" s="812">
        <f t="shared" si="10"/>
        <v>0</v>
      </c>
      <c r="T197" s="547">
        <f t="shared" si="10"/>
        <v>-1165</v>
      </c>
      <c r="U197" s="566"/>
      <c r="V197" s="567"/>
      <c r="W197" s="812">
        <f t="shared" si="11"/>
        <v>0</v>
      </c>
      <c r="X197" s="812">
        <f t="shared" si="13"/>
        <v>0</v>
      </c>
    </row>
    <row r="198" spans="1:24" ht="27" customHeight="1">
      <c r="A198" s="531"/>
      <c r="B198" s="531">
        <v>1001</v>
      </c>
      <c r="C198" s="529">
        <v>10</v>
      </c>
      <c r="D198" s="530" t="s">
        <v>349</v>
      </c>
      <c r="E198" s="531" t="s">
        <v>285</v>
      </c>
      <c r="F198" s="547"/>
      <c r="G198" s="547"/>
      <c r="H198" s="547"/>
      <c r="I198" s="547"/>
      <c r="J198" s="547"/>
      <c r="K198" s="547"/>
      <c r="L198" s="547"/>
      <c r="M198" s="547"/>
      <c r="N198" s="547"/>
      <c r="O198" s="547"/>
      <c r="P198" s="547"/>
      <c r="Q198" s="812">
        <f t="shared" si="12"/>
        <v>0</v>
      </c>
      <c r="R198" s="547">
        <v>0</v>
      </c>
      <c r="S198" s="812">
        <f t="shared" si="10"/>
        <v>0</v>
      </c>
      <c r="T198" s="547">
        <f t="shared" si="10"/>
        <v>0</v>
      </c>
      <c r="U198" s="566"/>
      <c r="V198" s="567"/>
      <c r="W198" s="812">
        <f t="shared" si="11"/>
        <v>0</v>
      </c>
      <c r="X198" s="812">
        <f t="shared" si="13"/>
        <v>0</v>
      </c>
    </row>
    <row r="199" spans="1:24" ht="27" customHeight="1">
      <c r="A199" s="531"/>
      <c r="B199" s="531">
        <v>1001</v>
      </c>
      <c r="C199" s="529">
        <v>10</v>
      </c>
      <c r="D199" s="530" t="s">
        <v>1063</v>
      </c>
      <c r="E199" s="531" t="s">
        <v>1237</v>
      </c>
      <c r="F199" s="547">
        <v>-166410000</v>
      </c>
      <c r="G199" s="547"/>
      <c r="H199" s="547"/>
      <c r="I199" s="547"/>
      <c r="J199" s="547"/>
      <c r="K199" s="547"/>
      <c r="L199" s="547"/>
      <c r="M199" s="547"/>
      <c r="N199" s="547"/>
      <c r="O199" s="547"/>
      <c r="P199" s="547"/>
      <c r="Q199" s="812">
        <f t="shared" si="12"/>
        <v>-166410000</v>
      </c>
      <c r="R199" s="547">
        <v>-324000000</v>
      </c>
      <c r="S199" s="812">
        <f t="shared" si="10"/>
        <v>-166</v>
      </c>
      <c r="T199" s="547">
        <f t="shared" si="10"/>
        <v>-324</v>
      </c>
      <c r="U199" s="566"/>
      <c r="V199" s="567"/>
      <c r="W199" s="812">
        <f t="shared" si="11"/>
        <v>-166410000</v>
      </c>
      <c r="X199" s="812">
        <f t="shared" si="13"/>
        <v>-166</v>
      </c>
    </row>
    <row r="200" spans="1:24" ht="27" customHeight="1">
      <c r="A200" s="531"/>
      <c r="B200" s="531">
        <v>406</v>
      </c>
      <c r="C200" s="529">
        <v>4</v>
      </c>
      <c r="D200" s="530" t="s">
        <v>1060</v>
      </c>
      <c r="E200" s="531" t="s">
        <v>1061</v>
      </c>
      <c r="F200" s="547">
        <v>537808263</v>
      </c>
      <c r="G200" s="547"/>
      <c r="H200" s="547"/>
      <c r="I200" s="547"/>
      <c r="J200" s="547"/>
      <c r="K200" s="547"/>
      <c r="L200" s="547"/>
      <c r="M200" s="547"/>
      <c r="N200" s="547"/>
      <c r="O200" s="547"/>
      <c r="P200" s="547"/>
      <c r="Q200" s="812">
        <f t="shared" si="12"/>
        <v>537808263</v>
      </c>
      <c r="R200" s="547">
        <v>537808263</v>
      </c>
      <c r="S200" s="812">
        <f t="shared" si="10"/>
        <v>538</v>
      </c>
      <c r="T200" s="547">
        <f t="shared" si="10"/>
        <v>538</v>
      </c>
      <c r="U200" s="566"/>
      <c r="V200" s="567"/>
      <c r="W200" s="812">
        <f t="shared" si="11"/>
        <v>537808263</v>
      </c>
      <c r="X200" s="812">
        <f t="shared" si="13"/>
        <v>538</v>
      </c>
    </row>
    <row r="201" spans="1:24" ht="27" customHeight="1">
      <c r="A201" s="531"/>
      <c r="B201" s="531">
        <v>1001</v>
      </c>
      <c r="C201" s="529">
        <v>10</v>
      </c>
      <c r="D201" s="530" t="s">
        <v>657</v>
      </c>
      <c r="E201" s="531" t="s">
        <v>658</v>
      </c>
      <c r="F201" s="547"/>
      <c r="G201" s="547"/>
      <c r="H201" s="547"/>
      <c r="I201" s="547"/>
      <c r="J201" s="547"/>
      <c r="K201" s="547"/>
      <c r="L201" s="547"/>
      <c r="M201" s="547"/>
      <c r="N201" s="547"/>
      <c r="O201" s="547"/>
      <c r="P201" s="547"/>
      <c r="Q201" s="812">
        <f t="shared" si="12"/>
        <v>0</v>
      </c>
      <c r="R201" s="547">
        <v>0</v>
      </c>
      <c r="S201" s="812">
        <f t="shared" si="10"/>
        <v>0</v>
      </c>
      <c r="T201" s="547">
        <f t="shared" si="10"/>
        <v>0</v>
      </c>
      <c r="U201" s="566"/>
      <c r="V201" s="567"/>
      <c r="W201" s="812">
        <f t="shared" si="11"/>
        <v>0</v>
      </c>
      <c r="X201" s="812">
        <f t="shared" si="13"/>
        <v>0</v>
      </c>
    </row>
    <row r="202" spans="1:24" ht="27" customHeight="1">
      <c r="A202" s="531"/>
      <c r="B202" s="531">
        <v>406</v>
      </c>
      <c r="C202" s="529">
        <v>4</v>
      </c>
      <c r="D202" s="530" t="s">
        <v>272</v>
      </c>
      <c r="E202" s="531" t="s">
        <v>969</v>
      </c>
      <c r="F202" s="547"/>
      <c r="G202" s="547"/>
      <c r="H202" s="547"/>
      <c r="I202" s="547"/>
      <c r="J202" s="547"/>
      <c r="K202" s="547"/>
      <c r="L202" s="547"/>
      <c r="M202" s="547"/>
      <c r="N202" s="547"/>
      <c r="O202" s="547"/>
      <c r="P202" s="547"/>
      <c r="Q202" s="812">
        <f t="shared" si="12"/>
        <v>0</v>
      </c>
      <c r="R202" s="547">
        <v>191255809</v>
      </c>
      <c r="S202" s="812">
        <f t="shared" ref="S202:T276" si="14">ROUND((Q202/1000000),0)</f>
        <v>0</v>
      </c>
      <c r="T202" s="547">
        <f t="shared" si="14"/>
        <v>191</v>
      </c>
      <c r="U202" s="566"/>
      <c r="V202" s="567"/>
      <c r="W202" s="812">
        <f t="shared" si="11"/>
        <v>0</v>
      </c>
      <c r="X202" s="812">
        <f t="shared" si="13"/>
        <v>0</v>
      </c>
    </row>
    <row r="203" spans="1:24" ht="27" customHeight="1">
      <c r="A203" s="531"/>
      <c r="B203" s="531">
        <v>406</v>
      </c>
      <c r="C203" s="529">
        <v>4</v>
      </c>
      <c r="D203" s="530" t="s">
        <v>235</v>
      </c>
      <c r="E203" s="531" t="s">
        <v>1062</v>
      </c>
      <c r="F203" s="547"/>
      <c r="G203" s="547"/>
      <c r="H203" s="547"/>
      <c r="I203" s="547"/>
      <c r="J203" s="547"/>
      <c r="K203" s="547"/>
      <c r="L203" s="547"/>
      <c r="M203" s="547"/>
      <c r="N203" s="547"/>
      <c r="O203" s="547"/>
      <c r="P203" s="547"/>
      <c r="Q203" s="812">
        <f t="shared" si="12"/>
        <v>0</v>
      </c>
      <c r="R203" s="547">
        <v>631810529</v>
      </c>
      <c r="S203" s="812">
        <f t="shared" si="14"/>
        <v>0</v>
      </c>
      <c r="T203" s="547">
        <f t="shared" si="14"/>
        <v>632</v>
      </c>
      <c r="U203" s="566"/>
      <c r="V203" s="567"/>
      <c r="W203" s="812">
        <f t="shared" ref="W203:W277" si="15">Q203+V203-U203</f>
        <v>0</v>
      </c>
      <c r="X203" s="812">
        <f t="shared" si="13"/>
        <v>0</v>
      </c>
    </row>
    <row r="204" spans="1:24" ht="27" customHeight="1">
      <c r="A204" s="531"/>
      <c r="B204" s="531">
        <v>1001</v>
      </c>
      <c r="C204" s="529">
        <v>10</v>
      </c>
      <c r="D204" s="530" t="s">
        <v>237</v>
      </c>
      <c r="E204" s="531" t="s">
        <v>1002</v>
      </c>
      <c r="F204" s="547"/>
      <c r="G204" s="547"/>
      <c r="H204" s="547"/>
      <c r="I204" s="547"/>
      <c r="J204" s="547"/>
      <c r="K204" s="547"/>
      <c r="L204" s="547"/>
      <c r="M204" s="547"/>
      <c r="N204" s="547"/>
      <c r="O204" s="547"/>
      <c r="P204" s="547"/>
      <c r="Q204" s="812">
        <f t="shared" si="12"/>
        <v>0</v>
      </c>
      <c r="R204" s="547">
        <v>-70333100</v>
      </c>
      <c r="S204" s="812">
        <f t="shared" si="14"/>
        <v>0</v>
      </c>
      <c r="T204" s="547">
        <f t="shared" si="14"/>
        <v>-70</v>
      </c>
      <c r="U204" s="566"/>
      <c r="V204" s="567"/>
      <c r="W204" s="812">
        <f t="shared" si="15"/>
        <v>0</v>
      </c>
      <c r="X204" s="812">
        <f t="shared" si="13"/>
        <v>0</v>
      </c>
    </row>
    <row r="205" spans="1:24" ht="27" customHeight="1">
      <c r="A205" s="531"/>
      <c r="B205" s="531">
        <v>406</v>
      </c>
      <c r="C205" s="529">
        <v>4</v>
      </c>
      <c r="D205" s="530" t="s">
        <v>970</v>
      </c>
      <c r="E205" s="531" t="s">
        <v>971</v>
      </c>
      <c r="F205" s="547">
        <v>625347393</v>
      </c>
      <c r="G205" s="547"/>
      <c r="H205" s="547"/>
      <c r="I205" s="547"/>
      <c r="J205" s="547"/>
      <c r="K205" s="547"/>
      <c r="L205" s="547"/>
      <c r="M205" s="547"/>
      <c r="N205" s="547"/>
      <c r="O205" s="547"/>
      <c r="P205" s="547"/>
      <c r="Q205" s="812">
        <f t="shared" si="12"/>
        <v>625347393</v>
      </c>
      <c r="R205" s="547">
        <v>281224593</v>
      </c>
      <c r="S205" s="812">
        <f t="shared" si="14"/>
        <v>625</v>
      </c>
      <c r="T205" s="547">
        <f t="shared" si="14"/>
        <v>281</v>
      </c>
      <c r="U205" s="566"/>
      <c r="V205" s="567"/>
      <c r="W205" s="812">
        <f t="shared" si="15"/>
        <v>625347393</v>
      </c>
      <c r="X205" s="812">
        <f t="shared" si="13"/>
        <v>625</v>
      </c>
    </row>
    <row r="206" spans="1:24" ht="27" customHeight="1">
      <c r="A206" s="531"/>
      <c r="B206" s="531">
        <v>406</v>
      </c>
      <c r="C206" s="529">
        <v>4</v>
      </c>
      <c r="D206" s="530" t="s">
        <v>1264</v>
      </c>
      <c r="E206" s="531" t="s">
        <v>1064</v>
      </c>
      <c r="F206" s="547"/>
      <c r="G206" s="547"/>
      <c r="H206" s="547"/>
      <c r="I206" s="547"/>
      <c r="J206" s="547"/>
      <c r="K206" s="547"/>
      <c r="L206" s="547"/>
      <c r="M206" s="547"/>
      <c r="N206" s="547"/>
      <c r="O206" s="547"/>
      <c r="P206" s="547"/>
      <c r="Q206" s="812">
        <f t="shared" si="12"/>
        <v>0</v>
      </c>
      <c r="R206" s="547">
        <v>0</v>
      </c>
      <c r="S206" s="812">
        <f t="shared" si="14"/>
        <v>0</v>
      </c>
      <c r="T206" s="547">
        <f t="shared" si="14"/>
        <v>0</v>
      </c>
      <c r="U206" s="566"/>
      <c r="V206" s="567"/>
      <c r="W206" s="812">
        <f t="shared" si="15"/>
        <v>0</v>
      </c>
      <c r="X206" s="812">
        <f t="shared" si="13"/>
        <v>0</v>
      </c>
    </row>
    <row r="207" spans="1:24" ht="27" customHeight="1">
      <c r="A207" s="531"/>
      <c r="B207" s="531">
        <v>406</v>
      </c>
      <c r="C207" s="529">
        <v>4</v>
      </c>
      <c r="D207" s="530" t="s">
        <v>210</v>
      </c>
      <c r="E207" s="531" t="s">
        <v>211</v>
      </c>
      <c r="F207" s="547">
        <v>521475926</v>
      </c>
      <c r="G207" s="547"/>
      <c r="H207" s="547"/>
      <c r="I207" s="547"/>
      <c r="J207" s="547"/>
      <c r="K207" s="547"/>
      <c r="L207" s="547"/>
      <c r="M207" s="547"/>
      <c r="N207" s="547"/>
      <c r="O207" s="547"/>
      <c r="P207" s="547"/>
      <c r="Q207" s="812">
        <f t="shared" si="12"/>
        <v>521475926</v>
      </c>
      <c r="R207" s="547">
        <v>474224426</v>
      </c>
      <c r="S207" s="812">
        <f t="shared" si="14"/>
        <v>521</v>
      </c>
      <c r="T207" s="547">
        <f t="shared" si="14"/>
        <v>474</v>
      </c>
      <c r="U207" s="566"/>
      <c r="V207" s="567"/>
      <c r="W207" s="812">
        <f t="shared" si="15"/>
        <v>521475926</v>
      </c>
      <c r="X207" s="812">
        <f t="shared" si="13"/>
        <v>521</v>
      </c>
    </row>
    <row r="208" spans="1:24" ht="27" customHeight="1">
      <c r="A208" s="531"/>
      <c r="B208" s="531">
        <v>406</v>
      </c>
      <c r="C208" s="529">
        <v>4</v>
      </c>
      <c r="D208" s="530" t="s">
        <v>274</v>
      </c>
      <c r="E208" s="531" t="s">
        <v>276</v>
      </c>
      <c r="F208" s="547"/>
      <c r="G208" s="547"/>
      <c r="H208" s="547"/>
      <c r="I208" s="547"/>
      <c r="J208" s="547"/>
      <c r="K208" s="547"/>
      <c r="L208" s="547"/>
      <c r="M208" s="547"/>
      <c r="N208" s="547"/>
      <c r="O208" s="547"/>
      <c r="P208" s="547"/>
      <c r="Q208" s="812">
        <f t="shared" si="12"/>
        <v>0</v>
      </c>
      <c r="R208" s="547">
        <v>0</v>
      </c>
      <c r="S208" s="812">
        <f t="shared" si="14"/>
        <v>0</v>
      </c>
      <c r="T208" s="547">
        <f t="shared" si="14"/>
        <v>0</v>
      </c>
      <c r="U208" s="566"/>
      <c r="V208" s="567"/>
      <c r="W208" s="812">
        <f t="shared" si="15"/>
        <v>0</v>
      </c>
      <c r="X208" s="812">
        <f t="shared" si="13"/>
        <v>0</v>
      </c>
    </row>
    <row r="209" spans="1:24" ht="27" customHeight="1">
      <c r="A209" s="531"/>
      <c r="B209" s="531">
        <v>406</v>
      </c>
      <c r="C209" s="529">
        <v>4</v>
      </c>
      <c r="D209" s="530" t="s">
        <v>1030</v>
      </c>
      <c r="E209" s="531" t="s">
        <v>1031</v>
      </c>
      <c r="F209" s="547"/>
      <c r="G209" s="547"/>
      <c r="H209" s="547"/>
      <c r="I209" s="547"/>
      <c r="J209" s="547"/>
      <c r="K209" s="547"/>
      <c r="L209" s="547"/>
      <c r="M209" s="547"/>
      <c r="N209" s="547"/>
      <c r="O209" s="547"/>
      <c r="P209" s="547"/>
      <c r="Q209" s="812">
        <f t="shared" si="12"/>
        <v>0</v>
      </c>
      <c r="R209" s="547">
        <v>32791521</v>
      </c>
      <c r="S209" s="812">
        <f t="shared" si="14"/>
        <v>0</v>
      </c>
      <c r="T209" s="547">
        <f t="shared" si="14"/>
        <v>33</v>
      </c>
      <c r="U209" s="566"/>
      <c r="V209" s="567"/>
      <c r="W209" s="812">
        <f t="shared" si="15"/>
        <v>0</v>
      </c>
      <c r="X209" s="812">
        <f t="shared" si="13"/>
        <v>0</v>
      </c>
    </row>
    <row r="210" spans="1:24" ht="27" customHeight="1">
      <c r="A210" s="531"/>
      <c r="B210" s="531">
        <v>406</v>
      </c>
      <c r="C210" s="529">
        <v>4</v>
      </c>
      <c r="D210" s="530" t="s">
        <v>1004</v>
      </c>
      <c r="E210" s="531" t="s">
        <v>840</v>
      </c>
      <c r="F210" s="547"/>
      <c r="G210" s="547"/>
      <c r="H210" s="547"/>
      <c r="I210" s="547"/>
      <c r="J210" s="547"/>
      <c r="K210" s="547"/>
      <c r="L210" s="547"/>
      <c r="M210" s="547"/>
      <c r="N210" s="547"/>
      <c r="O210" s="547"/>
      <c r="P210" s="547"/>
      <c r="Q210" s="812">
        <f t="shared" si="12"/>
        <v>0</v>
      </c>
      <c r="R210" s="547">
        <v>0</v>
      </c>
      <c r="S210" s="812">
        <f t="shared" si="14"/>
        <v>0</v>
      </c>
      <c r="T210" s="547">
        <f t="shared" si="14"/>
        <v>0</v>
      </c>
      <c r="U210" s="566"/>
      <c r="V210" s="567"/>
      <c r="W210" s="812">
        <f t="shared" si="15"/>
        <v>0</v>
      </c>
      <c r="X210" s="812">
        <f t="shared" si="13"/>
        <v>0</v>
      </c>
    </row>
    <row r="211" spans="1:24" ht="27" customHeight="1">
      <c r="A211" s="531"/>
      <c r="B211" s="531">
        <v>1001</v>
      </c>
      <c r="C211" s="529">
        <v>10</v>
      </c>
      <c r="D211" s="530" t="s">
        <v>65</v>
      </c>
      <c r="E211" s="531" t="s">
        <v>1332</v>
      </c>
      <c r="F211" s="547"/>
      <c r="G211" s="547"/>
      <c r="H211" s="547"/>
      <c r="I211" s="547"/>
      <c r="J211" s="547"/>
      <c r="K211" s="547"/>
      <c r="L211" s="547"/>
      <c r="M211" s="547"/>
      <c r="N211" s="547"/>
      <c r="O211" s="547"/>
      <c r="P211" s="547"/>
      <c r="Q211" s="812">
        <f t="shared" si="12"/>
        <v>0</v>
      </c>
      <c r="R211" s="547">
        <v>-50135441</v>
      </c>
      <c r="S211" s="812">
        <f t="shared" si="14"/>
        <v>0</v>
      </c>
      <c r="T211" s="547">
        <f t="shared" si="14"/>
        <v>-50</v>
      </c>
      <c r="U211" s="566"/>
      <c r="V211" s="567"/>
      <c r="W211" s="812">
        <f t="shared" si="15"/>
        <v>0</v>
      </c>
      <c r="X211" s="812">
        <f t="shared" si="13"/>
        <v>0</v>
      </c>
    </row>
    <row r="212" spans="1:24" ht="27" customHeight="1">
      <c r="A212" s="531"/>
      <c r="B212" s="531">
        <v>1001</v>
      </c>
      <c r="C212" s="529">
        <v>10</v>
      </c>
      <c r="D212" s="530" t="s">
        <v>1065</v>
      </c>
      <c r="E212" s="531" t="s">
        <v>1066</v>
      </c>
      <c r="F212" s="547"/>
      <c r="G212" s="547"/>
      <c r="H212" s="547"/>
      <c r="I212" s="547"/>
      <c r="J212" s="547"/>
      <c r="K212" s="547"/>
      <c r="L212" s="547"/>
      <c r="M212" s="547"/>
      <c r="N212" s="547"/>
      <c r="O212" s="547"/>
      <c r="P212" s="547"/>
      <c r="Q212" s="812">
        <f t="shared" si="12"/>
        <v>0</v>
      </c>
      <c r="R212" s="547">
        <v>0</v>
      </c>
      <c r="S212" s="812">
        <f t="shared" si="14"/>
        <v>0</v>
      </c>
      <c r="T212" s="547">
        <f t="shared" si="14"/>
        <v>0</v>
      </c>
      <c r="U212" s="566"/>
      <c r="V212" s="567"/>
      <c r="W212" s="812">
        <f t="shared" si="15"/>
        <v>0</v>
      </c>
      <c r="X212" s="812">
        <f t="shared" si="13"/>
        <v>0</v>
      </c>
    </row>
    <row r="213" spans="1:24" ht="27" customHeight="1">
      <c r="A213" s="531"/>
      <c r="B213" s="531">
        <v>406</v>
      </c>
      <c r="C213" s="529">
        <v>4</v>
      </c>
      <c r="D213" s="530" t="s">
        <v>1067</v>
      </c>
      <c r="E213" s="531" t="s">
        <v>1068</v>
      </c>
      <c r="F213" s="547"/>
      <c r="G213" s="547"/>
      <c r="H213" s="547"/>
      <c r="I213" s="547"/>
      <c r="J213" s="547"/>
      <c r="K213" s="547"/>
      <c r="L213" s="547"/>
      <c r="M213" s="547"/>
      <c r="N213" s="547"/>
      <c r="O213" s="547"/>
      <c r="P213" s="547"/>
      <c r="Q213" s="812">
        <f t="shared" si="12"/>
        <v>0</v>
      </c>
      <c r="R213" s="547">
        <v>97274274</v>
      </c>
      <c r="S213" s="812">
        <f t="shared" si="14"/>
        <v>0</v>
      </c>
      <c r="T213" s="547">
        <f t="shared" si="14"/>
        <v>97</v>
      </c>
      <c r="U213" s="566"/>
      <c r="V213" s="567"/>
      <c r="W213" s="812">
        <f t="shared" si="15"/>
        <v>0</v>
      </c>
      <c r="X213" s="812">
        <f t="shared" si="13"/>
        <v>0</v>
      </c>
    </row>
    <row r="214" spans="1:24" ht="27" customHeight="1">
      <c r="A214" s="531"/>
      <c r="B214" s="531">
        <v>406</v>
      </c>
      <c r="C214" s="529">
        <v>4</v>
      </c>
      <c r="D214" s="530" t="s">
        <v>1069</v>
      </c>
      <c r="E214" s="531" t="s">
        <v>1070</v>
      </c>
      <c r="F214" s="547">
        <v>126060060</v>
      </c>
      <c r="G214" s="547"/>
      <c r="H214" s="547"/>
      <c r="I214" s="547"/>
      <c r="J214" s="547"/>
      <c r="K214" s="547"/>
      <c r="L214" s="547"/>
      <c r="M214" s="547"/>
      <c r="N214" s="547"/>
      <c r="O214" s="547"/>
      <c r="P214" s="547"/>
      <c r="Q214" s="812">
        <f t="shared" si="12"/>
        <v>126060060</v>
      </c>
      <c r="R214" s="547">
        <v>102917700</v>
      </c>
      <c r="S214" s="812">
        <f t="shared" si="14"/>
        <v>126</v>
      </c>
      <c r="T214" s="547">
        <f t="shared" si="14"/>
        <v>103</v>
      </c>
      <c r="U214" s="566"/>
      <c r="V214" s="567"/>
      <c r="W214" s="812">
        <f t="shared" si="15"/>
        <v>126060060</v>
      </c>
      <c r="X214" s="812">
        <f t="shared" si="13"/>
        <v>126</v>
      </c>
    </row>
    <row r="215" spans="1:24" ht="27" customHeight="1">
      <c r="A215" s="531"/>
      <c r="B215" s="531">
        <v>1001</v>
      </c>
      <c r="C215" s="529">
        <v>10</v>
      </c>
      <c r="D215" s="530" t="s">
        <v>1072</v>
      </c>
      <c r="E215" s="531" t="s">
        <v>1071</v>
      </c>
      <c r="F215" s="547"/>
      <c r="G215" s="547"/>
      <c r="H215" s="547"/>
      <c r="I215" s="547"/>
      <c r="J215" s="547"/>
      <c r="K215" s="547"/>
      <c r="L215" s="547"/>
      <c r="M215" s="547"/>
      <c r="N215" s="547"/>
      <c r="O215" s="547"/>
      <c r="P215" s="547"/>
      <c r="Q215" s="812">
        <f t="shared" si="12"/>
        <v>0</v>
      </c>
      <c r="R215" s="547">
        <v>0</v>
      </c>
      <c r="S215" s="812">
        <f t="shared" si="14"/>
        <v>0</v>
      </c>
      <c r="T215" s="547">
        <f t="shared" si="14"/>
        <v>0</v>
      </c>
      <c r="U215" s="566"/>
      <c r="V215" s="567"/>
      <c r="W215" s="812">
        <f t="shared" si="15"/>
        <v>0</v>
      </c>
      <c r="X215" s="812">
        <f t="shared" si="13"/>
        <v>0</v>
      </c>
    </row>
    <row r="216" spans="1:24" ht="27" customHeight="1">
      <c r="A216" s="531"/>
      <c r="B216" s="531">
        <v>406</v>
      </c>
      <c r="C216" s="529">
        <v>4</v>
      </c>
      <c r="D216" s="530" t="s">
        <v>973</v>
      </c>
      <c r="E216" s="531" t="s">
        <v>972</v>
      </c>
      <c r="F216" s="547"/>
      <c r="G216" s="547"/>
      <c r="H216" s="547"/>
      <c r="I216" s="547"/>
      <c r="J216" s="547"/>
      <c r="K216" s="547"/>
      <c r="L216" s="547"/>
      <c r="M216" s="547"/>
      <c r="N216" s="547"/>
      <c r="O216" s="547"/>
      <c r="P216" s="547"/>
      <c r="Q216" s="812">
        <f t="shared" si="12"/>
        <v>0</v>
      </c>
      <c r="R216" s="547">
        <v>0</v>
      </c>
      <c r="S216" s="812">
        <f t="shared" si="14"/>
        <v>0</v>
      </c>
      <c r="T216" s="547">
        <f t="shared" si="14"/>
        <v>0</v>
      </c>
      <c r="U216" s="566"/>
      <c r="V216" s="567"/>
      <c r="W216" s="812">
        <f t="shared" si="15"/>
        <v>0</v>
      </c>
      <c r="X216" s="812">
        <f t="shared" si="13"/>
        <v>0</v>
      </c>
    </row>
    <row r="217" spans="1:24" ht="27" customHeight="1">
      <c r="A217" s="531"/>
      <c r="B217" s="531">
        <v>406</v>
      </c>
      <c r="C217" s="529">
        <v>4</v>
      </c>
      <c r="D217" s="530" t="s">
        <v>974</v>
      </c>
      <c r="E217" s="531" t="s">
        <v>975</v>
      </c>
      <c r="F217" s="547">
        <v>496544636</v>
      </c>
      <c r="G217" s="547"/>
      <c r="H217" s="547"/>
      <c r="I217" s="547"/>
      <c r="J217" s="547">
        <v>-123891869</v>
      </c>
      <c r="K217" s="547"/>
      <c r="L217" s="547"/>
      <c r="M217" s="547"/>
      <c r="N217" s="547"/>
      <c r="O217" s="547"/>
      <c r="P217" s="547"/>
      <c r="Q217" s="812">
        <f t="shared" si="12"/>
        <v>372652767</v>
      </c>
      <c r="R217" s="547">
        <v>29739600</v>
      </c>
      <c r="S217" s="812">
        <f>ROUND((Q217/1000000),0)+1</f>
        <v>374</v>
      </c>
      <c r="T217" s="547">
        <f t="shared" si="14"/>
        <v>30</v>
      </c>
      <c r="U217" s="566"/>
      <c r="V217" s="567"/>
      <c r="W217" s="812">
        <f t="shared" si="15"/>
        <v>372652767</v>
      </c>
      <c r="X217" s="812">
        <f t="shared" si="13"/>
        <v>373</v>
      </c>
    </row>
    <row r="218" spans="1:24" ht="27" customHeight="1">
      <c r="A218" s="531"/>
      <c r="B218" s="531">
        <v>1001</v>
      </c>
      <c r="C218" s="529">
        <v>10</v>
      </c>
      <c r="D218" s="530" t="s">
        <v>976</v>
      </c>
      <c r="E218" s="531" t="s">
        <v>977</v>
      </c>
      <c r="F218" s="547"/>
      <c r="G218" s="547"/>
      <c r="H218" s="547"/>
      <c r="I218" s="547"/>
      <c r="J218" s="547"/>
      <c r="K218" s="547"/>
      <c r="L218" s="547"/>
      <c r="M218" s="547"/>
      <c r="N218" s="547"/>
      <c r="O218" s="547"/>
      <c r="P218" s="547"/>
      <c r="Q218" s="812">
        <f t="shared" si="12"/>
        <v>0</v>
      </c>
      <c r="R218" s="547">
        <v>-135245103</v>
      </c>
      <c r="S218" s="812">
        <f t="shared" si="14"/>
        <v>0</v>
      </c>
      <c r="T218" s="547">
        <f t="shared" si="14"/>
        <v>-135</v>
      </c>
      <c r="U218" s="566"/>
      <c r="V218" s="567"/>
      <c r="W218" s="812">
        <f t="shared" si="15"/>
        <v>0</v>
      </c>
      <c r="X218" s="812">
        <f t="shared" si="13"/>
        <v>0</v>
      </c>
    </row>
    <row r="219" spans="1:24" ht="27" customHeight="1">
      <c r="A219" s="531"/>
      <c r="B219" s="531">
        <v>1001</v>
      </c>
      <c r="C219" s="529">
        <v>10</v>
      </c>
      <c r="D219" s="530" t="s">
        <v>745</v>
      </c>
      <c r="E219" s="531" t="s">
        <v>744</v>
      </c>
      <c r="F219" s="547">
        <v>-80000000</v>
      </c>
      <c r="G219" s="547"/>
      <c r="H219" s="547"/>
      <c r="I219" s="547"/>
      <c r="J219" s="547"/>
      <c r="K219" s="547"/>
      <c r="L219" s="547"/>
      <c r="M219" s="547"/>
      <c r="N219" s="547"/>
      <c r="O219" s="547"/>
      <c r="P219" s="547"/>
      <c r="Q219" s="812">
        <f t="shared" si="12"/>
        <v>-80000000</v>
      </c>
      <c r="R219" s="547">
        <v>-49599999</v>
      </c>
      <c r="S219" s="812">
        <f t="shared" si="14"/>
        <v>-80</v>
      </c>
      <c r="T219" s="547">
        <f t="shared" si="14"/>
        <v>-50</v>
      </c>
      <c r="U219" s="566"/>
      <c r="V219" s="567"/>
      <c r="W219" s="812">
        <f t="shared" si="15"/>
        <v>-80000000</v>
      </c>
      <c r="X219" s="812">
        <f t="shared" si="13"/>
        <v>-80</v>
      </c>
    </row>
    <row r="220" spans="1:24" ht="27" customHeight="1">
      <c r="A220" s="531"/>
      <c r="B220" s="531">
        <v>1001</v>
      </c>
      <c r="C220" s="529">
        <v>10</v>
      </c>
      <c r="D220" s="530" t="s">
        <v>978</v>
      </c>
      <c r="E220" s="531" t="s">
        <v>979</v>
      </c>
      <c r="F220" s="547">
        <v>-573153861</v>
      </c>
      <c r="G220" s="547">
        <v>-925227975</v>
      </c>
      <c r="H220" s="547"/>
      <c r="I220" s="547"/>
      <c r="J220" s="547"/>
      <c r="K220" s="547"/>
      <c r="L220" s="547"/>
      <c r="M220" s="547"/>
      <c r="N220" s="547"/>
      <c r="O220" s="547"/>
      <c r="P220" s="547"/>
      <c r="Q220" s="812">
        <f t="shared" si="12"/>
        <v>-1498381836</v>
      </c>
      <c r="R220" s="547">
        <v>-188555697</v>
      </c>
      <c r="S220" s="812">
        <f>ROUND((Q220/1000000),0)</f>
        <v>-1498</v>
      </c>
      <c r="T220" s="547">
        <f t="shared" si="14"/>
        <v>-189</v>
      </c>
      <c r="U220" s="566"/>
      <c r="V220" s="567"/>
      <c r="W220" s="812">
        <f t="shared" si="15"/>
        <v>-1498381836</v>
      </c>
      <c r="X220" s="812">
        <f t="shared" si="13"/>
        <v>-1498</v>
      </c>
    </row>
    <row r="221" spans="1:24" ht="27" customHeight="1">
      <c r="A221" s="531"/>
      <c r="B221" s="531">
        <v>1001</v>
      </c>
      <c r="C221" s="529">
        <v>10</v>
      </c>
      <c r="D221" s="530" t="s">
        <v>275</v>
      </c>
      <c r="E221" s="531" t="s">
        <v>843</v>
      </c>
      <c r="F221" s="547"/>
      <c r="G221" s="547"/>
      <c r="H221" s="547"/>
      <c r="I221" s="547"/>
      <c r="J221" s="547"/>
      <c r="K221" s="547"/>
      <c r="L221" s="547"/>
      <c r="M221" s="547"/>
      <c r="N221" s="547"/>
      <c r="O221" s="547"/>
      <c r="P221" s="547"/>
      <c r="Q221" s="812">
        <f t="shared" si="12"/>
        <v>0</v>
      </c>
      <c r="R221" s="547">
        <v>0</v>
      </c>
      <c r="S221" s="812">
        <f t="shared" si="14"/>
        <v>0</v>
      </c>
      <c r="T221" s="547">
        <f t="shared" si="14"/>
        <v>0</v>
      </c>
      <c r="U221" s="566"/>
      <c r="V221" s="567"/>
      <c r="W221" s="812">
        <f t="shared" si="15"/>
        <v>0</v>
      </c>
      <c r="X221" s="812">
        <f t="shared" si="13"/>
        <v>0</v>
      </c>
    </row>
    <row r="222" spans="1:24" ht="27" customHeight="1">
      <c r="A222" s="531"/>
      <c r="B222" s="531">
        <v>406</v>
      </c>
      <c r="C222" s="529">
        <v>4</v>
      </c>
      <c r="D222" s="530" t="s">
        <v>980</v>
      </c>
      <c r="E222" s="531" t="s">
        <v>981</v>
      </c>
      <c r="F222" s="547"/>
      <c r="G222" s="547"/>
      <c r="H222" s="547"/>
      <c r="I222" s="547"/>
      <c r="J222" s="547"/>
      <c r="K222" s="547"/>
      <c r="L222" s="547"/>
      <c r="M222" s="547"/>
      <c r="N222" s="547"/>
      <c r="O222" s="547"/>
      <c r="P222" s="547"/>
      <c r="Q222" s="812">
        <f t="shared" si="12"/>
        <v>0</v>
      </c>
      <c r="R222" s="547">
        <v>6000000</v>
      </c>
      <c r="S222" s="812">
        <f t="shared" si="14"/>
        <v>0</v>
      </c>
      <c r="T222" s="547">
        <f t="shared" si="14"/>
        <v>6</v>
      </c>
      <c r="U222" s="566"/>
      <c r="V222" s="567"/>
      <c r="W222" s="812">
        <f t="shared" si="15"/>
        <v>0</v>
      </c>
      <c r="X222" s="812">
        <f t="shared" si="13"/>
        <v>0</v>
      </c>
    </row>
    <row r="223" spans="1:24" ht="27" customHeight="1">
      <c r="A223" s="531"/>
      <c r="B223" s="531">
        <v>406</v>
      </c>
      <c r="C223" s="529">
        <v>4</v>
      </c>
      <c r="D223" s="530" t="s">
        <v>982</v>
      </c>
      <c r="E223" s="531" t="s">
        <v>983</v>
      </c>
      <c r="F223" s="547"/>
      <c r="G223" s="547"/>
      <c r="H223" s="547"/>
      <c r="I223" s="547"/>
      <c r="J223" s="547"/>
      <c r="K223" s="547"/>
      <c r="L223" s="547"/>
      <c r="M223" s="547"/>
      <c r="N223" s="547"/>
      <c r="O223" s="547"/>
      <c r="P223" s="547"/>
      <c r="Q223" s="812">
        <f t="shared" si="12"/>
        <v>0</v>
      </c>
      <c r="R223" s="547">
        <v>0</v>
      </c>
      <c r="S223" s="812">
        <f t="shared" si="14"/>
        <v>0</v>
      </c>
      <c r="T223" s="547">
        <f t="shared" si="14"/>
        <v>0</v>
      </c>
      <c r="U223" s="566"/>
      <c r="V223" s="567"/>
      <c r="W223" s="812">
        <f t="shared" si="15"/>
        <v>0</v>
      </c>
      <c r="X223" s="812">
        <f t="shared" si="13"/>
        <v>0</v>
      </c>
    </row>
    <row r="224" spans="1:24" ht="27" customHeight="1">
      <c r="A224" s="531"/>
      <c r="B224" s="531">
        <v>406</v>
      </c>
      <c r="C224" s="529">
        <v>4</v>
      </c>
      <c r="D224" s="530" t="s">
        <v>1333</v>
      </c>
      <c r="E224" s="531" t="s">
        <v>1334</v>
      </c>
      <c r="F224" s="547">
        <v>13797354</v>
      </c>
      <c r="G224" s="547">
        <v>-11253784</v>
      </c>
      <c r="H224" s="547"/>
      <c r="I224" s="547"/>
      <c r="J224" s="547"/>
      <c r="K224" s="547"/>
      <c r="L224" s="547"/>
      <c r="M224" s="547"/>
      <c r="N224" s="547"/>
      <c r="O224" s="547"/>
      <c r="P224" s="547"/>
      <c r="Q224" s="812">
        <f t="shared" si="12"/>
        <v>2543570</v>
      </c>
      <c r="R224" s="547">
        <v>-95972588</v>
      </c>
      <c r="S224" s="812">
        <f t="shared" si="14"/>
        <v>3</v>
      </c>
      <c r="T224" s="547">
        <f t="shared" si="14"/>
        <v>-96</v>
      </c>
      <c r="U224" s="566"/>
      <c r="V224" s="567"/>
      <c r="W224" s="812">
        <f t="shared" si="15"/>
        <v>2543570</v>
      </c>
      <c r="X224" s="812">
        <f t="shared" si="13"/>
        <v>3</v>
      </c>
    </row>
    <row r="225" spans="1:24" ht="27" customHeight="1">
      <c r="A225" s="531"/>
      <c r="B225" s="531">
        <v>406</v>
      </c>
      <c r="C225" s="529">
        <v>4</v>
      </c>
      <c r="D225" s="530" t="s">
        <v>984</v>
      </c>
      <c r="E225" s="531" t="s">
        <v>985</v>
      </c>
      <c r="F225" s="547"/>
      <c r="G225" s="547"/>
      <c r="H225" s="547"/>
      <c r="I225" s="547"/>
      <c r="J225" s="547"/>
      <c r="K225" s="547"/>
      <c r="L225" s="547"/>
      <c r="M225" s="547"/>
      <c r="N225" s="547"/>
      <c r="O225" s="547"/>
      <c r="P225" s="547"/>
      <c r="Q225" s="812">
        <f t="shared" si="12"/>
        <v>0</v>
      </c>
      <c r="R225" s="547">
        <v>0</v>
      </c>
      <c r="S225" s="812">
        <f t="shared" si="14"/>
        <v>0</v>
      </c>
      <c r="T225" s="547">
        <f t="shared" si="14"/>
        <v>0</v>
      </c>
      <c r="U225" s="566"/>
      <c r="V225" s="567"/>
      <c r="W225" s="812">
        <f t="shared" si="15"/>
        <v>0</v>
      </c>
      <c r="X225" s="812">
        <f t="shared" si="13"/>
        <v>0</v>
      </c>
    </row>
    <row r="226" spans="1:24" ht="27" customHeight="1">
      <c r="A226" s="531"/>
      <c r="B226" s="531">
        <v>1001</v>
      </c>
      <c r="C226" s="529">
        <v>10</v>
      </c>
      <c r="D226" s="530" t="s">
        <v>1073</v>
      </c>
      <c r="E226" s="531" t="s">
        <v>1074</v>
      </c>
      <c r="F226" s="547"/>
      <c r="G226" s="547"/>
      <c r="H226" s="547"/>
      <c r="I226" s="547"/>
      <c r="J226" s="547"/>
      <c r="K226" s="547"/>
      <c r="L226" s="547"/>
      <c r="M226" s="547"/>
      <c r="N226" s="547"/>
      <c r="O226" s="547"/>
      <c r="P226" s="547"/>
      <c r="Q226" s="812">
        <f t="shared" si="12"/>
        <v>0</v>
      </c>
      <c r="R226" s="547">
        <v>0</v>
      </c>
      <c r="S226" s="812">
        <f t="shared" si="14"/>
        <v>0</v>
      </c>
      <c r="T226" s="547">
        <f t="shared" si="14"/>
        <v>0</v>
      </c>
      <c r="U226" s="566"/>
      <c r="V226" s="567"/>
      <c r="W226" s="812">
        <f t="shared" si="15"/>
        <v>0</v>
      </c>
      <c r="X226" s="812">
        <f t="shared" si="13"/>
        <v>0</v>
      </c>
    </row>
    <row r="227" spans="1:24" ht="27" customHeight="1">
      <c r="A227" s="531"/>
      <c r="B227" s="531">
        <v>1001</v>
      </c>
      <c r="C227" s="529">
        <v>10</v>
      </c>
      <c r="D227" s="530" t="s">
        <v>1238</v>
      </c>
      <c r="E227" s="531" t="s">
        <v>1239</v>
      </c>
      <c r="F227" s="547"/>
      <c r="G227" s="547"/>
      <c r="H227" s="547"/>
      <c r="I227" s="547"/>
      <c r="J227" s="547"/>
      <c r="K227" s="547"/>
      <c r="L227" s="547"/>
      <c r="M227" s="547"/>
      <c r="N227" s="547"/>
      <c r="O227" s="547"/>
      <c r="P227" s="547"/>
      <c r="Q227" s="812">
        <f t="shared" si="12"/>
        <v>0</v>
      </c>
      <c r="R227" s="547">
        <v>-144808599</v>
      </c>
      <c r="S227" s="812">
        <f t="shared" si="14"/>
        <v>0</v>
      </c>
      <c r="T227" s="547">
        <f t="shared" si="14"/>
        <v>-145</v>
      </c>
      <c r="U227" s="566"/>
      <c r="V227" s="567"/>
      <c r="W227" s="812">
        <f t="shared" si="15"/>
        <v>0</v>
      </c>
      <c r="X227" s="812">
        <f t="shared" si="13"/>
        <v>0</v>
      </c>
    </row>
    <row r="228" spans="1:24" ht="27" customHeight="1">
      <c r="A228" s="531"/>
      <c r="B228" s="531">
        <v>406</v>
      </c>
      <c r="C228" s="529">
        <v>4</v>
      </c>
      <c r="D228" s="530" t="s">
        <v>986</v>
      </c>
      <c r="E228" s="531" t="s">
        <v>987</v>
      </c>
      <c r="F228" s="547">
        <v>712800</v>
      </c>
      <c r="G228" s="547"/>
      <c r="H228" s="547"/>
      <c r="I228" s="547"/>
      <c r="J228" s="547"/>
      <c r="K228" s="547"/>
      <c r="L228" s="547"/>
      <c r="M228" s="547"/>
      <c r="N228" s="547"/>
      <c r="O228" s="547"/>
      <c r="P228" s="547"/>
      <c r="Q228" s="812">
        <f t="shared" si="12"/>
        <v>712800</v>
      </c>
      <c r="R228" s="547">
        <v>273371250</v>
      </c>
      <c r="S228" s="812">
        <f t="shared" si="14"/>
        <v>1</v>
      </c>
      <c r="T228" s="547">
        <f t="shared" si="14"/>
        <v>273</v>
      </c>
      <c r="U228" s="566"/>
      <c r="V228" s="567"/>
      <c r="W228" s="812">
        <f t="shared" si="15"/>
        <v>712800</v>
      </c>
      <c r="X228" s="812">
        <f t="shared" si="13"/>
        <v>1</v>
      </c>
    </row>
    <row r="229" spans="1:24" ht="27" customHeight="1">
      <c r="A229" s="531"/>
      <c r="B229" s="531">
        <v>1001</v>
      </c>
      <c r="C229" s="529">
        <v>10</v>
      </c>
      <c r="D229" s="530" t="s">
        <v>1075</v>
      </c>
      <c r="E229" s="531" t="s">
        <v>1076</v>
      </c>
      <c r="F229" s="547">
        <v>-1607144239</v>
      </c>
      <c r="G229" s="547"/>
      <c r="H229" s="547"/>
      <c r="I229" s="547"/>
      <c r="J229" s="547"/>
      <c r="K229" s="547"/>
      <c r="L229" s="547"/>
      <c r="M229" s="547"/>
      <c r="N229" s="547"/>
      <c r="O229" s="547"/>
      <c r="P229" s="547"/>
      <c r="Q229" s="812">
        <f t="shared" si="12"/>
        <v>-1607144239</v>
      </c>
      <c r="R229" s="547">
        <v>23760781</v>
      </c>
      <c r="S229" s="812">
        <f>ROUND((Q229/1000000),0)</f>
        <v>-1607</v>
      </c>
      <c r="T229" s="547">
        <f t="shared" si="14"/>
        <v>24</v>
      </c>
      <c r="U229" s="566"/>
      <c r="V229" s="567"/>
      <c r="W229" s="812">
        <f t="shared" si="15"/>
        <v>-1607144239</v>
      </c>
      <c r="X229" s="812">
        <f t="shared" si="13"/>
        <v>-1607</v>
      </c>
    </row>
    <row r="230" spans="1:24" ht="27" customHeight="1">
      <c r="A230" s="531"/>
      <c r="B230" s="531">
        <v>1001</v>
      </c>
      <c r="C230" s="529">
        <v>10</v>
      </c>
      <c r="D230" s="530" t="s">
        <v>1075</v>
      </c>
      <c r="E230" s="531" t="s">
        <v>1601</v>
      </c>
      <c r="F230" s="547"/>
      <c r="G230" s="547">
        <v>-391592728</v>
      </c>
      <c r="H230" s="547"/>
      <c r="I230" s="547"/>
      <c r="J230" s="547"/>
      <c r="K230" s="547"/>
      <c r="L230" s="547"/>
      <c r="M230" s="547"/>
      <c r="N230" s="547"/>
      <c r="O230" s="547"/>
      <c r="P230" s="547"/>
      <c r="Q230" s="812">
        <f t="shared" si="12"/>
        <v>-391592728</v>
      </c>
      <c r="R230" s="547"/>
      <c r="S230" s="812">
        <f>ROUND((Q230/1000000),0)+1</f>
        <v>-391</v>
      </c>
      <c r="T230" s="547">
        <f t="shared" si="14"/>
        <v>0</v>
      </c>
      <c r="U230" s="566"/>
      <c r="V230" s="567"/>
      <c r="W230" s="812">
        <f t="shared" si="15"/>
        <v>-391592728</v>
      </c>
      <c r="X230" s="812">
        <f t="shared" si="13"/>
        <v>-392</v>
      </c>
    </row>
    <row r="231" spans="1:24" ht="27" customHeight="1">
      <c r="A231" s="531"/>
      <c r="B231" s="531">
        <v>1001</v>
      </c>
      <c r="C231" s="529">
        <v>10</v>
      </c>
      <c r="D231" s="530" t="s">
        <v>1568</v>
      </c>
      <c r="E231" s="531" t="s">
        <v>1569</v>
      </c>
      <c r="F231" s="547">
        <v>-229957140</v>
      </c>
      <c r="G231" s="547">
        <v>-2985080</v>
      </c>
      <c r="H231" s="547"/>
      <c r="I231" s="547"/>
      <c r="J231" s="547"/>
      <c r="K231" s="547"/>
      <c r="L231" s="547"/>
      <c r="M231" s="547"/>
      <c r="N231" s="547"/>
      <c r="O231" s="547"/>
      <c r="P231" s="547"/>
      <c r="Q231" s="812">
        <f t="shared" si="12"/>
        <v>-232942220</v>
      </c>
      <c r="R231" s="547"/>
      <c r="S231" s="812">
        <f>ROUND((Q231/1000000),0)</f>
        <v>-233</v>
      </c>
      <c r="T231" s="547">
        <f t="shared" si="14"/>
        <v>0</v>
      </c>
      <c r="U231" s="566"/>
      <c r="V231" s="567"/>
      <c r="W231" s="812">
        <f t="shared" si="15"/>
        <v>-232942220</v>
      </c>
      <c r="X231" s="812">
        <f t="shared" si="13"/>
        <v>-233</v>
      </c>
    </row>
    <row r="232" spans="1:24" ht="27" customHeight="1">
      <c r="A232" s="531"/>
      <c r="B232" s="531">
        <v>1001</v>
      </c>
      <c r="C232" s="529">
        <v>10</v>
      </c>
      <c r="D232" s="530" t="s">
        <v>1240</v>
      </c>
      <c r="E232" s="531" t="s">
        <v>1241</v>
      </c>
      <c r="F232" s="547">
        <v>-3942158</v>
      </c>
      <c r="G232" s="547"/>
      <c r="H232" s="547"/>
      <c r="I232" s="547"/>
      <c r="J232" s="547"/>
      <c r="K232" s="547"/>
      <c r="L232" s="547"/>
      <c r="M232" s="547"/>
      <c r="N232" s="547"/>
      <c r="O232" s="547"/>
      <c r="P232" s="547"/>
      <c r="Q232" s="812">
        <f t="shared" si="12"/>
        <v>-3942158</v>
      </c>
      <c r="R232" s="547">
        <v>-130582467</v>
      </c>
      <c r="S232" s="812">
        <f t="shared" si="14"/>
        <v>-4</v>
      </c>
      <c r="T232" s="547">
        <f t="shared" si="14"/>
        <v>-131</v>
      </c>
      <c r="U232" s="566"/>
      <c r="V232" s="567"/>
      <c r="W232" s="812">
        <f t="shared" si="15"/>
        <v>-3942158</v>
      </c>
      <c r="X232" s="812">
        <f t="shared" si="13"/>
        <v>-4</v>
      </c>
    </row>
    <row r="233" spans="1:24" ht="27" customHeight="1">
      <c r="A233" s="531"/>
      <c r="B233" s="531">
        <v>1001</v>
      </c>
      <c r="C233" s="529">
        <v>10</v>
      </c>
      <c r="D233" s="530" t="s">
        <v>241</v>
      </c>
      <c r="E233" s="531" t="s">
        <v>754</v>
      </c>
      <c r="F233" s="547">
        <v>22792553</v>
      </c>
      <c r="G233" s="547"/>
      <c r="H233" s="547"/>
      <c r="I233" s="547"/>
      <c r="J233" s="547"/>
      <c r="K233" s="547"/>
      <c r="L233" s="547"/>
      <c r="M233" s="547"/>
      <c r="N233" s="547"/>
      <c r="O233" s="547"/>
      <c r="P233" s="547"/>
      <c r="Q233" s="812">
        <f t="shared" si="12"/>
        <v>22792553</v>
      </c>
      <c r="R233" s="547">
        <v>-41753248</v>
      </c>
      <c r="S233" s="812">
        <f t="shared" si="14"/>
        <v>23</v>
      </c>
      <c r="T233" s="547">
        <f t="shared" si="14"/>
        <v>-42</v>
      </c>
      <c r="U233" s="566"/>
      <c r="V233" s="567"/>
      <c r="W233" s="812">
        <f t="shared" si="15"/>
        <v>22792553</v>
      </c>
      <c r="X233" s="812">
        <f t="shared" si="13"/>
        <v>23</v>
      </c>
    </row>
    <row r="234" spans="1:24" ht="27" customHeight="1">
      <c r="A234" s="531"/>
      <c r="B234" s="531">
        <v>406</v>
      </c>
      <c r="C234" s="529">
        <v>4</v>
      </c>
      <c r="D234" s="530" t="s">
        <v>1243</v>
      </c>
      <c r="E234" s="531" t="s">
        <v>1242</v>
      </c>
      <c r="F234" s="547">
        <v>42771997</v>
      </c>
      <c r="G234" s="547"/>
      <c r="H234" s="547"/>
      <c r="I234" s="547"/>
      <c r="J234" s="547"/>
      <c r="K234" s="547"/>
      <c r="L234" s="547"/>
      <c r="M234" s="547"/>
      <c r="N234" s="547"/>
      <c r="O234" s="547"/>
      <c r="P234" s="547"/>
      <c r="Q234" s="812">
        <f t="shared" si="12"/>
        <v>42771997</v>
      </c>
      <c r="R234" s="547">
        <v>42771997</v>
      </c>
      <c r="S234" s="812">
        <f t="shared" si="14"/>
        <v>43</v>
      </c>
      <c r="T234" s="547">
        <f t="shared" si="14"/>
        <v>43</v>
      </c>
      <c r="U234" s="566"/>
      <c r="V234" s="567"/>
      <c r="W234" s="812">
        <f t="shared" si="15"/>
        <v>42771997</v>
      </c>
      <c r="X234" s="812">
        <f t="shared" si="13"/>
        <v>43</v>
      </c>
    </row>
    <row r="235" spans="1:24" ht="27" customHeight="1">
      <c r="A235" s="531"/>
      <c r="B235" s="531">
        <v>1001</v>
      </c>
      <c r="C235" s="529">
        <v>10</v>
      </c>
      <c r="D235" s="530" t="s">
        <v>491</v>
      </c>
      <c r="E235" s="531" t="s">
        <v>659</v>
      </c>
      <c r="F235" s="547"/>
      <c r="G235" s="547">
        <v>-6530116</v>
      </c>
      <c r="H235" s="547"/>
      <c r="I235" s="547"/>
      <c r="J235" s="547"/>
      <c r="K235" s="547"/>
      <c r="L235" s="547"/>
      <c r="M235" s="547"/>
      <c r="N235" s="547"/>
      <c r="O235" s="547"/>
      <c r="P235" s="547"/>
      <c r="Q235" s="812">
        <f t="shared" si="12"/>
        <v>-6530116</v>
      </c>
      <c r="R235" s="547">
        <v>57543009</v>
      </c>
      <c r="S235" s="812">
        <f>ROUND((Q235/1000000),0)</f>
        <v>-7</v>
      </c>
      <c r="T235" s="547">
        <f t="shared" si="14"/>
        <v>58</v>
      </c>
      <c r="U235" s="566"/>
      <c r="V235" s="567"/>
      <c r="W235" s="812">
        <f t="shared" si="15"/>
        <v>-6530116</v>
      </c>
      <c r="X235" s="812">
        <f t="shared" si="13"/>
        <v>-7</v>
      </c>
    </row>
    <row r="236" spans="1:24" ht="27" customHeight="1">
      <c r="A236" s="531"/>
      <c r="B236" s="531">
        <v>1001</v>
      </c>
      <c r="C236" s="529">
        <v>10</v>
      </c>
      <c r="D236" s="530" t="s">
        <v>1032</v>
      </c>
      <c r="E236" s="531" t="s">
        <v>1033</v>
      </c>
      <c r="F236" s="547">
        <v>87318030</v>
      </c>
      <c r="G236" s="547">
        <v>-347438197</v>
      </c>
      <c r="H236" s="547"/>
      <c r="I236" s="547"/>
      <c r="J236" s="547"/>
      <c r="K236" s="547">
        <v>-4287750</v>
      </c>
      <c r="L236" s="547"/>
      <c r="M236" s="547"/>
      <c r="N236" s="547"/>
      <c r="O236" s="547"/>
      <c r="P236" s="547"/>
      <c r="Q236" s="812">
        <f t="shared" si="12"/>
        <v>-264407917</v>
      </c>
      <c r="R236" s="547">
        <v>889165580</v>
      </c>
      <c r="S236" s="812">
        <f t="shared" si="14"/>
        <v>-264</v>
      </c>
      <c r="T236" s="547">
        <f t="shared" si="14"/>
        <v>889</v>
      </c>
      <c r="U236" s="566"/>
      <c r="V236" s="567"/>
      <c r="W236" s="812">
        <f t="shared" si="15"/>
        <v>-264407917</v>
      </c>
      <c r="X236" s="812">
        <f t="shared" si="13"/>
        <v>-264</v>
      </c>
    </row>
    <row r="237" spans="1:24" ht="27" customHeight="1">
      <c r="A237" s="531"/>
      <c r="B237" s="531">
        <v>406</v>
      </c>
      <c r="C237" s="529">
        <v>4</v>
      </c>
      <c r="D237" s="530" t="s">
        <v>660</v>
      </c>
      <c r="E237" s="531" t="s">
        <v>661</v>
      </c>
      <c r="F237" s="547">
        <v>-613657269</v>
      </c>
      <c r="G237" s="547">
        <v>-85928627</v>
      </c>
      <c r="H237" s="547">
        <f>323844366-237915739</f>
        <v>85928627</v>
      </c>
      <c r="I237" s="547">
        <v>760246366</v>
      </c>
      <c r="J237" s="547"/>
      <c r="K237" s="547"/>
      <c r="L237" s="547"/>
      <c r="M237" s="547"/>
      <c r="N237" s="547"/>
      <c r="O237" s="547"/>
      <c r="P237" s="547"/>
      <c r="Q237" s="812">
        <f t="shared" si="12"/>
        <v>146589097</v>
      </c>
      <c r="R237" s="547">
        <v>100714224</v>
      </c>
      <c r="S237" s="812">
        <f t="shared" si="14"/>
        <v>147</v>
      </c>
      <c r="T237" s="547">
        <f t="shared" si="14"/>
        <v>101</v>
      </c>
      <c r="U237" s="566"/>
      <c r="V237" s="567"/>
      <c r="W237" s="812">
        <f t="shared" si="15"/>
        <v>146589097</v>
      </c>
      <c r="X237" s="812">
        <f t="shared" si="13"/>
        <v>147</v>
      </c>
    </row>
    <row r="238" spans="1:24" ht="27" customHeight="1">
      <c r="A238" s="531"/>
      <c r="B238" s="531">
        <v>1001</v>
      </c>
      <c r="C238" s="529">
        <v>10</v>
      </c>
      <c r="D238" s="530" t="s">
        <v>887</v>
      </c>
      <c r="E238" s="531" t="s">
        <v>886</v>
      </c>
      <c r="F238" s="547"/>
      <c r="G238" s="547"/>
      <c r="H238" s="547"/>
      <c r="I238" s="547"/>
      <c r="J238" s="547"/>
      <c r="K238" s="547"/>
      <c r="L238" s="547"/>
      <c r="M238" s="547"/>
      <c r="N238" s="547"/>
      <c r="O238" s="547"/>
      <c r="P238" s="547"/>
      <c r="Q238" s="812">
        <f t="shared" si="12"/>
        <v>0</v>
      </c>
      <c r="R238" s="547">
        <v>0</v>
      </c>
      <c r="S238" s="812">
        <f t="shared" si="14"/>
        <v>0</v>
      </c>
      <c r="T238" s="547">
        <f t="shared" si="14"/>
        <v>0</v>
      </c>
      <c r="U238" s="566"/>
      <c r="V238" s="567"/>
      <c r="W238" s="812">
        <f t="shared" si="15"/>
        <v>0</v>
      </c>
      <c r="X238" s="812">
        <f t="shared" si="13"/>
        <v>0</v>
      </c>
    </row>
    <row r="239" spans="1:24" ht="27" customHeight="1">
      <c r="A239" s="531"/>
      <c r="B239" s="531">
        <v>406</v>
      </c>
      <c r="C239" s="529">
        <v>4</v>
      </c>
      <c r="D239" s="530" t="s">
        <v>493</v>
      </c>
      <c r="E239" s="531" t="s">
        <v>890</v>
      </c>
      <c r="F239" s="547"/>
      <c r="G239" s="547"/>
      <c r="H239" s="547"/>
      <c r="I239" s="547"/>
      <c r="J239" s="547"/>
      <c r="K239" s="547"/>
      <c r="L239" s="547"/>
      <c r="M239" s="547"/>
      <c r="N239" s="547"/>
      <c r="O239" s="547"/>
      <c r="P239" s="547"/>
      <c r="Q239" s="812">
        <f t="shared" si="12"/>
        <v>0</v>
      </c>
      <c r="R239" s="547">
        <v>0</v>
      </c>
      <c r="S239" s="812">
        <f t="shared" si="14"/>
        <v>0</v>
      </c>
      <c r="T239" s="547">
        <f t="shared" si="14"/>
        <v>0</v>
      </c>
      <c r="U239" s="566"/>
      <c r="V239" s="567"/>
      <c r="W239" s="812">
        <f t="shared" si="15"/>
        <v>0</v>
      </c>
      <c r="X239" s="812">
        <f t="shared" si="13"/>
        <v>0</v>
      </c>
    </row>
    <row r="240" spans="1:24" ht="27" customHeight="1">
      <c r="A240" s="531"/>
      <c r="B240" s="531"/>
      <c r="C240" s="529">
        <v>4</v>
      </c>
      <c r="D240" s="530" t="s">
        <v>841</v>
      </c>
      <c r="E240" s="531" t="s">
        <v>1244</v>
      </c>
      <c r="F240" s="547"/>
      <c r="G240" s="547"/>
      <c r="H240" s="547"/>
      <c r="I240" s="547"/>
      <c r="J240" s="547"/>
      <c r="K240" s="547"/>
      <c r="L240" s="547"/>
      <c r="M240" s="547"/>
      <c r="N240" s="547"/>
      <c r="O240" s="547"/>
      <c r="P240" s="547"/>
      <c r="Q240" s="812">
        <f t="shared" si="12"/>
        <v>0</v>
      </c>
      <c r="R240" s="547">
        <v>0</v>
      </c>
      <c r="S240" s="812">
        <f t="shared" si="14"/>
        <v>0</v>
      </c>
      <c r="T240" s="547">
        <f t="shared" si="14"/>
        <v>0</v>
      </c>
      <c r="U240" s="566"/>
      <c r="V240" s="567"/>
      <c r="W240" s="812">
        <f t="shared" si="15"/>
        <v>0</v>
      </c>
      <c r="X240" s="812">
        <f t="shared" si="13"/>
        <v>0</v>
      </c>
    </row>
    <row r="241" spans="1:24" ht="27" customHeight="1">
      <c r="A241" s="531"/>
      <c r="B241" s="531">
        <v>406</v>
      </c>
      <c r="C241" s="529">
        <v>4</v>
      </c>
      <c r="D241" s="530" t="s">
        <v>842</v>
      </c>
      <c r="E241" s="531" t="s">
        <v>888</v>
      </c>
      <c r="F241" s="547"/>
      <c r="G241" s="547"/>
      <c r="H241" s="547"/>
      <c r="I241" s="547"/>
      <c r="J241" s="547"/>
      <c r="K241" s="547"/>
      <c r="L241" s="547"/>
      <c r="M241" s="547"/>
      <c r="N241" s="547"/>
      <c r="O241" s="547"/>
      <c r="P241" s="547"/>
      <c r="Q241" s="812">
        <f t="shared" si="12"/>
        <v>0</v>
      </c>
      <c r="R241" s="547">
        <v>0</v>
      </c>
      <c r="S241" s="812">
        <f t="shared" si="14"/>
        <v>0</v>
      </c>
      <c r="T241" s="547">
        <f t="shared" si="14"/>
        <v>0</v>
      </c>
      <c r="U241" s="566"/>
      <c r="V241" s="567"/>
      <c r="W241" s="812">
        <f t="shared" si="15"/>
        <v>0</v>
      </c>
      <c r="X241" s="812">
        <f t="shared" si="13"/>
        <v>0</v>
      </c>
    </row>
    <row r="242" spans="1:24" ht="27" customHeight="1">
      <c r="A242" s="531"/>
      <c r="B242" s="531">
        <v>406</v>
      </c>
      <c r="C242" s="529">
        <v>4</v>
      </c>
      <c r="D242" s="530" t="s">
        <v>1077</v>
      </c>
      <c r="E242" s="531" t="s">
        <v>1078</v>
      </c>
      <c r="F242" s="547"/>
      <c r="G242" s="547"/>
      <c r="H242" s="547"/>
      <c r="I242" s="547"/>
      <c r="J242" s="547"/>
      <c r="K242" s="547"/>
      <c r="L242" s="547"/>
      <c r="M242" s="547"/>
      <c r="N242" s="547"/>
      <c r="O242" s="547"/>
      <c r="P242" s="547"/>
      <c r="Q242" s="812">
        <f t="shared" si="12"/>
        <v>0</v>
      </c>
      <c r="R242" s="547">
        <v>0</v>
      </c>
      <c r="S242" s="812">
        <f t="shared" si="14"/>
        <v>0</v>
      </c>
      <c r="T242" s="547">
        <f t="shared" si="14"/>
        <v>0</v>
      </c>
      <c r="U242" s="566"/>
      <c r="V242" s="567"/>
      <c r="W242" s="812">
        <f t="shared" si="15"/>
        <v>0</v>
      </c>
      <c r="X242" s="812">
        <f t="shared" si="13"/>
        <v>0</v>
      </c>
    </row>
    <row r="243" spans="1:24" ht="27" customHeight="1">
      <c r="A243" s="531"/>
      <c r="B243" s="531">
        <v>1001</v>
      </c>
      <c r="C243" s="529">
        <v>10</v>
      </c>
      <c r="D243" s="530" t="s">
        <v>1629</v>
      </c>
      <c r="E243" s="531" t="s">
        <v>1630</v>
      </c>
      <c r="F243" s="547"/>
      <c r="G243" s="547"/>
      <c r="H243" s="547"/>
      <c r="I243" s="547"/>
      <c r="J243" s="547">
        <v>-113265040</v>
      </c>
      <c r="K243" s="547"/>
      <c r="L243" s="547"/>
      <c r="M243" s="547"/>
      <c r="N243" s="547"/>
      <c r="O243" s="547"/>
      <c r="P243" s="547"/>
      <c r="Q243" s="812">
        <f t="shared" si="12"/>
        <v>-113265040</v>
      </c>
      <c r="R243" s="547">
        <v>0</v>
      </c>
      <c r="S243" s="812">
        <f t="shared" si="14"/>
        <v>-113</v>
      </c>
      <c r="T243" s="547">
        <f t="shared" si="14"/>
        <v>0</v>
      </c>
      <c r="U243" s="566"/>
      <c r="V243" s="567"/>
      <c r="W243" s="812">
        <f t="shared" si="15"/>
        <v>-113265040</v>
      </c>
      <c r="X243" s="812">
        <f t="shared" si="13"/>
        <v>-113</v>
      </c>
    </row>
    <row r="244" spans="1:24" ht="27" customHeight="1">
      <c r="A244" s="531"/>
      <c r="B244" s="531">
        <v>406</v>
      </c>
      <c r="C244" s="529">
        <v>4</v>
      </c>
      <c r="D244" s="530" t="s">
        <v>1079</v>
      </c>
      <c r="E244" s="531" t="s">
        <v>1080</v>
      </c>
      <c r="F244" s="547"/>
      <c r="G244" s="547"/>
      <c r="H244" s="547"/>
      <c r="I244" s="547"/>
      <c r="J244" s="547"/>
      <c r="K244" s="547"/>
      <c r="L244" s="547"/>
      <c r="M244" s="547"/>
      <c r="N244" s="547"/>
      <c r="O244" s="547"/>
      <c r="P244" s="547"/>
      <c r="Q244" s="812">
        <f t="shared" si="12"/>
        <v>0</v>
      </c>
      <c r="R244" s="547">
        <v>0</v>
      </c>
      <c r="S244" s="812">
        <f t="shared" si="14"/>
        <v>0</v>
      </c>
      <c r="T244" s="547">
        <f t="shared" si="14"/>
        <v>0</v>
      </c>
      <c r="U244" s="566"/>
      <c r="V244" s="567"/>
      <c r="W244" s="812">
        <f t="shared" si="15"/>
        <v>0</v>
      </c>
      <c r="X244" s="812">
        <f t="shared" si="13"/>
        <v>0</v>
      </c>
    </row>
    <row r="245" spans="1:24" ht="27" customHeight="1">
      <c r="A245" s="531"/>
      <c r="B245" s="531">
        <v>406</v>
      </c>
      <c r="C245" s="529">
        <v>4</v>
      </c>
      <c r="D245" s="530" t="s">
        <v>560</v>
      </c>
      <c r="E245" s="531" t="s">
        <v>1180</v>
      </c>
      <c r="F245" s="547">
        <v>1338356479</v>
      </c>
      <c r="G245" s="547"/>
      <c r="H245" s="547"/>
      <c r="I245" s="547"/>
      <c r="J245" s="547"/>
      <c r="K245" s="547"/>
      <c r="L245" s="547"/>
      <c r="M245" s="547"/>
      <c r="N245" s="547"/>
      <c r="O245" s="547"/>
      <c r="P245" s="547"/>
      <c r="Q245" s="812">
        <f t="shared" si="12"/>
        <v>1338356479</v>
      </c>
      <c r="R245" s="547">
        <v>1338356479</v>
      </c>
      <c r="S245" s="812">
        <f t="shared" si="14"/>
        <v>1338</v>
      </c>
      <c r="T245" s="547">
        <f t="shared" si="14"/>
        <v>1338</v>
      </c>
      <c r="U245" s="566"/>
      <c r="V245" s="567"/>
      <c r="W245" s="812">
        <f t="shared" si="15"/>
        <v>1338356479</v>
      </c>
      <c r="X245" s="812">
        <f t="shared" si="13"/>
        <v>1338</v>
      </c>
    </row>
    <row r="246" spans="1:24" ht="27" customHeight="1">
      <c r="A246" s="531"/>
      <c r="B246" s="531">
        <v>406</v>
      </c>
      <c r="C246" s="529">
        <v>4</v>
      </c>
      <c r="D246" s="530" t="s">
        <v>1245</v>
      </c>
      <c r="E246" s="531" t="s">
        <v>1246</v>
      </c>
      <c r="F246" s="547"/>
      <c r="G246" s="547"/>
      <c r="H246" s="547"/>
      <c r="I246" s="547"/>
      <c r="J246" s="547"/>
      <c r="K246" s="547"/>
      <c r="L246" s="547"/>
      <c r="M246" s="547"/>
      <c r="N246" s="547"/>
      <c r="O246" s="547"/>
      <c r="P246" s="547"/>
      <c r="Q246" s="812">
        <f t="shared" si="12"/>
        <v>0</v>
      </c>
      <c r="R246" s="547">
        <v>236402848</v>
      </c>
      <c r="S246" s="812">
        <f t="shared" si="14"/>
        <v>0</v>
      </c>
      <c r="T246" s="547">
        <f t="shared" si="14"/>
        <v>236</v>
      </c>
      <c r="U246" s="566"/>
      <c r="V246" s="567"/>
      <c r="W246" s="812">
        <f t="shared" si="15"/>
        <v>0</v>
      </c>
      <c r="X246" s="812">
        <f t="shared" si="13"/>
        <v>0</v>
      </c>
    </row>
    <row r="247" spans="1:24" ht="27" customHeight="1">
      <c r="A247" s="531"/>
      <c r="B247" s="531">
        <v>406</v>
      </c>
      <c r="C247" s="529">
        <v>4</v>
      </c>
      <c r="D247" s="530" t="s">
        <v>662</v>
      </c>
      <c r="E247" s="531" t="s">
        <v>988</v>
      </c>
      <c r="F247" s="547">
        <v>12983140818</v>
      </c>
      <c r="G247" s="547">
        <v>100533318</v>
      </c>
      <c r="H247" s="547"/>
      <c r="I247" s="547">
        <v>-2158200</v>
      </c>
      <c r="J247" s="547">
        <v>387344527</v>
      </c>
      <c r="K247" s="547">
        <v>-387344527</v>
      </c>
      <c r="L247" s="547">
        <v>154225853</v>
      </c>
      <c r="M247" s="547"/>
      <c r="N247" s="547"/>
      <c r="O247" s="547"/>
      <c r="P247" s="547"/>
      <c r="Q247" s="812">
        <f t="shared" si="12"/>
        <v>13235741789</v>
      </c>
      <c r="R247" s="547">
        <v>8790702656</v>
      </c>
      <c r="S247" s="812">
        <f>ROUND((Q247/1000000),0)+1</f>
        <v>13237</v>
      </c>
      <c r="T247" s="547">
        <f t="shared" si="14"/>
        <v>8791</v>
      </c>
      <c r="U247" s="566"/>
      <c r="V247" s="567"/>
      <c r="W247" s="812">
        <f t="shared" si="15"/>
        <v>13235741789</v>
      </c>
      <c r="X247" s="812">
        <f t="shared" si="13"/>
        <v>13236</v>
      </c>
    </row>
    <row r="248" spans="1:24" ht="27" customHeight="1">
      <c r="A248" s="531"/>
      <c r="B248" s="531">
        <v>1018</v>
      </c>
      <c r="C248" s="529">
        <v>10</v>
      </c>
      <c r="D248" s="530" t="s">
        <v>889</v>
      </c>
      <c r="E248" s="531" t="s">
        <v>891</v>
      </c>
      <c r="F248" s="547"/>
      <c r="G248" s="547"/>
      <c r="H248" s="547"/>
      <c r="I248" s="547"/>
      <c r="J248" s="547"/>
      <c r="K248" s="547"/>
      <c r="L248" s="547"/>
      <c r="M248" s="547"/>
      <c r="N248" s="547"/>
      <c r="O248" s="547"/>
      <c r="P248" s="547"/>
      <c r="Q248" s="812">
        <f t="shared" si="12"/>
        <v>0</v>
      </c>
      <c r="R248" s="547">
        <v>0</v>
      </c>
      <c r="S248" s="812">
        <f t="shared" si="14"/>
        <v>0</v>
      </c>
      <c r="T248" s="547">
        <f t="shared" si="14"/>
        <v>0</v>
      </c>
      <c r="U248" s="566"/>
      <c r="V248" s="567"/>
      <c r="W248" s="812">
        <f t="shared" si="15"/>
        <v>0</v>
      </c>
      <c r="X248" s="812">
        <f t="shared" si="13"/>
        <v>0</v>
      </c>
    </row>
    <row r="249" spans="1:24" ht="27" customHeight="1">
      <c r="A249" s="531"/>
      <c r="B249" s="531">
        <v>1001</v>
      </c>
      <c r="C249" s="529">
        <v>10</v>
      </c>
      <c r="D249" s="530" t="s">
        <v>116</v>
      </c>
      <c r="E249" s="531" t="s">
        <v>1265</v>
      </c>
      <c r="F249" s="547">
        <v>-3100000</v>
      </c>
      <c r="G249" s="547"/>
      <c r="H249" s="547"/>
      <c r="I249" s="547">
        <v>3100000</v>
      </c>
      <c r="J249" s="547"/>
      <c r="K249" s="547"/>
      <c r="L249" s="547"/>
      <c r="M249" s="547"/>
      <c r="N249" s="547"/>
      <c r="O249" s="547"/>
      <c r="P249" s="547"/>
      <c r="Q249" s="812">
        <f t="shared" si="12"/>
        <v>0</v>
      </c>
      <c r="R249" s="547">
        <v>-179950000</v>
      </c>
      <c r="S249" s="812">
        <f t="shared" si="14"/>
        <v>0</v>
      </c>
      <c r="T249" s="547">
        <f t="shared" si="14"/>
        <v>-180</v>
      </c>
      <c r="U249" s="566"/>
      <c r="V249" s="567"/>
      <c r="W249" s="812">
        <f t="shared" si="15"/>
        <v>0</v>
      </c>
      <c r="X249" s="812">
        <f t="shared" si="13"/>
        <v>0</v>
      </c>
    </row>
    <row r="250" spans="1:24" ht="27" customHeight="1">
      <c r="A250" s="531"/>
      <c r="B250" s="531">
        <v>1001</v>
      </c>
      <c r="C250" s="529">
        <v>10</v>
      </c>
      <c r="D250" s="530" t="s">
        <v>485</v>
      </c>
      <c r="E250" s="531" t="s">
        <v>898</v>
      </c>
      <c r="F250" s="547">
        <v>-153856933</v>
      </c>
      <c r="G250" s="547">
        <v>-30000</v>
      </c>
      <c r="H250" s="547"/>
      <c r="I250" s="547">
        <v>153886933</v>
      </c>
      <c r="J250" s="547"/>
      <c r="K250" s="547"/>
      <c r="L250" s="547"/>
      <c r="M250" s="547"/>
      <c r="N250" s="547"/>
      <c r="O250" s="547"/>
      <c r="P250" s="547"/>
      <c r="Q250" s="812">
        <f t="shared" si="12"/>
        <v>0</v>
      </c>
      <c r="R250" s="547">
        <v>19475411</v>
      </c>
      <c r="S250" s="812">
        <f t="shared" si="14"/>
        <v>0</v>
      </c>
      <c r="T250" s="547">
        <f t="shared" si="14"/>
        <v>19</v>
      </c>
      <c r="U250" s="566"/>
      <c r="V250" s="567"/>
      <c r="W250" s="812">
        <f t="shared" si="15"/>
        <v>0</v>
      </c>
      <c r="X250" s="812">
        <f t="shared" si="13"/>
        <v>0</v>
      </c>
    </row>
    <row r="251" spans="1:24" ht="27" customHeight="1">
      <c r="A251" s="531"/>
      <c r="B251" s="531">
        <v>1001</v>
      </c>
      <c r="C251" s="529">
        <v>10</v>
      </c>
      <c r="D251" s="530" t="s">
        <v>485</v>
      </c>
      <c r="E251" s="531" t="s">
        <v>898</v>
      </c>
      <c r="F251" s="547"/>
      <c r="G251" s="547"/>
      <c r="H251" s="547"/>
      <c r="I251" s="547"/>
      <c r="J251" s="547"/>
      <c r="K251" s="547"/>
      <c r="L251" s="547"/>
      <c r="M251" s="547"/>
      <c r="N251" s="547"/>
      <c r="O251" s="547"/>
      <c r="P251" s="547"/>
      <c r="Q251" s="812">
        <f t="shared" si="12"/>
        <v>0</v>
      </c>
      <c r="R251" s="547"/>
      <c r="S251" s="812">
        <f t="shared" si="14"/>
        <v>0</v>
      </c>
      <c r="T251" s="547">
        <f t="shared" si="14"/>
        <v>0</v>
      </c>
      <c r="U251" s="566"/>
      <c r="V251" s="567"/>
      <c r="W251" s="812">
        <f t="shared" si="15"/>
        <v>0</v>
      </c>
      <c r="X251" s="812">
        <f t="shared" si="13"/>
        <v>0</v>
      </c>
    </row>
    <row r="252" spans="1:24" ht="27" customHeight="1">
      <c r="A252" s="531"/>
      <c r="B252" s="531">
        <v>1018</v>
      </c>
      <c r="C252" s="529">
        <v>10</v>
      </c>
      <c r="D252" s="530" t="s">
        <v>845</v>
      </c>
      <c r="E252" s="531" t="s">
        <v>899</v>
      </c>
      <c r="F252" s="547">
        <v>-73159944</v>
      </c>
      <c r="G252" s="547">
        <v>260000</v>
      </c>
      <c r="H252" s="547"/>
      <c r="I252" s="547">
        <v>72899944</v>
      </c>
      <c r="J252" s="547"/>
      <c r="K252" s="547"/>
      <c r="L252" s="547"/>
      <c r="M252" s="547"/>
      <c r="N252" s="547"/>
      <c r="O252" s="547"/>
      <c r="P252" s="547"/>
      <c r="Q252" s="812">
        <f t="shared" si="12"/>
        <v>0</v>
      </c>
      <c r="R252" s="547">
        <v>0</v>
      </c>
      <c r="S252" s="812">
        <f t="shared" si="14"/>
        <v>0</v>
      </c>
      <c r="T252" s="547">
        <f t="shared" si="14"/>
        <v>0</v>
      </c>
      <c r="U252" s="566"/>
      <c r="V252" s="567"/>
      <c r="W252" s="812">
        <f t="shared" si="15"/>
        <v>0</v>
      </c>
      <c r="X252" s="812">
        <f t="shared" si="13"/>
        <v>0</v>
      </c>
    </row>
    <row r="253" spans="1:24" ht="27" customHeight="1">
      <c r="A253" s="531"/>
      <c r="B253" s="531">
        <v>1018</v>
      </c>
      <c r="C253" s="529">
        <v>10</v>
      </c>
      <c r="D253" s="530" t="s">
        <v>892</v>
      </c>
      <c r="E253" s="531" t="s">
        <v>1181</v>
      </c>
      <c r="F253" s="547">
        <v>-13336199</v>
      </c>
      <c r="G253" s="547">
        <v>-20000</v>
      </c>
      <c r="H253" s="547"/>
      <c r="I253" s="547">
        <v>1560000</v>
      </c>
      <c r="J253" s="547"/>
      <c r="K253" s="547"/>
      <c r="L253" s="547"/>
      <c r="M253" s="547"/>
      <c r="N253" s="547"/>
      <c r="O253" s="547"/>
      <c r="P253" s="547"/>
      <c r="Q253" s="812">
        <f t="shared" si="12"/>
        <v>-11796199</v>
      </c>
      <c r="R253" s="547">
        <v>-11796199</v>
      </c>
      <c r="S253" s="812">
        <f t="shared" si="14"/>
        <v>-12</v>
      </c>
      <c r="T253" s="547">
        <f t="shared" si="14"/>
        <v>-12</v>
      </c>
      <c r="U253" s="566"/>
      <c r="V253" s="567"/>
      <c r="W253" s="812">
        <f t="shared" si="15"/>
        <v>-11796199</v>
      </c>
      <c r="X253" s="812">
        <f t="shared" si="13"/>
        <v>-12</v>
      </c>
    </row>
    <row r="254" spans="1:24" ht="27" customHeight="1">
      <c r="A254" s="531"/>
      <c r="B254" s="531">
        <v>1018</v>
      </c>
      <c r="C254" s="529">
        <v>10</v>
      </c>
      <c r="D254" s="530" t="s">
        <v>1182</v>
      </c>
      <c r="E254" s="531" t="s">
        <v>1183</v>
      </c>
      <c r="F254" s="547">
        <v>-270000</v>
      </c>
      <c r="G254" s="547"/>
      <c r="H254" s="547"/>
      <c r="I254" s="547">
        <v>270000</v>
      </c>
      <c r="J254" s="547"/>
      <c r="K254" s="547"/>
      <c r="L254" s="547"/>
      <c r="M254" s="547"/>
      <c r="N254" s="547"/>
      <c r="O254" s="547"/>
      <c r="P254" s="547"/>
      <c r="Q254" s="812">
        <f t="shared" si="12"/>
        <v>0</v>
      </c>
      <c r="R254" s="547">
        <v>0</v>
      </c>
      <c r="S254" s="812">
        <f t="shared" si="14"/>
        <v>0</v>
      </c>
      <c r="T254" s="547">
        <f t="shared" si="14"/>
        <v>0</v>
      </c>
      <c r="U254" s="566"/>
      <c r="V254" s="567"/>
      <c r="W254" s="812">
        <f t="shared" si="15"/>
        <v>0</v>
      </c>
      <c r="X254" s="812">
        <f t="shared" si="13"/>
        <v>0</v>
      </c>
    </row>
    <row r="255" spans="1:24" ht="27" customHeight="1">
      <c r="A255" s="531"/>
      <c r="B255" s="531">
        <v>1018</v>
      </c>
      <c r="C255" s="529">
        <v>10</v>
      </c>
      <c r="D255" s="530" t="s">
        <v>1184</v>
      </c>
      <c r="E255" s="531" t="s">
        <v>1185</v>
      </c>
      <c r="F255" s="547">
        <v>-6320000</v>
      </c>
      <c r="G255" s="547"/>
      <c r="H255" s="547"/>
      <c r="I255" s="547"/>
      <c r="J255" s="547"/>
      <c r="K255" s="547"/>
      <c r="L255" s="547">
        <v>6320000</v>
      </c>
      <c r="M255" s="547"/>
      <c r="N255" s="547"/>
      <c r="O255" s="547"/>
      <c r="P255" s="547"/>
      <c r="Q255" s="812">
        <f t="shared" si="12"/>
        <v>0</v>
      </c>
      <c r="R255" s="547">
        <v>-6320000</v>
      </c>
      <c r="S255" s="812">
        <f t="shared" si="14"/>
        <v>0</v>
      </c>
      <c r="T255" s="547">
        <f t="shared" si="14"/>
        <v>-6</v>
      </c>
      <c r="U255" s="566"/>
      <c r="V255" s="567"/>
      <c r="W255" s="812">
        <f t="shared" si="15"/>
        <v>0</v>
      </c>
      <c r="X255" s="812">
        <f t="shared" si="13"/>
        <v>0</v>
      </c>
    </row>
    <row r="256" spans="1:24" ht="27" customHeight="1">
      <c r="A256" s="531"/>
      <c r="B256" s="531">
        <v>1018</v>
      </c>
      <c r="C256" s="529">
        <v>10</v>
      </c>
      <c r="D256" s="530" t="s">
        <v>1186</v>
      </c>
      <c r="E256" s="531" t="s">
        <v>1187</v>
      </c>
      <c r="F256" s="547">
        <v>-620000</v>
      </c>
      <c r="G256" s="547"/>
      <c r="H256" s="547"/>
      <c r="I256" s="547">
        <v>620000</v>
      </c>
      <c r="J256" s="547"/>
      <c r="K256" s="547"/>
      <c r="L256" s="547"/>
      <c r="M256" s="547"/>
      <c r="N256" s="547"/>
      <c r="O256" s="547"/>
      <c r="P256" s="547"/>
      <c r="Q256" s="812">
        <f t="shared" si="12"/>
        <v>0</v>
      </c>
      <c r="R256" s="547">
        <v>0</v>
      </c>
      <c r="S256" s="812">
        <f t="shared" si="14"/>
        <v>0</v>
      </c>
      <c r="T256" s="547">
        <f t="shared" si="14"/>
        <v>0</v>
      </c>
      <c r="U256" s="566"/>
      <c r="V256" s="567"/>
      <c r="W256" s="812">
        <f t="shared" si="15"/>
        <v>0</v>
      </c>
      <c r="X256" s="812">
        <f t="shared" si="13"/>
        <v>0</v>
      </c>
    </row>
    <row r="257" spans="1:24" ht="27" customHeight="1">
      <c r="A257" s="531"/>
      <c r="B257" s="531">
        <v>1018</v>
      </c>
      <c r="C257" s="529">
        <v>10</v>
      </c>
      <c r="D257" s="530" t="s">
        <v>844</v>
      </c>
      <c r="E257" s="531" t="s">
        <v>1188</v>
      </c>
      <c r="F257" s="547">
        <v>-440000</v>
      </c>
      <c r="G257" s="547"/>
      <c r="H257" s="547"/>
      <c r="I257" s="547">
        <v>440000</v>
      </c>
      <c r="J257" s="547"/>
      <c r="K257" s="547"/>
      <c r="L257" s="547"/>
      <c r="M257" s="547"/>
      <c r="N257" s="547"/>
      <c r="O257" s="547"/>
      <c r="P257" s="547"/>
      <c r="Q257" s="812">
        <f t="shared" si="12"/>
        <v>0</v>
      </c>
      <c r="R257" s="547">
        <v>0</v>
      </c>
      <c r="S257" s="812">
        <f t="shared" si="14"/>
        <v>0</v>
      </c>
      <c r="T257" s="547">
        <f t="shared" si="14"/>
        <v>0</v>
      </c>
      <c r="U257" s="566"/>
      <c r="V257" s="567"/>
      <c r="W257" s="812">
        <f t="shared" si="15"/>
        <v>0</v>
      </c>
      <c r="X257" s="812">
        <f t="shared" si="13"/>
        <v>0</v>
      </c>
    </row>
    <row r="258" spans="1:24" ht="27" customHeight="1">
      <c r="A258" s="531"/>
      <c r="B258" s="531">
        <v>1018</v>
      </c>
      <c r="C258" s="529">
        <v>10</v>
      </c>
      <c r="D258" s="530" t="s">
        <v>1247</v>
      </c>
      <c r="E258" s="531" t="s">
        <v>1105</v>
      </c>
      <c r="F258" s="547">
        <v>-580000</v>
      </c>
      <c r="G258" s="547"/>
      <c r="H258" s="547"/>
      <c r="I258" s="547">
        <v>580000</v>
      </c>
      <c r="J258" s="547"/>
      <c r="K258" s="547"/>
      <c r="L258" s="547"/>
      <c r="M258" s="547"/>
      <c r="N258" s="547"/>
      <c r="O258" s="547"/>
      <c r="P258" s="547"/>
      <c r="Q258" s="812">
        <f t="shared" si="12"/>
        <v>0</v>
      </c>
      <c r="R258" s="547">
        <v>0</v>
      </c>
      <c r="S258" s="812">
        <f t="shared" si="14"/>
        <v>0</v>
      </c>
      <c r="T258" s="547">
        <f t="shared" si="14"/>
        <v>0</v>
      </c>
      <c r="U258" s="566"/>
      <c r="V258" s="567"/>
      <c r="W258" s="812">
        <f t="shared" si="15"/>
        <v>0</v>
      </c>
      <c r="X258" s="812">
        <f t="shared" si="13"/>
        <v>0</v>
      </c>
    </row>
    <row r="259" spans="1:24" ht="27" customHeight="1">
      <c r="A259" s="531"/>
      <c r="B259" s="531">
        <v>401</v>
      </c>
      <c r="C259" s="529">
        <v>4</v>
      </c>
      <c r="D259" s="530" t="s">
        <v>487</v>
      </c>
      <c r="E259" s="531" t="s">
        <v>663</v>
      </c>
      <c r="F259" s="547"/>
      <c r="G259" s="547"/>
      <c r="H259" s="547"/>
      <c r="I259" s="547"/>
      <c r="J259" s="547"/>
      <c r="K259" s="547"/>
      <c r="L259" s="547"/>
      <c r="M259" s="547"/>
      <c r="N259" s="547"/>
      <c r="O259" s="547"/>
      <c r="P259" s="547"/>
      <c r="Q259" s="812">
        <f t="shared" si="12"/>
        <v>0</v>
      </c>
      <c r="R259" s="547">
        <v>0</v>
      </c>
      <c r="S259" s="812">
        <f t="shared" si="14"/>
        <v>0</v>
      </c>
      <c r="T259" s="547">
        <f t="shared" si="14"/>
        <v>0</v>
      </c>
      <c r="U259" s="566"/>
      <c r="V259" s="567"/>
      <c r="W259" s="812">
        <f t="shared" si="15"/>
        <v>0</v>
      </c>
      <c r="X259" s="812">
        <f t="shared" si="13"/>
        <v>0</v>
      </c>
    </row>
    <row r="260" spans="1:24" ht="27" customHeight="1">
      <c r="A260" s="531"/>
      <c r="B260" s="531">
        <v>401</v>
      </c>
      <c r="C260" s="529">
        <v>4</v>
      </c>
      <c r="D260" s="530" t="s">
        <v>846</v>
      </c>
      <c r="E260" s="531" t="s">
        <v>847</v>
      </c>
      <c r="F260" s="547"/>
      <c r="G260" s="547"/>
      <c r="H260" s="547"/>
      <c r="I260" s="547"/>
      <c r="J260" s="547"/>
      <c r="K260" s="547"/>
      <c r="L260" s="547"/>
      <c r="M260" s="547"/>
      <c r="N260" s="547"/>
      <c r="O260" s="547"/>
      <c r="P260" s="547"/>
      <c r="Q260" s="812">
        <f t="shared" ref="Q260:Q323" si="16">SUM(F260:P260)</f>
        <v>0</v>
      </c>
      <c r="R260" s="547">
        <v>0</v>
      </c>
      <c r="S260" s="812">
        <f t="shared" si="14"/>
        <v>0</v>
      </c>
      <c r="T260" s="547">
        <f t="shared" si="14"/>
        <v>0</v>
      </c>
      <c r="U260" s="566"/>
      <c r="V260" s="567"/>
      <c r="W260" s="812">
        <f t="shared" si="15"/>
        <v>0</v>
      </c>
      <c r="X260" s="812">
        <f t="shared" si="13"/>
        <v>0</v>
      </c>
    </row>
    <row r="261" spans="1:24" ht="27" customHeight="1">
      <c r="A261" s="531"/>
      <c r="B261" s="531">
        <v>1018</v>
      </c>
      <c r="C261" s="529">
        <v>10</v>
      </c>
      <c r="D261" s="530" t="s">
        <v>1189</v>
      </c>
      <c r="E261" s="531" t="s">
        <v>1190</v>
      </c>
      <c r="F261" s="547">
        <v>-335530700</v>
      </c>
      <c r="G261" s="547"/>
      <c r="H261" s="547"/>
      <c r="I261" s="547"/>
      <c r="J261" s="547"/>
      <c r="K261" s="547"/>
      <c r="L261" s="547"/>
      <c r="M261" s="547"/>
      <c r="N261" s="547"/>
      <c r="O261" s="547"/>
      <c r="P261" s="547"/>
      <c r="Q261" s="812">
        <f t="shared" si="16"/>
        <v>-335530700</v>
      </c>
      <c r="R261" s="547">
        <v>0</v>
      </c>
      <c r="S261" s="812">
        <f t="shared" si="14"/>
        <v>-336</v>
      </c>
      <c r="T261" s="547">
        <f t="shared" si="14"/>
        <v>0</v>
      </c>
      <c r="U261" s="566"/>
      <c r="V261" s="567"/>
      <c r="W261" s="812">
        <f t="shared" si="15"/>
        <v>-335530700</v>
      </c>
      <c r="X261" s="812">
        <f t="shared" ref="X261:X324" si="17">ROUND((W261/1000000),0)</f>
        <v>-336</v>
      </c>
    </row>
    <row r="262" spans="1:24" ht="27" customHeight="1">
      <c r="A262" s="531"/>
      <c r="B262" s="531">
        <v>1001</v>
      </c>
      <c r="C262" s="529">
        <v>10</v>
      </c>
      <c r="D262" s="530" t="s">
        <v>1335</v>
      </c>
      <c r="E262" s="531" t="s">
        <v>1336</v>
      </c>
      <c r="F262" s="547">
        <v>-10386274</v>
      </c>
      <c r="G262" s="547"/>
      <c r="H262" s="547"/>
      <c r="I262" s="547"/>
      <c r="J262" s="547"/>
      <c r="K262" s="547"/>
      <c r="L262" s="547"/>
      <c r="M262" s="547"/>
      <c r="N262" s="547"/>
      <c r="O262" s="547"/>
      <c r="P262" s="547"/>
      <c r="Q262" s="812">
        <f t="shared" si="16"/>
        <v>-10386274</v>
      </c>
      <c r="R262" s="547">
        <v>-16800084</v>
      </c>
      <c r="S262" s="812">
        <f t="shared" si="14"/>
        <v>-10</v>
      </c>
      <c r="T262" s="547">
        <f t="shared" si="14"/>
        <v>-17</v>
      </c>
      <c r="U262" s="566"/>
      <c r="V262" s="567"/>
      <c r="W262" s="812">
        <f t="shared" si="15"/>
        <v>-10386274</v>
      </c>
      <c r="X262" s="812">
        <f t="shared" si="17"/>
        <v>-10</v>
      </c>
    </row>
    <row r="263" spans="1:24" ht="27" customHeight="1">
      <c r="A263" s="531"/>
      <c r="B263" s="531">
        <v>1001</v>
      </c>
      <c r="C263" s="529">
        <v>10</v>
      </c>
      <c r="D263" s="530" t="s">
        <v>1538</v>
      </c>
      <c r="E263" s="531" t="s">
        <v>1545</v>
      </c>
      <c r="F263" s="547">
        <v>-108000</v>
      </c>
      <c r="G263" s="547"/>
      <c r="H263" s="547"/>
      <c r="I263" s="547"/>
      <c r="J263" s="547"/>
      <c r="K263" s="547"/>
      <c r="L263" s="547"/>
      <c r="M263" s="547"/>
      <c r="N263" s="547"/>
      <c r="O263" s="547"/>
      <c r="P263" s="547"/>
      <c r="Q263" s="812">
        <f t="shared" si="16"/>
        <v>-108000</v>
      </c>
      <c r="R263" s="547"/>
      <c r="S263" s="812">
        <f t="shared" si="14"/>
        <v>0</v>
      </c>
      <c r="T263" s="547">
        <f t="shared" si="14"/>
        <v>0</v>
      </c>
      <c r="U263" s="566"/>
      <c r="V263" s="567"/>
      <c r="W263" s="812">
        <f t="shared" si="15"/>
        <v>-108000</v>
      </c>
      <c r="X263" s="812">
        <f t="shared" si="17"/>
        <v>0</v>
      </c>
    </row>
    <row r="264" spans="1:24" ht="27" customHeight="1">
      <c r="A264" s="531"/>
      <c r="B264" s="531">
        <v>1001</v>
      </c>
      <c r="C264" s="529">
        <v>10</v>
      </c>
      <c r="D264" s="530" t="s">
        <v>1539</v>
      </c>
      <c r="E264" s="531" t="s">
        <v>1546</v>
      </c>
      <c r="F264" s="547">
        <v>-660480</v>
      </c>
      <c r="G264" s="547"/>
      <c r="H264" s="547"/>
      <c r="I264" s="547"/>
      <c r="J264" s="547"/>
      <c r="K264" s="547"/>
      <c r="L264" s="547"/>
      <c r="M264" s="547"/>
      <c r="N264" s="547"/>
      <c r="O264" s="547"/>
      <c r="P264" s="547"/>
      <c r="Q264" s="812">
        <f t="shared" si="16"/>
        <v>-660480</v>
      </c>
      <c r="R264" s="547"/>
      <c r="S264" s="812">
        <f t="shared" si="14"/>
        <v>-1</v>
      </c>
      <c r="T264" s="547">
        <f t="shared" si="14"/>
        <v>0</v>
      </c>
      <c r="U264" s="566"/>
      <c r="V264" s="567"/>
      <c r="W264" s="812">
        <f t="shared" si="15"/>
        <v>-660480</v>
      </c>
      <c r="X264" s="812">
        <f t="shared" si="17"/>
        <v>-1</v>
      </c>
    </row>
    <row r="265" spans="1:24" ht="27" customHeight="1">
      <c r="A265" s="531"/>
      <c r="B265" s="531">
        <v>1001</v>
      </c>
      <c r="C265" s="529">
        <v>10</v>
      </c>
      <c r="D265" s="530" t="s">
        <v>1540</v>
      </c>
      <c r="E265" s="531" t="s">
        <v>1547</v>
      </c>
      <c r="F265" s="547">
        <v>-85000</v>
      </c>
      <c r="G265" s="547"/>
      <c r="H265" s="547"/>
      <c r="I265" s="547"/>
      <c r="J265" s="547"/>
      <c r="K265" s="547"/>
      <c r="L265" s="547"/>
      <c r="M265" s="547"/>
      <c r="N265" s="547"/>
      <c r="O265" s="547"/>
      <c r="P265" s="547"/>
      <c r="Q265" s="812">
        <f t="shared" si="16"/>
        <v>-85000</v>
      </c>
      <c r="R265" s="547"/>
      <c r="S265" s="812">
        <f t="shared" si="14"/>
        <v>0</v>
      </c>
      <c r="T265" s="547">
        <f t="shared" si="14"/>
        <v>0</v>
      </c>
      <c r="U265" s="566"/>
      <c r="V265" s="567"/>
      <c r="W265" s="812">
        <f t="shared" si="15"/>
        <v>-85000</v>
      </c>
      <c r="X265" s="812">
        <f t="shared" si="17"/>
        <v>0</v>
      </c>
    </row>
    <row r="266" spans="1:24" ht="27" customHeight="1">
      <c r="A266" s="531"/>
      <c r="B266" s="531">
        <v>1001</v>
      </c>
      <c r="C266" s="529">
        <v>10</v>
      </c>
      <c r="D266" s="530" t="s">
        <v>1541</v>
      </c>
      <c r="E266" s="531" t="s">
        <v>1548</v>
      </c>
      <c r="F266" s="547">
        <v>-15579411</v>
      </c>
      <c r="G266" s="547"/>
      <c r="H266" s="547"/>
      <c r="I266" s="547"/>
      <c r="J266" s="547"/>
      <c r="K266" s="547"/>
      <c r="L266" s="547"/>
      <c r="M266" s="547"/>
      <c r="N266" s="547"/>
      <c r="O266" s="547"/>
      <c r="P266" s="547"/>
      <c r="Q266" s="812">
        <f t="shared" si="16"/>
        <v>-15579411</v>
      </c>
      <c r="R266" s="547"/>
      <c r="S266" s="812">
        <f t="shared" si="14"/>
        <v>-16</v>
      </c>
      <c r="T266" s="547">
        <f t="shared" si="14"/>
        <v>0</v>
      </c>
      <c r="U266" s="566"/>
      <c r="V266" s="567"/>
      <c r="W266" s="812">
        <f t="shared" si="15"/>
        <v>-15579411</v>
      </c>
      <c r="X266" s="812">
        <f t="shared" si="17"/>
        <v>-16</v>
      </c>
    </row>
    <row r="267" spans="1:24" ht="27" customHeight="1">
      <c r="A267" s="531"/>
      <c r="B267" s="531">
        <v>1001</v>
      </c>
      <c r="C267" s="529">
        <v>10</v>
      </c>
      <c r="D267" s="530" t="s">
        <v>1542</v>
      </c>
      <c r="E267" s="531" t="s">
        <v>1549</v>
      </c>
      <c r="F267" s="547">
        <v>-216000</v>
      </c>
      <c r="G267" s="547"/>
      <c r="H267" s="547"/>
      <c r="I267" s="547"/>
      <c r="J267" s="547"/>
      <c r="K267" s="547"/>
      <c r="L267" s="547"/>
      <c r="M267" s="547"/>
      <c r="N267" s="547"/>
      <c r="O267" s="547"/>
      <c r="P267" s="547"/>
      <c r="Q267" s="812">
        <f t="shared" si="16"/>
        <v>-216000</v>
      </c>
      <c r="R267" s="547"/>
      <c r="S267" s="812">
        <f t="shared" si="14"/>
        <v>0</v>
      </c>
      <c r="T267" s="547">
        <f t="shared" si="14"/>
        <v>0</v>
      </c>
      <c r="U267" s="566"/>
      <c r="V267" s="567"/>
      <c r="W267" s="812">
        <f t="shared" si="15"/>
        <v>-216000</v>
      </c>
      <c r="X267" s="812">
        <f t="shared" si="17"/>
        <v>0</v>
      </c>
    </row>
    <row r="268" spans="1:24" ht="27" customHeight="1">
      <c r="A268" s="531"/>
      <c r="B268" s="531">
        <v>1001</v>
      </c>
      <c r="C268" s="529">
        <v>10</v>
      </c>
      <c r="D268" s="530" t="s">
        <v>1543</v>
      </c>
      <c r="E268" s="531" t="s">
        <v>1550</v>
      </c>
      <c r="F268" s="547">
        <v>-1320960</v>
      </c>
      <c r="G268" s="547"/>
      <c r="H268" s="547"/>
      <c r="I268" s="547"/>
      <c r="J268" s="547"/>
      <c r="K268" s="547"/>
      <c r="L268" s="547"/>
      <c r="M268" s="547"/>
      <c r="N268" s="547"/>
      <c r="O268" s="547"/>
      <c r="P268" s="547"/>
      <c r="Q268" s="812">
        <f t="shared" si="16"/>
        <v>-1320960</v>
      </c>
      <c r="R268" s="547"/>
      <c r="S268" s="812">
        <f t="shared" si="14"/>
        <v>-1</v>
      </c>
      <c r="T268" s="547">
        <f t="shared" si="14"/>
        <v>0</v>
      </c>
      <c r="U268" s="566"/>
      <c r="V268" s="567"/>
      <c r="W268" s="812">
        <f t="shared" si="15"/>
        <v>-1320960</v>
      </c>
      <c r="X268" s="812">
        <f t="shared" si="17"/>
        <v>-1</v>
      </c>
    </row>
    <row r="269" spans="1:24" ht="27" customHeight="1">
      <c r="A269" s="531"/>
      <c r="B269" s="531">
        <v>1001</v>
      </c>
      <c r="C269" s="529">
        <v>10</v>
      </c>
      <c r="D269" s="530" t="s">
        <v>1544</v>
      </c>
      <c r="E269" s="531" t="s">
        <v>1551</v>
      </c>
      <c r="F269" s="547">
        <v>-115000</v>
      </c>
      <c r="G269" s="547"/>
      <c r="H269" s="547"/>
      <c r="I269" s="547"/>
      <c r="J269" s="547"/>
      <c r="K269" s="547"/>
      <c r="L269" s="547"/>
      <c r="M269" s="547"/>
      <c r="N269" s="547"/>
      <c r="O269" s="547"/>
      <c r="P269" s="547"/>
      <c r="Q269" s="812">
        <f t="shared" si="16"/>
        <v>-115000</v>
      </c>
      <c r="R269" s="547"/>
      <c r="S269" s="812">
        <f t="shared" si="14"/>
        <v>0</v>
      </c>
      <c r="T269" s="547">
        <f t="shared" si="14"/>
        <v>0</v>
      </c>
      <c r="U269" s="566"/>
      <c r="V269" s="567"/>
      <c r="W269" s="812">
        <f t="shared" si="15"/>
        <v>-115000</v>
      </c>
      <c r="X269" s="812">
        <f t="shared" si="17"/>
        <v>0</v>
      </c>
    </row>
    <row r="270" spans="1:24" ht="27" customHeight="1">
      <c r="A270" s="531"/>
      <c r="B270" s="531">
        <v>406</v>
      </c>
      <c r="C270" s="529">
        <v>4</v>
      </c>
      <c r="D270" s="530" t="s">
        <v>1191</v>
      </c>
      <c r="E270" s="531" t="s">
        <v>1192</v>
      </c>
      <c r="F270" s="547">
        <v>3233832</v>
      </c>
      <c r="G270" s="547"/>
      <c r="H270" s="547"/>
      <c r="I270" s="547"/>
      <c r="J270" s="547"/>
      <c r="K270" s="547"/>
      <c r="L270" s="547"/>
      <c r="M270" s="547"/>
      <c r="N270" s="547"/>
      <c r="O270" s="547"/>
      <c r="P270" s="547"/>
      <c r="Q270" s="812">
        <f t="shared" si="16"/>
        <v>3233832</v>
      </c>
      <c r="R270" s="547">
        <v>3233832</v>
      </c>
      <c r="S270" s="812">
        <f t="shared" si="14"/>
        <v>3</v>
      </c>
      <c r="T270" s="547">
        <f t="shared" si="14"/>
        <v>3</v>
      </c>
      <c r="U270" s="566"/>
      <c r="V270" s="567"/>
      <c r="W270" s="812">
        <f t="shared" si="15"/>
        <v>3233832</v>
      </c>
      <c r="X270" s="812">
        <f t="shared" si="17"/>
        <v>3</v>
      </c>
    </row>
    <row r="271" spans="1:24" ht="27" customHeight="1">
      <c r="A271" s="531"/>
      <c r="B271" s="531">
        <v>1018</v>
      </c>
      <c r="C271" s="529">
        <v>10</v>
      </c>
      <c r="D271" s="530" t="s">
        <v>989</v>
      </c>
      <c r="E271" s="531" t="s">
        <v>990</v>
      </c>
      <c r="F271" s="547"/>
      <c r="G271" s="547"/>
      <c r="H271" s="547"/>
      <c r="I271" s="547"/>
      <c r="J271" s="547"/>
      <c r="K271" s="547"/>
      <c r="L271" s="547"/>
      <c r="M271" s="547"/>
      <c r="N271" s="547"/>
      <c r="O271" s="547"/>
      <c r="P271" s="547"/>
      <c r="Q271" s="812">
        <f t="shared" si="16"/>
        <v>0</v>
      </c>
      <c r="R271" s="547">
        <v>0</v>
      </c>
      <c r="S271" s="812">
        <f t="shared" si="14"/>
        <v>0</v>
      </c>
      <c r="T271" s="547">
        <f t="shared" si="14"/>
        <v>0</v>
      </c>
      <c r="U271" s="566"/>
      <c r="V271" s="567"/>
      <c r="W271" s="812">
        <f t="shared" si="15"/>
        <v>0</v>
      </c>
      <c r="X271" s="812">
        <f t="shared" si="17"/>
        <v>0</v>
      </c>
    </row>
    <row r="272" spans="1:24" ht="27" customHeight="1">
      <c r="A272" s="531"/>
      <c r="B272" s="531">
        <v>1018</v>
      </c>
      <c r="C272" s="529">
        <v>10</v>
      </c>
      <c r="D272" s="530" t="s">
        <v>991</v>
      </c>
      <c r="E272" s="531" t="s">
        <v>992</v>
      </c>
      <c r="F272" s="547"/>
      <c r="G272" s="547"/>
      <c r="H272" s="547"/>
      <c r="I272" s="547"/>
      <c r="J272" s="547"/>
      <c r="K272" s="547"/>
      <c r="L272" s="547"/>
      <c r="M272" s="547"/>
      <c r="N272" s="547"/>
      <c r="O272" s="547"/>
      <c r="P272" s="547"/>
      <c r="Q272" s="812">
        <f t="shared" si="16"/>
        <v>0</v>
      </c>
      <c r="R272" s="547">
        <v>0</v>
      </c>
      <c r="S272" s="812">
        <f t="shared" si="14"/>
        <v>0</v>
      </c>
      <c r="T272" s="547">
        <f t="shared" si="14"/>
        <v>0</v>
      </c>
      <c r="U272" s="566"/>
      <c r="V272" s="567"/>
      <c r="W272" s="812">
        <f t="shared" si="15"/>
        <v>0</v>
      </c>
      <c r="X272" s="812">
        <f t="shared" si="17"/>
        <v>0</v>
      </c>
    </row>
    <row r="273" spans="1:24" ht="27" customHeight="1">
      <c r="A273" s="531"/>
      <c r="B273" s="531">
        <v>1018</v>
      </c>
      <c r="C273" s="529">
        <v>10</v>
      </c>
      <c r="D273" s="530" t="s">
        <v>277</v>
      </c>
      <c r="E273" s="531" t="s">
        <v>278</v>
      </c>
      <c r="F273" s="547"/>
      <c r="G273" s="547"/>
      <c r="H273" s="547"/>
      <c r="I273" s="547"/>
      <c r="J273" s="547"/>
      <c r="K273" s="547"/>
      <c r="L273" s="547"/>
      <c r="M273" s="547"/>
      <c r="N273" s="547"/>
      <c r="O273" s="547"/>
      <c r="P273" s="547"/>
      <c r="Q273" s="812">
        <f t="shared" si="16"/>
        <v>0</v>
      </c>
      <c r="R273" s="547">
        <v>0</v>
      </c>
      <c r="S273" s="812">
        <f t="shared" si="14"/>
        <v>0</v>
      </c>
      <c r="T273" s="547">
        <f t="shared" si="14"/>
        <v>0</v>
      </c>
      <c r="U273" s="566"/>
      <c r="V273" s="567"/>
      <c r="W273" s="812">
        <f t="shared" si="15"/>
        <v>0</v>
      </c>
      <c r="X273" s="812">
        <f t="shared" si="17"/>
        <v>0</v>
      </c>
    </row>
    <row r="274" spans="1:24" ht="27" customHeight="1">
      <c r="A274" s="531"/>
      <c r="B274" s="531">
        <v>1018</v>
      </c>
      <c r="C274" s="529">
        <v>10</v>
      </c>
      <c r="D274" s="530" t="s">
        <v>993</v>
      </c>
      <c r="E274" s="531" t="s">
        <v>994</v>
      </c>
      <c r="F274" s="547"/>
      <c r="G274" s="547"/>
      <c r="H274" s="547"/>
      <c r="I274" s="547"/>
      <c r="J274" s="547"/>
      <c r="K274" s="547"/>
      <c r="L274" s="547"/>
      <c r="M274" s="547"/>
      <c r="N274" s="547"/>
      <c r="O274" s="547"/>
      <c r="P274" s="547"/>
      <c r="Q274" s="812">
        <f t="shared" si="16"/>
        <v>0</v>
      </c>
      <c r="R274" s="547">
        <v>0</v>
      </c>
      <c r="S274" s="812">
        <f t="shared" si="14"/>
        <v>0</v>
      </c>
      <c r="T274" s="547">
        <f t="shared" si="14"/>
        <v>0</v>
      </c>
      <c r="U274" s="566"/>
      <c r="V274" s="567"/>
      <c r="W274" s="812">
        <f t="shared" si="15"/>
        <v>0</v>
      </c>
      <c r="X274" s="812">
        <f t="shared" si="17"/>
        <v>0</v>
      </c>
    </row>
    <row r="275" spans="1:24" ht="27" customHeight="1">
      <c r="A275" s="531"/>
      <c r="B275" s="531">
        <v>1018</v>
      </c>
      <c r="C275" s="529">
        <v>10</v>
      </c>
      <c r="D275" s="530" t="s">
        <v>995</v>
      </c>
      <c r="E275" s="531" t="s">
        <v>996</v>
      </c>
      <c r="F275" s="547">
        <v>-100000</v>
      </c>
      <c r="G275" s="547"/>
      <c r="H275" s="547"/>
      <c r="I275" s="547">
        <v>100000</v>
      </c>
      <c r="J275" s="547"/>
      <c r="K275" s="547"/>
      <c r="L275" s="547"/>
      <c r="M275" s="547"/>
      <c r="N275" s="547"/>
      <c r="O275" s="547"/>
      <c r="P275" s="547"/>
      <c r="Q275" s="812">
        <f t="shared" si="16"/>
        <v>0</v>
      </c>
      <c r="R275" s="547">
        <v>0</v>
      </c>
      <c r="S275" s="812">
        <f t="shared" si="14"/>
        <v>0</v>
      </c>
      <c r="T275" s="547">
        <f t="shared" si="14"/>
        <v>0</v>
      </c>
      <c r="U275" s="566"/>
      <c r="V275" s="567"/>
      <c r="W275" s="812">
        <f t="shared" si="15"/>
        <v>0</v>
      </c>
      <c r="X275" s="812">
        <f t="shared" si="17"/>
        <v>0</v>
      </c>
    </row>
    <row r="276" spans="1:24" ht="27" customHeight="1">
      <c r="A276" s="531"/>
      <c r="B276" s="531">
        <v>406</v>
      </c>
      <c r="C276" s="529">
        <v>4</v>
      </c>
      <c r="D276" s="530" t="s">
        <v>1106</v>
      </c>
      <c r="E276" s="531" t="s">
        <v>1337</v>
      </c>
      <c r="F276" s="547"/>
      <c r="G276" s="547"/>
      <c r="H276" s="547"/>
      <c r="I276" s="547"/>
      <c r="J276" s="547"/>
      <c r="K276" s="547"/>
      <c r="L276" s="547"/>
      <c r="M276" s="547"/>
      <c r="N276" s="547"/>
      <c r="O276" s="547"/>
      <c r="P276" s="547"/>
      <c r="Q276" s="812">
        <f t="shared" si="16"/>
        <v>0</v>
      </c>
      <c r="R276" s="547">
        <v>250000</v>
      </c>
      <c r="S276" s="812">
        <f t="shared" si="14"/>
        <v>0</v>
      </c>
      <c r="T276" s="547">
        <f t="shared" si="14"/>
        <v>0</v>
      </c>
      <c r="U276" s="566"/>
      <c r="V276" s="567"/>
      <c r="W276" s="812">
        <f t="shared" si="15"/>
        <v>0</v>
      </c>
      <c r="X276" s="812">
        <f t="shared" si="17"/>
        <v>0</v>
      </c>
    </row>
    <row r="277" spans="1:24" ht="27" customHeight="1">
      <c r="A277" s="531"/>
      <c r="B277" s="531">
        <v>1018</v>
      </c>
      <c r="C277" s="529">
        <v>10</v>
      </c>
      <c r="D277" s="530" t="s">
        <v>1373</v>
      </c>
      <c r="E277" s="531" t="s">
        <v>1374</v>
      </c>
      <c r="F277" s="547"/>
      <c r="G277" s="547"/>
      <c r="H277" s="547"/>
      <c r="I277" s="547"/>
      <c r="J277" s="547"/>
      <c r="K277" s="547"/>
      <c r="L277" s="547"/>
      <c r="M277" s="547"/>
      <c r="N277" s="547"/>
      <c r="O277" s="547"/>
      <c r="P277" s="547"/>
      <c r="Q277" s="812">
        <f t="shared" si="16"/>
        <v>0</v>
      </c>
      <c r="R277" s="547">
        <v>-250000</v>
      </c>
      <c r="S277" s="812">
        <f t="shared" ref="S277:T350" si="18">ROUND((Q277/1000000),0)</f>
        <v>0</v>
      </c>
      <c r="T277" s="547">
        <f t="shared" si="18"/>
        <v>0</v>
      </c>
      <c r="U277" s="566"/>
      <c r="V277" s="567"/>
      <c r="W277" s="812">
        <f t="shared" si="15"/>
        <v>0</v>
      </c>
      <c r="X277" s="812">
        <f t="shared" si="17"/>
        <v>0</v>
      </c>
    </row>
    <row r="278" spans="1:24" ht="27" customHeight="1">
      <c r="A278" s="531"/>
      <c r="B278" s="531">
        <v>1018</v>
      </c>
      <c r="C278" s="529">
        <v>10</v>
      </c>
      <c r="D278" s="530" t="s">
        <v>1193</v>
      </c>
      <c r="E278" s="531" t="s">
        <v>1194</v>
      </c>
      <c r="F278" s="547">
        <v>-1890000</v>
      </c>
      <c r="G278" s="547"/>
      <c r="H278" s="547"/>
      <c r="I278" s="547"/>
      <c r="J278" s="547"/>
      <c r="K278" s="547"/>
      <c r="L278" s="547"/>
      <c r="M278" s="547"/>
      <c r="N278" s="547"/>
      <c r="O278" s="547"/>
      <c r="P278" s="547"/>
      <c r="Q278" s="812">
        <f t="shared" si="16"/>
        <v>-1890000</v>
      </c>
      <c r="R278" s="547">
        <v>0</v>
      </c>
      <c r="S278" s="812">
        <f t="shared" si="18"/>
        <v>-2</v>
      </c>
      <c r="T278" s="547">
        <f t="shared" si="18"/>
        <v>0</v>
      </c>
      <c r="U278" s="566"/>
      <c r="V278" s="567"/>
      <c r="W278" s="812">
        <f t="shared" ref="W278:W351" si="19">Q278+V278-U278</f>
        <v>-1890000</v>
      </c>
      <c r="X278" s="812">
        <f t="shared" si="17"/>
        <v>-2</v>
      </c>
    </row>
    <row r="279" spans="1:24" ht="27" customHeight="1">
      <c r="A279" s="531"/>
      <c r="B279" s="531">
        <v>1001</v>
      </c>
      <c r="C279" s="529">
        <v>10</v>
      </c>
      <c r="D279" s="530" t="s">
        <v>1338</v>
      </c>
      <c r="E279" s="531" t="s">
        <v>1339</v>
      </c>
      <c r="F279" s="547">
        <v>-62640000</v>
      </c>
      <c r="G279" s="547"/>
      <c r="H279" s="547"/>
      <c r="I279" s="547"/>
      <c r="J279" s="547"/>
      <c r="K279" s="547"/>
      <c r="L279" s="547"/>
      <c r="M279" s="547"/>
      <c r="N279" s="547"/>
      <c r="O279" s="547"/>
      <c r="P279" s="547"/>
      <c r="Q279" s="812">
        <f t="shared" si="16"/>
        <v>-62640000</v>
      </c>
      <c r="R279" s="547">
        <v>-67990000</v>
      </c>
      <c r="S279" s="812">
        <f t="shared" si="18"/>
        <v>-63</v>
      </c>
      <c r="T279" s="547">
        <f t="shared" si="18"/>
        <v>-68</v>
      </c>
      <c r="U279" s="566"/>
      <c r="V279" s="567"/>
      <c r="W279" s="812">
        <f t="shared" si="19"/>
        <v>-62640000</v>
      </c>
      <c r="X279" s="812">
        <f t="shared" si="17"/>
        <v>-63</v>
      </c>
    </row>
    <row r="280" spans="1:24" ht="27" customHeight="1">
      <c r="A280" s="531"/>
      <c r="B280" s="531">
        <v>1018</v>
      </c>
      <c r="C280" s="529">
        <v>10</v>
      </c>
      <c r="D280" s="530" t="s">
        <v>752</v>
      </c>
      <c r="E280" s="531" t="s">
        <v>997</v>
      </c>
      <c r="F280" s="547"/>
      <c r="G280" s="547"/>
      <c r="H280" s="547"/>
      <c r="I280" s="547"/>
      <c r="J280" s="547"/>
      <c r="K280" s="547"/>
      <c r="L280" s="547"/>
      <c r="M280" s="547"/>
      <c r="N280" s="547"/>
      <c r="O280" s="547"/>
      <c r="P280" s="547"/>
      <c r="Q280" s="812">
        <f t="shared" si="16"/>
        <v>0</v>
      </c>
      <c r="R280" s="547">
        <v>0</v>
      </c>
      <c r="S280" s="812">
        <f t="shared" si="18"/>
        <v>0</v>
      </c>
      <c r="T280" s="547">
        <f t="shared" si="18"/>
        <v>0</v>
      </c>
      <c r="U280" s="566"/>
      <c r="V280" s="567"/>
      <c r="W280" s="812">
        <f t="shared" si="19"/>
        <v>0</v>
      </c>
      <c r="X280" s="812">
        <f t="shared" si="17"/>
        <v>0</v>
      </c>
    </row>
    <row r="281" spans="1:24" ht="27" customHeight="1">
      <c r="A281" s="531"/>
      <c r="B281" s="531">
        <v>1018</v>
      </c>
      <c r="C281" s="529">
        <v>10</v>
      </c>
      <c r="D281" s="530" t="s">
        <v>665</v>
      </c>
      <c r="E281" s="531" t="s">
        <v>664</v>
      </c>
      <c r="F281" s="547">
        <v>-23730000</v>
      </c>
      <c r="G281" s="547"/>
      <c r="H281" s="547"/>
      <c r="I281" s="547"/>
      <c r="J281" s="547"/>
      <c r="K281" s="547"/>
      <c r="L281" s="547"/>
      <c r="M281" s="547"/>
      <c r="N281" s="547"/>
      <c r="O281" s="547"/>
      <c r="P281" s="547"/>
      <c r="Q281" s="812">
        <f t="shared" si="16"/>
        <v>-23730000</v>
      </c>
      <c r="R281" s="547">
        <v>0</v>
      </c>
      <c r="S281" s="812">
        <f t="shared" si="18"/>
        <v>-24</v>
      </c>
      <c r="T281" s="547">
        <f t="shared" si="18"/>
        <v>0</v>
      </c>
      <c r="U281" s="566"/>
      <c r="V281" s="567"/>
      <c r="W281" s="812">
        <f t="shared" si="19"/>
        <v>-23730000</v>
      </c>
      <c r="X281" s="812">
        <f t="shared" si="17"/>
        <v>-24</v>
      </c>
    </row>
    <row r="282" spans="1:24" ht="27" customHeight="1">
      <c r="A282" s="531"/>
      <c r="B282" s="531">
        <v>406</v>
      </c>
      <c r="C282" s="529">
        <v>4</v>
      </c>
      <c r="D282" s="530" t="s">
        <v>489</v>
      </c>
      <c r="E282" s="531" t="s">
        <v>854</v>
      </c>
      <c r="F282" s="547">
        <v>71320783</v>
      </c>
      <c r="G282" s="547"/>
      <c r="H282" s="547"/>
      <c r="I282" s="547"/>
      <c r="J282" s="547"/>
      <c r="K282" s="547"/>
      <c r="L282" s="547"/>
      <c r="M282" s="547"/>
      <c r="N282" s="547"/>
      <c r="O282" s="547"/>
      <c r="P282" s="547"/>
      <c r="Q282" s="812">
        <f t="shared" si="16"/>
        <v>71320783</v>
      </c>
      <c r="R282" s="547">
        <v>71320783</v>
      </c>
      <c r="S282" s="812">
        <f t="shared" si="18"/>
        <v>71</v>
      </c>
      <c r="T282" s="547">
        <f t="shared" si="18"/>
        <v>71</v>
      </c>
      <c r="U282" s="566"/>
      <c r="V282" s="567"/>
      <c r="W282" s="812">
        <f t="shared" si="19"/>
        <v>71320783</v>
      </c>
      <c r="X282" s="812">
        <f t="shared" si="17"/>
        <v>71</v>
      </c>
    </row>
    <row r="283" spans="1:24" ht="27" customHeight="1">
      <c r="A283" s="531"/>
      <c r="B283" s="531">
        <v>406</v>
      </c>
      <c r="C283" s="529">
        <v>4</v>
      </c>
      <c r="D283" s="530" t="s">
        <v>293</v>
      </c>
      <c r="E283" s="531" t="s">
        <v>467</v>
      </c>
      <c r="F283" s="547">
        <v>1718974151</v>
      </c>
      <c r="G283" s="547"/>
      <c r="H283" s="547"/>
      <c r="I283" s="547"/>
      <c r="J283" s="547"/>
      <c r="K283" s="547"/>
      <c r="L283" s="547"/>
      <c r="M283" s="547"/>
      <c r="N283" s="547"/>
      <c r="O283" s="547"/>
      <c r="P283" s="547"/>
      <c r="Q283" s="812">
        <f t="shared" si="16"/>
        <v>1718974151</v>
      </c>
      <c r="R283" s="547">
        <v>4347974151</v>
      </c>
      <c r="S283" s="812">
        <f t="shared" si="18"/>
        <v>1719</v>
      </c>
      <c r="T283" s="547">
        <f t="shared" si="18"/>
        <v>4348</v>
      </c>
      <c r="U283" s="566"/>
      <c r="V283" s="567"/>
      <c r="W283" s="812">
        <f t="shared" si="19"/>
        <v>1718974151</v>
      </c>
      <c r="X283" s="812">
        <f t="shared" si="17"/>
        <v>1719</v>
      </c>
    </row>
    <row r="284" spans="1:24" ht="27" customHeight="1">
      <c r="A284" s="531">
        <v>3214</v>
      </c>
      <c r="B284" s="531">
        <v>408</v>
      </c>
      <c r="C284" s="529">
        <v>4</v>
      </c>
      <c r="D284" s="530" t="s">
        <v>293</v>
      </c>
      <c r="E284" s="531" t="s">
        <v>1435</v>
      </c>
      <c r="F284" s="547"/>
      <c r="G284" s="547"/>
      <c r="H284" s="547"/>
      <c r="I284" s="547">
        <v>70728951508</v>
      </c>
      <c r="J284" s="547"/>
      <c r="K284" s="547">
        <f>159749115805+90018606913-309154235535-11342438691</f>
        <v>-70728951508</v>
      </c>
      <c r="L284" s="547"/>
      <c r="M284" s="547"/>
      <c r="N284" s="547"/>
      <c r="O284" s="547">
        <v>521425405869</v>
      </c>
      <c r="P284" s="547"/>
      <c r="Q284" s="812">
        <f t="shared" si="16"/>
        <v>521425405869</v>
      </c>
      <c r="R284" s="547">
        <v>1257843755185</v>
      </c>
      <c r="S284" s="683">
        <f t="shared" si="18"/>
        <v>521425</v>
      </c>
      <c r="T284" s="547">
        <f t="shared" si="18"/>
        <v>1257844</v>
      </c>
      <c r="U284" s="566"/>
      <c r="V284" s="567"/>
      <c r="W284" s="812">
        <f t="shared" si="19"/>
        <v>521425405869</v>
      </c>
      <c r="X284" s="812">
        <f t="shared" si="17"/>
        <v>521425</v>
      </c>
    </row>
    <row r="285" spans="1:24" ht="27" customHeight="1">
      <c r="A285" s="531"/>
      <c r="B285" s="1044">
        <v>1018</v>
      </c>
      <c r="C285" s="1021">
        <v>10</v>
      </c>
      <c r="D285" s="530" t="s">
        <v>296</v>
      </c>
      <c r="E285" s="531" t="s">
        <v>1552</v>
      </c>
      <c r="F285" s="547">
        <v>-4559792764</v>
      </c>
      <c r="G285" s="547">
        <v>372204536</v>
      </c>
      <c r="H285" s="547"/>
      <c r="I285" s="547">
        <v>-42386423</v>
      </c>
      <c r="J285" s="547"/>
      <c r="K285" s="547"/>
      <c r="L285" s="547"/>
      <c r="M285" s="547"/>
      <c r="N285" s="547"/>
      <c r="O285" s="547"/>
      <c r="P285" s="547"/>
      <c r="Q285" s="812">
        <f t="shared" si="16"/>
        <v>-4229974651</v>
      </c>
      <c r="R285" s="547">
        <v>0</v>
      </c>
      <c r="S285" s="812">
        <f t="shared" si="18"/>
        <v>-4230</v>
      </c>
      <c r="T285" s="547">
        <f t="shared" si="18"/>
        <v>0</v>
      </c>
      <c r="U285" s="566"/>
      <c r="V285" s="567"/>
      <c r="W285" s="812">
        <f t="shared" si="19"/>
        <v>-4229974651</v>
      </c>
      <c r="X285" s="812">
        <f t="shared" si="17"/>
        <v>-4230</v>
      </c>
    </row>
    <row r="286" spans="1:24" ht="27" customHeight="1">
      <c r="A286" s="531"/>
      <c r="B286" s="531">
        <v>1018</v>
      </c>
      <c r="C286" s="529">
        <v>10</v>
      </c>
      <c r="D286" s="530" t="s">
        <v>298</v>
      </c>
      <c r="E286" s="531" t="s">
        <v>1553</v>
      </c>
      <c r="F286" s="547">
        <v>-56112168587</v>
      </c>
      <c r="G286" s="547">
        <v>4845373849</v>
      </c>
      <c r="H286" s="547"/>
      <c r="I286" s="547"/>
      <c r="J286" s="547"/>
      <c r="K286" s="547"/>
      <c r="L286" s="547"/>
      <c r="M286" s="547"/>
      <c r="N286" s="547"/>
      <c r="O286" s="547">
        <v>2063</v>
      </c>
      <c r="P286" s="547"/>
      <c r="Q286" s="812">
        <f t="shared" si="16"/>
        <v>-51266792675</v>
      </c>
      <c r="R286" s="547">
        <v>0</v>
      </c>
      <c r="S286" s="812">
        <f t="shared" si="18"/>
        <v>-51267</v>
      </c>
      <c r="T286" s="547">
        <f t="shared" si="18"/>
        <v>0</v>
      </c>
      <c r="U286" s="566"/>
      <c r="V286" s="567"/>
      <c r="W286" s="812">
        <f t="shared" si="19"/>
        <v>-51266792675</v>
      </c>
      <c r="X286" s="812">
        <f t="shared" si="17"/>
        <v>-51267</v>
      </c>
    </row>
    <row r="287" spans="1:24" ht="27" customHeight="1">
      <c r="A287" s="531"/>
      <c r="B287" s="1044">
        <v>1018</v>
      </c>
      <c r="C287" s="1021">
        <v>10</v>
      </c>
      <c r="D287" s="530" t="s">
        <v>79</v>
      </c>
      <c r="E287" s="531" t="s">
        <v>1554</v>
      </c>
      <c r="F287" s="547">
        <v>-33153723159</v>
      </c>
      <c r="G287" s="547">
        <v>7252549449</v>
      </c>
      <c r="H287" s="547"/>
      <c r="I287" s="547"/>
      <c r="J287" s="547"/>
      <c r="K287" s="547"/>
      <c r="L287" s="547"/>
      <c r="M287" s="547"/>
      <c r="N287" s="547"/>
      <c r="O287" s="547"/>
      <c r="P287" s="547"/>
      <c r="Q287" s="812">
        <f t="shared" si="16"/>
        <v>-25901173710</v>
      </c>
      <c r="R287" s="547">
        <v>0</v>
      </c>
      <c r="S287" s="812">
        <f t="shared" si="18"/>
        <v>-25901</v>
      </c>
      <c r="T287" s="547">
        <f t="shared" si="18"/>
        <v>0</v>
      </c>
      <c r="U287" s="566"/>
      <c r="V287" s="567"/>
      <c r="W287" s="812">
        <f t="shared" si="19"/>
        <v>-25901173710</v>
      </c>
      <c r="X287" s="812">
        <f t="shared" si="17"/>
        <v>-25901</v>
      </c>
    </row>
    <row r="288" spans="1:24" ht="27" customHeight="1">
      <c r="A288" s="531"/>
      <c r="B288" s="531">
        <v>1018</v>
      </c>
      <c r="C288" s="529">
        <v>10</v>
      </c>
      <c r="D288" s="530" t="s">
        <v>443</v>
      </c>
      <c r="E288" s="531" t="s">
        <v>1555</v>
      </c>
      <c r="F288" s="547">
        <v>-119995980699</v>
      </c>
      <c r="G288" s="547">
        <v>72513754150</v>
      </c>
      <c r="H288" s="547"/>
      <c r="I288" s="547"/>
      <c r="J288" s="547"/>
      <c r="K288" s="547"/>
      <c r="L288" s="547"/>
      <c r="M288" s="547"/>
      <c r="N288" s="547"/>
      <c r="O288" s="547"/>
      <c r="P288" s="547"/>
      <c r="Q288" s="812">
        <f t="shared" si="16"/>
        <v>-47482226549</v>
      </c>
      <c r="R288" s="547">
        <v>0</v>
      </c>
      <c r="S288" s="812">
        <f t="shared" si="18"/>
        <v>-47482</v>
      </c>
      <c r="T288" s="547">
        <f t="shared" si="18"/>
        <v>0</v>
      </c>
      <c r="U288" s="566"/>
      <c r="V288" s="567"/>
      <c r="W288" s="812">
        <f t="shared" si="19"/>
        <v>-47482226549</v>
      </c>
      <c r="X288" s="812">
        <f t="shared" si="17"/>
        <v>-47482</v>
      </c>
    </row>
    <row r="289" spans="1:24" ht="27" customHeight="1">
      <c r="A289" s="531"/>
      <c r="B289" s="1044">
        <v>1018</v>
      </c>
      <c r="C289" s="1021">
        <v>10</v>
      </c>
      <c r="D289" s="530" t="s">
        <v>445</v>
      </c>
      <c r="E289" s="531" t="s">
        <v>1556</v>
      </c>
      <c r="F289" s="547">
        <v>2010638535</v>
      </c>
      <c r="G289" s="547">
        <v>-4144165588</v>
      </c>
      <c r="H289" s="547">
        <v>181500000</v>
      </c>
      <c r="I289" s="547">
        <v>175650000</v>
      </c>
      <c r="J289" s="547"/>
      <c r="K289" s="547"/>
      <c r="L289" s="547"/>
      <c r="M289" s="547"/>
      <c r="N289" s="547"/>
      <c r="O289" s="547"/>
      <c r="P289" s="547"/>
      <c r="Q289" s="812">
        <f t="shared" si="16"/>
        <v>-1776377053</v>
      </c>
      <c r="R289" s="547">
        <v>0</v>
      </c>
      <c r="S289" s="812">
        <f t="shared" si="18"/>
        <v>-1776</v>
      </c>
      <c r="T289" s="547">
        <f t="shared" si="18"/>
        <v>0</v>
      </c>
      <c r="U289" s="566"/>
      <c r="V289" s="567"/>
      <c r="W289" s="812">
        <f t="shared" si="19"/>
        <v>-1776377053</v>
      </c>
      <c r="X289" s="812">
        <f t="shared" si="17"/>
        <v>-1776</v>
      </c>
    </row>
    <row r="290" spans="1:24" ht="27" customHeight="1">
      <c r="A290" s="531"/>
      <c r="B290" s="531">
        <v>1018</v>
      </c>
      <c r="C290" s="529">
        <v>10</v>
      </c>
      <c r="D290" s="530" t="s">
        <v>449</v>
      </c>
      <c r="E290" s="531" t="s">
        <v>1609</v>
      </c>
      <c r="F290" s="547"/>
      <c r="G290" s="547">
        <v>-102800277</v>
      </c>
      <c r="H290" s="547"/>
      <c r="I290" s="547"/>
      <c r="J290" s="547"/>
      <c r="K290" s="547"/>
      <c r="L290" s="547"/>
      <c r="M290" s="547"/>
      <c r="N290" s="547"/>
      <c r="O290" s="547"/>
      <c r="P290" s="547"/>
      <c r="Q290" s="812">
        <f t="shared" si="16"/>
        <v>-102800277</v>
      </c>
      <c r="R290" s="547">
        <v>0</v>
      </c>
      <c r="S290" s="812">
        <f t="shared" si="18"/>
        <v>-103</v>
      </c>
      <c r="T290" s="547">
        <f t="shared" si="18"/>
        <v>0</v>
      </c>
      <c r="U290" s="566"/>
      <c r="V290" s="567"/>
      <c r="W290" s="812">
        <f t="shared" si="19"/>
        <v>-102800277</v>
      </c>
      <c r="X290" s="812">
        <f t="shared" si="17"/>
        <v>-103</v>
      </c>
    </row>
    <row r="291" spans="1:24" ht="27" customHeight="1">
      <c r="A291" s="531"/>
      <c r="B291" s="531">
        <v>1018</v>
      </c>
      <c r="C291" s="529">
        <v>10</v>
      </c>
      <c r="D291" s="530" t="s">
        <v>450</v>
      </c>
      <c r="E291" s="531" t="s">
        <v>1011</v>
      </c>
      <c r="F291" s="547"/>
      <c r="G291" s="547">
        <v>-560437038</v>
      </c>
      <c r="H291" s="547"/>
      <c r="I291" s="547"/>
      <c r="J291" s="547"/>
      <c r="K291" s="547"/>
      <c r="L291" s="547"/>
      <c r="M291" s="547"/>
      <c r="N291" s="547"/>
      <c r="O291" s="547"/>
      <c r="P291" s="547"/>
      <c r="Q291" s="812">
        <f t="shared" si="16"/>
        <v>-560437038</v>
      </c>
      <c r="R291" s="547">
        <v>0</v>
      </c>
      <c r="S291" s="812">
        <f>ROUND((Q291/1000000),0)</f>
        <v>-560</v>
      </c>
      <c r="T291" s="547">
        <f>ROUND((R291/1000000),0)</f>
        <v>0</v>
      </c>
      <c r="U291" s="566"/>
      <c r="V291" s="567"/>
      <c r="W291" s="812">
        <f>Q291+V291-U291</f>
        <v>-560437038</v>
      </c>
      <c r="X291" s="812">
        <f t="shared" si="17"/>
        <v>-560</v>
      </c>
    </row>
    <row r="292" spans="1:24" ht="27" customHeight="1">
      <c r="A292" s="531"/>
      <c r="B292" s="531">
        <v>501</v>
      </c>
      <c r="C292" s="529">
        <v>5</v>
      </c>
      <c r="D292" s="530" t="s">
        <v>452</v>
      </c>
      <c r="E292" s="531" t="s">
        <v>1610</v>
      </c>
      <c r="F292" s="547">
        <v>2348074</v>
      </c>
      <c r="G292" s="547">
        <v>-2348074</v>
      </c>
      <c r="H292" s="547"/>
      <c r="I292" s="547"/>
      <c r="J292" s="547"/>
      <c r="K292" s="547"/>
      <c r="L292" s="547"/>
      <c r="M292" s="547"/>
      <c r="N292" s="547"/>
      <c r="O292" s="547"/>
      <c r="P292" s="547"/>
      <c r="Q292" s="812">
        <f t="shared" si="16"/>
        <v>0</v>
      </c>
      <c r="R292" s="547">
        <v>1941420</v>
      </c>
      <c r="S292" s="812">
        <f t="shared" si="18"/>
        <v>0</v>
      </c>
      <c r="T292" s="547">
        <f t="shared" si="18"/>
        <v>2</v>
      </c>
      <c r="U292" s="566"/>
      <c r="V292" s="567"/>
      <c r="W292" s="812">
        <f t="shared" si="19"/>
        <v>0</v>
      </c>
      <c r="X292" s="812">
        <f t="shared" si="17"/>
        <v>0</v>
      </c>
    </row>
    <row r="293" spans="1:24" ht="27" customHeight="1">
      <c r="A293" s="531"/>
      <c r="B293" s="531">
        <v>908</v>
      </c>
      <c r="C293" s="529">
        <v>9</v>
      </c>
      <c r="D293" s="530" t="s">
        <v>454</v>
      </c>
      <c r="E293" s="531" t="s">
        <v>1012</v>
      </c>
      <c r="F293" s="547">
        <v>-38485800</v>
      </c>
      <c r="G293" s="547">
        <v>76971600</v>
      </c>
      <c r="H293" s="547"/>
      <c r="I293" s="547"/>
      <c r="J293" s="547"/>
      <c r="K293" s="547"/>
      <c r="L293" s="547"/>
      <c r="M293" s="547"/>
      <c r="N293" s="547"/>
      <c r="O293" s="547"/>
      <c r="P293" s="547"/>
      <c r="Q293" s="812">
        <f t="shared" si="16"/>
        <v>38485800</v>
      </c>
      <c r="R293" s="547">
        <v>0</v>
      </c>
      <c r="S293" s="812">
        <f>ROUND((Q293/1000000),0)</f>
        <v>38</v>
      </c>
      <c r="T293" s="547">
        <f>ROUND((R293/1000000),0)</f>
        <v>0</v>
      </c>
      <c r="U293" s="566"/>
      <c r="V293" s="567"/>
      <c r="W293" s="812">
        <f>Q293+V293-U293</f>
        <v>38485800</v>
      </c>
      <c r="X293" s="812">
        <f t="shared" si="17"/>
        <v>38</v>
      </c>
    </row>
    <row r="294" spans="1:24" ht="27" customHeight="1">
      <c r="A294" s="531"/>
      <c r="B294" s="531">
        <v>501</v>
      </c>
      <c r="C294" s="529">
        <v>5</v>
      </c>
      <c r="D294" s="530" t="s">
        <v>460</v>
      </c>
      <c r="E294" s="531" t="s">
        <v>757</v>
      </c>
      <c r="F294" s="547">
        <v>2328817481069</v>
      </c>
      <c r="G294" s="547">
        <v>9314059736</v>
      </c>
      <c r="H294" s="547"/>
      <c r="I294" s="547"/>
      <c r="J294" s="547"/>
      <c r="K294" s="547"/>
      <c r="L294" s="547"/>
      <c r="M294" s="547"/>
      <c r="N294" s="547"/>
      <c r="O294" s="547"/>
      <c r="P294" s="547"/>
      <c r="Q294" s="812">
        <f t="shared" si="16"/>
        <v>2338131540805</v>
      </c>
      <c r="R294" s="547">
        <v>2195551578739</v>
      </c>
      <c r="S294" s="812">
        <f>ROUND((Q294/1000000),0)+1</f>
        <v>2338133</v>
      </c>
      <c r="T294" s="547">
        <f t="shared" si="18"/>
        <v>2195552</v>
      </c>
      <c r="U294" s="566"/>
      <c r="V294" s="567"/>
      <c r="W294" s="812">
        <f t="shared" si="19"/>
        <v>2338131540805</v>
      </c>
      <c r="X294" s="812">
        <f t="shared" si="17"/>
        <v>2338132</v>
      </c>
    </row>
    <row r="295" spans="1:24" ht="27" customHeight="1">
      <c r="A295" s="531"/>
      <c r="B295" s="531">
        <v>501</v>
      </c>
      <c r="C295" s="529">
        <v>5</v>
      </c>
      <c r="D295" s="530" t="s">
        <v>460</v>
      </c>
      <c r="E295" s="531" t="s">
        <v>758</v>
      </c>
      <c r="F295" s="547"/>
      <c r="G295" s="547"/>
      <c r="H295" s="547"/>
      <c r="I295" s="547"/>
      <c r="J295" s="547"/>
      <c r="K295" s="547"/>
      <c r="L295" s="547"/>
      <c r="M295" s="547"/>
      <c r="N295" s="547"/>
      <c r="O295" s="547"/>
      <c r="P295" s="547"/>
      <c r="Q295" s="812">
        <f t="shared" si="16"/>
        <v>0</v>
      </c>
      <c r="R295" s="547">
        <v>0</v>
      </c>
      <c r="S295" s="812">
        <f t="shared" si="18"/>
        <v>0</v>
      </c>
      <c r="T295" s="547">
        <f t="shared" si="18"/>
        <v>0</v>
      </c>
      <c r="U295" s="566"/>
      <c r="V295" s="567"/>
      <c r="W295" s="812">
        <f t="shared" si="19"/>
        <v>0</v>
      </c>
      <c r="X295" s="812">
        <f t="shared" si="17"/>
        <v>0</v>
      </c>
    </row>
    <row r="296" spans="1:24" ht="27" customHeight="1">
      <c r="A296" s="531"/>
      <c r="B296" s="531">
        <v>503</v>
      </c>
      <c r="C296" s="529">
        <v>5</v>
      </c>
      <c r="D296" s="530" t="s">
        <v>460</v>
      </c>
      <c r="E296" s="531" t="s">
        <v>759</v>
      </c>
      <c r="F296" s="547"/>
      <c r="G296" s="547"/>
      <c r="H296" s="547"/>
      <c r="I296" s="547"/>
      <c r="J296" s="547"/>
      <c r="K296" s="547"/>
      <c r="L296" s="547"/>
      <c r="M296" s="547"/>
      <c r="N296" s="547"/>
      <c r="O296" s="547"/>
      <c r="P296" s="547"/>
      <c r="Q296" s="812">
        <f t="shared" si="16"/>
        <v>0</v>
      </c>
      <c r="R296" s="547">
        <v>0</v>
      </c>
      <c r="S296" s="812">
        <f t="shared" si="18"/>
        <v>0</v>
      </c>
      <c r="T296" s="547">
        <f t="shared" si="18"/>
        <v>0</v>
      </c>
      <c r="U296" s="566"/>
      <c r="V296" s="567"/>
      <c r="W296" s="812">
        <f t="shared" si="19"/>
        <v>0</v>
      </c>
      <c r="X296" s="812">
        <f t="shared" si="17"/>
        <v>0</v>
      </c>
    </row>
    <row r="297" spans="1:24" ht="27" customHeight="1">
      <c r="A297" s="531"/>
      <c r="B297" s="531">
        <v>908</v>
      </c>
      <c r="C297" s="529">
        <v>9</v>
      </c>
      <c r="D297" s="530" t="s">
        <v>462</v>
      </c>
      <c r="E297" s="531" t="s">
        <v>463</v>
      </c>
      <c r="F297" s="547">
        <v>689646398587</v>
      </c>
      <c r="G297" s="547">
        <v>3205435553</v>
      </c>
      <c r="H297" s="547"/>
      <c r="I297" s="547"/>
      <c r="J297" s="547"/>
      <c r="K297" s="547"/>
      <c r="L297" s="547"/>
      <c r="M297" s="547"/>
      <c r="N297" s="547">
        <v>-597446227922</v>
      </c>
      <c r="O297" s="547"/>
      <c r="P297" s="547"/>
      <c r="Q297" s="812">
        <f t="shared" si="16"/>
        <v>95405606218</v>
      </c>
      <c r="R297" s="547">
        <v>533985186443</v>
      </c>
      <c r="S297" s="812">
        <f t="shared" si="18"/>
        <v>95406</v>
      </c>
      <c r="T297" s="547">
        <f t="shared" si="18"/>
        <v>533985</v>
      </c>
      <c r="U297" s="566"/>
      <c r="V297" s="567"/>
      <c r="W297" s="812">
        <f t="shared" si="19"/>
        <v>95405606218</v>
      </c>
      <c r="X297" s="812">
        <f t="shared" si="17"/>
        <v>95406</v>
      </c>
    </row>
    <row r="298" spans="1:24" ht="27" customHeight="1">
      <c r="A298" s="531"/>
      <c r="B298" s="531">
        <v>506</v>
      </c>
      <c r="C298" s="529">
        <v>5</v>
      </c>
      <c r="D298" s="530" t="s">
        <v>163</v>
      </c>
      <c r="E298" s="531" t="s">
        <v>1558</v>
      </c>
      <c r="F298" s="547">
        <v>263279216</v>
      </c>
      <c r="G298" s="547"/>
      <c r="H298" s="547"/>
      <c r="I298" s="547"/>
      <c r="J298" s="547"/>
      <c r="K298" s="547"/>
      <c r="L298" s="547"/>
      <c r="M298" s="547"/>
      <c r="N298" s="547"/>
      <c r="O298" s="547"/>
      <c r="P298" s="547"/>
      <c r="Q298" s="812">
        <f t="shared" si="16"/>
        <v>263279216</v>
      </c>
      <c r="R298" s="547"/>
      <c r="S298" s="812">
        <f t="shared" si="18"/>
        <v>263</v>
      </c>
      <c r="T298" s="547">
        <f t="shared" si="18"/>
        <v>0</v>
      </c>
      <c r="U298" s="566"/>
      <c r="V298" s="567"/>
      <c r="W298" s="812">
        <f t="shared" si="19"/>
        <v>263279216</v>
      </c>
      <c r="X298" s="812">
        <f t="shared" si="17"/>
        <v>263</v>
      </c>
    </row>
    <row r="299" spans="1:24" ht="27" customHeight="1">
      <c r="A299" s="531"/>
      <c r="B299" s="531">
        <v>506</v>
      </c>
      <c r="C299" s="529">
        <v>5</v>
      </c>
      <c r="D299" s="530" t="s">
        <v>165</v>
      </c>
      <c r="E299" s="531" t="s">
        <v>1559</v>
      </c>
      <c r="F299" s="547">
        <v>13703834661</v>
      </c>
      <c r="G299" s="547">
        <v>-2265075177</v>
      </c>
      <c r="H299" s="547"/>
      <c r="I299" s="547"/>
      <c r="J299" s="547"/>
      <c r="K299" s="547"/>
      <c r="L299" s="547"/>
      <c r="M299" s="547"/>
      <c r="N299" s="547"/>
      <c r="O299" s="547"/>
      <c r="P299" s="547"/>
      <c r="Q299" s="812">
        <f t="shared" si="16"/>
        <v>11438759484</v>
      </c>
      <c r="R299" s="547"/>
      <c r="S299" s="812">
        <f t="shared" si="18"/>
        <v>11439</v>
      </c>
      <c r="T299" s="547">
        <f t="shared" si="18"/>
        <v>0</v>
      </c>
      <c r="U299" s="566"/>
      <c r="V299" s="567"/>
      <c r="W299" s="812">
        <f t="shared" si="19"/>
        <v>11438759484</v>
      </c>
      <c r="X299" s="812">
        <f t="shared" si="17"/>
        <v>11439</v>
      </c>
    </row>
    <row r="300" spans="1:24" ht="27" customHeight="1">
      <c r="A300" s="531"/>
      <c r="B300" s="531">
        <v>506</v>
      </c>
      <c r="C300" s="529">
        <v>5</v>
      </c>
      <c r="D300" s="530" t="s">
        <v>1557</v>
      </c>
      <c r="E300" s="531" t="s">
        <v>1560</v>
      </c>
      <c r="F300" s="547">
        <v>725129990</v>
      </c>
      <c r="G300" s="547"/>
      <c r="H300" s="547"/>
      <c r="I300" s="547"/>
      <c r="J300" s="547"/>
      <c r="K300" s="547"/>
      <c r="L300" s="547"/>
      <c r="M300" s="547"/>
      <c r="N300" s="547"/>
      <c r="O300" s="547"/>
      <c r="P300" s="547"/>
      <c r="Q300" s="812">
        <f t="shared" si="16"/>
        <v>725129990</v>
      </c>
      <c r="R300" s="547"/>
      <c r="S300" s="812">
        <f t="shared" si="18"/>
        <v>725</v>
      </c>
      <c r="T300" s="547">
        <f t="shared" si="18"/>
        <v>0</v>
      </c>
      <c r="U300" s="566"/>
      <c r="V300" s="567"/>
      <c r="W300" s="812">
        <f t="shared" si="19"/>
        <v>725129990</v>
      </c>
      <c r="X300" s="812">
        <f t="shared" si="17"/>
        <v>725</v>
      </c>
    </row>
    <row r="301" spans="1:24" ht="27" customHeight="1">
      <c r="A301" s="531"/>
      <c r="B301" s="531">
        <v>1018</v>
      </c>
      <c r="C301" s="529">
        <v>10</v>
      </c>
      <c r="D301" s="530" t="s">
        <v>395</v>
      </c>
      <c r="E301" s="531" t="s">
        <v>1611</v>
      </c>
      <c r="F301" s="547">
        <v>-13417500</v>
      </c>
      <c r="G301" s="547"/>
      <c r="H301" s="547"/>
      <c r="I301" s="547"/>
      <c r="J301" s="547"/>
      <c r="K301" s="547"/>
      <c r="L301" s="547"/>
      <c r="M301" s="547"/>
      <c r="N301" s="547"/>
      <c r="O301" s="547"/>
      <c r="P301" s="547"/>
      <c r="Q301" s="812">
        <f t="shared" si="16"/>
        <v>-13417500</v>
      </c>
      <c r="R301" s="547"/>
      <c r="S301" s="812">
        <f t="shared" si="18"/>
        <v>-13</v>
      </c>
      <c r="T301" s="547">
        <f t="shared" si="18"/>
        <v>0</v>
      </c>
      <c r="U301" s="566"/>
      <c r="V301" s="567"/>
      <c r="W301" s="812">
        <f t="shared" si="19"/>
        <v>-13417500</v>
      </c>
      <c r="X301" s="812">
        <f t="shared" si="17"/>
        <v>-13</v>
      </c>
    </row>
    <row r="302" spans="1:24" ht="27" customHeight="1">
      <c r="A302" s="531"/>
      <c r="B302" s="531">
        <v>506</v>
      </c>
      <c r="C302" s="529">
        <v>5</v>
      </c>
      <c r="D302" s="530" t="s">
        <v>1006</v>
      </c>
      <c r="E302" s="531" t="s">
        <v>1007</v>
      </c>
      <c r="F302" s="547">
        <v>60399903</v>
      </c>
      <c r="G302" s="547">
        <v>-1</v>
      </c>
      <c r="H302" s="547"/>
      <c r="I302" s="547"/>
      <c r="J302" s="547"/>
      <c r="K302" s="547"/>
      <c r="L302" s="547"/>
      <c r="M302" s="547"/>
      <c r="N302" s="547"/>
      <c r="O302" s="547"/>
      <c r="P302" s="547"/>
      <c r="Q302" s="812">
        <f t="shared" si="16"/>
        <v>60399902</v>
      </c>
      <c r="R302" s="547">
        <v>0</v>
      </c>
      <c r="S302" s="812">
        <f t="shared" si="18"/>
        <v>60</v>
      </c>
      <c r="T302" s="547">
        <f t="shared" si="18"/>
        <v>0</v>
      </c>
      <c r="U302" s="566"/>
      <c r="V302" s="567"/>
      <c r="W302" s="812">
        <f t="shared" si="19"/>
        <v>60399902</v>
      </c>
      <c r="X302" s="812">
        <f t="shared" si="17"/>
        <v>60</v>
      </c>
    </row>
    <row r="303" spans="1:24" ht="27" customHeight="1">
      <c r="A303" s="531"/>
      <c r="B303" s="531">
        <v>1018</v>
      </c>
      <c r="C303" s="529">
        <v>10</v>
      </c>
      <c r="D303" s="530" t="s">
        <v>167</v>
      </c>
      <c r="E303" s="531" t="s">
        <v>1026</v>
      </c>
      <c r="F303" s="547">
        <v>-125543265</v>
      </c>
      <c r="G303" s="547"/>
      <c r="H303" s="547"/>
      <c r="I303" s="547"/>
      <c r="J303" s="547"/>
      <c r="K303" s="547"/>
      <c r="L303" s="547"/>
      <c r="M303" s="547"/>
      <c r="N303" s="547"/>
      <c r="O303" s="547"/>
      <c r="P303" s="547"/>
      <c r="Q303" s="812">
        <f t="shared" si="16"/>
        <v>-125543265</v>
      </c>
      <c r="R303" s="547">
        <v>0</v>
      </c>
      <c r="S303" s="812">
        <f t="shared" si="18"/>
        <v>-126</v>
      </c>
      <c r="T303" s="547">
        <f t="shared" si="18"/>
        <v>0</v>
      </c>
      <c r="U303" s="566"/>
      <c r="V303" s="567"/>
      <c r="W303" s="812">
        <f t="shared" si="19"/>
        <v>-125543265</v>
      </c>
      <c r="X303" s="812">
        <f t="shared" si="17"/>
        <v>-126</v>
      </c>
    </row>
    <row r="304" spans="1:24" ht="27" customHeight="1">
      <c r="A304" s="531"/>
      <c r="B304" s="531">
        <v>506</v>
      </c>
      <c r="C304" s="529">
        <v>5</v>
      </c>
      <c r="D304" s="530" t="s">
        <v>1008</v>
      </c>
      <c r="E304" s="531" t="s">
        <v>1007</v>
      </c>
      <c r="F304" s="547">
        <v>545876737</v>
      </c>
      <c r="G304" s="547"/>
      <c r="H304" s="547"/>
      <c r="I304" s="547"/>
      <c r="J304" s="547"/>
      <c r="K304" s="547"/>
      <c r="L304" s="547"/>
      <c r="M304" s="547"/>
      <c r="N304" s="547"/>
      <c r="O304" s="547"/>
      <c r="P304" s="547"/>
      <c r="Q304" s="812">
        <f t="shared" si="16"/>
        <v>545876737</v>
      </c>
      <c r="R304" s="547">
        <v>2017</v>
      </c>
      <c r="S304" s="812">
        <f t="shared" si="18"/>
        <v>546</v>
      </c>
      <c r="T304" s="547">
        <f t="shared" si="18"/>
        <v>0</v>
      </c>
      <c r="U304" s="566"/>
      <c r="V304" s="567"/>
      <c r="W304" s="812">
        <f t="shared" si="19"/>
        <v>545876737</v>
      </c>
      <c r="X304" s="812">
        <f t="shared" si="17"/>
        <v>546</v>
      </c>
    </row>
    <row r="305" spans="1:24" ht="27" customHeight="1">
      <c r="A305" s="531"/>
      <c r="B305" s="531">
        <v>506</v>
      </c>
      <c r="C305" s="529">
        <v>5</v>
      </c>
      <c r="D305" s="530" t="s">
        <v>1023</v>
      </c>
      <c r="E305" s="531" t="s">
        <v>1024</v>
      </c>
      <c r="F305" s="547">
        <v>301000000</v>
      </c>
      <c r="G305" s="547">
        <v>-300998000</v>
      </c>
      <c r="H305" s="547"/>
      <c r="I305" s="547"/>
      <c r="J305" s="547"/>
      <c r="K305" s="547"/>
      <c r="L305" s="547"/>
      <c r="M305" s="547"/>
      <c r="N305" s="547"/>
      <c r="O305" s="547"/>
      <c r="P305" s="547"/>
      <c r="Q305" s="812">
        <f t="shared" si="16"/>
        <v>2000</v>
      </c>
      <c r="R305" s="547">
        <v>0</v>
      </c>
      <c r="S305" s="812">
        <f t="shared" si="18"/>
        <v>0</v>
      </c>
      <c r="T305" s="547">
        <f t="shared" si="18"/>
        <v>0</v>
      </c>
      <c r="U305" s="566"/>
      <c r="V305" s="567"/>
      <c r="W305" s="812">
        <f t="shared" si="19"/>
        <v>2000</v>
      </c>
      <c r="X305" s="812">
        <f t="shared" si="17"/>
        <v>0</v>
      </c>
    </row>
    <row r="306" spans="1:24" ht="27" customHeight="1">
      <c r="A306" s="531"/>
      <c r="B306" s="531">
        <v>506</v>
      </c>
      <c r="C306" s="529">
        <v>5</v>
      </c>
      <c r="D306" s="530" t="s">
        <v>282</v>
      </c>
      <c r="E306" s="531" t="s">
        <v>283</v>
      </c>
      <c r="F306" s="547">
        <v>861775263</v>
      </c>
      <c r="G306" s="547"/>
      <c r="H306" s="547"/>
      <c r="I306" s="547"/>
      <c r="J306" s="547"/>
      <c r="K306" s="547"/>
      <c r="L306" s="547"/>
      <c r="M306" s="547"/>
      <c r="N306" s="547"/>
      <c r="O306" s="547"/>
      <c r="P306" s="547"/>
      <c r="Q306" s="812">
        <f t="shared" si="16"/>
        <v>861775263</v>
      </c>
      <c r="R306" s="547">
        <v>861775263</v>
      </c>
      <c r="S306" s="812">
        <f t="shared" si="18"/>
        <v>862</v>
      </c>
      <c r="T306" s="547">
        <f t="shared" si="18"/>
        <v>862</v>
      </c>
      <c r="U306" s="566"/>
      <c r="V306" s="567"/>
      <c r="W306" s="812">
        <f t="shared" si="19"/>
        <v>861775263</v>
      </c>
      <c r="X306" s="812">
        <f t="shared" si="17"/>
        <v>862</v>
      </c>
    </row>
    <row r="307" spans="1:24" ht="27" customHeight="1">
      <c r="A307" s="531"/>
      <c r="B307" s="531">
        <v>506</v>
      </c>
      <c r="C307" s="529">
        <v>5</v>
      </c>
      <c r="D307" s="530" t="s">
        <v>76</v>
      </c>
      <c r="E307" s="531" t="s">
        <v>77</v>
      </c>
      <c r="F307" s="547">
        <v>130232068</v>
      </c>
      <c r="G307" s="547"/>
      <c r="H307" s="547"/>
      <c r="I307" s="547"/>
      <c r="J307" s="547"/>
      <c r="K307" s="547"/>
      <c r="L307" s="547"/>
      <c r="M307" s="547"/>
      <c r="N307" s="547"/>
      <c r="O307" s="547"/>
      <c r="P307" s="547"/>
      <c r="Q307" s="812">
        <f t="shared" si="16"/>
        <v>130232068</v>
      </c>
      <c r="R307" s="547">
        <v>103561380</v>
      </c>
      <c r="S307" s="812">
        <f t="shared" si="18"/>
        <v>130</v>
      </c>
      <c r="T307" s="547">
        <f t="shared" si="18"/>
        <v>104</v>
      </c>
      <c r="U307" s="566"/>
      <c r="V307" s="567"/>
      <c r="W307" s="812">
        <f t="shared" si="19"/>
        <v>130232068</v>
      </c>
      <c r="X307" s="812">
        <f t="shared" si="17"/>
        <v>130</v>
      </c>
    </row>
    <row r="308" spans="1:24" ht="27" customHeight="1">
      <c r="A308" s="531"/>
      <c r="B308" s="531">
        <v>1018</v>
      </c>
      <c r="C308" s="529">
        <v>10</v>
      </c>
      <c r="D308" s="530" t="s">
        <v>464</v>
      </c>
      <c r="E308" s="531" t="s">
        <v>311</v>
      </c>
      <c r="F308" s="547">
        <v>-716725263</v>
      </c>
      <c r="G308" s="547"/>
      <c r="H308" s="547"/>
      <c r="I308" s="547"/>
      <c r="J308" s="547"/>
      <c r="K308" s="547"/>
      <c r="L308" s="547"/>
      <c r="M308" s="547"/>
      <c r="N308" s="547"/>
      <c r="O308" s="547"/>
      <c r="P308" s="547"/>
      <c r="Q308" s="812">
        <f t="shared" si="16"/>
        <v>-716725263</v>
      </c>
      <c r="R308" s="547">
        <v>-744179185</v>
      </c>
      <c r="S308" s="812">
        <f t="shared" si="18"/>
        <v>-717</v>
      </c>
      <c r="T308" s="547">
        <f t="shared" si="18"/>
        <v>-744</v>
      </c>
      <c r="U308" s="566"/>
      <c r="V308" s="567"/>
      <c r="W308" s="812">
        <f t="shared" si="19"/>
        <v>-716725263</v>
      </c>
      <c r="X308" s="812">
        <f t="shared" si="17"/>
        <v>-717</v>
      </c>
    </row>
    <row r="309" spans="1:24" ht="27" customHeight="1">
      <c r="A309" s="531"/>
      <c r="B309" s="531">
        <v>506</v>
      </c>
      <c r="C309" s="529">
        <v>5</v>
      </c>
      <c r="D309" s="530" t="s">
        <v>1561</v>
      </c>
      <c r="E309" s="531" t="s">
        <v>1562</v>
      </c>
      <c r="F309" s="547">
        <v>55116683</v>
      </c>
      <c r="G309" s="547">
        <v>13297134</v>
      </c>
      <c r="H309" s="547"/>
      <c r="I309" s="547"/>
      <c r="J309" s="547"/>
      <c r="K309" s="547"/>
      <c r="L309" s="547"/>
      <c r="M309" s="547"/>
      <c r="N309" s="547"/>
      <c r="O309" s="547"/>
      <c r="P309" s="547"/>
      <c r="Q309" s="812">
        <f t="shared" si="16"/>
        <v>68413817</v>
      </c>
      <c r="R309" s="547"/>
      <c r="S309" s="812">
        <f t="shared" si="18"/>
        <v>68</v>
      </c>
      <c r="T309" s="547">
        <f t="shared" si="18"/>
        <v>0</v>
      </c>
      <c r="U309" s="566"/>
      <c r="V309" s="567"/>
      <c r="W309" s="812">
        <f t="shared" si="19"/>
        <v>68413817</v>
      </c>
      <c r="X309" s="812">
        <f t="shared" si="17"/>
        <v>68</v>
      </c>
    </row>
    <row r="310" spans="1:24" ht="27" customHeight="1">
      <c r="A310" s="531"/>
      <c r="B310" s="531">
        <v>506</v>
      </c>
      <c r="C310" s="529">
        <v>5</v>
      </c>
      <c r="D310" s="530" t="s">
        <v>594</v>
      </c>
      <c r="E310" s="531" t="s">
        <v>314</v>
      </c>
      <c r="F310" s="547">
        <v>270628</v>
      </c>
      <c r="G310" s="547">
        <v>31605</v>
      </c>
      <c r="H310" s="547"/>
      <c r="I310" s="547"/>
      <c r="J310" s="547"/>
      <c r="K310" s="547"/>
      <c r="L310" s="547"/>
      <c r="M310" s="547"/>
      <c r="N310" s="547"/>
      <c r="O310" s="547"/>
      <c r="P310" s="547"/>
      <c r="Q310" s="812">
        <f t="shared" si="16"/>
        <v>302233</v>
      </c>
      <c r="R310" s="547">
        <v>270628</v>
      </c>
      <c r="S310" s="812">
        <f t="shared" si="18"/>
        <v>0</v>
      </c>
      <c r="T310" s="547">
        <f t="shared" si="18"/>
        <v>0</v>
      </c>
      <c r="U310" s="566"/>
      <c r="V310" s="567"/>
      <c r="W310" s="812">
        <f t="shared" si="19"/>
        <v>302233</v>
      </c>
      <c r="X310" s="812">
        <f t="shared" si="17"/>
        <v>0</v>
      </c>
    </row>
    <row r="311" spans="1:24" ht="27" customHeight="1">
      <c r="A311" s="531"/>
      <c r="B311" s="531">
        <v>906</v>
      </c>
      <c r="C311" s="529">
        <v>9</v>
      </c>
      <c r="D311" s="530" t="s">
        <v>1563</v>
      </c>
      <c r="E311" s="531" t="s">
        <v>1564</v>
      </c>
      <c r="F311" s="547">
        <v>-340283821</v>
      </c>
      <c r="G311" s="547">
        <v>340283821</v>
      </c>
      <c r="H311" s="547"/>
      <c r="I311" s="547"/>
      <c r="J311" s="547"/>
      <c r="K311" s="547"/>
      <c r="L311" s="547"/>
      <c r="M311" s="547"/>
      <c r="N311" s="547"/>
      <c r="O311" s="547"/>
      <c r="P311" s="547"/>
      <c r="Q311" s="812">
        <f t="shared" si="16"/>
        <v>0</v>
      </c>
      <c r="R311" s="547"/>
      <c r="S311" s="812">
        <f t="shared" si="18"/>
        <v>0</v>
      </c>
      <c r="T311" s="547">
        <f t="shared" si="18"/>
        <v>0</v>
      </c>
      <c r="U311" s="566"/>
      <c r="V311" s="567"/>
      <c r="W311" s="812">
        <f t="shared" si="19"/>
        <v>0</v>
      </c>
      <c r="X311" s="812">
        <f t="shared" si="17"/>
        <v>0</v>
      </c>
    </row>
    <row r="312" spans="1:24" ht="27" customHeight="1">
      <c r="A312" s="531"/>
      <c r="B312" s="531"/>
      <c r="C312" s="529">
        <v>5</v>
      </c>
      <c r="D312" s="530" t="s">
        <v>595</v>
      </c>
      <c r="E312" s="531" t="s">
        <v>315</v>
      </c>
      <c r="F312" s="547"/>
      <c r="G312" s="547"/>
      <c r="H312" s="547"/>
      <c r="I312" s="547"/>
      <c r="J312" s="547"/>
      <c r="K312" s="547"/>
      <c r="L312" s="547"/>
      <c r="M312" s="547"/>
      <c r="N312" s="547"/>
      <c r="O312" s="547"/>
      <c r="P312" s="547"/>
      <c r="Q312" s="812">
        <f t="shared" si="16"/>
        <v>0</v>
      </c>
      <c r="R312" s="547">
        <v>0</v>
      </c>
      <c r="S312" s="812">
        <f t="shared" si="18"/>
        <v>0</v>
      </c>
      <c r="T312" s="547">
        <f t="shared" si="18"/>
        <v>0</v>
      </c>
      <c r="U312" s="566"/>
      <c r="V312" s="567"/>
      <c r="W312" s="812">
        <f t="shared" si="19"/>
        <v>0</v>
      </c>
      <c r="X312" s="812">
        <f t="shared" si="17"/>
        <v>0</v>
      </c>
    </row>
    <row r="313" spans="1:24" ht="27" customHeight="1">
      <c r="A313" s="531"/>
      <c r="B313" s="531">
        <v>506</v>
      </c>
      <c r="C313" s="529">
        <v>5</v>
      </c>
      <c r="D313" s="530" t="s">
        <v>333</v>
      </c>
      <c r="E313" s="531" t="s">
        <v>334</v>
      </c>
      <c r="F313" s="547">
        <v>525822</v>
      </c>
      <c r="G313" s="547">
        <v>-525822</v>
      </c>
      <c r="H313" s="547"/>
      <c r="I313" s="547"/>
      <c r="J313" s="547"/>
      <c r="K313" s="547"/>
      <c r="L313" s="547"/>
      <c r="M313" s="547"/>
      <c r="N313" s="547"/>
      <c r="O313" s="547"/>
      <c r="P313" s="547"/>
      <c r="Q313" s="812">
        <f t="shared" si="16"/>
        <v>0</v>
      </c>
      <c r="R313" s="547">
        <v>525822</v>
      </c>
      <c r="S313" s="812">
        <f t="shared" si="18"/>
        <v>0</v>
      </c>
      <c r="T313" s="547">
        <f t="shared" si="18"/>
        <v>1</v>
      </c>
      <c r="U313" s="566"/>
      <c r="V313" s="567"/>
      <c r="W313" s="812">
        <f t="shared" si="19"/>
        <v>0</v>
      </c>
      <c r="X313" s="812">
        <f t="shared" si="17"/>
        <v>0</v>
      </c>
    </row>
    <row r="314" spans="1:24" ht="27" customHeight="1">
      <c r="A314" s="531"/>
      <c r="B314" s="531">
        <v>501</v>
      </c>
      <c r="C314" s="529">
        <v>5</v>
      </c>
      <c r="D314" s="530" t="s">
        <v>901</v>
      </c>
      <c r="E314" s="531" t="s">
        <v>1029</v>
      </c>
      <c r="F314" s="547">
        <v>-4326402600</v>
      </c>
      <c r="G314" s="547">
        <v>4326402600</v>
      </c>
      <c r="H314" s="547"/>
      <c r="I314" s="547"/>
      <c r="J314" s="547"/>
      <c r="K314" s="547"/>
      <c r="L314" s="547"/>
      <c r="M314" s="547"/>
      <c r="N314" s="547"/>
      <c r="O314" s="547"/>
      <c r="P314" s="547"/>
      <c r="Q314" s="812">
        <f t="shared" si="16"/>
        <v>0</v>
      </c>
      <c r="R314" s="547">
        <v>1</v>
      </c>
      <c r="S314" s="812">
        <f t="shared" si="18"/>
        <v>0</v>
      </c>
      <c r="T314" s="547">
        <f t="shared" si="18"/>
        <v>0</v>
      </c>
      <c r="U314" s="566"/>
      <c r="V314" s="567"/>
      <c r="W314" s="812">
        <f t="shared" si="19"/>
        <v>0</v>
      </c>
      <c r="X314" s="812">
        <f t="shared" si="17"/>
        <v>0</v>
      </c>
    </row>
    <row r="315" spans="1:24" ht="27" customHeight="1">
      <c r="A315" s="531"/>
      <c r="B315" s="531"/>
      <c r="C315" s="529">
        <v>9</v>
      </c>
      <c r="D315" s="530" t="s">
        <v>902</v>
      </c>
      <c r="E315" s="531" t="s">
        <v>911</v>
      </c>
      <c r="F315" s="547"/>
      <c r="G315" s="547"/>
      <c r="H315" s="547"/>
      <c r="I315" s="547"/>
      <c r="J315" s="547"/>
      <c r="K315" s="547"/>
      <c r="L315" s="547"/>
      <c r="M315" s="547"/>
      <c r="N315" s="547"/>
      <c r="O315" s="547"/>
      <c r="P315" s="547"/>
      <c r="Q315" s="812">
        <f t="shared" si="16"/>
        <v>0</v>
      </c>
      <c r="R315" s="547">
        <v>0</v>
      </c>
      <c r="S315" s="812">
        <f t="shared" si="18"/>
        <v>0</v>
      </c>
      <c r="T315" s="547">
        <f t="shared" si="18"/>
        <v>0</v>
      </c>
      <c r="U315" s="566"/>
      <c r="V315" s="567"/>
      <c r="W315" s="812">
        <f t="shared" si="19"/>
        <v>0</v>
      </c>
      <c r="X315" s="812">
        <f t="shared" si="17"/>
        <v>0</v>
      </c>
    </row>
    <row r="316" spans="1:24" ht="27" customHeight="1">
      <c r="A316" s="531"/>
      <c r="B316" s="531">
        <v>506</v>
      </c>
      <c r="C316" s="529">
        <v>5</v>
      </c>
      <c r="D316" s="530" t="s">
        <v>596</v>
      </c>
      <c r="E316" s="531" t="s">
        <v>761</v>
      </c>
      <c r="F316" s="547">
        <v>15278062188</v>
      </c>
      <c r="G316" s="547">
        <v>-1950630658</v>
      </c>
      <c r="H316" s="547">
        <v>25888719</v>
      </c>
      <c r="I316" s="547">
        <v>-16446302</v>
      </c>
      <c r="J316" s="547"/>
      <c r="K316" s="547"/>
      <c r="L316" s="547"/>
      <c r="M316" s="547"/>
      <c r="N316" s="547"/>
      <c r="O316" s="547"/>
      <c r="P316" s="547"/>
      <c r="Q316" s="812">
        <f t="shared" si="16"/>
        <v>13336873947</v>
      </c>
      <c r="R316" s="547">
        <v>8158654264</v>
      </c>
      <c r="S316" s="812">
        <f t="shared" si="18"/>
        <v>13337</v>
      </c>
      <c r="T316" s="547">
        <f t="shared" si="18"/>
        <v>8159</v>
      </c>
      <c r="U316" s="566"/>
      <c r="V316" s="567"/>
      <c r="W316" s="812">
        <f t="shared" si="19"/>
        <v>13336873947</v>
      </c>
      <c r="X316" s="812">
        <f t="shared" si="17"/>
        <v>13337</v>
      </c>
    </row>
    <row r="317" spans="1:24" ht="27" customHeight="1">
      <c r="A317" s="531">
        <v>3214</v>
      </c>
      <c r="B317" s="531">
        <v>907</v>
      </c>
      <c r="C317" s="529">
        <v>9</v>
      </c>
      <c r="D317" s="530" t="s">
        <v>596</v>
      </c>
      <c r="E317" s="531" t="s">
        <v>1436</v>
      </c>
      <c r="F317" s="547"/>
      <c r="G317" s="547"/>
      <c r="H317" s="547"/>
      <c r="I317" s="547"/>
      <c r="J317" s="547"/>
      <c r="K317" s="547"/>
      <c r="L317" s="547"/>
      <c r="M317" s="547"/>
      <c r="N317" s="547"/>
      <c r="O317" s="547"/>
      <c r="P317" s="547"/>
      <c r="Q317" s="812">
        <f t="shared" si="16"/>
        <v>0</v>
      </c>
      <c r="R317" s="547">
        <v>0</v>
      </c>
      <c r="S317" s="812">
        <f t="shared" si="18"/>
        <v>0</v>
      </c>
      <c r="T317" s="547">
        <f t="shared" si="18"/>
        <v>0</v>
      </c>
      <c r="U317" s="566"/>
      <c r="V317" s="567"/>
      <c r="W317" s="812">
        <f t="shared" si="19"/>
        <v>0</v>
      </c>
      <c r="X317" s="812">
        <f t="shared" si="17"/>
        <v>0</v>
      </c>
    </row>
    <row r="318" spans="1:24" ht="27" customHeight="1">
      <c r="A318" s="531"/>
      <c r="B318" s="531">
        <v>403</v>
      </c>
      <c r="C318" s="529">
        <v>4</v>
      </c>
      <c r="D318" s="530" t="s">
        <v>1376</v>
      </c>
      <c r="E318" s="531" t="s">
        <v>739</v>
      </c>
      <c r="F318" s="547"/>
      <c r="G318" s="547"/>
      <c r="H318" s="547"/>
      <c r="I318" s="547"/>
      <c r="J318" s="547"/>
      <c r="K318" s="547"/>
      <c r="L318" s="547"/>
      <c r="M318" s="547"/>
      <c r="N318" s="547"/>
      <c r="O318" s="547"/>
      <c r="P318" s="547"/>
      <c r="Q318" s="812">
        <f t="shared" si="16"/>
        <v>0</v>
      </c>
      <c r="R318" s="547">
        <v>4208778662</v>
      </c>
      <c r="S318" s="812">
        <f t="shared" si="18"/>
        <v>0</v>
      </c>
      <c r="T318" s="547">
        <f t="shared" si="18"/>
        <v>4209</v>
      </c>
      <c r="U318" s="566"/>
      <c r="V318" s="567"/>
      <c r="W318" s="812">
        <f t="shared" si="19"/>
        <v>0</v>
      </c>
      <c r="X318" s="812">
        <f t="shared" si="17"/>
        <v>0</v>
      </c>
    </row>
    <row r="319" spans="1:24" ht="27" customHeight="1">
      <c r="A319" s="531"/>
      <c r="B319" s="531">
        <v>607</v>
      </c>
      <c r="C319" s="529">
        <v>6</v>
      </c>
      <c r="D319" s="530" t="s">
        <v>1375</v>
      </c>
      <c r="E319" s="531" t="s">
        <v>1382</v>
      </c>
      <c r="F319" s="547">
        <v>7451547147</v>
      </c>
      <c r="G319" s="547">
        <v>-3345149249</v>
      </c>
      <c r="H319" s="547"/>
      <c r="I319" s="547">
        <v>285677000</v>
      </c>
      <c r="J319" s="547"/>
      <c r="K319" s="547"/>
      <c r="L319" s="547"/>
      <c r="M319" s="547"/>
      <c r="N319" s="547"/>
      <c r="O319" s="547"/>
      <c r="P319" s="547"/>
      <c r="Q319" s="812">
        <f t="shared" si="16"/>
        <v>4392074898</v>
      </c>
      <c r="R319" s="547">
        <v>20942892857</v>
      </c>
      <c r="S319" s="812">
        <f t="shared" si="18"/>
        <v>4392</v>
      </c>
      <c r="T319" s="547">
        <f t="shared" si="18"/>
        <v>20943</v>
      </c>
      <c r="U319" s="566"/>
      <c r="V319" s="567"/>
      <c r="W319" s="812">
        <f t="shared" si="19"/>
        <v>4392074898</v>
      </c>
      <c r="X319" s="812">
        <f t="shared" si="17"/>
        <v>4392</v>
      </c>
    </row>
    <row r="320" spans="1:24" ht="27" customHeight="1">
      <c r="A320" s="531"/>
      <c r="B320" s="531">
        <v>607</v>
      </c>
      <c r="C320" s="529">
        <v>6</v>
      </c>
      <c r="D320" s="530" t="s">
        <v>319</v>
      </c>
      <c r="E320" s="531" t="s">
        <v>1034</v>
      </c>
      <c r="F320" s="547"/>
      <c r="G320" s="547"/>
      <c r="H320" s="547"/>
      <c r="I320" s="547"/>
      <c r="J320" s="547"/>
      <c r="K320" s="547"/>
      <c r="L320" s="547"/>
      <c r="M320" s="547"/>
      <c r="N320" s="547"/>
      <c r="O320" s="547"/>
      <c r="P320" s="547"/>
      <c r="Q320" s="812">
        <f t="shared" si="16"/>
        <v>0</v>
      </c>
      <c r="R320" s="547">
        <v>0</v>
      </c>
      <c r="S320" s="812">
        <f t="shared" si="18"/>
        <v>0</v>
      </c>
      <c r="T320" s="547">
        <f t="shared" si="18"/>
        <v>0</v>
      </c>
      <c r="U320" s="566"/>
      <c r="V320" s="567"/>
      <c r="W320" s="812">
        <f t="shared" si="19"/>
        <v>0</v>
      </c>
      <c r="X320" s="812">
        <f t="shared" si="17"/>
        <v>0</v>
      </c>
    </row>
    <row r="321" spans="1:24" ht="27" customHeight="1">
      <c r="A321" s="531"/>
      <c r="B321" s="531">
        <v>607</v>
      </c>
      <c r="C321" s="529">
        <v>6</v>
      </c>
      <c r="D321" s="530" t="s">
        <v>321</v>
      </c>
      <c r="E321" s="531" t="s">
        <v>1615</v>
      </c>
      <c r="F321" s="547">
        <v>16566221101</v>
      </c>
      <c r="G321" s="547">
        <v>-12945400000</v>
      </c>
      <c r="H321" s="547"/>
      <c r="I321" s="547">
        <v>-7381101</v>
      </c>
      <c r="J321" s="547"/>
      <c r="K321" s="547"/>
      <c r="L321" s="547"/>
      <c r="M321" s="547"/>
      <c r="N321" s="547"/>
      <c r="O321" s="547"/>
      <c r="P321" s="547"/>
      <c r="Q321" s="812">
        <f t="shared" si="16"/>
        <v>3613440000</v>
      </c>
      <c r="R321" s="547">
        <v>9550944000</v>
      </c>
      <c r="S321" s="812">
        <f t="shared" si="18"/>
        <v>3613</v>
      </c>
      <c r="T321" s="547">
        <f t="shared" si="18"/>
        <v>9551</v>
      </c>
      <c r="U321" s="566"/>
      <c r="V321" s="567"/>
      <c r="W321" s="812">
        <f t="shared" si="19"/>
        <v>3613440000</v>
      </c>
      <c r="X321" s="812">
        <f t="shared" si="17"/>
        <v>3613</v>
      </c>
    </row>
    <row r="322" spans="1:24" ht="27" customHeight="1">
      <c r="A322" s="531"/>
      <c r="B322" s="531">
        <v>403</v>
      </c>
      <c r="C322" s="529">
        <v>4</v>
      </c>
      <c r="D322" s="530" t="s">
        <v>323</v>
      </c>
      <c r="E322" s="531" t="s">
        <v>1035</v>
      </c>
      <c r="F322" s="547"/>
      <c r="G322" s="547"/>
      <c r="H322" s="547"/>
      <c r="I322" s="547"/>
      <c r="J322" s="547"/>
      <c r="K322" s="547"/>
      <c r="L322" s="547"/>
      <c r="M322" s="547"/>
      <c r="N322" s="547"/>
      <c r="O322" s="547"/>
      <c r="P322" s="547"/>
      <c r="Q322" s="812">
        <f t="shared" si="16"/>
        <v>0</v>
      </c>
      <c r="R322" s="547">
        <v>-16110379536</v>
      </c>
      <c r="S322" s="812">
        <f t="shared" si="18"/>
        <v>0</v>
      </c>
      <c r="T322" s="547">
        <f t="shared" si="18"/>
        <v>-16110</v>
      </c>
      <c r="U322" s="566"/>
      <c r="V322" s="567"/>
      <c r="W322" s="812">
        <f t="shared" si="19"/>
        <v>0</v>
      </c>
      <c r="X322" s="812">
        <f t="shared" si="17"/>
        <v>0</v>
      </c>
    </row>
    <row r="323" spans="1:24" ht="27" customHeight="1">
      <c r="A323" s="531">
        <v>11</v>
      </c>
      <c r="B323" s="531">
        <v>907</v>
      </c>
      <c r="C323" s="529">
        <v>9</v>
      </c>
      <c r="D323" s="530" t="s">
        <v>323</v>
      </c>
      <c r="E323" s="531" t="s">
        <v>1036</v>
      </c>
      <c r="F323" s="547">
        <v>276545709165</v>
      </c>
      <c r="G323" s="547">
        <v>-4768443207</v>
      </c>
      <c r="H323" s="547"/>
      <c r="I323" s="547"/>
      <c r="J323" s="547"/>
      <c r="K323" s="547"/>
      <c r="L323" s="547"/>
      <c r="M323" s="547"/>
      <c r="N323" s="547"/>
      <c r="O323" s="547">
        <v>-271777265958</v>
      </c>
      <c r="P323" s="547"/>
      <c r="Q323" s="812">
        <f t="shared" si="16"/>
        <v>0</v>
      </c>
      <c r="R323" s="547">
        <v>105005572657</v>
      </c>
      <c r="S323" s="812">
        <f t="shared" si="18"/>
        <v>0</v>
      </c>
      <c r="T323" s="547">
        <f t="shared" si="18"/>
        <v>105006</v>
      </c>
      <c r="U323" s="566"/>
      <c r="V323" s="567"/>
      <c r="W323" s="812">
        <f t="shared" si="19"/>
        <v>0</v>
      </c>
      <c r="X323" s="812">
        <f t="shared" si="17"/>
        <v>0</v>
      </c>
    </row>
    <row r="324" spans="1:24" ht="27" customHeight="1">
      <c r="A324" s="531">
        <v>11</v>
      </c>
      <c r="B324" s="531">
        <v>907</v>
      </c>
      <c r="C324" s="529">
        <v>9</v>
      </c>
      <c r="D324" s="530" t="s">
        <v>325</v>
      </c>
      <c r="E324" s="531" t="s">
        <v>1037</v>
      </c>
      <c r="F324" s="547">
        <v>152059182941</v>
      </c>
      <c r="G324" s="547">
        <v>-72513754150</v>
      </c>
      <c r="H324" s="547"/>
      <c r="I324" s="547">
        <v>7381101</v>
      </c>
      <c r="J324" s="547"/>
      <c r="K324" s="547"/>
      <c r="L324" s="547"/>
      <c r="M324" s="547"/>
      <c r="N324" s="547"/>
      <c r="O324" s="547">
        <f>-53245100067+72513754152</f>
        <v>19268654085</v>
      </c>
      <c r="P324" s="547"/>
      <c r="Q324" s="812">
        <f t="shared" ref="Q324:Q387" si="20">SUM(F324:P324)</f>
        <v>98821463977</v>
      </c>
      <c r="R324" s="547">
        <v>0</v>
      </c>
      <c r="S324" s="812">
        <f t="shared" si="18"/>
        <v>98821</v>
      </c>
      <c r="T324" s="547">
        <f t="shared" si="18"/>
        <v>0</v>
      </c>
      <c r="U324" s="566"/>
      <c r="V324" s="567"/>
      <c r="W324" s="812">
        <f t="shared" si="19"/>
        <v>98821463977</v>
      </c>
      <c r="X324" s="812">
        <f t="shared" si="17"/>
        <v>98821</v>
      </c>
    </row>
    <row r="325" spans="1:24" ht="27" customHeight="1">
      <c r="A325" s="531"/>
      <c r="B325" s="531">
        <v>906</v>
      </c>
      <c r="C325" s="529">
        <v>9</v>
      </c>
      <c r="D325" s="530" t="s">
        <v>750</v>
      </c>
      <c r="E325" s="531" t="s">
        <v>751</v>
      </c>
      <c r="F325" s="547"/>
      <c r="G325" s="547"/>
      <c r="H325" s="547"/>
      <c r="I325" s="547"/>
      <c r="J325" s="547"/>
      <c r="K325" s="547"/>
      <c r="L325" s="547"/>
      <c r="M325" s="547"/>
      <c r="N325" s="547"/>
      <c r="O325" s="547"/>
      <c r="P325" s="547"/>
      <c r="Q325" s="812">
        <f t="shared" si="20"/>
        <v>0</v>
      </c>
      <c r="R325" s="547">
        <v>0</v>
      </c>
      <c r="S325" s="812">
        <f t="shared" si="18"/>
        <v>0</v>
      </c>
      <c r="T325" s="547">
        <f t="shared" si="18"/>
        <v>0</v>
      </c>
      <c r="U325" s="566"/>
      <c r="V325" s="567"/>
      <c r="W325" s="812">
        <f t="shared" si="19"/>
        <v>0</v>
      </c>
      <c r="X325" s="812">
        <f t="shared" ref="X325:X390" si="21">ROUND((W325/1000000),0)</f>
        <v>0</v>
      </c>
    </row>
    <row r="326" spans="1:24" ht="27" customHeight="1">
      <c r="A326" s="531"/>
      <c r="B326" s="531"/>
      <c r="C326" s="529"/>
      <c r="D326" s="530"/>
      <c r="E326" s="531"/>
      <c r="F326" s="547"/>
      <c r="G326" s="547"/>
      <c r="H326" s="547"/>
      <c r="I326" s="547"/>
      <c r="J326" s="547"/>
      <c r="K326" s="547"/>
      <c r="L326" s="547"/>
      <c r="M326" s="547"/>
      <c r="N326" s="547"/>
      <c r="O326" s="547"/>
      <c r="P326" s="547"/>
      <c r="Q326" s="812">
        <f t="shared" si="20"/>
        <v>0</v>
      </c>
      <c r="R326" s="547"/>
      <c r="S326" s="812"/>
      <c r="T326" s="547"/>
      <c r="U326" s="566"/>
      <c r="V326" s="567"/>
      <c r="W326" s="812"/>
      <c r="X326" s="812"/>
    </row>
    <row r="327" spans="1:24" ht="27" customHeight="1">
      <c r="A327" s="531"/>
      <c r="B327" s="531">
        <v>907</v>
      </c>
      <c r="C327" s="529">
        <v>9</v>
      </c>
      <c r="D327" s="530" t="s">
        <v>750</v>
      </c>
      <c r="E327" s="531" t="s">
        <v>751</v>
      </c>
      <c r="F327" s="547"/>
      <c r="G327" s="547"/>
      <c r="H327" s="547"/>
      <c r="I327" s="547"/>
      <c r="J327" s="547"/>
      <c r="K327" s="547"/>
      <c r="L327" s="547"/>
      <c r="M327" s="547"/>
      <c r="N327" s="547"/>
      <c r="O327" s="547"/>
      <c r="P327" s="547"/>
      <c r="Q327" s="812">
        <f t="shared" si="20"/>
        <v>0</v>
      </c>
      <c r="R327" s="547">
        <v>0</v>
      </c>
      <c r="S327" s="812">
        <f t="shared" si="18"/>
        <v>0</v>
      </c>
      <c r="T327" s="547">
        <f t="shared" si="18"/>
        <v>0</v>
      </c>
      <c r="U327" s="566"/>
      <c r="V327" s="567"/>
      <c r="W327" s="812">
        <f t="shared" si="19"/>
        <v>0</v>
      </c>
      <c r="X327" s="812">
        <f t="shared" si="21"/>
        <v>0</v>
      </c>
    </row>
    <row r="328" spans="1:24" ht="27" customHeight="1">
      <c r="A328" s="531"/>
      <c r="B328" s="531">
        <v>601</v>
      </c>
      <c r="C328" s="529">
        <v>6</v>
      </c>
      <c r="D328" s="530" t="s">
        <v>749</v>
      </c>
      <c r="E328" s="531" t="s">
        <v>751</v>
      </c>
      <c r="F328" s="547"/>
      <c r="G328" s="547"/>
      <c r="H328" s="547"/>
      <c r="I328" s="547"/>
      <c r="J328" s="547"/>
      <c r="K328" s="547"/>
      <c r="L328" s="547"/>
      <c r="M328" s="547"/>
      <c r="N328" s="547"/>
      <c r="O328" s="547"/>
      <c r="P328" s="547"/>
      <c r="Q328" s="812">
        <f t="shared" si="20"/>
        <v>0</v>
      </c>
      <c r="R328" s="547">
        <v>0</v>
      </c>
      <c r="S328" s="812">
        <f t="shared" si="18"/>
        <v>0</v>
      </c>
      <c r="T328" s="547">
        <f t="shared" si="18"/>
        <v>0</v>
      </c>
      <c r="U328" s="566"/>
      <c r="V328" s="567"/>
      <c r="W328" s="812">
        <f t="shared" si="19"/>
        <v>0</v>
      </c>
      <c r="X328" s="812">
        <f t="shared" si="21"/>
        <v>0</v>
      </c>
    </row>
    <row r="329" spans="1:24" ht="27" customHeight="1">
      <c r="A329" s="531"/>
      <c r="B329" s="531">
        <v>302</v>
      </c>
      <c r="C329" s="529">
        <v>3</v>
      </c>
      <c r="D329" s="530" t="s">
        <v>749</v>
      </c>
      <c r="E329" s="531" t="s">
        <v>751</v>
      </c>
      <c r="F329" s="547"/>
      <c r="G329" s="547"/>
      <c r="H329" s="547"/>
      <c r="I329" s="547"/>
      <c r="J329" s="547"/>
      <c r="K329" s="547"/>
      <c r="L329" s="547"/>
      <c r="M329" s="547"/>
      <c r="N329" s="547"/>
      <c r="O329" s="547"/>
      <c r="P329" s="547"/>
      <c r="Q329" s="812">
        <f t="shared" si="20"/>
        <v>0</v>
      </c>
      <c r="R329" s="547">
        <v>0</v>
      </c>
      <c r="S329" s="812">
        <f t="shared" si="18"/>
        <v>0</v>
      </c>
      <c r="T329" s="547">
        <f t="shared" si="18"/>
        <v>0</v>
      </c>
      <c r="U329" s="566"/>
      <c r="V329" s="567"/>
      <c r="W329" s="812">
        <f t="shared" si="19"/>
        <v>0</v>
      </c>
      <c r="X329" s="812">
        <f t="shared" si="21"/>
        <v>0</v>
      </c>
    </row>
    <row r="330" spans="1:24" ht="27" customHeight="1">
      <c r="A330" s="531"/>
      <c r="B330" s="531"/>
      <c r="C330" s="529">
        <v>13</v>
      </c>
      <c r="D330" s="530" t="s">
        <v>327</v>
      </c>
      <c r="E330" s="531" t="s">
        <v>328</v>
      </c>
      <c r="F330" s="547">
        <v>-12000000000000</v>
      </c>
      <c r="G330" s="547"/>
      <c r="H330" s="547"/>
      <c r="I330" s="547"/>
      <c r="J330" s="547"/>
      <c r="K330" s="547"/>
      <c r="L330" s="547"/>
      <c r="M330" s="547"/>
      <c r="N330" s="547"/>
      <c r="O330" s="547"/>
      <c r="P330" s="547"/>
      <c r="Q330" s="812">
        <f t="shared" si="20"/>
        <v>-12000000000000</v>
      </c>
      <c r="R330" s="547">
        <v>-12000000000000</v>
      </c>
      <c r="S330" s="812">
        <f t="shared" si="18"/>
        <v>-12000000</v>
      </c>
      <c r="T330" s="547">
        <f t="shared" si="18"/>
        <v>-12000000</v>
      </c>
      <c r="U330" s="566"/>
      <c r="V330" s="567"/>
      <c r="W330" s="812">
        <f t="shared" si="19"/>
        <v>-12000000000000</v>
      </c>
      <c r="X330" s="812">
        <f t="shared" si="21"/>
        <v>-12000000</v>
      </c>
    </row>
    <row r="331" spans="1:24" ht="27" customHeight="1">
      <c r="A331" s="531"/>
      <c r="B331" s="531">
        <v>10040</v>
      </c>
      <c r="C331" s="529">
        <v>4</v>
      </c>
      <c r="D331" s="530" t="s">
        <v>1340</v>
      </c>
      <c r="E331" s="531" t="s">
        <v>1341</v>
      </c>
      <c r="F331" s="547">
        <v>-6718089345071</v>
      </c>
      <c r="G331" s="547"/>
      <c r="H331" s="547"/>
      <c r="I331" s="547"/>
      <c r="J331" s="547">
        <v>6718089345071</v>
      </c>
      <c r="K331" s="547"/>
      <c r="L331" s="547"/>
      <c r="M331" s="547"/>
      <c r="N331" s="547"/>
      <c r="O331" s="547"/>
      <c r="P331" s="547"/>
      <c r="Q331" s="547">
        <f t="shared" si="20"/>
        <v>0</v>
      </c>
      <c r="R331" s="547">
        <v>-6718089345071</v>
      </c>
      <c r="S331" s="547">
        <f t="shared" si="18"/>
        <v>0</v>
      </c>
      <c r="T331" s="547">
        <f t="shared" si="18"/>
        <v>-6718089</v>
      </c>
      <c r="U331" s="566"/>
      <c r="V331" s="567"/>
      <c r="W331" s="812">
        <f t="shared" si="19"/>
        <v>0</v>
      </c>
      <c r="X331" s="812">
        <f t="shared" si="21"/>
        <v>0</v>
      </c>
    </row>
    <row r="332" spans="1:24" ht="27" customHeight="1">
      <c r="A332" s="531"/>
      <c r="B332" s="531">
        <v>1401</v>
      </c>
      <c r="C332" s="529">
        <v>14</v>
      </c>
      <c r="D332" s="530" t="s">
        <v>329</v>
      </c>
      <c r="E332" s="531" t="s">
        <v>330</v>
      </c>
      <c r="F332" s="547">
        <v>-500000</v>
      </c>
      <c r="G332" s="547"/>
      <c r="H332" s="547"/>
      <c r="I332" s="547"/>
      <c r="J332" s="547"/>
      <c r="K332" s="547"/>
      <c r="L332" s="547"/>
      <c r="M332" s="547"/>
      <c r="N332" s="547"/>
      <c r="O332" s="547"/>
      <c r="P332" s="547"/>
      <c r="Q332" s="812">
        <f t="shared" si="20"/>
        <v>-500000</v>
      </c>
      <c r="R332" s="547">
        <v>-500000</v>
      </c>
      <c r="S332" s="812">
        <f t="shared" si="18"/>
        <v>-1</v>
      </c>
      <c r="T332" s="547">
        <f t="shared" si="18"/>
        <v>-1</v>
      </c>
      <c r="U332" s="566"/>
      <c r="V332" s="567"/>
      <c r="W332" s="812">
        <f t="shared" si="19"/>
        <v>-500000</v>
      </c>
      <c r="X332" s="812">
        <f t="shared" si="21"/>
        <v>-1</v>
      </c>
    </row>
    <row r="333" spans="1:24" ht="27" customHeight="1">
      <c r="A333" s="531"/>
      <c r="B333" s="531">
        <v>1402</v>
      </c>
      <c r="C333" s="529">
        <v>14</v>
      </c>
      <c r="D333" s="530" t="s">
        <v>331</v>
      </c>
      <c r="E333" s="531" t="s">
        <v>332</v>
      </c>
      <c r="F333" s="547">
        <v>-2735500000</v>
      </c>
      <c r="G333" s="547"/>
      <c r="H333" s="547"/>
      <c r="I333" s="547"/>
      <c r="J333" s="547"/>
      <c r="K333" s="547"/>
      <c r="L333" s="547"/>
      <c r="M333" s="547"/>
      <c r="N333" s="547"/>
      <c r="O333" s="547"/>
      <c r="P333" s="547"/>
      <c r="Q333" s="812">
        <f t="shared" si="20"/>
        <v>-2735500000</v>
      </c>
      <c r="R333" s="547">
        <v>-2735500000</v>
      </c>
      <c r="S333" s="812">
        <f t="shared" si="18"/>
        <v>-2736</v>
      </c>
      <c r="T333" s="547">
        <f t="shared" si="18"/>
        <v>-2736</v>
      </c>
      <c r="U333" s="566"/>
      <c r="V333" s="567"/>
      <c r="W333" s="812">
        <f t="shared" si="19"/>
        <v>-2735500000</v>
      </c>
      <c r="X333" s="812">
        <f t="shared" si="21"/>
        <v>-2736</v>
      </c>
    </row>
    <row r="334" spans="1:24" ht="27" customHeight="1">
      <c r="A334" s="531"/>
      <c r="B334" s="531">
        <v>406</v>
      </c>
      <c r="C334" s="529">
        <v>4</v>
      </c>
      <c r="D334" s="530" t="s">
        <v>1208</v>
      </c>
      <c r="E334" s="531" t="s">
        <v>1164</v>
      </c>
      <c r="F334" s="547"/>
      <c r="G334" s="547"/>
      <c r="H334" s="547"/>
      <c r="I334" s="547"/>
      <c r="J334" s="547"/>
      <c r="K334" s="547"/>
      <c r="L334" s="547"/>
      <c r="M334" s="547"/>
      <c r="N334" s="547"/>
      <c r="O334" s="547"/>
      <c r="P334" s="547"/>
      <c r="Q334" s="812">
        <f t="shared" si="20"/>
        <v>0</v>
      </c>
      <c r="R334" s="547">
        <v>0</v>
      </c>
      <c r="S334" s="812">
        <f t="shared" si="18"/>
        <v>0</v>
      </c>
      <c r="T334" s="547">
        <f t="shared" si="18"/>
        <v>0</v>
      </c>
      <c r="U334" s="566"/>
      <c r="V334" s="567"/>
      <c r="W334" s="812">
        <f t="shared" si="19"/>
        <v>0</v>
      </c>
      <c r="X334" s="812">
        <f t="shared" si="21"/>
        <v>0</v>
      </c>
    </row>
    <row r="335" spans="1:24" ht="27" customHeight="1">
      <c r="A335" s="531"/>
      <c r="B335" s="531">
        <v>901</v>
      </c>
      <c r="C335" s="529">
        <v>9</v>
      </c>
      <c r="D335" s="530" t="s">
        <v>112</v>
      </c>
      <c r="E335" s="531" t="s">
        <v>113</v>
      </c>
      <c r="F335" s="547">
        <v>2058742458827</v>
      </c>
      <c r="G335" s="547"/>
      <c r="H335" s="547">
        <v>93431118869</v>
      </c>
      <c r="I335" s="547">
        <v>-58228029200</v>
      </c>
      <c r="J335" s="547"/>
      <c r="K335" s="547"/>
      <c r="L335" s="547">
        <v>67597253000</v>
      </c>
      <c r="M335" s="547"/>
      <c r="N335" s="547"/>
      <c r="O335" s="547"/>
      <c r="P335" s="547"/>
      <c r="Q335" s="812">
        <f t="shared" si="20"/>
        <v>2161542801496</v>
      </c>
      <c r="R335" s="547">
        <v>2058742458827</v>
      </c>
      <c r="S335" s="812">
        <f t="shared" si="18"/>
        <v>2161543</v>
      </c>
      <c r="T335" s="547">
        <f t="shared" si="18"/>
        <v>2058742</v>
      </c>
      <c r="U335" s="566"/>
      <c r="V335" s="567"/>
      <c r="W335" s="812">
        <f t="shared" si="19"/>
        <v>2161542801496</v>
      </c>
      <c r="X335" s="812">
        <f t="shared" si="21"/>
        <v>2161543</v>
      </c>
    </row>
    <row r="336" spans="1:24" ht="27" customHeight="1">
      <c r="A336" s="531"/>
      <c r="B336" s="531">
        <v>902</v>
      </c>
      <c r="C336" s="529">
        <v>9</v>
      </c>
      <c r="D336" s="530" t="s">
        <v>114</v>
      </c>
      <c r="E336" s="531" t="s">
        <v>920</v>
      </c>
      <c r="F336" s="547">
        <v>29210857711444</v>
      </c>
      <c r="G336" s="547">
        <v>232707540446</v>
      </c>
      <c r="H336" s="547">
        <v>63645322588</v>
      </c>
      <c r="I336" s="547">
        <v>196890125125</v>
      </c>
      <c r="J336" s="547">
        <v>234853879532</v>
      </c>
      <c r="K336" s="547"/>
      <c r="L336" s="547">
        <v>-67597253000</v>
      </c>
      <c r="M336" s="547"/>
      <c r="N336" s="547"/>
      <c r="O336" s="547"/>
      <c r="P336" s="547"/>
      <c r="Q336" s="812">
        <f t="shared" si="20"/>
        <v>29871357326135</v>
      </c>
      <c r="R336" s="547">
        <v>0</v>
      </c>
      <c r="S336" s="812">
        <f t="shared" si="18"/>
        <v>29871357</v>
      </c>
      <c r="T336" s="547">
        <f t="shared" si="18"/>
        <v>0</v>
      </c>
      <c r="U336" s="566"/>
      <c r="V336" s="567"/>
      <c r="W336" s="812">
        <f t="shared" si="19"/>
        <v>29871357326135</v>
      </c>
      <c r="X336" s="812">
        <f t="shared" si="21"/>
        <v>29871357</v>
      </c>
    </row>
    <row r="337" spans="1:24" ht="27" customHeight="1">
      <c r="A337" s="531"/>
      <c r="B337" s="531">
        <v>902</v>
      </c>
      <c r="C337" s="529">
        <v>9</v>
      </c>
      <c r="D337" s="530" t="s">
        <v>1624</v>
      </c>
      <c r="E337" s="531" t="s">
        <v>1604</v>
      </c>
      <c r="F337" s="547">
        <v>-96900000</v>
      </c>
      <c r="G337" s="547"/>
      <c r="H337" s="547"/>
      <c r="I337" s="547"/>
      <c r="J337" s="547">
        <v>96900000</v>
      </c>
      <c r="K337" s="547"/>
      <c r="L337" s="547"/>
      <c r="M337" s="547"/>
      <c r="N337" s="547"/>
      <c r="O337" s="547"/>
      <c r="P337" s="547"/>
      <c r="Q337" s="812">
        <f t="shared" si="20"/>
        <v>0</v>
      </c>
      <c r="R337" s="547">
        <v>28344791910160</v>
      </c>
      <c r="S337" s="812">
        <f t="shared" si="18"/>
        <v>0</v>
      </c>
      <c r="T337" s="547">
        <f t="shared" si="18"/>
        <v>28344792</v>
      </c>
      <c r="U337" s="566"/>
      <c r="V337" s="567"/>
      <c r="W337" s="812">
        <f t="shared" si="19"/>
        <v>0</v>
      </c>
      <c r="X337" s="812">
        <f t="shared" si="21"/>
        <v>0</v>
      </c>
    </row>
    <row r="338" spans="1:24" ht="27" customHeight="1">
      <c r="A338" s="531"/>
      <c r="B338" s="531"/>
      <c r="C338" s="529">
        <v>8</v>
      </c>
      <c r="D338" s="530" t="s">
        <v>667</v>
      </c>
      <c r="E338" s="531" t="s">
        <v>666</v>
      </c>
      <c r="F338" s="547">
        <v>8557763010</v>
      </c>
      <c r="G338" s="547"/>
      <c r="H338" s="547"/>
      <c r="I338" s="547"/>
      <c r="J338" s="547"/>
      <c r="K338" s="547"/>
      <c r="L338" s="547"/>
      <c r="M338" s="547"/>
      <c r="N338" s="547"/>
      <c r="O338" s="547"/>
      <c r="P338" s="547"/>
      <c r="Q338" s="812">
        <f t="shared" si="20"/>
        <v>8557763010</v>
      </c>
      <c r="R338" s="547">
        <v>8557763010</v>
      </c>
      <c r="S338" s="812">
        <f t="shared" si="18"/>
        <v>8558</v>
      </c>
      <c r="T338" s="547">
        <f t="shared" si="18"/>
        <v>8558</v>
      </c>
      <c r="U338" s="566"/>
      <c r="V338" s="567"/>
      <c r="W338" s="812">
        <f t="shared" si="19"/>
        <v>8557763010</v>
      </c>
      <c r="X338" s="812">
        <f t="shared" si="21"/>
        <v>8558</v>
      </c>
    </row>
    <row r="339" spans="1:24" ht="27" customHeight="1">
      <c r="A339" s="531"/>
      <c r="B339" s="531">
        <v>903</v>
      </c>
      <c r="C339" s="529">
        <v>9</v>
      </c>
      <c r="D339" s="530" t="s">
        <v>105</v>
      </c>
      <c r="E339" s="531" t="s">
        <v>913</v>
      </c>
      <c r="F339" s="547">
        <v>1031492829084</v>
      </c>
      <c r="G339" s="547"/>
      <c r="H339" s="547"/>
      <c r="I339" s="547">
        <v>-2864664281</v>
      </c>
      <c r="J339" s="547">
        <v>138833963783</v>
      </c>
      <c r="K339" s="547"/>
      <c r="L339" s="547"/>
      <c r="M339" s="547"/>
      <c r="N339" s="547">
        <v>3116479092</v>
      </c>
      <c r="O339" s="547"/>
      <c r="P339" s="547"/>
      <c r="Q339" s="812">
        <f t="shared" si="20"/>
        <v>1170578607678</v>
      </c>
      <c r="R339" s="547">
        <v>1031492829084</v>
      </c>
      <c r="S339" s="812">
        <f t="shared" si="18"/>
        <v>1170579</v>
      </c>
      <c r="T339" s="547">
        <f t="shared" si="18"/>
        <v>1031493</v>
      </c>
      <c r="U339" s="566"/>
      <c r="V339" s="567"/>
      <c r="W339" s="812">
        <f t="shared" si="19"/>
        <v>1170578607678</v>
      </c>
      <c r="X339" s="812">
        <f t="shared" si="21"/>
        <v>1170579</v>
      </c>
    </row>
    <row r="340" spans="1:24" ht="27" customHeight="1">
      <c r="A340" s="531"/>
      <c r="B340" s="531">
        <v>903</v>
      </c>
      <c r="C340" s="529">
        <v>9</v>
      </c>
      <c r="D340" s="530" t="s">
        <v>1107</v>
      </c>
      <c r="E340" s="531" t="s">
        <v>1108</v>
      </c>
      <c r="F340" s="547">
        <v>94891393818</v>
      </c>
      <c r="G340" s="547"/>
      <c r="H340" s="547">
        <v>35091527940</v>
      </c>
      <c r="I340" s="547">
        <v>10452766391</v>
      </c>
      <c r="J340" s="547">
        <v>-140435688149</v>
      </c>
      <c r="K340" s="547"/>
      <c r="L340" s="547"/>
      <c r="M340" s="547"/>
      <c r="N340" s="547"/>
      <c r="O340" s="547"/>
      <c r="P340" s="547"/>
      <c r="Q340" s="812">
        <f t="shared" si="20"/>
        <v>0</v>
      </c>
      <c r="R340" s="547">
        <v>0</v>
      </c>
      <c r="S340" s="812">
        <f t="shared" si="18"/>
        <v>0</v>
      </c>
      <c r="T340" s="547">
        <f t="shared" si="18"/>
        <v>0</v>
      </c>
      <c r="U340" s="566"/>
      <c r="V340" s="567"/>
      <c r="W340" s="812">
        <f t="shared" si="19"/>
        <v>0</v>
      </c>
      <c r="X340" s="812">
        <f t="shared" si="21"/>
        <v>0</v>
      </c>
    </row>
    <row r="341" spans="1:24" ht="27" customHeight="1">
      <c r="A341" s="531"/>
      <c r="B341" s="531">
        <v>903</v>
      </c>
      <c r="C341" s="529">
        <v>9</v>
      </c>
      <c r="D341" s="530" t="s">
        <v>1109</v>
      </c>
      <c r="E341" s="531" t="s">
        <v>1110</v>
      </c>
      <c r="F341" s="547">
        <v>-2067377216</v>
      </c>
      <c r="G341" s="547"/>
      <c r="H341" s="547">
        <v>-12650000</v>
      </c>
      <c r="I341" s="547"/>
      <c r="J341" s="547">
        <v>2080027216</v>
      </c>
      <c r="K341" s="547"/>
      <c r="L341" s="547"/>
      <c r="M341" s="547"/>
      <c r="N341" s="547"/>
      <c r="O341" s="547"/>
      <c r="P341" s="547"/>
      <c r="Q341" s="812">
        <f t="shared" si="20"/>
        <v>0</v>
      </c>
      <c r="R341" s="547">
        <v>0</v>
      </c>
      <c r="S341" s="812">
        <f t="shared" si="18"/>
        <v>0</v>
      </c>
      <c r="T341" s="547">
        <f t="shared" si="18"/>
        <v>0</v>
      </c>
      <c r="U341" s="566"/>
      <c r="V341" s="567"/>
      <c r="W341" s="812">
        <f t="shared" si="19"/>
        <v>0</v>
      </c>
      <c r="X341" s="812">
        <f t="shared" si="21"/>
        <v>0</v>
      </c>
    </row>
    <row r="342" spans="1:24" ht="27" customHeight="1">
      <c r="A342" s="531"/>
      <c r="B342" s="531">
        <v>903</v>
      </c>
      <c r="C342" s="529">
        <v>9</v>
      </c>
      <c r="D342" s="530" t="s">
        <v>1571</v>
      </c>
      <c r="E342" s="531" t="s">
        <v>1111</v>
      </c>
      <c r="F342" s="547">
        <v>-2800000</v>
      </c>
      <c r="G342" s="547"/>
      <c r="H342" s="547"/>
      <c r="I342" s="547"/>
      <c r="J342" s="547">
        <v>2800000</v>
      </c>
      <c r="K342" s="547"/>
      <c r="L342" s="547"/>
      <c r="M342" s="547"/>
      <c r="N342" s="547"/>
      <c r="O342" s="547"/>
      <c r="P342" s="547"/>
      <c r="Q342" s="812">
        <f t="shared" si="20"/>
        <v>0</v>
      </c>
      <c r="R342" s="547">
        <v>0</v>
      </c>
      <c r="S342" s="812">
        <f t="shared" si="18"/>
        <v>0</v>
      </c>
      <c r="T342" s="547">
        <f t="shared" si="18"/>
        <v>0</v>
      </c>
      <c r="U342" s="566"/>
      <c r="V342" s="567"/>
      <c r="W342" s="812">
        <f t="shared" si="19"/>
        <v>0</v>
      </c>
      <c r="X342" s="812">
        <f t="shared" si="21"/>
        <v>0</v>
      </c>
    </row>
    <row r="343" spans="1:24" ht="27" customHeight="1">
      <c r="A343" s="531"/>
      <c r="B343" s="531">
        <v>905</v>
      </c>
      <c r="C343" s="529">
        <v>9</v>
      </c>
      <c r="D343" s="530" t="s">
        <v>107</v>
      </c>
      <c r="E343" s="531" t="s">
        <v>917</v>
      </c>
      <c r="F343" s="547">
        <v>576118228473</v>
      </c>
      <c r="G343" s="547"/>
      <c r="H343" s="547"/>
      <c r="I343" s="547">
        <v>522352853</v>
      </c>
      <c r="J343" s="547">
        <v>59470543970</v>
      </c>
      <c r="K343" s="547"/>
      <c r="L343" s="547"/>
      <c r="M343" s="547"/>
      <c r="N343" s="547"/>
      <c r="O343" s="547"/>
      <c r="P343" s="547"/>
      <c r="Q343" s="812">
        <f t="shared" si="20"/>
        <v>636111125296</v>
      </c>
      <c r="R343" s="547">
        <v>576118228473</v>
      </c>
      <c r="S343" s="812">
        <f t="shared" si="18"/>
        <v>636111</v>
      </c>
      <c r="T343" s="547">
        <f t="shared" si="18"/>
        <v>576118</v>
      </c>
      <c r="U343" s="566"/>
      <c r="V343" s="567"/>
      <c r="W343" s="812">
        <f t="shared" si="19"/>
        <v>636111125296</v>
      </c>
      <c r="X343" s="812">
        <f t="shared" si="21"/>
        <v>636111</v>
      </c>
    </row>
    <row r="344" spans="1:24" ht="27" customHeight="1">
      <c r="A344" s="531"/>
      <c r="B344" s="531">
        <v>905</v>
      </c>
      <c r="C344" s="529">
        <v>9</v>
      </c>
      <c r="D344" s="530" t="s">
        <v>1112</v>
      </c>
      <c r="E344" s="531" t="s">
        <v>1113</v>
      </c>
      <c r="F344" s="547">
        <v>38726294321</v>
      </c>
      <c r="G344" s="547"/>
      <c r="H344" s="547">
        <v>21292590107</v>
      </c>
      <c r="I344" s="547">
        <v>1531372429</v>
      </c>
      <c r="J344" s="547">
        <v>-61550256857</v>
      </c>
      <c r="K344" s="547"/>
      <c r="L344" s="547"/>
      <c r="M344" s="547"/>
      <c r="N344" s="547"/>
      <c r="O344" s="547"/>
      <c r="P344" s="547"/>
      <c r="Q344" s="812">
        <f t="shared" si="20"/>
        <v>0</v>
      </c>
      <c r="R344" s="547">
        <v>0</v>
      </c>
      <c r="S344" s="812">
        <f t="shared" si="18"/>
        <v>0</v>
      </c>
      <c r="T344" s="547">
        <f t="shared" si="18"/>
        <v>0</v>
      </c>
      <c r="U344" s="566"/>
      <c r="V344" s="567"/>
      <c r="W344" s="812">
        <f t="shared" si="19"/>
        <v>0</v>
      </c>
      <c r="X344" s="812">
        <f t="shared" si="21"/>
        <v>0</v>
      </c>
    </row>
    <row r="345" spans="1:24" ht="27" customHeight="1">
      <c r="A345" s="531"/>
      <c r="B345" s="531">
        <v>905</v>
      </c>
      <c r="C345" s="529">
        <v>9</v>
      </c>
      <c r="D345" s="530" t="s">
        <v>1115</v>
      </c>
      <c r="E345" s="531" t="s">
        <v>1114</v>
      </c>
      <c r="F345" s="547">
        <v>-1399758274</v>
      </c>
      <c r="G345" s="547"/>
      <c r="H345" s="547">
        <v>-679954613</v>
      </c>
      <c r="I345" s="547"/>
      <c r="J345" s="547">
        <v>2079712887</v>
      </c>
      <c r="K345" s="547"/>
      <c r="L345" s="547"/>
      <c r="M345" s="547"/>
      <c r="N345" s="547"/>
      <c r="O345" s="547"/>
      <c r="P345" s="547"/>
      <c r="Q345" s="812">
        <f t="shared" si="20"/>
        <v>0</v>
      </c>
      <c r="R345" s="547">
        <v>0</v>
      </c>
      <c r="S345" s="812">
        <f t="shared" si="18"/>
        <v>0</v>
      </c>
      <c r="T345" s="547">
        <f t="shared" si="18"/>
        <v>0</v>
      </c>
      <c r="U345" s="566"/>
      <c r="V345" s="567"/>
      <c r="W345" s="812">
        <f t="shared" si="19"/>
        <v>0</v>
      </c>
      <c r="X345" s="812">
        <f t="shared" si="21"/>
        <v>0</v>
      </c>
    </row>
    <row r="346" spans="1:24" ht="27" customHeight="1">
      <c r="A346" s="531"/>
      <c r="B346" s="531"/>
      <c r="C346" s="529">
        <v>9</v>
      </c>
      <c r="D346" s="530" t="s">
        <v>1017</v>
      </c>
      <c r="E346" s="531" t="s">
        <v>1018</v>
      </c>
      <c r="F346" s="547"/>
      <c r="G346" s="547"/>
      <c r="H346" s="547"/>
      <c r="I346" s="547"/>
      <c r="J346" s="547"/>
      <c r="K346" s="547"/>
      <c r="L346" s="547"/>
      <c r="M346" s="547"/>
      <c r="N346" s="547"/>
      <c r="O346" s="547"/>
      <c r="P346" s="547"/>
      <c r="Q346" s="812">
        <f t="shared" si="20"/>
        <v>0</v>
      </c>
      <c r="R346" s="547">
        <v>0</v>
      </c>
      <c r="S346" s="812">
        <f t="shared" si="18"/>
        <v>0</v>
      </c>
      <c r="T346" s="547">
        <f t="shared" si="18"/>
        <v>0</v>
      </c>
      <c r="U346" s="566"/>
      <c r="V346" s="567"/>
      <c r="W346" s="812">
        <f t="shared" si="19"/>
        <v>0</v>
      </c>
      <c r="X346" s="812">
        <f t="shared" si="21"/>
        <v>0</v>
      </c>
    </row>
    <row r="347" spans="1:24" ht="27" customHeight="1">
      <c r="A347" s="531"/>
      <c r="B347" s="531"/>
      <c r="C347" s="529">
        <v>9</v>
      </c>
      <c r="D347" s="530" t="s">
        <v>1197</v>
      </c>
      <c r="E347" s="531" t="s">
        <v>1198</v>
      </c>
      <c r="F347" s="547"/>
      <c r="G347" s="547"/>
      <c r="H347" s="547"/>
      <c r="I347" s="547"/>
      <c r="J347" s="547"/>
      <c r="K347" s="547"/>
      <c r="L347" s="547"/>
      <c r="M347" s="547"/>
      <c r="N347" s="547"/>
      <c r="O347" s="547"/>
      <c r="P347" s="547"/>
      <c r="Q347" s="812">
        <f t="shared" si="20"/>
        <v>0</v>
      </c>
      <c r="R347" s="547">
        <v>0</v>
      </c>
      <c r="S347" s="812">
        <f t="shared" si="18"/>
        <v>0</v>
      </c>
      <c r="T347" s="547">
        <f t="shared" si="18"/>
        <v>0</v>
      </c>
      <c r="U347" s="566"/>
      <c r="V347" s="567"/>
      <c r="W347" s="812">
        <f t="shared" si="19"/>
        <v>0</v>
      </c>
      <c r="X347" s="812">
        <f t="shared" si="21"/>
        <v>0</v>
      </c>
    </row>
    <row r="348" spans="1:24" ht="27" customHeight="1">
      <c r="A348" s="531"/>
      <c r="B348" s="531">
        <v>904</v>
      </c>
      <c r="C348" s="529">
        <v>9</v>
      </c>
      <c r="D348" s="530" t="s">
        <v>149</v>
      </c>
      <c r="E348" s="531" t="s">
        <v>915</v>
      </c>
      <c r="F348" s="547">
        <v>284981873929</v>
      </c>
      <c r="G348" s="547"/>
      <c r="H348" s="547"/>
      <c r="I348" s="547">
        <v>3020953956</v>
      </c>
      <c r="J348" s="547">
        <v>33540992194</v>
      </c>
      <c r="K348" s="547"/>
      <c r="L348" s="547"/>
      <c r="M348" s="547"/>
      <c r="N348" s="547"/>
      <c r="O348" s="547"/>
      <c r="P348" s="547"/>
      <c r="Q348" s="812">
        <f t="shared" si="20"/>
        <v>321543820079</v>
      </c>
      <c r="R348" s="547">
        <v>284981873929</v>
      </c>
      <c r="S348" s="812">
        <f t="shared" si="18"/>
        <v>321544</v>
      </c>
      <c r="T348" s="547">
        <f t="shared" si="18"/>
        <v>284982</v>
      </c>
      <c r="U348" s="566"/>
      <c r="V348" s="567"/>
      <c r="W348" s="812">
        <f t="shared" si="19"/>
        <v>321543820079</v>
      </c>
      <c r="X348" s="812">
        <f t="shared" si="21"/>
        <v>321544</v>
      </c>
    </row>
    <row r="349" spans="1:24" ht="27" customHeight="1">
      <c r="A349" s="531"/>
      <c r="B349" s="531">
        <v>904</v>
      </c>
      <c r="C349" s="529">
        <v>9</v>
      </c>
      <c r="D349" s="530" t="s">
        <v>1116</v>
      </c>
      <c r="E349" s="531" t="s">
        <v>1119</v>
      </c>
      <c r="F349" s="547">
        <v>33654802022</v>
      </c>
      <c r="G349" s="547"/>
      <c r="H349" s="547">
        <v>3814787773</v>
      </c>
      <c r="I349" s="547">
        <v>-2944099999</v>
      </c>
      <c r="J349" s="547">
        <v>-34525489796</v>
      </c>
      <c r="K349" s="547"/>
      <c r="L349" s="547"/>
      <c r="M349" s="547"/>
      <c r="N349" s="547"/>
      <c r="O349" s="547"/>
      <c r="P349" s="547"/>
      <c r="Q349" s="812">
        <f t="shared" si="20"/>
        <v>0</v>
      </c>
      <c r="R349" s="547">
        <v>0</v>
      </c>
      <c r="S349" s="812">
        <f t="shared" si="18"/>
        <v>0</v>
      </c>
      <c r="T349" s="547">
        <f t="shared" si="18"/>
        <v>0</v>
      </c>
      <c r="U349" s="566"/>
      <c r="V349" s="567"/>
      <c r="W349" s="812">
        <f t="shared" si="19"/>
        <v>0</v>
      </c>
      <c r="X349" s="812">
        <f t="shared" si="21"/>
        <v>0</v>
      </c>
    </row>
    <row r="350" spans="1:24" ht="27" customHeight="1">
      <c r="A350" s="531"/>
      <c r="B350" s="531">
        <v>904</v>
      </c>
      <c r="C350" s="529">
        <v>9</v>
      </c>
      <c r="D350" s="530" t="s">
        <v>1117</v>
      </c>
      <c r="E350" s="531" t="s">
        <v>1120</v>
      </c>
      <c r="F350" s="547">
        <v>-1003593918</v>
      </c>
      <c r="G350" s="547"/>
      <c r="H350" s="547">
        <v>-2450000</v>
      </c>
      <c r="I350" s="547"/>
      <c r="J350" s="547">
        <v>1006043918</v>
      </c>
      <c r="K350" s="547"/>
      <c r="L350" s="547"/>
      <c r="M350" s="547"/>
      <c r="N350" s="547"/>
      <c r="O350" s="547"/>
      <c r="P350" s="547"/>
      <c r="Q350" s="812">
        <f t="shared" si="20"/>
        <v>0</v>
      </c>
      <c r="R350" s="547">
        <v>0</v>
      </c>
      <c r="S350" s="812">
        <f t="shared" si="18"/>
        <v>0</v>
      </c>
      <c r="T350" s="547">
        <f t="shared" si="18"/>
        <v>0</v>
      </c>
      <c r="U350" s="566"/>
      <c r="V350" s="567"/>
      <c r="W350" s="812">
        <f t="shared" si="19"/>
        <v>0</v>
      </c>
      <c r="X350" s="812">
        <f t="shared" si="21"/>
        <v>0</v>
      </c>
    </row>
    <row r="351" spans="1:24" ht="27" customHeight="1">
      <c r="A351" s="531"/>
      <c r="B351" s="531">
        <v>904</v>
      </c>
      <c r="C351" s="529">
        <v>9</v>
      </c>
      <c r="D351" s="530" t="s">
        <v>1118</v>
      </c>
      <c r="E351" s="531" t="s">
        <v>1121</v>
      </c>
      <c r="F351" s="547">
        <v>-2470000</v>
      </c>
      <c r="G351" s="547"/>
      <c r="H351" s="547"/>
      <c r="I351" s="547"/>
      <c r="J351" s="547">
        <v>2470000</v>
      </c>
      <c r="K351" s="547"/>
      <c r="L351" s="547"/>
      <c r="M351" s="547"/>
      <c r="N351" s="547"/>
      <c r="O351" s="547"/>
      <c r="P351" s="547"/>
      <c r="Q351" s="812">
        <f t="shared" si="20"/>
        <v>0</v>
      </c>
      <c r="R351" s="547">
        <v>0</v>
      </c>
      <c r="S351" s="812">
        <f t="shared" ref="S351:T396" si="22">ROUND((Q351/1000000),0)</f>
        <v>0</v>
      </c>
      <c r="T351" s="547">
        <f t="shared" si="22"/>
        <v>0</v>
      </c>
      <c r="U351" s="566"/>
      <c r="V351" s="567"/>
      <c r="W351" s="812">
        <f t="shared" si="19"/>
        <v>0</v>
      </c>
      <c r="X351" s="812">
        <f t="shared" si="21"/>
        <v>0</v>
      </c>
    </row>
    <row r="352" spans="1:24" ht="27" customHeight="1">
      <c r="A352" s="531"/>
      <c r="B352" s="531"/>
      <c r="C352" s="529">
        <v>9</v>
      </c>
      <c r="D352" s="530" t="s">
        <v>1019</v>
      </c>
      <c r="E352" s="531" t="s">
        <v>1020</v>
      </c>
      <c r="F352" s="547"/>
      <c r="G352" s="547"/>
      <c r="H352" s="547">
        <v>-26880783869</v>
      </c>
      <c r="I352" s="547">
        <v>29096102024</v>
      </c>
      <c r="J352" s="547">
        <v>-2215318155</v>
      </c>
      <c r="K352" s="547"/>
      <c r="L352" s="547"/>
      <c r="M352" s="547"/>
      <c r="N352" s="547"/>
      <c r="O352" s="547"/>
      <c r="P352" s="547"/>
      <c r="Q352" s="812">
        <f t="shared" si="20"/>
        <v>0</v>
      </c>
      <c r="R352" s="547">
        <v>0</v>
      </c>
      <c r="S352" s="812">
        <f t="shared" si="22"/>
        <v>0</v>
      </c>
      <c r="T352" s="547">
        <f t="shared" si="22"/>
        <v>0</v>
      </c>
      <c r="U352" s="566"/>
      <c r="V352" s="567"/>
      <c r="W352" s="812">
        <f t="shared" ref="W352:W418" si="23">Q352+V352-U352</f>
        <v>0</v>
      </c>
      <c r="X352" s="812">
        <f t="shared" si="21"/>
        <v>0</v>
      </c>
    </row>
    <row r="353" spans="1:24" ht="27" customHeight="1">
      <c r="A353" s="531"/>
      <c r="B353" s="531">
        <v>902</v>
      </c>
      <c r="C353" s="529">
        <v>9</v>
      </c>
      <c r="D353" s="530" t="s">
        <v>1009</v>
      </c>
      <c r="E353" s="531" t="s">
        <v>1010</v>
      </c>
      <c r="F353" s="547">
        <v>-1454020969300</v>
      </c>
      <c r="G353" s="547"/>
      <c r="H353" s="547">
        <v>156</v>
      </c>
      <c r="I353" s="547"/>
      <c r="J353" s="547">
        <v>1454020969144</v>
      </c>
      <c r="K353" s="547"/>
      <c r="L353" s="547"/>
      <c r="M353" s="547"/>
      <c r="N353" s="547"/>
      <c r="O353" s="547"/>
      <c r="P353" s="547"/>
      <c r="Q353" s="812">
        <f t="shared" si="20"/>
        <v>0</v>
      </c>
      <c r="R353" s="547">
        <v>0</v>
      </c>
      <c r="S353" s="812">
        <f t="shared" si="22"/>
        <v>0</v>
      </c>
      <c r="T353" s="547">
        <f t="shared" si="22"/>
        <v>0</v>
      </c>
      <c r="U353" s="566"/>
      <c r="V353" s="567"/>
      <c r="W353" s="812">
        <f t="shared" si="23"/>
        <v>0</v>
      </c>
      <c r="X353" s="812">
        <f t="shared" si="21"/>
        <v>0</v>
      </c>
    </row>
    <row r="354" spans="1:24" ht="27" customHeight="1">
      <c r="A354" s="531"/>
      <c r="B354" s="531"/>
      <c r="C354" s="529">
        <v>9</v>
      </c>
      <c r="D354" s="530" t="s">
        <v>1625</v>
      </c>
      <c r="E354" s="531" t="s">
        <v>1249</v>
      </c>
      <c r="F354" s="547">
        <v>96900000</v>
      </c>
      <c r="G354" s="547"/>
      <c r="H354" s="547"/>
      <c r="I354" s="547"/>
      <c r="J354" s="547">
        <f>-94993750-1906250</f>
        <v>-96900000</v>
      </c>
      <c r="K354" s="547"/>
      <c r="L354" s="547"/>
      <c r="M354" s="547"/>
      <c r="N354" s="547"/>
      <c r="O354" s="547"/>
      <c r="P354" s="547"/>
      <c r="Q354" s="812">
        <f t="shared" si="20"/>
        <v>0</v>
      </c>
      <c r="R354" s="547">
        <v>0</v>
      </c>
      <c r="S354" s="812">
        <f t="shared" si="22"/>
        <v>0</v>
      </c>
      <c r="T354" s="547">
        <f t="shared" si="22"/>
        <v>0</v>
      </c>
      <c r="U354" s="566"/>
      <c r="V354" s="567"/>
      <c r="W354" s="812">
        <f t="shared" si="23"/>
        <v>0</v>
      </c>
      <c r="X354" s="812">
        <f t="shared" si="21"/>
        <v>0</v>
      </c>
    </row>
    <row r="355" spans="1:24" ht="27" customHeight="1">
      <c r="A355" s="531"/>
      <c r="B355" s="531"/>
      <c r="C355" s="529">
        <v>9</v>
      </c>
      <c r="D355" s="530" t="s">
        <v>1250</v>
      </c>
      <c r="E355" s="531" t="s">
        <v>1249</v>
      </c>
      <c r="F355" s="547">
        <v>-7083324</v>
      </c>
      <c r="G355" s="547">
        <v>4018176</v>
      </c>
      <c r="H355" s="547"/>
      <c r="I355" s="547"/>
      <c r="J355" s="547">
        <v>3065148</v>
      </c>
      <c r="K355" s="547"/>
      <c r="L355" s="547"/>
      <c r="M355" s="547"/>
      <c r="N355" s="547"/>
      <c r="O355" s="547"/>
      <c r="P355" s="547"/>
      <c r="Q355" s="812">
        <f t="shared" si="20"/>
        <v>0</v>
      </c>
      <c r="R355" s="547">
        <v>0</v>
      </c>
      <c r="S355" s="812">
        <f t="shared" si="22"/>
        <v>0</v>
      </c>
      <c r="T355" s="547">
        <f t="shared" si="22"/>
        <v>0</v>
      </c>
      <c r="U355" s="566"/>
      <c r="V355" s="567"/>
      <c r="W355" s="812">
        <f t="shared" si="23"/>
        <v>0</v>
      </c>
      <c r="X355" s="812">
        <f t="shared" si="21"/>
        <v>0</v>
      </c>
    </row>
    <row r="356" spans="1:24" ht="27" customHeight="1">
      <c r="A356" s="531"/>
      <c r="B356" s="531">
        <v>902</v>
      </c>
      <c r="C356" s="529">
        <v>9</v>
      </c>
      <c r="D356" s="530" t="s">
        <v>1122</v>
      </c>
      <c r="E356" s="531" t="s">
        <v>1123</v>
      </c>
      <c r="F356" s="547">
        <v>-53409240750</v>
      </c>
      <c r="G356" s="547"/>
      <c r="H356" s="547">
        <v>521737560</v>
      </c>
      <c r="I356" s="547"/>
      <c r="J356" s="547">
        <v>52887503190</v>
      </c>
      <c r="K356" s="547"/>
      <c r="L356" s="547"/>
      <c r="M356" s="547"/>
      <c r="N356" s="547"/>
      <c r="O356" s="547"/>
      <c r="P356" s="547"/>
      <c r="Q356" s="812">
        <f t="shared" si="20"/>
        <v>0</v>
      </c>
      <c r="R356" s="547">
        <v>0</v>
      </c>
      <c r="S356" s="812">
        <f t="shared" si="22"/>
        <v>0</v>
      </c>
      <c r="T356" s="547">
        <f t="shared" si="22"/>
        <v>0</v>
      </c>
      <c r="U356" s="566"/>
      <c r="V356" s="567"/>
      <c r="W356" s="812">
        <f t="shared" si="23"/>
        <v>0</v>
      </c>
      <c r="X356" s="812">
        <f t="shared" si="21"/>
        <v>0</v>
      </c>
    </row>
    <row r="357" spans="1:24" ht="27" customHeight="1">
      <c r="A357" s="531"/>
      <c r="B357" s="531"/>
      <c r="C357" s="529">
        <v>9</v>
      </c>
      <c r="D357" s="530" t="s">
        <v>1251</v>
      </c>
      <c r="E357" s="531" t="s">
        <v>1252</v>
      </c>
      <c r="F357" s="547"/>
      <c r="G357" s="547"/>
      <c r="H357" s="547"/>
      <c r="I357" s="547"/>
      <c r="J357" s="547"/>
      <c r="K357" s="547"/>
      <c r="L357" s="547"/>
      <c r="M357" s="547"/>
      <c r="N357" s="547"/>
      <c r="O357" s="547"/>
      <c r="P357" s="547"/>
      <c r="Q357" s="812">
        <f t="shared" si="20"/>
        <v>0</v>
      </c>
      <c r="R357" s="547">
        <v>0</v>
      </c>
      <c r="S357" s="812">
        <f t="shared" si="22"/>
        <v>0</v>
      </c>
      <c r="T357" s="547">
        <f t="shared" si="22"/>
        <v>0</v>
      </c>
      <c r="U357" s="566"/>
      <c r="V357" s="567"/>
      <c r="W357" s="812">
        <f t="shared" si="23"/>
        <v>0</v>
      </c>
      <c r="X357" s="812">
        <f t="shared" si="21"/>
        <v>0</v>
      </c>
    </row>
    <row r="358" spans="1:24" ht="27" customHeight="1">
      <c r="A358" s="531"/>
      <c r="B358" s="531">
        <v>902</v>
      </c>
      <c r="C358" s="529">
        <v>9</v>
      </c>
      <c r="D358" s="530" t="s">
        <v>1124</v>
      </c>
      <c r="E358" s="531" t="s">
        <v>1125</v>
      </c>
      <c r="F358" s="547">
        <v>-108916482890</v>
      </c>
      <c r="G358" s="547">
        <v>-5360007908</v>
      </c>
      <c r="H358" s="547"/>
      <c r="I358" s="547"/>
      <c r="J358" s="547">
        <v>114276490798</v>
      </c>
      <c r="K358" s="547"/>
      <c r="L358" s="547"/>
      <c r="M358" s="547"/>
      <c r="N358" s="547"/>
      <c r="O358" s="547"/>
      <c r="P358" s="547"/>
      <c r="Q358" s="812">
        <f t="shared" si="20"/>
        <v>0</v>
      </c>
      <c r="R358" s="547">
        <v>0</v>
      </c>
      <c r="S358" s="812">
        <f t="shared" si="22"/>
        <v>0</v>
      </c>
      <c r="T358" s="547">
        <f t="shared" si="22"/>
        <v>0</v>
      </c>
      <c r="U358" s="566"/>
      <c r="V358" s="567"/>
      <c r="W358" s="812">
        <f t="shared" si="23"/>
        <v>0</v>
      </c>
      <c r="X358" s="812">
        <f t="shared" si="21"/>
        <v>0</v>
      </c>
    </row>
    <row r="359" spans="1:24" ht="27" customHeight="1">
      <c r="A359" s="531"/>
      <c r="B359" s="531"/>
      <c r="C359" s="529">
        <v>9</v>
      </c>
      <c r="D359" s="530" t="s">
        <v>1199</v>
      </c>
      <c r="E359" s="531" t="s">
        <v>1200</v>
      </c>
      <c r="F359" s="547">
        <v>-44340779</v>
      </c>
      <c r="G359" s="547"/>
      <c r="H359" s="547"/>
      <c r="I359" s="547"/>
      <c r="J359" s="547">
        <v>44340779</v>
      </c>
      <c r="K359" s="547"/>
      <c r="L359" s="547"/>
      <c r="M359" s="547"/>
      <c r="N359" s="547"/>
      <c r="O359" s="547"/>
      <c r="P359" s="547"/>
      <c r="Q359" s="812">
        <f t="shared" si="20"/>
        <v>0</v>
      </c>
      <c r="R359" s="547">
        <v>0</v>
      </c>
      <c r="S359" s="812">
        <f t="shared" si="22"/>
        <v>0</v>
      </c>
      <c r="T359" s="547">
        <f t="shared" si="22"/>
        <v>0</v>
      </c>
      <c r="U359" s="566"/>
      <c r="V359" s="567"/>
      <c r="W359" s="812">
        <f t="shared" si="23"/>
        <v>0</v>
      </c>
      <c r="X359" s="812">
        <f t="shared" si="21"/>
        <v>0</v>
      </c>
    </row>
    <row r="360" spans="1:24" ht="27" customHeight="1">
      <c r="A360" s="531"/>
      <c r="B360" s="531">
        <v>902</v>
      </c>
      <c r="C360" s="529">
        <v>9</v>
      </c>
      <c r="D360" s="530" t="s">
        <v>151</v>
      </c>
      <c r="E360" s="531" t="s">
        <v>914</v>
      </c>
      <c r="F360" s="547">
        <v>-18805633462411</v>
      </c>
      <c r="G360" s="547">
        <v>-1781</v>
      </c>
      <c r="H360" s="547"/>
      <c r="I360" s="547"/>
      <c r="J360" s="547">
        <v>-1499250009377</v>
      </c>
      <c r="K360" s="547"/>
      <c r="L360" s="547">
        <f>2698938553</f>
        <v>2698938553</v>
      </c>
      <c r="M360" s="547"/>
      <c r="N360" s="547"/>
      <c r="O360" s="547"/>
      <c r="P360" s="547"/>
      <c r="Q360" s="812">
        <f t="shared" si="20"/>
        <v>-20302184535016</v>
      </c>
      <c r="R360" s="547">
        <v>-18955662538823</v>
      </c>
      <c r="S360" s="812">
        <f t="shared" si="22"/>
        <v>-20302185</v>
      </c>
      <c r="T360" s="547">
        <f t="shared" si="22"/>
        <v>-18955663</v>
      </c>
      <c r="U360" s="566"/>
      <c r="V360" s="567"/>
      <c r="W360" s="812">
        <f t="shared" si="23"/>
        <v>-20302184535016</v>
      </c>
      <c r="X360" s="812">
        <f t="shared" si="21"/>
        <v>-20302185</v>
      </c>
    </row>
    <row r="361" spans="1:24" ht="27" customHeight="1">
      <c r="A361" s="531"/>
      <c r="B361" s="531"/>
      <c r="C361" s="529">
        <v>9</v>
      </c>
      <c r="D361" s="530" t="s">
        <v>1253</v>
      </c>
      <c r="E361" s="531" t="s">
        <v>1254</v>
      </c>
      <c r="F361" s="547"/>
      <c r="G361" s="547"/>
      <c r="H361" s="547"/>
      <c r="I361" s="547"/>
      <c r="J361" s="547"/>
      <c r="K361" s="547"/>
      <c r="L361" s="547"/>
      <c r="M361" s="547"/>
      <c r="N361" s="547"/>
      <c r="O361" s="547"/>
      <c r="P361" s="547"/>
      <c r="Q361" s="812">
        <f t="shared" si="20"/>
        <v>0</v>
      </c>
      <c r="R361" s="547">
        <v>0</v>
      </c>
      <c r="S361" s="812">
        <f t="shared" si="22"/>
        <v>0</v>
      </c>
      <c r="T361" s="547">
        <f t="shared" si="22"/>
        <v>0</v>
      </c>
      <c r="U361" s="566"/>
      <c r="V361" s="567"/>
      <c r="W361" s="812">
        <f t="shared" si="23"/>
        <v>0</v>
      </c>
      <c r="X361" s="812">
        <f t="shared" si="21"/>
        <v>0</v>
      </c>
    </row>
    <row r="362" spans="1:24" ht="27" customHeight="1">
      <c r="A362" s="531"/>
      <c r="B362" s="531">
        <v>902</v>
      </c>
      <c r="C362" s="529">
        <v>9</v>
      </c>
      <c r="D362" s="530" t="s">
        <v>1126</v>
      </c>
      <c r="E362" s="531" t="s">
        <v>1127</v>
      </c>
      <c r="F362" s="547">
        <v>-4861535990</v>
      </c>
      <c r="G362" s="547">
        <v>-2550267936</v>
      </c>
      <c r="H362" s="547"/>
      <c r="I362" s="547"/>
      <c r="J362" s="547">
        <v>7411803926</v>
      </c>
      <c r="K362" s="547"/>
      <c r="L362" s="547"/>
      <c r="M362" s="547"/>
      <c r="N362" s="547"/>
      <c r="O362" s="547"/>
      <c r="P362" s="547"/>
      <c r="Q362" s="812">
        <f t="shared" si="20"/>
        <v>0</v>
      </c>
      <c r="R362" s="547">
        <v>0</v>
      </c>
      <c r="S362" s="812">
        <f t="shared" si="22"/>
        <v>0</v>
      </c>
      <c r="T362" s="547">
        <f t="shared" si="22"/>
        <v>0</v>
      </c>
      <c r="U362" s="566"/>
      <c r="V362" s="567"/>
      <c r="W362" s="812">
        <f t="shared" si="23"/>
        <v>0</v>
      </c>
      <c r="X362" s="812">
        <f t="shared" si="21"/>
        <v>0</v>
      </c>
    </row>
    <row r="363" spans="1:24" ht="27" customHeight="1">
      <c r="A363" s="531"/>
      <c r="B363" s="531">
        <v>903</v>
      </c>
      <c r="C363" s="529">
        <v>9</v>
      </c>
      <c r="D363" s="530" t="s">
        <v>509</v>
      </c>
      <c r="E363" s="531" t="s">
        <v>921</v>
      </c>
      <c r="F363" s="547">
        <v>-537598443398</v>
      </c>
      <c r="G363" s="547"/>
      <c r="H363" s="547"/>
      <c r="I363" s="547"/>
      <c r="J363" s="547">
        <v>-136478480850</v>
      </c>
      <c r="K363" s="547"/>
      <c r="L363" s="547"/>
      <c r="M363" s="547"/>
      <c r="N363" s="547"/>
      <c r="O363" s="547"/>
      <c r="P363" s="547"/>
      <c r="Q363" s="812">
        <f t="shared" si="20"/>
        <v>-674076924248</v>
      </c>
      <c r="R363" s="547">
        <v>-537598443398</v>
      </c>
      <c r="S363" s="812">
        <f t="shared" si="22"/>
        <v>-674077</v>
      </c>
      <c r="T363" s="547">
        <f t="shared" si="22"/>
        <v>-537598</v>
      </c>
      <c r="U363" s="566"/>
      <c r="V363" s="567"/>
      <c r="W363" s="812">
        <f t="shared" si="23"/>
        <v>-674076924248</v>
      </c>
      <c r="X363" s="812">
        <f t="shared" si="21"/>
        <v>-674077</v>
      </c>
    </row>
    <row r="364" spans="1:24" ht="27" customHeight="1">
      <c r="A364" s="531"/>
      <c r="B364" s="531">
        <v>903</v>
      </c>
      <c r="C364" s="529">
        <v>9</v>
      </c>
      <c r="D364" s="530" t="s">
        <v>1128</v>
      </c>
      <c r="E364" s="531" t="s">
        <v>1133</v>
      </c>
      <c r="F364" s="547">
        <v>-84489743407</v>
      </c>
      <c r="G364" s="547">
        <v>-49452331550</v>
      </c>
      <c r="H364" s="547">
        <v>-10882655030</v>
      </c>
      <c r="I364" s="547">
        <v>-631231906</v>
      </c>
      <c r="J364" s="547">
        <v>145455961893</v>
      </c>
      <c r="K364" s="547"/>
      <c r="L364" s="547"/>
      <c r="M364" s="547"/>
      <c r="N364" s="547"/>
      <c r="O364" s="547"/>
      <c r="P364" s="547"/>
      <c r="Q364" s="812">
        <f t="shared" si="20"/>
        <v>0</v>
      </c>
      <c r="R364" s="547">
        <v>0</v>
      </c>
      <c r="S364" s="812">
        <f t="shared" si="22"/>
        <v>0</v>
      </c>
      <c r="T364" s="547">
        <f t="shared" si="22"/>
        <v>0</v>
      </c>
      <c r="U364" s="566"/>
      <c r="V364" s="567"/>
      <c r="W364" s="812">
        <f t="shared" si="23"/>
        <v>0</v>
      </c>
      <c r="X364" s="812">
        <f t="shared" si="21"/>
        <v>0</v>
      </c>
    </row>
    <row r="365" spans="1:24" ht="27" customHeight="1">
      <c r="A365" s="531"/>
      <c r="B365" s="531">
        <v>903</v>
      </c>
      <c r="C365" s="529">
        <v>9</v>
      </c>
      <c r="D365" s="530" t="s">
        <v>1129</v>
      </c>
      <c r="E365" s="531" t="s">
        <v>1131</v>
      </c>
      <c r="F365" s="547">
        <v>1630268308</v>
      </c>
      <c r="G365" s="547"/>
      <c r="H365" s="547">
        <v>12650000</v>
      </c>
      <c r="I365" s="547"/>
      <c r="J365" s="547">
        <f>-1586052834-56865474</f>
        <v>-1642918308</v>
      </c>
      <c r="K365" s="547"/>
      <c r="L365" s="547"/>
      <c r="M365" s="547"/>
      <c r="N365" s="547"/>
      <c r="O365" s="547"/>
      <c r="P365" s="547"/>
      <c r="Q365" s="812">
        <f t="shared" si="20"/>
        <v>0</v>
      </c>
      <c r="R365" s="547">
        <v>0</v>
      </c>
      <c r="S365" s="812">
        <f t="shared" si="22"/>
        <v>0</v>
      </c>
      <c r="T365" s="547">
        <f t="shared" si="22"/>
        <v>0</v>
      </c>
      <c r="U365" s="566"/>
      <c r="V365" s="567"/>
      <c r="W365" s="812">
        <f t="shared" si="23"/>
        <v>0</v>
      </c>
      <c r="X365" s="812">
        <f t="shared" si="21"/>
        <v>0</v>
      </c>
    </row>
    <row r="366" spans="1:24" ht="27" customHeight="1">
      <c r="A366" s="531"/>
      <c r="B366" s="531"/>
      <c r="C366" s="529">
        <v>9</v>
      </c>
      <c r="D366" s="530" t="s">
        <v>1130</v>
      </c>
      <c r="E366" s="531" t="s">
        <v>1132</v>
      </c>
      <c r="F366" s="547">
        <v>2800000</v>
      </c>
      <c r="G366" s="547"/>
      <c r="H366" s="547"/>
      <c r="I366" s="547"/>
      <c r="J366" s="547">
        <v>-2800000</v>
      </c>
      <c r="K366" s="547"/>
      <c r="L366" s="547"/>
      <c r="M366" s="547"/>
      <c r="N366" s="547"/>
      <c r="O366" s="547"/>
      <c r="P366" s="547"/>
      <c r="Q366" s="812">
        <f t="shared" si="20"/>
        <v>0</v>
      </c>
      <c r="R366" s="547">
        <v>0</v>
      </c>
      <c r="S366" s="812">
        <f t="shared" si="22"/>
        <v>0</v>
      </c>
      <c r="T366" s="547">
        <f t="shared" si="22"/>
        <v>0</v>
      </c>
      <c r="U366" s="566"/>
      <c r="V366" s="567"/>
      <c r="W366" s="812">
        <f t="shared" si="23"/>
        <v>0</v>
      </c>
      <c r="X366" s="812">
        <f t="shared" si="21"/>
        <v>0</v>
      </c>
    </row>
    <row r="367" spans="1:24" ht="27" customHeight="1">
      <c r="A367" s="531"/>
      <c r="B367" s="531">
        <v>905</v>
      </c>
      <c r="C367" s="529">
        <v>9</v>
      </c>
      <c r="D367" s="530" t="s">
        <v>287</v>
      </c>
      <c r="E367" s="531" t="s">
        <v>918</v>
      </c>
      <c r="F367" s="547">
        <v>-431883909397</v>
      </c>
      <c r="G367" s="547"/>
      <c r="H367" s="547"/>
      <c r="I367" s="547"/>
      <c r="J367" s="547">
        <f>-61008704979+8099839691</f>
        <v>-52908865288</v>
      </c>
      <c r="K367" s="547"/>
      <c r="L367" s="547"/>
      <c r="M367" s="547"/>
      <c r="N367" s="547"/>
      <c r="O367" s="547"/>
      <c r="P367" s="547"/>
      <c r="Q367" s="812">
        <f t="shared" si="20"/>
        <v>-484792774685</v>
      </c>
      <c r="R367" s="547">
        <v>-431883909397</v>
      </c>
      <c r="S367" s="812">
        <f t="shared" si="22"/>
        <v>-484793</v>
      </c>
      <c r="T367" s="547">
        <f t="shared" si="22"/>
        <v>-431884</v>
      </c>
      <c r="U367" s="566"/>
      <c r="V367" s="567"/>
      <c r="W367" s="812">
        <f t="shared" si="23"/>
        <v>-484792774685</v>
      </c>
      <c r="X367" s="812">
        <f t="shared" si="21"/>
        <v>-484793</v>
      </c>
    </row>
    <row r="368" spans="1:24" ht="27" customHeight="1">
      <c r="A368" s="531"/>
      <c r="B368" s="531">
        <v>905</v>
      </c>
      <c r="C368" s="529">
        <v>9</v>
      </c>
      <c r="D368" s="530" t="s">
        <v>1134</v>
      </c>
      <c r="E368" s="531" t="s">
        <v>1136</v>
      </c>
      <c r="F368" s="547">
        <v>-39880178083</v>
      </c>
      <c r="G368" s="547">
        <v>-21452379418</v>
      </c>
      <c r="H368" s="547">
        <v>-1131511276</v>
      </c>
      <c r="I368" s="547">
        <v>-409960122</v>
      </c>
      <c r="J368" s="547">
        <v>62874028899</v>
      </c>
      <c r="K368" s="547"/>
      <c r="L368" s="547"/>
      <c r="M368" s="547"/>
      <c r="N368" s="547"/>
      <c r="O368" s="547"/>
      <c r="P368" s="547"/>
      <c r="Q368" s="812">
        <f t="shared" si="20"/>
        <v>0</v>
      </c>
      <c r="R368" s="547">
        <v>0</v>
      </c>
      <c r="S368" s="812">
        <f t="shared" si="22"/>
        <v>0</v>
      </c>
      <c r="T368" s="547">
        <f t="shared" si="22"/>
        <v>0</v>
      </c>
      <c r="U368" s="566"/>
      <c r="V368" s="567"/>
      <c r="W368" s="812">
        <f t="shared" si="23"/>
        <v>0</v>
      </c>
      <c r="X368" s="812">
        <f t="shared" si="21"/>
        <v>0</v>
      </c>
    </row>
    <row r="369" spans="1:24" ht="27" customHeight="1">
      <c r="A369" s="531"/>
      <c r="B369" s="531">
        <v>905</v>
      </c>
      <c r="C369" s="529">
        <v>9</v>
      </c>
      <c r="D369" s="530" t="s">
        <v>1135</v>
      </c>
      <c r="E369" s="531" t="s">
        <v>1137</v>
      </c>
      <c r="F369" s="547">
        <v>1253072224</v>
      </c>
      <c r="G369" s="547"/>
      <c r="H369" s="547">
        <v>679954613</v>
      </c>
      <c r="I369" s="547"/>
      <c r="J369" s="547">
        <f>-1865323920-67702917</f>
        <v>-1933026837</v>
      </c>
      <c r="K369" s="547"/>
      <c r="L369" s="547"/>
      <c r="M369" s="547"/>
      <c r="N369" s="547"/>
      <c r="O369" s="547"/>
      <c r="P369" s="547"/>
      <c r="Q369" s="812">
        <f t="shared" si="20"/>
        <v>0</v>
      </c>
      <c r="R369" s="547">
        <v>0</v>
      </c>
      <c r="S369" s="812">
        <f t="shared" si="22"/>
        <v>0</v>
      </c>
      <c r="T369" s="547">
        <f t="shared" si="22"/>
        <v>0</v>
      </c>
      <c r="U369" s="566"/>
      <c r="V369" s="567"/>
      <c r="W369" s="812">
        <f t="shared" si="23"/>
        <v>0</v>
      </c>
      <c r="X369" s="812">
        <f t="shared" si="21"/>
        <v>0</v>
      </c>
    </row>
    <row r="370" spans="1:24" ht="27" customHeight="1">
      <c r="A370" s="531"/>
      <c r="B370" s="531"/>
      <c r="C370" s="529">
        <v>9</v>
      </c>
      <c r="D370" s="530" t="s">
        <v>1021</v>
      </c>
      <c r="E370" s="531" t="s">
        <v>1022</v>
      </c>
      <c r="F370" s="547"/>
      <c r="G370" s="547"/>
      <c r="H370" s="547"/>
      <c r="I370" s="547"/>
      <c r="J370" s="547"/>
      <c r="K370" s="547"/>
      <c r="L370" s="547"/>
      <c r="M370" s="547"/>
      <c r="N370" s="547"/>
      <c r="O370" s="547"/>
      <c r="P370" s="547"/>
      <c r="Q370" s="812">
        <f t="shared" si="20"/>
        <v>0</v>
      </c>
      <c r="R370" s="547">
        <v>0</v>
      </c>
      <c r="S370" s="812">
        <f t="shared" si="22"/>
        <v>0</v>
      </c>
      <c r="T370" s="547">
        <f t="shared" si="22"/>
        <v>0</v>
      </c>
      <c r="U370" s="566"/>
      <c r="V370" s="567"/>
      <c r="W370" s="812">
        <f t="shared" si="23"/>
        <v>0</v>
      </c>
      <c r="X370" s="812">
        <f t="shared" si="21"/>
        <v>0</v>
      </c>
    </row>
    <row r="371" spans="1:24" ht="27" customHeight="1">
      <c r="A371" s="531"/>
      <c r="B371" s="531">
        <v>904</v>
      </c>
      <c r="C371" s="529">
        <v>9</v>
      </c>
      <c r="D371" s="530" t="s">
        <v>289</v>
      </c>
      <c r="E371" s="531" t="s">
        <v>916</v>
      </c>
      <c r="F371" s="547">
        <v>-154077193438</v>
      </c>
      <c r="G371" s="547"/>
      <c r="H371" s="547"/>
      <c r="I371" s="547"/>
      <c r="J371" s="547">
        <v>-55469069858</v>
      </c>
      <c r="K371" s="547"/>
      <c r="L371" s="547"/>
      <c r="M371" s="547"/>
      <c r="N371" s="547"/>
      <c r="O371" s="547"/>
      <c r="P371" s="547"/>
      <c r="Q371" s="812">
        <f t="shared" si="20"/>
        <v>-209546263296</v>
      </c>
      <c r="R371" s="547">
        <v>-154077193438</v>
      </c>
      <c r="S371" s="812">
        <f t="shared" si="22"/>
        <v>-209546</v>
      </c>
      <c r="T371" s="547">
        <f t="shared" si="22"/>
        <v>-154077</v>
      </c>
      <c r="U371" s="566"/>
      <c r="V371" s="567"/>
      <c r="W371" s="812">
        <f t="shared" si="23"/>
        <v>-209546263296</v>
      </c>
      <c r="X371" s="812">
        <f t="shared" si="21"/>
        <v>-209546</v>
      </c>
    </row>
    <row r="372" spans="1:24" ht="27" customHeight="1">
      <c r="A372" s="531"/>
      <c r="B372" s="531">
        <v>904</v>
      </c>
      <c r="C372" s="529">
        <v>9</v>
      </c>
      <c r="D372" s="530" t="s">
        <v>1138</v>
      </c>
      <c r="E372" s="531" t="s">
        <v>1141</v>
      </c>
      <c r="F372" s="547">
        <v>-36332896363</v>
      </c>
      <c r="G372" s="547">
        <v>-5491492709</v>
      </c>
      <c r="H372" s="547">
        <v>-14846600304</v>
      </c>
      <c r="I372" s="547">
        <v>-724044108</v>
      </c>
      <c r="J372" s="547">
        <v>57395033484</v>
      </c>
      <c r="K372" s="547"/>
      <c r="L372" s="547"/>
      <c r="M372" s="547"/>
      <c r="N372" s="547"/>
      <c r="O372" s="547"/>
      <c r="P372" s="547"/>
      <c r="Q372" s="812">
        <f t="shared" si="20"/>
        <v>0</v>
      </c>
      <c r="R372" s="547">
        <v>0</v>
      </c>
      <c r="S372" s="812">
        <f t="shared" si="22"/>
        <v>0</v>
      </c>
      <c r="T372" s="547">
        <f t="shared" si="22"/>
        <v>0</v>
      </c>
      <c r="U372" s="566"/>
      <c r="V372" s="567"/>
      <c r="W372" s="812">
        <f t="shared" si="23"/>
        <v>0</v>
      </c>
      <c r="X372" s="812">
        <f t="shared" si="21"/>
        <v>0</v>
      </c>
    </row>
    <row r="373" spans="1:24" ht="27" customHeight="1">
      <c r="A373" s="531"/>
      <c r="B373" s="531">
        <v>904</v>
      </c>
      <c r="C373" s="529">
        <v>9</v>
      </c>
      <c r="D373" s="530" t="s">
        <v>1139</v>
      </c>
      <c r="E373" s="531" t="s">
        <v>1142</v>
      </c>
      <c r="F373" s="547">
        <v>1042617579</v>
      </c>
      <c r="G373" s="547"/>
      <c r="H373" s="547">
        <v>1457752</v>
      </c>
      <c r="I373" s="547"/>
      <c r="J373" s="547">
        <f>-567028396-477046935</f>
        <v>-1044075331</v>
      </c>
      <c r="K373" s="547"/>
      <c r="L373" s="547"/>
      <c r="M373" s="547"/>
      <c r="N373" s="547"/>
      <c r="O373" s="547"/>
      <c r="P373" s="547"/>
      <c r="Q373" s="812">
        <f t="shared" si="20"/>
        <v>0</v>
      </c>
      <c r="R373" s="547">
        <v>0</v>
      </c>
      <c r="S373" s="812">
        <f t="shared" si="22"/>
        <v>0</v>
      </c>
      <c r="T373" s="547">
        <f t="shared" si="22"/>
        <v>0</v>
      </c>
      <c r="U373" s="566"/>
      <c r="V373" s="567"/>
      <c r="W373" s="812">
        <f t="shared" si="23"/>
        <v>0</v>
      </c>
      <c r="X373" s="812">
        <f t="shared" si="21"/>
        <v>0</v>
      </c>
    </row>
    <row r="374" spans="1:24" ht="27" customHeight="1">
      <c r="A374" s="531"/>
      <c r="B374" s="531">
        <v>904</v>
      </c>
      <c r="C374" s="529">
        <v>9</v>
      </c>
      <c r="D374" s="530" t="s">
        <v>1140</v>
      </c>
      <c r="E374" s="531" t="s">
        <v>1143</v>
      </c>
      <c r="F374" s="547">
        <v>2470000</v>
      </c>
      <c r="G374" s="547"/>
      <c r="H374" s="547"/>
      <c r="I374" s="547"/>
      <c r="J374" s="547">
        <v>-2470000</v>
      </c>
      <c r="K374" s="547"/>
      <c r="L374" s="547"/>
      <c r="M374" s="547"/>
      <c r="N374" s="547"/>
      <c r="O374" s="547"/>
      <c r="P374" s="547"/>
      <c r="Q374" s="812">
        <f t="shared" si="20"/>
        <v>0</v>
      </c>
      <c r="R374" s="547">
        <v>0</v>
      </c>
      <c r="S374" s="812">
        <f t="shared" si="22"/>
        <v>0</v>
      </c>
      <c r="T374" s="547">
        <f t="shared" si="22"/>
        <v>0</v>
      </c>
      <c r="U374" s="566"/>
      <c r="V374" s="567"/>
      <c r="W374" s="812">
        <f t="shared" si="23"/>
        <v>0</v>
      </c>
      <c r="X374" s="812">
        <f t="shared" si="21"/>
        <v>0</v>
      </c>
    </row>
    <row r="375" spans="1:24" ht="27" customHeight="1">
      <c r="A375" s="531"/>
      <c r="B375" s="531">
        <v>902</v>
      </c>
      <c r="C375" s="529">
        <v>9</v>
      </c>
      <c r="D375" s="530" t="s">
        <v>1144</v>
      </c>
      <c r="E375" s="531" t="s">
        <v>1146</v>
      </c>
      <c r="F375" s="547">
        <v>-2180965968</v>
      </c>
      <c r="G375" s="547"/>
      <c r="H375" s="547"/>
      <c r="I375" s="547"/>
      <c r="J375" s="547">
        <v>2180965968</v>
      </c>
      <c r="K375" s="547"/>
      <c r="L375" s="547"/>
      <c r="M375" s="547"/>
      <c r="N375" s="547"/>
      <c r="O375" s="547"/>
      <c r="P375" s="547"/>
      <c r="Q375" s="812">
        <f t="shared" si="20"/>
        <v>0</v>
      </c>
      <c r="R375" s="547">
        <v>0</v>
      </c>
      <c r="S375" s="812">
        <f t="shared" si="22"/>
        <v>0</v>
      </c>
      <c r="T375" s="547">
        <f t="shared" si="22"/>
        <v>0</v>
      </c>
      <c r="U375" s="566"/>
      <c r="V375" s="567"/>
      <c r="W375" s="812">
        <f t="shared" si="23"/>
        <v>0</v>
      </c>
      <c r="X375" s="812">
        <f t="shared" si="21"/>
        <v>0</v>
      </c>
    </row>
    <row r="376" spans="1:24" ht="27" customHeight="1">
      <c r="A376" s="531"/>
      <c r="B376" s="531">
        <v>902</v>
      </c>
      <c r="C376" s="529">
        <v>9</v>
      </c>
      <c r="D376" s="530" t="s">
        <v>1145</v>
      </c>
      <c r="E376" s="531" t="s">
        <v>1147</v>
      </c>
      <c r="F376" s="547">
        <v>-1268582418</v>
      </c>
      <c r="G376" s="547"/>
      <c r="H376" s="547"/>
      <c r="I376" s="547"/>
      <c r="J376" s="547">
        <v>1268582418</v>
      </c>
      <c r="K376" s="547"/>
      <c r="L376" s="547"/>
      <c r="M376" s="547"/>
      <c r="N376" s="547"/>
      <c r="O376" s="547"/>
      <c r="P376" s="547"/>
      <c r="Q376" s="812">
        <f t="shared" si="20"/>
        <v>0</v>
      </c>
      <c r="R376" s="547">
        <v>0</v>
      </c>
      <c r="S376" s="812">
        <f t="shared" si="22"/>
        <v>0</v>
      </c>
      <c r="T376" s="547">
        <f t="shared" si="22"/>
        <v>0</v>
      </c>
      <c r="U376" s="566"/>
      <c r="V376" s="567"/>
      <c r="W376" s="812">
        <f t="shared" si="23"/>
        <v>0</v>
      </c>
      <c r="X376" s="812">
        <f t="shared" si="21"/>
        <v>0</v>
      </c>
    </row>
    <row r="377" spans="1:24" ht="27" customHeight="1">
      <c r="A377" s="531"/>
      <c r="B377" s="531">
        <v>906</v>
      </c>
      <c r="C377" s="529">
        <v>9</v>
      </c>
      <c r="D377" s="530" t="s">
        <v>770</v>
      </c>
      <c r="E377" s="531" t="s">
        <v>772</v>
      </c>
      <c r="F377" s="547">
        <v>7957042357227</v>
      </c>
      <c r="G377" s="547">
        <v>-243128531368</v>
      </c>
      <c r="H377" s="547">
        <v>-160133788877</v>
      </c>
      <c r="I377" s="547">
        <v>3101377810761</v>
      </c>
      <c r="J377" s="547">
        <v>-1160700038576</v>
      </c>
      <c r="K377" s="547">
        <v>-6589806524050</v>
      </c>
      <c r="L377" s="547">
        <f>-370592349109</f>
        <v>-370592349109</v>
      </c>
      <c r="M377" s="547"/>
      <c r="N377" s="547">
        <f>-422941326072-3116479092+3594409765338</f>
        <v>3168351960174</v>
      </c>
      <c r="O377" s="547">
        <v>384461792417</v>
      </c>
      <c r="P377" s="547">
        <v>-3594409765338</v>
      </c>
      <c r="Q377" s="812">
        <f t="shared" si="20"/>
        <v>2492462923261</v>
      </c>
      <c r="R377" s="547">
        <v>7952088094207</v>
      </c>
      <c r="S377" s="812">
        <f t="shared" si="22"/>
        <v>2492463</v>
      </c>
      <c r="T377" s="547">
        <f t="shared" si="22"/>
        <v>7952088</v>
      </c>
      <c r="U377" s="566"/>
      <c r="V377" s="567"/>
      <c r="W377" s="812">
        <f t="shared" si="23"/>
        <v>2492462923261</v>
      </c>
      <c r="X377" s="812">
        <f t="shared" si="21"/>
        <v>2492463</v>
      </c>
    </row>
    <row r="378" spans="1:24" ht="27" customHeight="1">
      <c r="A378" s="531"/>
      <c r="B378" s="531"/>
      <c r="C378" s="529">
        <v>9</v>
      </c>
      <c r="D378" s="530" t="s">
        <v>1013</v>
      </c>
      <c r="E378" s="531" t="s">
        <v>1014</v>
      </c>
      <c r="F378" s="547">
        <v>30717932337</v>
      </c>
      <c r="G378" s="547">
        <v>2712424890</v>
      </c>
      <c r="H378" s="547">
        <v>-33386189227</v>
      </c>
      <c r="I378" s="547">
        <v>-44168000</v>
      </c>
      <c r="J378" s="547"/>
      <c r="K378" s="547"/>
      <c r="L378" s="547"/>
      <c r="M378" s="547"/>
      <c r="N378" s="547"/>
      <c r="O378" s="547"/>
      <c r="P378" s="547"/>
      <c r="Q378" s="812">
        <f t="shared" si="20"/>
        <v>0</v>
      </c>
      <c r="R378" s="547">
        <v>0</v>
      </c>
      <c r="S378" s="812">
        <f t="shared" si="22"/>
        <v>0</v>
      </c>
      <c r="T378" s="547">
        <f t="shared" si="22"/>
        <v>0</v>
      </c>
      <c r="U378" s="566"/>
      <c r="V378" s="567"/>
      <c r="W378" s="812">
        <f t="shared" si="23"/>
        <v>0</v>
      </c>
      <c r="X378" s="812">
        <f t="shared" si="21"/>
        <v>0</v>
      </c>
    </row>
    <row r="379" spans="1:24" ht="27" customHeight="1">
      <c r="A379" s="531"/>
      <c r="B379" s="531">
        <v>906</v>
      </c>
      <c r="C379" s="529">
        <v>9</v>
      </c>
      <c r="D379" s="530" t="s">
        <v>771</v>
      </c>
      <c r="E379" s="531" t="s">
        <v>773</v>
      </c>
      <c r="F379" s="547">
        <v>11998910000</v>
      </c>
      <c r="G379" s="547"/>
      <c r="H379" s="547">
        <v>376502885</v>
      </c>
      <c r="I379" s="547">
        <v>-376502885</v>
      </c>
      <c r="J379" s="547"/>
      <c r="K379" s="547"/>
      <c r="L379" s="547"/>
      <c r="M379" s="547"/>
      <c r="N379" s="547"/>
      <c r="O379" s="547"/>
      <c r="P379" s="547"/>
      <c r="Q379" s="812">
        <f t="shared" si="20"/>
        <v>11998910000</v>
      </c>
      <c r="R379" s="547">
        <v>12222398039</v>
      </c>
      <c r="S379" s="812">
        <f t="shared" si="22"/>
        <v>11999</v>
      </c>
      <c r="T379" s="547">
        <f t="shared" si="22"/>
        <v>12222</v>
      </c>
      <c r="U379" s="566"/>
      <c r="V379" s="567"/>
      <c r="W379" s="812">
        <f t="shared" si="23"/>
        <v>11998910000</v>
      </c>
      <c r="X379" s="812">
        <f t="shared" si="21"/>
        <v>11999</v>
      </c>
    </row>
    <row r="380" spans="1:24" ht="27" customHeight="1">
      <c r="A380" s="531"/>
      <c r="B380" s="531"/>
      <c r="C380" s="529">
        <v>7</v>
      </c>
      <c r="D380" s="530" t="s">
        <v>291</v>
      </c>
      <c r="E380" s="531" t="s">
        <v>495</v>
      </c>
      <c r="F380" s="547">
        <v>47500000</v>
      </c>
      <c r="G380" s="547"/>
      <c r="H380" s="547"/>
      <c r="I380" s="547"/>
      <c r="J380" s="547"/>
      <c r="K380" s="547"/>
      <c r="L380" s="547"/>
      <c r="M380" s="547"/>
      <c r="N380" s="547"/>
      <c r="O380" s="547"/>
      <c r="P380" s="547"/>
      <c r="Q380" s="812">
        <f t="shared" si="20"/>
        <v>47500000</v>
      </c>
      <c r="R380" s="547">
        <v>47500000</v>
      </c>
      <c r="S380" s="812">
        <f t="shared" si="22"/>
        <v>48</v>
      </c>
      <c r="T380" s="547">
        <f t="shared" si="22"/>
        <v>48</v>
      </c>
      <c r="U380" s="566"/>
      <c r="V380" s="567"/>
      <c r="W380" s="812">
        <f t="shared" si="23"/>
        <v>47500000</v>
      </c>
      <c r="X380" s="812">
        <f t="shared" si="21"/>
        <v>48</v>
      </c>
    </row>
    <row r="381" spans="1:24" ht="27" customHeight="1">
      <c r="A381" s="531"/>
      <c r="B381" s="531">
        <v>421</v>
      </c>
      <c r="C381" s="529">
        <v>4</v>
      </c>
      <c r="D381" s="530" t="s">
        <v>610</v>
      </c>
      <c r="E381" s="531" t="s">
        <v>611</v>
      </c>
      <c r="F381" s="547">
        <v>36655994679</v>
      </c>
      <c r="G381" s="547">
        <v>-8337200000</v>
      </c>
      <c r="H381" s="547"/>
      <c r="I381" s="547"/>
      <c r="J381" s="547"/>
      <c r="K381" s="547"/>
      <c r="L381" s="547"/>
      <c r="M381" s="547"/>
      <c r="N381" s="547"/>
      <c r="O381" s="547"/>
      <c r="P381" s="547"/>
      <c r="Q381" s="812">
        <f t="shared" si="20"/>
        <v>28318794679</v>
      </c>
      <c r="R381" s="547">
        <v>37961714147</v>
      </c>
      <c r="S381" s="812">
        <f t="shared" si="22"/>
        <v>28319</v>
      </c>
      <c r="T381" s="547">
        <f t="shared" si="22"/>
        <v>37962</v>
      </c>
      <c r="U381" s="566"/>
      <c r="V381" s="567"/>
      <c r="W381" s="812">
        <f t="shared" si="23"/>
        <v>28318794679</v>
      </c>
      <c r="X381" s="812">
        <f t="shared" si="21"/>
        <v>28319</v>
      </c>
    </row>
    <row r="382" spans="1:24" ht="27" customHeight="1">
      <c r="A382" s="531"/>
      <c r="B382" s="531">
        <v>410</v>
      </c>
      <c r="C382" s="529">
        <v>4</v>
      </c>
      <c r="D382" s="530" t="s">
        <v>610</v>
      </c>
      <c r="E382" s="531" t="s">
        <v>611</v>
      </c>
      <c r="F382" s="547"/>
      <c r="G382" s="547"/>
      <c r="H382" s="547"/>
      <c r="I382" s="547"/>
      <c r="J382" s="547"/>
      <c r="K382" s="547"/>
      <c r="L382" s="547"/>
      <c r="M382" s="547"/>
      <c r="N382" s="547"/>
      <c r="O382" s="547"/>
      <c r="P382" s="547"/>
      <c r="Q382" s="812">
        <f t="shared" si="20"/>
        <v>0</v>
      </c>
      <c r="R382" s="547">
        <v>0</v>
      </c>
      <c r="S382" s="812">
        <f t="shared" si="22"/>
        <v>0</v>
      </c>
      <c r="T382" s="547">
        <f t="shared" si="22"/>
        <v>0</v>
      </c>
      <c r="U382" s="566"/>
      <c r="V382" s="567"/>
      <c r="W382" s="812">
        <f t="shared" si="23"/>
        <v>0</v>
      </c>
      <c r="X382" s="812">
        <f t="shared" si="21"/>
        <v>0</v>
      </c>
    </row>
    <row r="383" spans="1:24" ht="27" customHeight="1">
      <c r="A383" s="531"/>
      <c r="B383" s="531">
        <v>406</v>
      </c>
      <c r="C383" s="529">
        <v>4</v>
      </c>
      <c r="D383" s="530" t="s">
        <v>893</v>
      </c>
      <c r="E383" s="531" t="s">
        <v>894</v>
      </c>
      <c r="F383" s="547">
        <v>-25039887032</v>
      </c>
      <c r="G383" s="547">
        <v>2579805000</v>
      </c>
      <c r="H383" s="547">
        <v>22460082032</v>
      </c>
      <c r="I383" s="547"/>
      <c r="J383" s="547"/>
      <c r="K383" s="547"/>
      <c r="L383" s="547"/>
      <c r="M383" s="547"/>
      <c r="N383" s="547"/>
      <c r="O383" s="547"/>
      <c r="P383" s="547"/>
      <c r="Q383" s="812">
        <f t="shared" si="20"/>
        <v>0</v>
      </c>
      <c r="R383" s="547">
        <v>0</v>
      </c>
      <c r="S383" s="812">
        <f t="shared" si="22"/>
        <v>0</v>
      </c>
      <c r="T383" s="547">
        <f t="shared" si="22"/>
        <v>0</v>
      </c>
      <c r="U383" s="566"/>
      <c r="V383" s="567"/>
      <c r="W383" s="812">
        <f t="shared" si="23"/>
        <v>0</v>
      </c>
      <c r="X383" s="812">
        <f t="shared" si="21"/>
        <v>0</v>
      </c>
    </row>
    <row r="384" spans="1:24" ht="27" customHeight="1">
      <c r="A384" s="531"/>
      <c r="B384" s="531">
        <v>506</v>
      </c>
      <c r="C384" s="529">
        <v>5</v>
      </c>
      <c r="D384" s="530" t="s">
        <v>145</v>
      </c>
      <c r="E384" s="531" t="s">
        <v>760</v>
      </c>
      <c r="F384" s="547">
        <v>214844387</v>
      </c>
      <c r="G384" s="547"/>
      <c r="H384" s="547"/>
      <c r="I384" s="547"/>
      <c r="J384" s="547"/>
      <c r="K384" s="547"/>
      <c r="L384" s="547"/>
      <c r="M384" s="547"/>
      <c r="N384" s="547"/>
      <c r="O384" s="547"/>
      <c r="P384" s="547"/>
      <c r="Q384" s="812">
        <f t="shared" si="20"/>
        <v>214844387</v>
      </c>
      <c r="R384" s="547">
        <v>214844387</v>
      </c>
      <c r="S384" s="812">
        <f t="shared" si="22"/>
        <v>215</v>
      </c>
      <c r="T384" s="547">
        <f t="shared" si="22"/>
        <v>215</v>
      </c>
      <c r="U384" s="566"/>
      <c r="V384" s="567"/>
      <c r="W384" s="812">
        <f t="shared" si="23"/>
        <v>214844387</v>
      </c>
      <c r="X384" s="812">
        <f t="shared" si="21"/>
        <v>215</v>
      </c>
    </row>
    <row r="385" spans="1:24" ht="27" customHeight="1">
      <c r="A385" s="531"/>
      <c r="B385" s="531">
        <v>504</v>
      </c>
      <c r="C385" s="529">
        <v>5</v>
      </c>
      <c r="D385" s="530" t="s">
        <v>119</v>
      </c>
      <c r="E385" s="531" t="s">
        <v>1148</v>
      </c>
      <c r="F385" s="547">
        <v>35432355000</v>
      </c>
      <c r="G385" s="547"/>
      <c r="H385" s="547"/>
      <c r="I385" s="547">
        <v>-10230924000</v>
      </c>
      <c r="J385" s="547"/>
      <c r="K385" s="547"/>
      <c r="L385" s="547"/>
      <c r="M385" s="547"/>
      <c r="N385" s="547"/>
      <c r="O385" s="547"/>
      <c r="P385" s="547"/>
      <c r="Q385" s="812">
        <f t="shared" si="20"/>
        <v>25201431000</v>
      </c>
      <c r="R385" s="547">
        <v>35432355000</v>
      </c>
      <c r="S385" s="812">
        <f>ROUND((Q385/1000000),0)</f>
        <v>25201</v>
      </c>
      <c r="T385" s="547">
        <f t="shared" si="22"/>
        <v>35432</v>
      </c>
      <c r="U385" s="566"/>
      <c r="V385" s="567"/>
      <c r="W385" s="812">
        <f t="shared" si="23"/>
        <v>25201431000</v>
      </c>
      <c r="X385" s="812">
        <f t="shared" si="21"/>
        <v>25201</v>
      </c>
    </row>
    <row r="386" spans="1:24" ht="27" customHeight="1">
      <c r="A386" s="531"/>
      <c r="B386" s="531">
        <v>1022</v>
      </c>
      <c r="C386" s="529">
        <v>4</v>
      </c>
      <c r="D386" s="530" t="s">
        <v>121</v>
      </c>
      <c r="E386" s="531" t="s">
        <v>1149</v>
      </c>
      <c r="F386" s="547">
        <v>-9216160500</v>
      </c>
      <c r="G386" s="547">
        <v>-473769722400</v>
      </c>
      <c r="H386" s="547"/>
      <c r="I386" s="547"/>
      <c r="J386" s="547"/>
      <c r="K386" s="547"/>
      <c r="L386" s="547"/>
      <c r="M386" s="547"/>
      <c r="N386" s="547"/>
      <c r="O386" s="547"/>
      <c r="P386" s="547"/>
      <c r="Q386" s="812">
        <f t="shared" si="20"/>
        <v>-482985882900</v>
      </c>
      <c r="R386" s="547">
        <v>-369682789900</v>
      </c>
      <c r="S386" s="812">
        <f>ROUND((Q386/1000000),0)</f>
        <v>-482986</v>
      </c>
      <c r="T386" s="547">
        <f t="shared" si="22"/>
        <v>-369683</v>
      </c>
      <c r="U386" s="566"/>
      <c r="V386" s="567"/>
      <c r="W386" s="812">
        <f t="shared" si="23"/>
        <v>-482985882900</v>
      </c>
      <c r="X386" s="812">
        <f t="shared" si="21"/>
        <v>-482986</v>
      </c>
    </row>
    <row r="387" spans="1:24" ht="27" customHeight="1">
      <c r="A387" s="531"/>
      <c r="B387" s="531">
        <v>505</v>
      </c>
      <c r="C387" s="529">
        <v>5</v>
      </c>
      <c r="D387" s="530" t="s">
        <v>123</v>
      </c>
      <c r="E387" s="531" t="s">
        <v>124</v>
      </c>
      <c r="F387" s="547">
        <v>1404059895</v>
      </c>
      <c r="G387" s="547">
        <v>831790</v>
      </c>
      <c r="H387" s="547"/>
      <c r="I387" s="547"/>
      <c r="J387" s="547"/>
      <c r="K387" s="547"/>
      <c r="L387" s="547"/>
      <c r="M387" s="547"/>
      <c r="N387" s="547"/>
      <c r="O387" s="547"/>
      <c r="P387" s="547"/>
      <c r="Q387" s="812">
        <f t="shared" si="20"/>
        <v>1404891685</v>
      </c>
      <c r="R387" s="547">
        <v>5458552985</v>
      </c>
      <c r="S387" s="812">
        <f t="shared" si="22"/>
        <v>1405</v>
      </c>
      <c r="T387" s="547">
        <f t="shared" si="22"/>
        <v>5459</v>
      </c>
      <c r="U387" s="566"/>
      <c r="V387" s="567"/>
      <c r="W387" s="812">
        <f t="shared" si="23"/>
        <v>1404891685</v>
      </c>
      <c r="X387" s="812">
        <f t="shared" si="21"/>
        <v>1405</v>
      </c>
    </row>
    <row r="388" spans="1:24" ht="27" customHeight="1">
      <c r="A388" s="531"/>
      <c r="B388" s="531"/>
      <c r="C388" s="529">
        <v>8</v>
      </c>
      <c r="D388" s="530" t="s">
        <v>125</v>
      </c>
      <c r="E388" s="531" t="s">
        <v>998</v>
      </c>
      <c r="F388" s="547">
        <v>60465811147</v>
      </c>
      <c r="G388" s="547"/>
      <c r="H388" s="547"/>
      <c r="I388" s="547">
        <v>342269900</v>
      </c>
      <c r="J388" s="547"/>
      <c r="K388" s="547"/>
      <c r="L388" s="547"/>
      <c r="M388" s="547"/>
      <c r="N388" s="547"/>
      <c r="O388" s="547"/>
      <c r="P388" s="547"/>
      <c r="Q388" s="812">
        <f t="shared" ref="Q388:Q451" si="24">SUM(F388:P388)</f>
        <v>60808081047</v>
      </c>
      <c r="R388" s="547">
        <v>60121191597</v>
      </c>
      <c r="S388" s="812">
        <f t="shared" si="22"/>
        <v>60808</v>
      </c>
      <c r="T388" s="547">
        <f t="shared" si="22"/>
        <v>60121</v>
      </c>
      <c r="U388" s="566"/>
      <c r="V388" s="567"/>
      <c r="W388" s="812">
        <f t="shared" si="23"/>
        <v>60808081047</v>
      </c>
      <c r="X388" s="812">
        <f t="shared" si="21"/>
        <v>60808</v>
      </c>
    </row>
    <row r="389" spans="1:24" ht="27" customHeight="1">
      <c r="A389" s="531"/>
      <c r="B389" s="531">
        <v>406</v>
      </c>
      <c r="C389" s="529">
        <v>4</v>
      </c>
      <c r="D389" s="530" t="s">
        <v>63</v>
      </c>
      <c r="E389" s="531" t="s">
        <v>559</v>
      </c>
      <c r="F389" s="547">
        <v>20048780547</v>
      </c>
      <c r="G389" s="547"/>
      <c r="H389" s="547">
        <v>-720614000</v>
      </c>
      <c r="I389" s="547"/>
      <c r="J389" s="547"/>
      <c r="K389" s="547"/>
      <c r="L389" s="547"/>
      <c r="M389" s="547"/>
      <c r="N389" s="547"/>
      <c r="O389" s="547"/>
      <c r="P389" s="547"/>
      <c r="Q389" s="812">
        <f t="shared" si="24"/>
        <v>19328166547</v>
      </c>
      <c r="R389" s="547">
        <v>19540869411</v>
      </c>
      <c r="S389" s="812">
        <f t="shared" si="22"/>
        <v>19328</v>
      </c>
      <c r="T389" s="547">
        <f t="shared" si="22"/>
        <v>19541</v>
      </c>
      <c r="U389" s="566"/>
      <c r="V389" s="567"/>
      <c r="W389" s="812">
        <f t="shared" si="23"/>
        <v>19328166547</v>
      </c>
      <c r="X389" s="812">
        <f t="shared" si="21"/>
        <v>19328</v>
      </c>
    </row>
    <row r="390" spans="1:24" ht="27" customHeight="1">
      <c r="A390" s="531"/>
      <c r="B390" s="531">
        <v>606</v>
      </c>
      <c r="C390" s="529">
        <v>6</v>
      </c>
      <c r="D390" s="530" t="s">
        <v>848</v>
      </c>
      <c r="E390" s="531" t="s">
        <v>919</v>
      </c>
      <c r="F390" s="547">
        <v>7134640431</v>
      </c>
      <c r="G390" s="547"/>
      <c r="H390" s="547"/>
      <c r="I390" s="547"/>
      <c r="J390" s="547"/>
      <c r="K390" s="547"/>
      <c r="L390" s="547"/>
      <c r="M390" s="547"/>
      <c r="N390" s="547"/>
      <c r="O390" s="547"/>
      <c r="P390" s="547"/>
      <c r="Q390" s="812">
        <f t="shared" si="24"/>
        <v>7134640431</v>
      </c>
      <c r="R390" s="547">
        <v>6197239785</v>
      </c>
      <c r="S390" s="812">
        <f t="shared" si="22"/>
        <v>7135</v>
      </c>
      <c r="T390" s="547">
        <f t="shared" si="22"/>
        <v>6197</v>
      </c>
      <c r="U390" s="566"/>
      <c r="V390" s="567"/>
      <c r="W390" s="812">
        <f t="shared" si="23"/>
        <v>7134640431</v>
      </c>
      <c r="X390" s="812">
        <f t="shared" si="21"/>
        <v>7135</v>
      </c>
    </row>
    <row r="391" spans="1:24" ht="27" customHeight="1">
      <c r="A391" s="531"/>
      <c r="B391" s="531">
        <v>604</v>
      </c>
      <c r="C391" s="529">
        <v>6</v>
      </c>
      <c r="D391" s="530" t="s">
        <v>69</v>
      </c>
      <c r="E391" s="531" t="s">
        <v>70</v>
      </c>
      <c r="F391" s="547">
        <v>218481346</v>
      </c>
      <c r="G391" s="547"/>
      <c r="H391" s="547"/>
      <c r="I391" s="547"/>
      <c r="J391" s="547"/>
      <c r="K391" s="547"/>
      <c r="L391" s="547"/>
      <c r="M391" s="547"/>
      <c r="N391" s="547"/>
      <c r="O391" s="547"/>
      <c r="P391" s="547"/>
      <c r="Q391" s="812">
        <f t="shared" si="24"/>
        <v>218481346</v>
      </c>
      <c r="R391" s="547">
        <v>295564797</v>
      </c>
      <c r="S391" s="812">
        <f t="shared" si="22"/>
        <v>218</v>
      </c>
      <c r="T391" s="547">
        <f t="shared" si="22"/>
        <v>296</v>
      </c>
      <c r="U391" s="566"/>
      <c r="V391" s="567"/>
      <c r="W391" s="812">
        <f t="shared" si="23"/>
        <v>218481346</v>
      </c>
      <c r="X391" s="812">
        <f t="shared" ref="X391:X461" si="25">ROUND((W391/1000000),0)</f>
        <v>218</v>
      </c>
    </row>
    <row r="392" spans="1:24" ht="27" customHeight="1">
      <c r="A392" s="531"/>
      <c r="B392" s="531">
        <v>406</v>
      </c>
      <c r="C392" s="529">
        <v>4</v>
      </c>
      <c r="D392" s="530" t="s">
        <v>1150</v>
      </c>
      <c r="E392" s="531" t="s">
        <v>1151</v>
      </c>
      <c r="F392" s="547">
        <v>30648243865</v>
      </c>
      <c r="G392" s="547"/>
      <c r="H392" s="547"/>
      <c r="I392" s="547"/>
      <c r="J392" s="547"/>
      <c r="K392" s="547"/>
      <c r="L392" s="547"/>
      <c r="M392" s="547"/>
      <c r="N392" s="547"/>
      <c r="O392" s="547"/>
      <c r="P392" s="547"/>
      <c r="Q392" s="812">
        <f t="shared" si="24"/>
        <v>30648243865</v>
      </c>
      <c r="R392" s="547">
        <v>29946341365</v>
      </c>
      <c r="S392" s="812">
        <f>ROUND((Q392/1000000),0)</f>
        <v>30648</v>
      </c>
      <c r="T392" s="547">
        <f t="shared" si="22"/>
        <v>29946</v>
      </c>
      <c r="U392" s="566"/>
      <c r="V392" s="567"/>
      <c r="W392" s="812">
        <f t="shared" si="23"/>
        <v>30648243865</v>
      </c>
      <c r="X392" s="812">
        <f t="shared" si="25"/>
        <v>30648</v>
      </c>
    </row>
    <row r="393" spans="1:24" ht="27" customHeight="1">
      <c r="A393" s="531"/>
      <c r="B393" s="531">
        <v>907</v>
      </c>
      <c r="C393" s="529">
        <v>9</v>
      </c>
      <c r="D393" s="530" t="s">
        <v>71</v>
      </c>
      <c r="E393" s="531" t="s">
        <v>72</v>
      </c>
      <c r="F393" s="547">
        <v>83105152566</v>
      </c>
      <c r="G393" s="547"/>
      <c r="H393" s="547"/>
      <c r="I393" s="547">
        <f>119603805154-119558238154</f>
        <v>45567000</v>
      </c>
      <c r="J393" s="547">
        <v>0</v>
      </c>
      <c r="K393" s="547"/>
      <c r="L393" s="547"/>
      <c r="M393" s="547"/>
      <c r="N393" s="547"/>
      <c r="O393" s="547"/>
      <c r="P393" s="547"/>
      <c r="Q393" s="812">
        <f t="shared" si="24"/>
        <v>83150719566</v>
      </c>
      <c r="R393" s="547">
        <v>37392943450</v>
      </c>
      <c r="S393" s="812">
        <f t="shared" si="22"/>
        <v>83151</v>
      </c>
      <c r="T393" s="547">
        <f t="shared" si="22"/>
        <v>37393</v>
      </c>
      <c r="U393" s="566"/>
      <c r="V393" s="567"/>
      <c r="W393" s="812">
        <f t="shared" si="23"/>
        <v>83150719566</v>
      </c>
      <c r="X393" s="812">
        <f t="shared" si="25"/>
        <v>83151</v>
      </c>
    </row>
    <row r="394" spans="1:24" ht="27" customHeight="1">
      <c r="A394" s="531">
        <v>3214</v>
      </c>
      <c r="B394" s="531">
        <v>907</v>
      </c>
      <c r="C394" s="529">
        <v>9</v>
      </c>
      <c r="D394" s="530" t="s">
        <v>71</v>
      </c>
      <c r="E394" s="531" t="s">
        <v>1437</v>
      </c>
      <c r="F394" s="547"/>
      <c r="G394" s="547"/>
      <c r="H394" s="547"/>
      <c r="I394" s="547">
        <v>119558238154</v>
      </c>
      <c r="J394" s="547">
        <v>0</v>
      </c>
      <c r="K394" s="547">
        <f>-22239602884-97318635270</f>
        <v>-119558238154</v>
      </c>
      <c r="L394" s="547"/>
      <c r="M394" s="547"/>
      <c r="N394" s="547"/>
      <c r="O394" s="547">
        <f>22239602884+97318635270-63856554113</f>
        <v>55701684041</v>
      </c>
      <c r="P394" s="547"/>
      <c r="Q394" s="812">
        <f t="shared" si="24"/>
        <v>55701684041</v>
      </c>
      <c r="R394" s="547">
        <v>207478871578</v>
      </c>
      <c r="S394" s="683">
        <f t="shared" si="22"/>
        <v>55702</v>
      </c>
      <c r="T394" s="547">
        <f t="shared" si="22"/>
        <v>207479</v>
      </c>
      <c r="U394" s="566"/>
      <c r="V394" s="567"/>
      <c r="W394" s="812">
        <f t="shared" si="23"/>
        <v>55701684041</v>
      </c>
      <c r="X394" s="812">
        <f t="shared" si="25"/>
        <v>55702</v>
      </c>
    </row>
    <row r="395" spans="1:24" ht="27" customHeight="1">
      <c r="A395" s="531">
        <v>6587</v>
      </c>
      <c r="B395" s="531">
        <v>907</v>
      </c>
      <c r="C395" s="529">
        <v>9</v>
      </c>
      <c r="D395" s="530" t="s">
        <v>71</v>
      </c>
      <c r="E395" s="531" t="s">
        <v>1668</v>
      </c>
      <c r="F395" s="547"/>
      <c r="G395" s="547"/>
      <c r="H395" s="547"/>
      <c r="I395" s="547"/>
      <c r="J395" s="547">
        <v>-6839202200</v>
      </c>
      <c r="K395" s="547"/>
      <c r="L395" s="547">
        <v>-76311517366</v>
      </c>
      <c r="M395" s="547"/>
      <c r="N395" s="547"/>
      <c r="O395" s="547"/>
      <c r="P395" s="547"/>
      <c r="Q395" s="812">
        <f t="shared" si="24"/>
        <v>-83150719566</v>
      </c>
      <c r="R395" s="547"/>
      <c r="S395" s="812">
        <f t="shared" si="22"/>
        <v>-83151</v>
      </c>
      <c r="T395" s="547">
        <f t="shared" si="22"/>
        <v>0</v>
      </c>
      <c r="U395" s="566"/>
      <c r="V395" s="567"/>
      <c r="W395" s="812">
        <f t="shared" si="23"/>
        <v>-83150719566</v>
      </c>
      <c r="X395" s="812">
        <f t="shared" si="25"/>
        <v>-83151</v>
      </c>
    </row>
    <row r="396" spans="1:24" ht="27" customHeight="1">
      <c r="A396" s="531"/>
      <c r="B396" s="531">
        <v>406</v>
      </c>
      <c r="C396" s="529">
        <v>4</v>
      </c>
      <c r="D396" s="530" t="s">
        <v>73</v>
      </c>
      <c r="E396" s="531" t="s">
        <v>74</v>
      </c>
      <c r="F396" s="547">
        <v>11692212355</v>
      </c>
      <c r="G396" s="547">
        <v>-2485236858</v>
      </c>
      <c r="H396" s="547">
        <v>-642682353</v>
      </c>
      <c r="I396" s="547">
        <v>3182055740</v>
      </c>
      <c r="J396" s="547">
        <v>-16962500</v>
      </c>
      <c r="K396" s="547"/>
      <c r="L396" s="547"/>
      <c r="M396" s="547"/>
      <c r="N396" s="547"/>
      <c r="O396" s="547"/>
      <c r="P396" s="547"/>
      <c r="Q396" s="812">
        <f t="shared" si="24"/>
        <v>11729386384</v>
      </c>
      <c r="R396" s="547">
        <v>9576559628</v>
      </c>
      <c r="S396" s="812">
        <f t="shared" si="22"/>
        <v>11729</v>
      </c>
      <c r="T396" s="547">
        <f t="shared" si="22"/>
        <v>9577</v>
      </c>
      <c r="U396" s="566"/>
      <c r="V396" s="567"/>
      <c r="W396" s="812">
        <f t="shared" si="23"/>
        <v>11729386384</v>
      </c>
      <c r="X396" s="812">
        <f t="shared" si="25"/>
        <v>11729</v>
      </c>
    </row>
    <row r="397" spans="1:24" ht="27" customHeight="1">
      <c r="A397" s="531"/>
      <c r="B397" s="531">
        <v>605</v>
      </c>
      <c r="C397" s="529">
        <v>6</v>
      </c>
      <c r="D397" s="530" t="s">
        <v>1152</v>
      </c>
      <c r="E397" s="531" t="s">
        <v>1153</v>
      </c>
      <c r="F397" s="547">
        <v>716555817098</v>
      </c>
      <c r="G397" s="547">
        <v>8451000</v>
      </c>
      <c r="H397" s="547"/>
      <c r="I397" s="547">
        <v>15568381917</v>
      </c>
      <c r="J397" s="547"/>
      <c r="K397" s="547">
        <v>4287750</v>
      </c>
      <c r="L397" s="547">
        <v>1769040</v>
      </c>
      <c r="M397" s="547"/>
      <c r="N397" s="547">
        <v>31191540</v>
      </c>
      <c r="O397" s="547"/>
      <c r="P397" s="547"/>
      <c r="Q397" s="812">
        <f t="shared" si="24"/>
        <v>732169898345</v>
      </c>
      <c r="R397" s="547">
        <v>1124554996673</v>
      </c>
      <c r="S397" s="812">
        <f>ROUND((Q397/1000000),0)</f>
        <v>732170</v>
      </c>
      <c r="T397" s="547">
        <f>ROUND((R397/1000000),0)</f>
        <v>1124555</v>
      </c>
      <c r="U397" s="566"/>
      <c r="V397" s="567"/>
      <c r="W397" s="812">
        <f t="shared" si="23"/>
        <v>732169898345</v>
      </c>
      <c r="X397" s="812">
        <f t="shared" si="25"/>
        <v>732170</v>
      </c>
    </row>
    <row r="398" spans="1:24" ht="27" customHeight="1">
      <c r="A398" s="531"/>
      <c r="B398" s="531">
        <v>406</v>
      </c>
      <c r="C398" s="529">
        <v>4</v>
      </c>
      <c r="D398" s="530" t="s">
        <v>75</v>
      </c>
      <c r="E398" s="531" t="s">
        <v>406</v>
      </c>
      <c r="F398" s="547">
        <v>17734709800</v>
      </c>
      <c r="G398" s="547">
        <v>-78771524</v>
      </c>
      <c r="H398" s="547"/>
      <c r="I398" s="547"/>
      <c r="J398" s="547"/>
      <c r="K398" s="547"/>
      <c r="L398" s="547"/>
      <c r="M398" s="547"/>
      <c r="N398" s="547"/>
      <c r="O398" s="547"/>
      <c r="P398" s="547"/>
      <c r="Q398" s="812">
        <f t="shared" si="24"/>
        <v>17655938276</v>
      </c>
      <c r="R398" s="547">
        <v>17734709800</v>
      </c>
      <c r="S398" s="812">
        <f t="shared" ref="S398:T432" si="26">ROUND((Q398/1000000),0)</f>
        <v>17656</v>
      </c>
      <c r="T398" s="547">
        <f t="shared" si="26"/>
        <v>17735</v>
      </c>
      <c r="U398" s="566"/>
      <c r="V398" s="567"/>
      <c r="W398" s="812">
        <f t="shared" si="23"/>
        <v>17655938276</v>
      </c>
      <c r="X398" s="812">
        <f t="shared" si="25"/>
        <v>17656</v>
      </c>
    </row>
    <row r="399" spans="1:24" ht="27" customHeight="1">
      <c r="A399" s="531"/>
      <c r="B399" s="531">
        <v>406</v>
      </c>
      <c r="C399" s="529">
        <v>4</v>
      </c>
      <c r="D399" s="530" t="s">
        <v>407</v>
      </c>
      <c r="E399" s="531" t="s">
        <v>408</v>
      </c>
      <c r="F399" s="547">
        <v>199100360</v>
      </c>
      <c r="G399" s="547"/>
      <c r="H399" s="547"/>
      <c r="I399" s="547"/>
      <c r="J399" s="547"/>
      <c r="K399" s="547"/>
      <c r="L399" s="547"/>
      <c r="M399" s="547"/>
      <c r="N399" s="547"/>
      <c r="O399" s="547"/>
      <c r="P399" s="547"/>
      <c r="Q399" s="812">
        <f t="shared" si="24"/>
        <v>199100360</v>
      </c>
      <c r="R399" s="547">
        <v>199100360</v>
      </c>
      <c r="S399" s="812">
        <f t="shared" si="26"/>
        <v>199</v>
      </c>
      <c r="T399" s="547">
        <f t="shared" si="26"/>
        <v>199</v>
      </c>
      <c r="U399" s="566"/>
      <c r="V399" s="567"/>
      <c r="W399" s="812">
        <f t="shared" si="23"/>
        <v>199100360</v>
      </c>
      <c r="X399" s="812">
        <f t="shared" si="25"/>
        <v>199</v>
      </c>
    </row>
    <row r="400" spans="1:24" ht="27" customHeight="1">
      <c r="A400" s="531"/>
      <c r="B400" s="531">
        <v>411</v>
      </c>
      <c r="C400" s="529">
        <v>4</v>
      </c>
      <c r="D400" s="530" t="s">
        <v>409</v>
      </c>
      <c r="E400" s="531" t="s">
        <v>410</v>
      </c>
      <c r="F400" s="547">
        <v>108880917009</v>
      </c>
      <c r="G400" s="547">
        <v>-1391216427</v>
      </c>
      <c r="H400" s="547">
        <v>853708387</v>
      </c>
      <c r="I400" s="547">
        <v>0</v>
      </c>
      <c r="J400" s="547"/>
      <c r="K400" s="547"/>
      <c r="L400" s="547"/>
      <c r="M400" s="547"/>
      <c r="N400" s="547"/>
      <c r="O400" s="547"/>
      <c r="P400" s="547"/>
      <c r="Q400" s="812">
        <f t="shared" si="24"/>
        <v>108343408969</v>
      </c>
      <c r="R400" s="547">
        <v>23147853693</v>
      </c>
      <c r="S400" s="812">
        <f t="shared" si="26"/>
        <v>108343</v>
      </c>
      <c r="T400" s="547">
        <f t="shared" si="26"/>
        <v>23148</v>
      </c>
      <c r="U400" s="566"/>
      <c r="V400" s="567"/>
      <c r="W400" s="812">
        <f t="shared" si="23"/>
        <v>108343408969</v>
      </c>
      <c r="X400" s="812">
        <f t="shared" si="25"/>
        <v>108343</v>
      </c>
    </row>
    <row r="401" spans="1:24" ht="27" customHeight="1">
      <c r="A401" s="531">
        <v>3214</v>
      </c>
      <c r="B401" s="531">
        <v>408</v>
      </c>
      <c r="C401" s="529">
        <v>4</v>
      </c>
      <c r="D401" s="530" t="s">
        <v>409</v>
      </c>
      <c r="E401" s="531" t="s">
        <v>1627</v>
      </c>
      <c r="F401" s="547"/>
      <c r="G401" s="547"/>
      <c r="H401" s="547"/>
      <c r="I401" s="547">
        <v>140701273587</v>
      </c>
      <c r="J401" s="547"/>
      <c r="K401" s="547">
        <f>-140701273587</f>
        <v>-140701273587</v>
      </c>
      <c r="L401" s="547"/>
      <c r="M401" s="547"/>
      <c r="N401" s="547"/>
      <c r="O401" s="547">
        <v>140701273587</v>
      </c>
      <c r="P401" s="547"/>
      <c r="Q401" s="812">
        <f t="shared" si="24"/>
        <v>140701273587</v>
      </c>
      <c r="R401" s="547">
        <v>275488814311</v>
      </c>
      <c r="S401" s="683">
        <f t="shared" si="26"/>
        <v>140701</v>
      </c>
      <c r="T401" s="547">
        <f t="shared" si="26"/>
        <v>275489</v>
      </c>
      <c r="U401" s="566"/>
      <c r="V401" s="567"/>
      <c r="W401" s="812">
        <f t="shared" si="23"/>
        <v>140701273587</v>
      </c>
      <c r="X401" s="812">
        <f t="shared" si="25"/>
        <v>140701</v>
      </c>
    </row>
    <row r="402" spans="1:24" ht="27" customHeight="1">
      <c r="A402" s="531"/>
      <c r="B402" s="531">
        <v>907</v>
      </c>
      <c r="C402" s="529">
        <v>9</v>
      </c>
      <c r="D402" s="530" t="s">
        <v>411</v>
      </c>
      <c r="E402" s="531" t="s">
        <v>768</v>
      </c>
      <c r="F402" s="547">
        <v>201977248029</v>
      </c>
      <c r="G402" s="547">
        <v>-225298500</v>
      </c>
      <c r="H402" s="547"/>
      <c r="I402" s="547">
        <f>1789695914946-1789664434446</f>
        <v>31480500</v>
      </c>
      <c r="J402" s="547"/>
      <c r="K402" s="547"/>
      <c r="L402" s="547"/>
      <c r="M402" s="547"/>
      <c r="N402" s="547"/>
      <c r="O402" s="547">
        <f>-57227691586</f>
        <v>-57227691586</v>
      </c>
      <c r="P402" s="547"/>
      <c r="Q402" s="812">
        <f t="shared" si="24"/>
        <v>144555738443</v>
      </c>
      <c r="R402" s="547">
        <v>195204712063</v>
      </c>
      <c r="S402" s="812">
        <f t="shared" si="26"/>
        <v>144556</v>
      </c>
      <c r="T402" s="547">
        <f t="shared" si="26"/>
        <v>195205</v>
      </c>
      <c r="U402" s="566"/>
      <c r="V402" s="567"/>
      <c r="W402" s="812">
        <f t="shared" si="23"/>
        <v>144555738443</v>
      </c>
      <c r="X402" s="812">
        <f t="shared" si="25"/>
        <v>144556</v>
      </c>
    </row>
    <row r="403" spans="1:24" ht="27" customHeight="1">
      <c r="A403" s="531">
        <v>3214</v>
      </c>
      <c r="B403" s="531">
        <v>907</v>
      </c>
      <c r="C403" s="529">
        <v>9</v>
      </c>
      <c r="D403" s="530" t="s">
        <v>411</v>
      </c>
      <c r="E403" s="531" t="s">
        <v>1628</v>
      </c>
      <c r="F403" s="547"/>
      <c r="G403" s="547"/>
      <c r="H403" s="547"/>
      <c r="I403" s="547">
        <f>1789664434446</f>
        <v>1789664434446</v>
      </c>
      <c r="J403" s="547"/>
      <c r="K403" s="547">
        <f>-1560540779646-108644114607-120479540193</f>
        <v>-1789664434446</v>
      </c>
      <c r="L403" s="547"/>
      <c r="M403" s="547"/>
      <c r="N403" s="547"/>
      <c r="O403" s="547">
        <f>1560540779646+108644114607+120479540193+2234471786</f>
        <v>1791898906232</v>
      </c>
      <c r="P403" s="547">
        <f>-(1607148210659+36711945254)</f>
        <v>-1643860155913</v>
      </c>
      <c r="Q403" s="812">
        <f t="shared" si="24"/>
        <v>148038750319</v>
      </c>
      <c r="R403" s="547">
        <v>1436486056974</v>
      </c>
      <c r="S403" s="683">
        <f t="shared" si="26"/>
        <v>148039</v>
      </c>
      <c r="T403" s="547">
        <f t="shared" si="26"/>
        <v>1436486</v>
      </c>
      <c r="U403" s="566"/>
      <c r="V403" s="567"/>
      <c r="W403" s="812">
        <f t="shared" si="23"/>
        <v>148038750319</v>
      </c>
      <c r="X403" s="812">
        <f t="shared" si="25"/>
        <v>148039</v>
      </c>
    </row>
    <row r="404" spans="1:24" ht="27" customHeight="1">
      <c r="A404" s="531">
        <v>6587</v>
      </c>
      <c r="B404" s="531">
        <v>907</v>
      </c>
      <c r="C404" s="529">
        <v>9</v>
      </c>
      <c r="D404" s="530" t="s">
        <v>411</v>
      </c>
      <c r="E404" s="531" t="s">
        <v>1632</v>
      </c>
      <c r="F404" s="547"/>
      <c r="G404" s="547"/>
      <c r="H404" s="547"/>
      <c r="I404" s="547"/>
      <c r="J404" s="547">
        <v>-162438668762</v>
      </c>
      <c r="K404" s="547"/>
      <c r="L404" s="547">
        <v>-12183945163</v>
      </c>
      <c r="M404" s="547"/>
      <c r="N404" s="547"/>
      <c r="O404" s="547">
        <v>55644741586</v>
      </c>
      <c r="P404" s="547"/>
      <c r="Q404" s="812">
        <f t="shared" si="24"/>
        <v>-118977872339</v>
      </c>
      <c r="R404" s="547"/>
      <c r="S404" s="812">
        <f t="shared" si="26"/>
        <v>-118978</v>
      </c>
      <c r="T404" s="547">
        <f t="shared" si="26"/>
        <v>0</v>
      </c>
      <c r="U404" s="566"/>
      <c r="V404" s="567"/>
      <c r="W404" s="812">
        <f t="shared" si="23"/>
        <v>-118977872339</v>
      </c>
      <c r="X404" s="812">
        <f t="shared" si="25"/>
        <v>-118978</v>
      </c>
    </row>
    <row r="405" spans="1:24" ht="27" customHeight="1">
      <c r="A405" s="531"/>
      <c r="B405" s="531">
        <v>603</v>
      </c>
      <c r="C405" s="529">
        <v>6</v>
      </c>
      <c r="D405" s="530" t="s">
        <v>353</v>
      </c>
      <c r="E405" s="531" t="s">
        <v>354</v>
      </c>
      <c r="F405" s="547">
        <v>33902601043</v>
      </c>
      <c r="G405" s="547"/>
      <c r="H405" s="547"/>
      <c r="I405" s="547">
        <v>-62249700</v>
      </c>
      <c r="J405" s="547"/>
      <c r="K405" s="547"/>
      <c r="L405" s="547"/>
      <c r="M405" s="547"/>
      <c r="N405" s="547"/>
      <c r="O405" s="547"/>
      <c r="P405" s="547"/>
      <c r="Q405" s="812">
        <f t="shared" si="24"/>
        <v>33840351343</v>
      </c>
      <c r="R405" s="547">
        <v>38395483931</v>
      </c>
      <c r="S405" s="812">
        <f t="shared" si="26"/>
        <v>33840</v>
      </c>
      <c r="T405" s="547">
        <f t="shared" si="26"/>
        <v>38395</v>
      </c>
      <c r="U405" s="566"/>
      <c r="V405" s="567"/>
      <c r="W405" s="812">
        <f t="shared" si="23"/>
        <v>33840351343</v>
      </c>
      <c r="X405" s="812">
        <f t="shared" si="25"/>
        <v>33840</v>
      </c>
    </row>
    <row r="406" spans="1:24" ht="27" customHeight="1">
      <c r="A406" s="531"/>
      <c r="B406" s="531">
        <v>1015</v>
      </c>
      <c r="C406" s="529">
        <v>10</v>
      </c>
      <c r="D406" s="530" t="s">
        <v>355</v>
      </c>
      <c r="E406" s="531" t="s">
        <v>356</v>
      </c>
      <c r="F406" s="547">
        <v>81193775</v>
      </c>
      <c r="G406" s="547"/>
      <c r="H406" s="547"/>
      <c r="I406" s="547">
        <v>0</v>
      </c>
      <c r="J406" s="547"/>
      <c r="K406" s="547"/>
      <c r="L406" s="547"/>
      <c r="M406" s="547"/>
      <c r="N406" s="547"/>
      <c r="O406" s="547"/>
      <c r="P406" s="547"/>
      <c r="Q406" s="812">
        <f t="shared" si="24"/>
        <v>81193775</v>
      </c>
      <c r="R406" s="547">
        <v>-4188849666</v>
      </c>
      <c r="S406" s="812">
        <f t="shared" si="26"/>
        <v>81</v>
      </c>
      <c r="T406" s="547">
        <f t="shared" si="26"/>
        <v>-4189</v>
      </c>
      <c r="U406" s="566"/>
      <c r="V406" s="567"/>
      <c r="W406" s="812">
        <f t="shared" si="23"/>
        <v>81193775</v>
      </c>
      <c r="X406" s="812">
        <f t="shared" si="25"/>
        <v>81</v>
      </c>
    </row>
    <row r="407" spans="1:24" ht="27" customHeight="1">
      <c r="A407" s="531">
        <v>3214</v>
      </c>
      <c r="B407" s="531">
        <v>1027</v>
      </c>
      <c r="C407" s="529">
        <v>10</v>
      </c>
      <c r="D407" s="530" t="s">
        <v>355</v>
      </c>
      <c r="E407" s="531" t="s">
        <v>1440</v>
      </c>
      <c r="F407" s="547"/>
      <c r="G407" s="547"/>
      <c r="H407" s="547"/>
      <c r="I407" s="547">
        <v>-42738271</v>
      </c>
      <c r="J407" s="547">
        <v>42738271</v>
      </c>
      <c r="K407" s="547"/>
      <c r="L407" s="547"/>
      <c r="M407" s="547"/>
      <c r="N407" s="547"/>
      <c r="O407" s="547"/>
      <c r="P407" s="547"/>
      <c r="Q407" s="812">
        <f t="shared" si="24"/>
        <v>0</v>
      </c>
      <c r="R407" s="547">
        <v>-15023655268</v>
      </c>
      <c r="S407" s="812">
        <f t="shared" si="26"/>
        <v>0</v>
      </c>
      <c r="T407" s="547">
        <f t="shared" si="26"/>
        <v>-15024</v>
      </c>
      <c r="U407" s="566"/>
      <c r="V407" s="567"/>
      <c r="W407" s="812">
        <f t="shared" si="23"/>
        <v>0</v>
      </c>
      <c r="X407" s="812">
        <f t="shared" si="25"/>
        <v>0</v>
      </c>
    </row>
    <row r="408" spans="1:24" ht="27" customHeight="1">
      <c r="A408" s="531"/>
      <c r="B408" s="531">
        <v>1015</v>
      </c>
      <c r="C408" s="529">
        <v>10</v>
      </c>
      <c r="D408" s="530" t="s">
        <v>1255</v>
      </c>
      <c r="E408" s="531" t="s">
        <v>1256</v>
      </c>
      <c r="F408" s="547"/>
      <c r="G408" s="547"/>
      <c r="H408" s="547"/>
      <c r="I408" s="547"/>
      <c r="J408" s="547"/>
      <c r="K408" s="547"/>
      <c r="L408" s="547"/>
      <c r="M408" s="547"/>
      <c r="N408" s="547"/>
      <c r="O408" s="547"/>
      <c r="P408" s="547"/>
      <c r="Q408" s="812">
        <f t="shared" si="24"/>
        <v>0</v>
      </c>
      <c r="R408" s="547">
        <v>-4678514</v>
      </c>
      <c r="S408" s="812">
        <f t="shared" si="26"/>
        <v>0</v>
      </c>
      <c r="T408" s="547">
        <f t="shared" si="26"/>
        <v>-5</v>
      </c>
      <c r="U408" s="566"/>
      <c r="V408" s="567"/>
      <c r="W408" s="812">
        <f t="shared" si="23"/>
        <v>0</v>
      </c>
      <c r="X408" s="812">
        <f t="shared" si="25"/>
        <v>0</v>
      </c>
    </row>
    <row r="409" spans="1:24" ht="27" customHeight="1">
      <c r="A409" s="531"/>
      <c r="B409" s="531">
        <v>1015</v>
      </c>
      <c r="C409" s="529">
        <v>10</v>
      </c>
      <c r="D409" s="530" t="s">
        <v>357</v>
      </c>
      <c r="E409" s="531" t="s">
        <v>358</v>
      </c>
      <c r="F409" s="547">
        <v>-1789702158</v>
      </c>
      <c r="G409" s="547">
        <v>-40933178</v>
      </c>
      <c r="H409" s="547">
        <v>39986888</v>
      </c>
      <c r="I409" s="547"/>
      <c r="J409" s="547"/>
      <c r="K409" s="547"/>
      <c r="L409" s="547"/>
      <c r="M409" s="547"/>
      <c r="N409" s="547"/>
      <c r="O409" s="547"/>
      <c r="P409" s="547"/>
      <c r="Q409" s="812">
        <f t="shared" si="24"/>
        <v>-1790648448</v>
      </c>
      <c r="R409" s="547">
        <v>-5837053825</v>
      </c>
      <c r="S409" s="812">
        <f t="shared" si="26"/>
        <v>-1791</v>
      </c>
      <c r="T409" s="547">
        <f t="shared" si="26"/>
        <v>-5837</v>
      </c>
      <c r="U409" s="566"/>
      <c r="V409" s="567"/>
      <c r="W409" s="812">
        <f t="shared" si="23"/>
        <v>-1790648448</v>
      </c>
      <c r="X409" s="812">
        <f t="shared" si="25"/>
        <v>-1791</v>
      </c>
    </row>
    <row r="410" spans="1:24" ht="27" customHeight="1">
      <c r="A410" s="531"/>
      <c r="B410" s="531">
        <v>1015</v>
      </c>
      <c r="C410" s="529">
        <v>10</v>
      </c>
      <c r="D410" s="530" t="s">
        <v>359</v>
      </c>
      <c r="E410" s="531" t="s">
        <v>895</v>
      </c>
      <c r="F410" s="547"/>
      <c r="G410" s="547"/>
      <c r="H410" s="547"/>
      <c r="I410" s="547"/>
      <c r="J410" s="547"/>
      <c r="K410" s="547"/>
      <c r="L410" s="547"/>
      <c r="M410" s="547"/>
      <c r="N410" s="547"/>
      <c r="O410" s="547"/>
      <c r="P410" s="547"/>
      <c r="Q410" s="812">
        <f t="shared" si="24"/>
        <v>0</v>
      </c>
      <c r="R410" s="547">
        <v>0</v>
      </c>
      <c r="S410" s="812">
        <f t="shared" si="26"/>
        <v>0</v>
      </c>
      <c r="T410" s="547">
        <f t="shared" si="26"/>
        <v>0</v>
      </c>
      <c r="U410" s="566"/>
      <c r="V410" s="567"/>
      <c r="W410" s="812">
        <f t="shared" si="23"/>
        <v>0</v>
      </c>
      <c r="X410" s="812">
        <f t="shared" si="25"/>
        <v>0</v>
      </c>
    </row>
    <row r="411" spans="1:24" ht="27" customHeight="1">
      <c r="A411" s="531"/>
      <c r="B411" s="531">
        <v>1015</v>
      </c>
      <c r="C411" s="529">
        <v>10</v>
      </c>
      <c r="D411" s="530" t="s">
        <v>598</v>
      </c>
      <c r="E411" s="531" t="s">
        <v>849</v>
      </c>
      <c r="F411" s="547">
        <v>-97583</v>
      </c>
      <c r="G411" s="547"/>
      <c r="H411" s="547"/>
      <c r="I411" s="547"/>
      <c r="J411" s="547"/>
      <c r="K411" s="547"/>
      <c r="L411" s="547"/>
      <c r="M411" s="547"/>
      <c r="N411" s="547"/>
      <c r="O411" s="547"/>
      <c r="P411" s="547"/>
      <c r="Q411" s="812">
        <f t="shared" si="24"/>
        <v>-97583</v>
      </c>
      <c r="R411" s="547">
        <v>-97583</v>
      </c>
      <c r="S411" s="812">
        <f t="shared" si="26"/>
        <v>0</v>
      </c>
      <c r="T411" s="547">
        <f t="shared" si="26"/>
        <v>0</v>
      </c>
      <c r="U411" s="566"/>
      <c r="V411" s="567"/>
      <c r="W411" s="812">
        <f t="shared" si="23"/>
        <v>-97583</v>
      </c>
      <c r="X411" s="812">
        <f t="shared" si="25"/>
        <v>0</v>
      </c>
    </row>
    <row r="412" spans="1:24" ht="27" customHeight="1">
      <c r="A412" s="531"/>
      <c r="B412" s="531">
        <v>602</v>
      </c>
      <c r="C412" s="529">
        <v>6</v>
      </c>
      <c r="D412" s="530" t="s">
        <v>600</v>
      </c>
      <c r="E412" s="531" t="s">
        <v>601</v>
      </c>
      <c r="F412" s="547">
        <v>-33846261999</v>
      </c>
      <c r="G412" s="547"/>
      <c r="H412" s="547"/>
      <c r="I412" s="547"/>
      <c r="J412" s="547"/>
      <c r="K412" s="547"/>
      <c r="L412" s="547"/>
      <c r="M412" s="547"/>
      <c r="N412" s="547"/>
      <c r="O412" s="547"/>
      <c r="P412" s="547"/>
      <c r="Q412" s="812">
        <f t="shared" si="24"/>
        <v>-33846261999</v>
      </c>
      <c r="R412" s="547">
        <v>-111816910265</v>
      </c>
      <c r="S412" s="812">
        <f t="shared" si="26"/>
        <v>-33846</v>
      </c>
      <c r="T412" s="547">
        <f t="shared" si="26"/>
        <v>-111817</v>
      </c>
      <c r="U412" s="566"/>
      <c r="V412" s="567"/>
      <c r="W412" s="812">
        <f>Q412-V412+U412</f>
        <v>-33846261999</v>
      </c>
      <c r="X412" s="812">
        <f t="shared" si="25"/>
        <v>-33846</v>
      </c>
    </row>
    <row r="413" spans="1:24" ht="27" customHeight="1">
      <c r="A413" s="531"/>
      <c r="B413" s="531">
        <v>1015</v>
      </c>
      <c r="C413" s="529">
        <v>10</v>
      </c>
      <c r="D413" s="530" t="s">
        <v>1261</v>
      </c>
      <c r="E413" s="531" t="s">
        <v>1256</v>
      </c>
      <c r="F413" s="547"/>
      <c r="G413" s="547"/>
      <c r="H413" s="547"/>
      <c r="I413" s="547"/>
      <c r="J413" s="547"/>
      <c r="K413" s="547"/>
      <c r="L413" s="547"/>
      <c r="M413" s="547"/>
      <c r="N413" s="547"/>
      <c r="O413" s="547"/>
      <c r="P413" s="547"/>
      <c r="Q413" s="812">
        <f t="shared" si="24"/>
        <v>0</v>
      </c>
      <c r="R413" s="547">
        <v>-21182134</v>
      </c>
      <c r="S413" s="812">
        <f t="shared" si="26"/>
        <v>0</v>
      </c>
      <c r="T413" s="547">
        <f t="shared" si="26"/>
        <v>-21</v>
      </c>
      <c r="U413" s="566"/>
      <c r="V413" s="567"/>
      <c r="W413" s="812">
        <f t="shared" si="23"/>
        <v>0</v>
      </c>
      <c r="X413" s="812">
        <f t="shared" si="25"/>
        <v>0</v>
      </c>
    </row>
    <row r="414" spans="1:24" ht="27" customHeight="1">
      <c r="A414" s="531"/>
      <c r="B414" s="531">
        <v>1015</v>
      </c>
      <c r="C414" s="529">
        <v>10</v>
      </c>
      <c r="D414" s="530" t="s">
        <v>602</v>
      </c>
      <c r="E414" s="531" t="s">
        <v>603</v>
      </c>
      <c r="F414" s="547">
        <v>-108879188</v>
      </c>
      <c r="G414" s="547">
        <v>33859800</v>
      </c>
      <c r="H414" s="547">
        <v>-77034720</v>
      </c>
      <c r="I414" s="547">
        <v>1564920</v>
      </c>
      <c r="J414" s="547"/>
      <c r="K414" s="547"/>
      <c r="L414" s="547"/>
      <c r="M414" s="547"/>
      <c r="N414" s="547"/>
      <c r="O414" s="547"/>
      <c r="P414" s="547"/>
      <c r="Q414" s="812">
        <f t="shared" si="24"/>
        <v>-150489188</v>
      </c>
      <c r="R414" s="547">
        <v>-424444378</v>
      </c>
      <c r="S414" s="812">
        <f t="shared" si="26"/>
        <v>-150</v>
      </c>
      <c r="T414" s="547">
        <f t="shared" si="26"/>
        <v>-424</v>
      </c>
      <c r="U414" s="566"/>
      <c r="V414" s="567"/>
      <c r="W414" s="812">
        <f t="shared" si="23"/>
        <v>-150489188</v>
      </c>
      <c r="X414" s="812">
        <f t="shared" si="25"/>
        <v>-150</v>
      </c>
    </row>
    <row r="415" spans="1:24" ht="27" customHeight="1">
      <c r="A415" s="531"/>
      <c r="B415" s="531">
        <v>406</v>
      </c>
      <c r="C415" s="529">
        <v>4</v>
      </c>
      <c r="D415" s="530" t="s">
        <v>668</v>
      </c>
      <c r="E415" s="531" t="s">
        <v>669</v>
      </c>
      <c r="F415" s="547"/>
      <c r="G415" s="547"/>
      <c r="H415" s="547"/>
      <c r="I415" s="547"/>
      <c r="J415" s="547"/>
      <c r="K415" s="547"/>
      <c r="L415" s="547"/>
      <c r="M415" s="547"/>
      <c r="N415" s="547"/>
      <c r="O415" s="547"/>
      <c r="P415" s="547"/>
      <c r="Q415" s="812">
        <f t="shared" si="24"/>
        <v>0</v>
      </c>
      <c r="R415" s="547">
        <v>0</v>
      </c>
      <c r="S415" s="812">
        <f t="shared" si="26"/>
        <v>0</v>
      </c>
      <c r="T415" s="547">
        <f t="shared" si="26"/>
        <v>0</v>
      </c>
      <c r="U415" s="566"/>
      <c r="V415" s="567"/>
      <c r="W415" s="812">
        <f t="shared" si="23"/>
        <v>0</v>
      </c>
      <c r="X415" s="812">
        <f t="shared" si="25"/>
        <v>0</v>
      </c>
    </row>
    <row r="416" spans="1:24" ht="27" customHeight="1">
      <c r="A416" s="531"/>
      <c r="B416" s="531">
        <v>100201</v>
      </c>
      <c r="C416" s="529">
        <v>10</v>
      </c>
      <c r="D416" s="530" t="s">
        <v>604</v>
      </c>
      <c r="E416" s="531" t="s">
        <v>532</v>
      </c>
      <c r="F416" s="547">
        <v>-1669572741463</v>
      </c>
      <c r="G416" s="547"/>
      <c r="H416" s="547"/>
      <c r="I416" s="547"/>
      <c r="J416" s="547"/>
      <c r="K416" s="547"/>
      <c r="L416" s="547"/>
      <c r="M416" s="547"/>
      <c r="N416" s="547"/>
      <c r="O416" s="547"/>
      <c r="P416" s="547"/>
      <c r="Q416" s="547">
        <f t="shared" si="24"/>
        <v>-1669572741463</v>
      </c>
      <c r="R416" s="547">
        <v>0</v>
      </c>
      <c r="S416" s="547">
        <f t="shared" si="26"/>
        <v>-1669573</v>
      </c>
      <c r="T416" s="547">
        <f t="shared" si="26"/>
        <v>0</v>
      </c>
      <c r="U416" s="566"/>
      <c r="V416" s="567"/>
      <c r="W416" s="812">
        <f t="shared" si="23"/>
        <v>-1669572741463</v>
      </c>
      <c r="X416" s="812">
        <f t="shared" si="25"/>
        <v>-1669573</v>
      </c>
    </row>
    <row r="417" spans="1:24" ht="27" customHeight="1">
      <c r="A417" s="531"/>
      <c r="B417" s="531">
        <v>1018</v>
      </c>
      <c r="C417" s="529">
        <v>10</v>
      </c>
      <c r="D417" s="530" t="s">
        <v>605</v>
      </c>
      <c r="E417" s="531" t="s">
        <v>227</v>
      </c>
      <c r="F417" s="547">
        <v>-1051270196</v>
      </c>
      <c r="G417" s="547">
        <v>26784174</v>
      </c>
      <c r="H417" s="547"/>
      <c r="I417" s="547"/>
      <c r="J417" s="547"/>
      <c r="K417" s="547"/>
      <c r="L417" s="547"/>
      <c r="M417" s="547"/>
      <c r="N417" s="547"/>
      <c r="O417" s="547"/>
      <c r="P417" s="547"/>
      <c r="Q417" s="812">
        <f t="shared" si="24"/>
        <v>-1024486022</v>
      </c>
      <c r="R417" s="547">
        <v>-7973723704</v>
      </c>
      <c r="S417" s="812">
        <f t="shared" si="26"/>
        <v>-1024</v>
      </c>
      <c r="T417" s="547">
        <f t="shared" si="26"/>
        <v>-7974</v>
      </c>
      <c r="U417" s="566"/>
      <c r="V417" s="567"/>
      <c r="W417" s="812">
        <f t="shared" si="23"/>
        <v>-1024486022</v>
      </c>
      <c r="X417" s="812">
        <f t="shared" si="25"/>
        <v>-1024</v>
      </c>
    </row>
    <row r="418" spans="1:24" ht="27" customHeight="1">
      <c r="A418" s="531"/>
      <c r="B418" s="531">
        <v>1018</v>
      </c>
      <c r="C418" s="529">
        <v>10</v>
      </c>
      <c r="D418" s="530" t="s">
        <v>999</v>
      </c>
      <c r="E418" s="531" t="s">
        <v>1000</v>
      </c>
      <c r="F418" s="547">
        <v>-414891680</v>
      </c>
      <c r="G418" s="547"/>
      <c r="H418" s="547"/>
      <c r="I418" s="547"/>
      <c r="J418" s="547"/>
      <c r="K418" s="547"/>
      <c r="L418" s="547"/>
      <c r="M418" s="547"/>
      <c r="N418" s="547"/>
      <c r="O418" s="547"/>
      <c r="P418" s="547"/>
      <c r="Q418" s="812">
        <f t="shared" si="24"/>
        <v>-414891680</v>
      </c>
      <c r="R418" s="547">
        <v>-328538368</v>
      </c>
      <c r="S418" s="812">
        <f t="shared" si="26"/>
        <v>-415</v>
      </c>
      <c r="T418" s="547">
        <f t="shared" si="26"/>
        <v>-329</v>
      </c>
      <c r="U418" s="566"/>
      <c r="V418" s="567"/>
      <c r="W418" s="812">
        <f t="shared" si="23"/>
        <v>-414891680</v>
      </c>
      <c r="X418" s="812">
        <f t="shared" si="25"/>
        <v>-415</v>
      </c>
    </row>
    <row r="419" spans="1:24" ht="27" customHeight="1">
      <c r="A419" s="531"/>
      <c r="B419" s="531">
        <v>1018</v>
      </c>
      <c r="C419" s="529">
        <v>10</v>
      </c>
      <c r="D419" s="530" t="s">
        <v>515</v>
      </c>
      <c r="E419" s="531" t="s">
        <v>516</v>
      </c>
      <c r="F419" s="547">
        <v>-362000000</v>
      </c>
      <c r="G419" s="547"/>
      <c r="H419" s="547"/>
      <c r="I419" s="547"/>
      <c r="J419" s="547"/>
      <c r="K419" s="547"/>
      <c r="L419" s="547"/>
      <c r="M419" s="547"/>
      <c r="N419" s="547"/>
      <c r="O419" s="547"/>
      <c r="P419" s="547"/>
      <c r="Q419" s="812">
        <f t="shared" si="24"/>
        <v>-362000000</v>
      </c>
      <c r="R419" s="547">
        <v>-362000000</v>
      </c>
      <c r="S419" s="812">
        <f t="shared" si="26"/>
        <v>-362</v>
      </c>
      <c r="T419" s="547">
        <f t="shared" si="26"/>
        <v>-362</v>
      </c>
      <c r="U419" s="566"/>
      <c r="V419" s="567"/>
      <c r="W419" s="812">
        <f t="shared" ref="W419:W488" si="27">Q419+V419-U419</f>
        <v>-362000000</v>
      </c>
      <c r="X419" s="812">
        <f t="shared" si="25"/>
        <v>-362</v>
      </c>
    </row>
    <row r="420" spans="1:24" ht="27" customHeight="1">
      <c r="A420" s="531"/>
      <c r="B420" s="531">
        <v>1018</v>
      </c>
      <c r="C420" s="529">
        <v>10</v>
      </c>
      <c r="D420" s="530" t="s">
        <v>1342</v>
      </c>
      <c r="E420" s="531" t="s">
        <v>1343</v>
      </c>
      <c r="F420" s="547"/>
      <c r="G420" s="547">
        <v>-86879584</v>
      </c>
      <c r="H420" s="547">
        <v>86879584</v>
      </c>
      <c r="I420" s="547"/>
      <c r="J420" s="547"/>
      <c r="K420" s="547"/>
      <c r="L420" s="547"/>
      <c r="M420" s="547"/>
      <c r="N420" s="547"/>
      <c r="O420" s="547"/>
      <c r="P420" s="547"/>
      <c r="Q420" s="812">
        <f t="shared" si="24"/>
        <v>0</v>
      </c>
      <c r="R420" s="547">
        <v>0</v>
      </c>
      <c r="S420" s="812">
        <f t="shared" si="26"/>
        <v>0</v>
      </c>
      <c r="T420" s="547">
        <f t="shared" si="26"/>
        <v>0</v>
      </c>
      <c r="U420" s="566"/>
      <c r="V420" s="567"/>
      <c r="W420" s="812">
        <f t="shared" si="27"/>
        <v>0</v>
      </c>
      <c r="X420" s="812">
        <f t="shared" si="25"/>
        <v>0</v>
      </c>
    </row>
    <row r="421" spans="1:24" ht="27" customHeight="1">
      <c r="A421" s="531"/>
      <c r="B421" s="531">
        <v>1012</v>
      </c>
      <c r="C421" s="529">
        <v>10</v>
      </c>
      <c r="D421" s="530" t="s">
        <v>18</v>
      </c>
      <c r="E421" s="531" t="s">
        <v>228</v>
      </c>
      <c r="F421" s="547">
        <v>-416260379839</v>
      </c>
      <c r="G421" s="547">
        <v>-379886496876</v>
      </c>
      <c r="H421" s="547">
        <v>48991644339</v>
      </c>
      <c r="I421" s="547">
        <v>-9786344331</v>
      </c>
      <c r="J421" s="547">
        <v>140004356353</v>
      </c>
      <c r="K421" s="547"/>
      <c r="L421" s="547"/>
      <c r="M421" s="547"/>
      <c r="N421" s="547"/>
      <c r="O421" s="547"/>
      <c r="P421" s="547"/>
      <c r="Q421" s="812">
        <f t="shared" si="24"/>
        <v>-616937220354</v>
      </c>
      <c r="R421" s="547">
        <v>-587984516634</v>
      </c>
      <c r="S421" s="812">
        <f>ROUND((Q421/1000000),0)</f>
        <v>-616937</v>
      </c>
      <c r="T421" s="547">
        <f t="shared" si="26"/>
        <v>-587985</v>
      </c>
      <c r="U421" s="566"/>
      <c r="V421" s="567"/>
      <c r="W421" s="812">
        <f t="shared" si="27"/>
        <v>-616937220354</v>
      </c>
      <c r="X421" s="812">
        <f t="shared" si="25"/>
        <v>-616937</v>
      </c>
    </row>
    <row r="422" spans="1:24" ht="27" customHeight="1">
      <c r="A422" s="531"/>
      <c r="B422" s="531">
        <v>100201</v>
      </c>
      <c r="C422" s="529">
        <v>10</v>
      </c>
      <c r="D422" s="530" t="s">
        <v>1647</v>
      </c>
      <c r="E422" s="531" t="s">
        <v>228</v>
      </c>
      <c r="F422" s="547"/>
      <c r="G422" s="547"/>
      <c r="H422" s="547"/>
      <c r="I422" s="547"/>
      <c r="J422" s="547"/>
      <c r="K422" s="547"/>
      <c r="L422" s="547"/>
      <c r="M422" s="547"/>
      <c r="N422" s="547">
        <f>-636264513653-100816161869-744415944433-3594409765338</f>
        <v>-5075906385293</v>
      </c>
      <c r="O422" s="547">
        <v>947139513113</v>
      </c>
      <c r="P422" s="547">
        <v>3594409765338</v>
      </c>
      <c r="Q422" s="547">
        <f t="shared" si="24"/>
        <v>-534357106842</v>
      </c>
      <c r="R422" s="547"/>
      <c r="S422" s="547">
        <f>ROUND((Q422/1000000),0)</f>
        <v>-534357</v>
      </c>
      <c r="T422" s="547">
        <f t="shared" si="26"/>
        <v>0</v>
      </c>
      <c r="U422" s="566"/>
      <c r="V422" s="567"/>
      <c r="W422" s="812">
        <f t="shared" si="27"/>
        <v>-534357106842</v>
      </c>
      <c r="X422" s="812">
        <f t="shared" si="25"/>
        <v>-534357</v>
      </c>
    </row>
    <row r="423" spans="1:24" ht="27" customHeight="1">
      <c r="A423" s="531"/>
      <c r="B423" s="531">
        <v>100201</v>
      </c>
      <c r="C423" s="529">
        <v>10</v>
      </c>
      <c r="D423" s="530" t="s">
        <v>1648</v>
      </c>
      <c r="E423" s="531" t="s">
        <v>228</v>
      </c>
      <c r="F423" s="547"/>
      <c r="G423" s="547"/>
      <c r="H423" s="547"/>
      <c r="I423" s="547"/>
      <c r="J423" s="547"/>
      <c r="K423" s="547"/>
      <c r="L423" s="547"/>
      <c r="M423" s="547"/>
      <c r="N423" s="547">
        <f>-964900711334-1244895754752</f>
        <v>-2209796466086</v>
      </c>
      <c r="O423" s="547">
        <v>278093113994</v>
      </c>
      <c r="P423" s="547"/>
      <c r="Q423" s="547">
        <f t="shared" si="24"/>
        <v>-1931703352092</v>
      </c>
      <c r="R423" s="547"/>
      <c r="S423" s="547">
        <f>ROUND((Q423/1000000),0)</f>
        <v>-1931703</v>
      </c>
      <c r="T423" s="547">
        <f t="shared" si="26"/>
        <v>0</v>
      </c>
      <c r="U423" s="566"/>
      <c r="V423" s="567"/>
      <c r="W423" s="812">
        <f t="shared" si="27"/>
        <v>-1931703352092</v>
      </c>
      <c r="X423" s="812">
        <f t="shared" si="25"/>
        <v>-1931703</v>
      </c>
    </row>
    <row r="424" spans="1:24" ht="27" customHeight="1">
      <c r="A424" s="531"/>
      <c r="B424" s="531">
        <v>405</v>
      </c>
      <c r="C424" s="529">
        <v>4</v>
      </c>
      <c r="D424" s="530" t="s">
        <v>201</v>
      </c>
      <c r="E424" s="531" t="s">
        <v>1405</v>
      </c>
      <c r="F424" s="547">
        <v>267175968953</v>
      </c>
      <c r="G424" s="547"/>
      <c r="H424" s="547"/>
      <c r="I424" s="547"/>
      <c r="J424" s="547"/>
      <c r="K424" s="547"/>
      <c r="L424" s="547"/>
      <c r="M424" s="547"/>
      <c r="N424" s="547"/>
      <c r="O424" s="547"/>
      <c r="P424" s="547"/>
      <c r="Q424" s="812">
        <f t="shared" si="24"/>
        <v>267175968953</v>
      </c>
      <c r="R424" s="547">
        <v>155157192254</v>
      </c>
      <c r="S424" s="812">
        <f t="shared" si="26"/>
        <v>267176</v>
      </c>
      <c r="T424" s="547">
        <f t="shared" si="26"/>
        <v>155157</v>
      </c>
      <c r="U424" s="566"/>
      <c r="V424" s="567"/>
      <c r="W424" s="812">
        <f>Q424-V424-U424</f>
        <v>267175968953</v>
      </c>
      <c r="X424" s="812">
        <f t="shared" si="25"/>
        <v>267176</v>
      </c>
    </row>
    <row r="425" spans="1:24" ht="27" customHeight="1">
      <c r="A425" s="531"/>
      <c r="B425" s="531">
        <v>1401</v>
      </c>
      <c r="C425" s="529">
        <v>12</v>
      </c>
      <c r="D425" s="530" t="s">
        <v>1165</v>
      </c>
      <c r="E425" s="531" t="s">
        <v>1164</v>
      </c>
      <c r="F425" s="547"/>
      <c r="G425" s="547"/>
      <c r="H425" s="547"/>
      <c r="I425" s="547"/>
      <c r="J425" s="547"/>
      <c r="K425" s="547"/>
      <c r="L425" s="547"/>
      <c r="M425" s="547"/>
      <c r="N425" s="547"/>
      <c r="O425" s="547"/>
      <c r="P425" s="547"/>
      <c r="Q425" s="812">
        <f t="shared" si="24"/>
        <v>0</v>
      </c>
      <c r="R425" s="547">
        <v>0</v>
      </c>
      <c r="S425" s="812">
        <f t="shared" si="26"/>
        <v>0</v>
      </c>
      <c r="T425" s="547">
        <f t="shared" si="26"/>
        <v>0</v>
      </c>
      <c r="U425" s="566"/>
      <c r="V425" s="567"/>
      <c r="W425" s="812">
        <f t="shared" si="27"/>
        <v>0</v>
      </c>
      <c r="X425" s="812">
        <f t="shared" si="25"/>
        <v>0</v>
      </c>
    </row>
    <row r="426" spans="1:24" ht="27" customHeight="1">
      <c r="A426" s="531"/>
      <c r="B426" s="531">
        <v>406</v>
      </c>
      <c r="C426" s="529">
        <v>4</v>
      </c>
      <c r="D426" s="530" t="s">
        <v>19</v>
      </c>
      <c r="E426" s="531" t="s">
        <v>680</v>
      </c>
      <c r="F426" s="547"/>
      <c r="G426" s="547"/>
      <c r="H426" s="547"/>
      <c r="I426" s="547"/>
      <c r="J426" s="547"/>
      <c r="K426" s="547"/>
      <c r="L426" s="547"/>
      <c r="M426" s="547"/>
      <c r="N426" s="547"/>
      <c r="O426" s="547"/>
      <c r="P426" s="547"/>
      <c r="Q426" s="812">
        <f t="shared" si="24"/>
        <v>0</v>
      </c>
      <c r="R426" s="547">
        <v>0</v>
      </c>
      <c r="S426" s="812">
        <f t="shared" si="26"/>
        <v>0</v>
      </c>
      <c r="T426" s="547">
        <f t="shared" si="26"/>
        <v>0</v>
      </c>
      <c r="U426" s="566"/>
      <c r="V426" s="567"/>
      <c r="W426" s="812">
        <f t="shared" si="27"/>
        <v>0</v>
      </c>
      <c r="X426" s="812">
        <f t="shared" si="25"/>
        <v>0</v>
      </c>
    </row>
    <row r="427" spans="1:24" ht="27" customHeight="1">
      <c r="A427" s="531"/>
      <c r="B427" s="531"/>
      <c r="C427" s="529">
        <v>20</v>
      </c>
      <c r="D427" s="530" t="s">
        <v>896</v>
      </c>
      <c r="E427" s="531" t="s">
        <v>778</v>
      </c>
      <c r="F427" s="547">
        <v>-59500000</v>
      </c>
      <c r="G427" s="547"/>
      <c r="H427" s="547"/>
      <c r="I427" s="547"/>
      <c r="J427" s="547"/>
      <c r="K427" s="547"/>
      <c r="L427" s="547"/>
      <c r="M427" s="547"/>
      <c r="N427" s="547"/>
      <c r="O427" s="547"/>
      <c r="P427" s="547"/>
      <c r="Q427" s="812">
        <f t="shared" si="24"/>
        <v>-59500000</v>
      </c>
      <c r="R427" s="547">
        <v>0</v>
      </c>
      <c r="S427" s="812">
        <f t="shared" si="26"/>
        <v>-60</v>
      </c>
      <c r="T427" s="547">
        <f t="shared" si="26"/>
        <v>0</v>
      </c>
      <c r="U427" s="566">
        <f>-Q427</f>
        <v>59500000</v>
      </c>
      <c r="V427" s="567">
        <v>0</v>
      </c>
      <c r="W427" s="812">
        <f>Q427-V427+U427</f>
        <v>0</v>
      </c>
      <c r="X427" s="812">
        <f t="shared" si="25"/>
        <v>0</v>
      </c>
    </row>
    <row r="428" spans="1:24" ht="27" customHeight="1">
      <c r="A428" s="531"/>
      <c r="B428" s="531">
        <v>1020</v>
      </c>
      <c r="C428" s="529">
        <v>10</v>
      </c>
      <c r="D428" s="530" t="s">
        <v>1384</v>
      </c>
      <c r="E428" s="531" t="s">
        <v>820</v>
      </c>
      <c r="F428" s="547"/>
      <c r="G428" s="547"/>
      <c r="H428" s="547"/>
      <c r="I428" s="547">
        <v>-149882709275</v>
      </c>
      <c r="J428" s="547"/>
      <c r="K428" s="547"/>
      <c r="L428" s="547"/>
      <c r="M428" s="547"/>
      <c r="N428" s="547"/>
      <c r="O428" s="547"/>
      <c r="P428" s="547"/>
      <c r="Q428" s="812">
        <f t="shared" si="24"/>
        <v>-149882709275</v>
      </c>
      <c r="R428" s="547">
        <v>-125961757094</v>
      </c>
      <c r="S428" s="812">
        <f t="shared" si="26"/>
        <v>-149883</v>
      </c>
      <c r="T428" s="547">
        <f t="shared" si="26"/>
        <v>-125962</v>
      </c>
      <c r="U428" s="566"/>
      <c r="V428" s="567"/>
      <c r="W428" s="812">
        <f t="shared" si="27"/>
        <v>-149882709275</v>
      </c>
      <c r="X428" s="812">
        <f t="shared" si="25"/>
        <v>-149883</v>
      </c>
    </row>
    <row r="429" spans="1:24" ht="27" customHeight="1">
      <c r="A429" s="531"/>
      <c r="B429" s="531">
        <v>1004</v>
      </c>
      <c r="C429" s="529">
        <v>10</v>
      </c>
      <c r="D429" s="530" t="s">
        <v>1411</v>
      </c>
      <c r="E429" s="531" t="s">
        <v>821</v>
      </c>
      <c r="F429" s="547"/>
      <c r="G429" s="547"/>
      <c r="H429" s="547"/>
      <c r="I429" s="547">
        <v>-742241844046</v>
      </c>
      <c r="J429" s="547"/>
      <c r="K429" s="547"/>
      <c r="L429" s="547"/>
      <c r="M429" s="547"/>
      <c r="N429" s="547"/>
      <c r="O429" s="547"/>
      <c r="P429" s="547"/>
      <c r="Q429" s="812">
        <f t="shared" si="24"/>
        <v>-742241844046</v>
      </c>
      <c r="R429" s="547">
        <v>-680852229940</v>
      </c>
      <c r="S429" s="812">
        <f t="shared" si="26"/>
        <v>-742242</v>
      </c>
      <c r="T429" s="547">
        <f t="shared" si="26"/>
        <v>-680852</v>
      </c>
      <c r="U429" s="566"/>
      <c r="V429" s="567"/>
      <c r="W429" s="812">
        <f t="shared" si="27"/>
        <v>-742241844046</v>
      </c>
      <c r="X429" s="812">
        <f t="shared" si="25"/>
        <v>-742242</v>
      </c>
    </row>
    <row r="430" spans="1:24" ht="27" customHeight="1">
      <c r="A430" s="531"/>
      <c r="B430" s="531">
        <v>1018</v>
      </c>
      <c r="C430" s="529">
        <v>10</v>
      </c>
      <c r="D430" s="530" t="s">
        <v>763</v>
      </c>
      <c r="E430" s="531" t="s">
        <v>823</v>
      </c>
      <c r="F430" s="547">
        <v>-968723309445</v>
      </c>
      <c r="G430" s="547">
        <v>58191146813</v>
      </c>
      <c r="H430" s="547">
        <v>18407609311</v>
      </c>
      <c r="I430" s="547">
        <v>892124553321</v>
      </c>
      <c r="J430" s="547"/>
      <c r="K430" s="547"/>
      <c r="L430" s="547"/>
      <c r="M430" s="547"/>
      <c r="N430" s="547"/>
      <c r="O430" s="547"/>
      <c r="P430" s="547"/>
      <c r="Q430" s="812">
        <f t="shared" si="24"/>
        <v>0</v>
      </c>
      <c r="R430" s="547">
        <v>0</v>
      </c>
      <c r="S430" s="812">
        <f t="shared" si="26"/>
        <v>0</v>
      </c>
      <c r="T430" s="547">
        <f t="shared" si="26"/>
        <v>0</v>
      </c>
      <c r="U430" s="566"/>
      <c r="V430" s="567"/>
      <c r="W430" s="812">
        <f t="shared" si="27"/>
        <v>0</v>
      </c>
      <c r="X430" s="812">
        <f t="shared" si="25"/>
        <v>0</v>
      </c>
    </row>
    <row r="431" spans="1:24" ht="27" customHeight="1">
      <c r="A431" s="531"/>
      <c r="B431" s="531">
        <v>10040</v>
      </c>
      <c r="C431" s="529">
        <v>4</v>
      </c>
      <c r="D431" s="530" t="s">
        <v>763</v>
      </c>
      <c r="E431" s="531" t="s">
        <v>822</v>
      </c>
      <c r="F431" s="547"/>
      <c r="G431" s="547"/>
      <c r="H431" s="547"/>
      <c r="I431" s="547"/>
      <c r="J431" s="547"/>
      <c r="K431" s="547"/>
      <c r="L431" s="547"/>
      <c r="M431" s="547"/>
      <c r="N431" s="547"/>
      <c r="O431" s="547"/>
      <c r="P431" s="547"/>
      <c r="Q431" s="547">
        <f t="shared" si="24"/>
        <v>0</v>
      </c>
      <c r="R431" s="547">
        <v>0</v>
      </c>
      <c r="S431" s="547">
        <f t="shared" si="26"/>
        <v>0</v>
      </c>
      <c r="T431" s="547">
        <f t="shared" si="26"/>
        <v>0</v>
      </c>
      <c r="U431" s="566"/>
      <c r="V431" s="567"/>
      <c r="W431" s="812">
        <f t="shared" si="27"/>
        <v>0</v>
      </c>
      <c r="X431" s="812">
        <f t="shared" si="25"/>
        <v>0</v>
      </c>
    </row>
    <row r="432" spans="1:24" ht="27" customHeight="1">
      <c r="A432" s="531"/>
      <c r="B432" s="531">
        <v>1002</v>
      </c>
      <c r="C432" s="529">
        <v>10</v>
      </c>
      <c r="D432" s="530" t="s">
        <v>21</v>
      </c>
      <c r="E432" s="531" t="s">
        <v>22</v>
      </c>
      <c r="F432" s="547">
        <v>-969451599037</v>
      </c>
      <c r="G432" s="547">
        <v>-250855436865</v>
      </c>
      <c r="H432" s="547">
        <v>4491531212</v>
      </c>
      <c r="I432" s="547">
        <v>923767661699</v>
      </c>
      <c r="J432" s="547">
        <f>691854773</f>
        <v>691854773</v>
      </c>
      <c r="K432" s="547">
        <f>1750000000-912747472+1000000000</f>
        <v>1837252528</v>
      </c>
      <c r="L432" s="547">
        <f>1682484433+125049705+20787697767+812733095+2766065143</f>
        <v>26174030143</v>
      </c>
      <c r="M432" s="547"/>
      <c r="N432" s="547"/>
      <c r="O432" s="547"/>
      <c r="P432" s="547"/>
      <c r="Q432" s="812">
        <f t="shared" si="24"/>
        <v>-263344705547</v>
      </c>
      <c r="R432" s="547">
        <v>-1443986422432</v>
      </c>
      <c r="S432" s="812">
        <f t="shared" si="26"/>
        <v>-263345</v>
      </c>
      <c r="T432" s="547">
        <f t="shared" si="26"/>
        <v>-1443986</v>
      </c>
      <c r="U432" s="566"/>
      <c r="V432" s="567"/>
      <c r="W432" s="812">
        <f t="shared" si="27"/>
        <v>-263344705547</v>
      </c>
      <c r="X432" s="812">
        <f t="shared" si="25"/>
        <v>-263345</v>
      </c>
    </row>
    <row r="433" spans="1:24" ht="27" customHeight="1">
      <c r="A433" s="531"/>
      <c r="B433" s="531">
        <v>1013</v>
      </c>
      <c r="C433" s="529">
        <v>4</v>
      </c>
      <c r="D433" s="530" t="s">
        <v>681</v>
      </c>
      <c r="E433" s="531" t="s">
        <v>682</v>
      </c>
      <c r="F433" s="547">
        <v>139961212731</v>
      </c>
      <c r="G433" s="547">
        <v>18386870303</v>
      </c>
      <c r="H433" s="547">
        <v>244909856029</v>
      </c>
      <c r="I433" s="547">
        <v>611890217</v>
      </c>
      <c r="J433" s="547">
        <v>9925353</v>
      </c>
      <c r="K433" s="547">
        <f>79245570+106310040+77609664+3925860</f>
        <v>267091134</v>
      </c>
      <c r="L433" s="547">
        <f>1254764848+48763986</f>
        <v>1303528834</v>
      </c>
      <c r="M433" s="547"/>
      <c r="N433" s="547"/>
      <c r="O433" s="547"/>
      <c r="P433" s="547"/>
      <c r="Q433" s="812">
        <f t="shared" si="24"/>
        <v>405450374601</v>
      </c>
      <c r="R433" s="547">
        <v>228050841506</v>
      </c>
      <c r="S433" s="812">
        <f>ROUND((Q433/1000000),0)</f>
        <v>405450</v>
      </c>
      <c r="T433" s="547">
        <f t="shared" ref="S433:T467" si="28">ROUND((R433/1000000),0)</f>
        <v>228051</v>
      </c>
      <c r="U433" s="566"/>
      <c r="V433" s="567"/>
      <c r="W433" s="812">
        <f t="shared" si="27"/>
        <v>405450374601</v>
      </c>
      <c r="X433" s="812">
        <f t="shared" si="25"/>
        <v>405450</v>
      </c>
    </row>
    <row r="434" spans="1:24" ht="27" customHeight="1">
      <c r="A434" s="531"/>
      <c r="B434" s="531">
        <v>1013</v>
      </c>
      <c r="C434" s="529">
        <v>4</v>
      </c>
      <c r="D434" s="530" t="s">
        <v>683</v>
      </c>
      <c r="E434" s="531" t="s">
        <v>684</v>
      </c>
      <c r="F434" s="547">
        <v>70167567713</v>
      </c>
      <c r="G434" s="547">
        <v>9975401411</v>
      </c>
      <c r="H434" s="547">
        <v>120340469745</v>
      </c>
      <c r="I434" s="547">
        <v>305812581</v>
      </c>
      <c r="J434" s="547">
        <v>4442260</v>
      </c>
      <c r="K434" s="547">
        <f>40370385+53155020+38804832+1962930</f>
        <v>134293167</v>
      </c>
      <c r="L434" s="547">
        <f>627382424+24381993</f>
        <v>651764417</v>
      </c>
      <c r="M434" s="547"/>
      <c r="N434" s="547"/>
      <c r="O434" s="547"/>
      <c r="P434" s="547"/>
      <c r="Q434" s="812">
        <f t="shared" si="24"/>
        <v>201579751294</v>
      </c>
      <c r="R434" s="547">
        <v>111618640384</v>
      </c>
      <c r="S434" s="812">
        <f t="shared" si="28"/>
        <v>201580</v>
      </c>
      <c r="T434" s="547">
        <f t="shared" si="28"/>
        <v>111619</v>
      </c>
      <c r="U434" s="566"/>
      <c r="V434" s="567"/>
      <c r="W434" s="812">
        <f t="shared" si="27"/>
        <v>201579751294</v>
      </c>
      <c r="X434" s="812">
        <f t="shared" si="25"/>
        <v>201580</v>
      </c>
    </row>
    <row r="435" spans="1:24" ht="27" customHeight="1">
      <c r="A435" s="531"/>
      <c r="B435" s="531">
        <v>1013</v>
      </c>
      <c r="C435" s="529">
        <v>4</v>
      </c>
      <c r="D435" s="530" t="s">
        <v>685</v>
      </c>
      <c r="E435" s="531" t="s">
        <v>688</v>
      </c>
      <c r="F435" s="547">
        <v>-10462206973</v>
      </c>
      <c r="G435" s="547">
        <v>-107097185</v>
      </c>
      <c r="H435" s="547">
        <v>-200012685034</v>
      </c>
      <c r="I435" s="547"/>
      <c r="J435" s="547"/>
      <c r="K435" s="547"/>
      <c r="L435" s="547"/>
      <c r="M435" s="547"/>
      <c r="N435" s="547">
        <v>-1813800</v>
      </c>
      <c r="O435" s="547"/>
      <c r="P435" s="547"/>
      <c r="Q435" s="812">
        <f t="shared" si="24"/>
        <v>-210583802992</v>
      </c>
      <c r="R435" s="547">
        <v>-504874358038</v>
      </c>
      <c r="S435" s="812">
        <f t="shared" si="28"/>
        <v>-210584</v>
      </c>
      <c r="T435" s="547">
        <f t="shared" si="28"/>
        <v>-504874</v>
      </c>
      <c r="U435" s="566"/>
      <c r="V435" s="567"/>
      <c r="W435" s="812">
        <f t="shared" si="27"/>
        <v>-210583802992</v>
      </c>
      <c r="X435" s="812">
        <f t="shared" si="25"/>
        <v>-210584</v>
      </c>
    </row>
    <row r="436" spans="1:24" ht="27" customHeight="1">
      <c r="A436" s="531"/>
      <c r="B436" s="531">
        <v>1013</v>
      </c>
      <c r="C436" s="529">
        <v>4</v>
      </c>
      <c r="D436" s="530" t="s">
        <v>686</v>
      </c>
      <c r="E436" s="531" t="s">
        <v>689</v>
      </c>
      <c r="F436" s="547">
        <v>-269223921216</v>
      </c>
      <c r="G436" s="547">
        <v>-53522941</v>
      </c>
      <c r="H436" s="547">
        <v>-123461036806</v>
      </c>
      <c r="I436" s="547"/>
      <c r="J436" s="547"/>
      <c r="K436" s="547"/>
      <c r="L436" s="547"/>
      <c r="M436" s="547"/>
      <c r="N436" s="547">
        <v>-906900</v>
      </c>
      <c r="O436" s="547"/>
      <c r="P436" s="547"/>
      <c r="Q436" s="812">
        <f t="shared" si="24"/>
        <v>-392739387863</v>
      </c>
      <c r="R436" s="547">
        <v>-376695909119</v>
      </c>
      <c r="S436" s="812">
        <f t="shared" si="28"/>
        <v>-392739</v>
      </c>
      <c r="T436" s="547">
        <f t="shared" si="28"/>
        <v>-376696</v>
      </c>
      <c r="U436" s="566"/>
      <c r="V436" s="567"/>
      <c r="W436" s="812">
        <f t="shared" si="27"/>
        <v>-392739387863</v>
      </c>
      <c r="X436" s="812">
        <f t="shared" si="25"/>
        <v>-392739</v>
      </c>
    </row>
    <row r="437" spans="1:24" ht="27" customHeight="1">
      <c r="A437" s="531"/>
      <c r="B437" s="531">
        <v>1013</v>
      </c>
      <c r="C437" s="529">
        <v>4</v>
      </c>
      <c r="D437" s="530" t="s">
        <v>687</v>
      </c>
      <c r="E437" s="531" t="s">
        <v>691</v>
      </c>
      <c r="F437" s="547">
        <v>24221509211</v>
      </c>
      <c r="G437" s="547">
        <v>14685621412</v>
      </c>
      <c r="H437" s="547">
        <v>195919799579</v>
      </c>
      <c r="I437" s="547"/>
      <c r="J437" s="547"/>
      <c r="K437" s="547"/>
      <c r="L437" s="547"/>
      <c r="M437" s="547"/>
      <c r="N437" s="547">
        <f>-111471675089-46712669718-14944453105-2224770292</f>
        <v>-175353568204</v>
      </c>
      <c r="O437" s="547"/>
      <c r="P437" s="547"/>
      <c r="Q437" s="812">
        <f t="shared" si="24"/>
        <v>59473361998</v>
      </c>
      <c r="R437" s="547">
        <v>6958914855</v>
      </c>
      <c r="S437" s="812">
        <f t="shared" si="28"/>
        <v>59473</v>
      </c>
      <c r="T437" s="547">
        <f t="shared" si="28"/>
        <v>6959</v>
      </c>
      <c r="U437" s="566"/>
      <c r="V437" s="567"/>
      <c r="W437" s="812">
        <f t="shared" si="27"/>
        <v>59473361998</v>
      </c>
      <c r="X437" s="812">
        <f t="shared" si="25"/>
        <v>59473</v>
      </c>
    </row>
    <row r="438" spans="1:24" ht="27" customHeight="1">
      <c r="A438" s="531"/>
      <c r="B438" s="531">
        <v>1013</v>
      </c>
      <c r="C438" s="529">
        <v>4</v>
      </c>
      <c r="D438" s="530" t="s">
        <v>690</v>
      </c>
      <c r="E438" s="531" t="s">
        <v>692</v>
      </c>
      <c r="F438" s="547">
        <v>12127369270</v>
      </c>
      <c r="G438" s="547">
        <v>7262673541</v>
      </c>
      <c r="H438" s="547">
        <v>101604846602</v>
      </c>
      <c r="I438" s="547"/>
      <c r="J438" s="547"/>
      <c r="K438" s="547"/>
      <c r="L438" s="547"/>
      <c r="M438" s="547"/>
      <c r="N438" s="547">
        <f>-55735837544-23356334859-7472226552-1112385146</f>
        <v>-87676784101</v>
      </c>
      <c r="O438" s="547"/>
      <c r="P438" s="547"/>
      <c r="Q438" s="812">
        <f t="shared" si="24"/>
        <v>33318105312</v>
      </c>
      <c r="R438" s="547">
        <v>7115226945</v>
      </c>
      <c r="S438" s="812">
        <f t="shared" si="28"/>
        <v>33318</v>
      </c>
      <c r="T438" s="547">
        <f t="shared" si="28"/>
        <v>7115</v>
      </c>
      <c r="U438" s="566"/>
      <c r="V438" s="567"/>
      <c r="W438" s="812">
        <f t="shared" si="27"/>
        <v>33318105312</v>
      </c>
      <c r="X438" s="812">
        <f t="shared" si="25"/>
        <v>33318</v>
      </c>
    </row>
    <row r="439" spans="1:24" ht="27" customHeight="1">
      <c r="A439" s="531"/>
      <c r="B439" s="531">
        <v>100201</v>
      </c>
      <c r="C439" s="529">
        <v>10</v>
      </c>
      <c r="D439" s="530" t="s">
        <v>23</v>
      </c>
      <c r="E439" s="531" t="s">
        <v>537</v>
      </c>
      <c r="F439" s="547">
        <v>-2109271701212</v>
      </c>
      <c r="G439" s="547"/>
      <c r="H439" s="547"/>
      <c r="I439" s="547">
        <v>-194491509331</v>
      </c>
      <c r="J439" s="547">
        <v>-197919248830</v>
      </c>
      <c r="K439" s="547"/>
      <c r="L439" s="547"/>
      <c r="M439" s="547"/>
      <c r="N439" s="547">
        <f>422941326072+307839696188-30530567911</f>
        <v>700250454349</v>
      </c>
      <c r="O439" s="547"/>
      <c r="P439" s="547"/>
      <c r="Q439" s="547">
        <f t="shared" si="24"/>
        <v>-1801432005024</v>
      </c>
      <c r="R439" s="547">
        <v>-2109271701212</v>
      </c>
      <c r="S439" s="547">
        <f t="shared" si="28"/>
        <v>-1801432</v>
      </c>
      <c r="T439" s="547">
        <f t="shared" si="28"/>
        <v>-2109272</v>
      </c>
      <c r="U439" s="566"/>
      <c r="V439" s="567"/>
      <c r="W439" s="812">
        <f t="shared" si="27"/>
        <v>-1801432005024</v>
      </c>
      <c r="X439" s="812">
        <f t="shared" si="25"/>
        <v>-1801432</v>
      </c>
    </row>
    <row r="440" spans="1:24" ht="27" customHeight="1">
      <c r="A440" s="531">
        <v>3214</v>
      </c>
      <c r="B440" s="531">
        <v>100201</v>
      </c>
      <c r="C440" s="529">
        <v>10</v>
      </c>
      <c r="D440" s="530" t="s">
        <v>23</v>
      </c>
      <c r="E440" s="531" t="s">
        <v>537</v>
      </c>
      <c r="F440" s="547"/>
      <c r="G440" s="547"/>
      <c r="H440" s="547"/>
      <c r="I440" s="547"/>
      <c r="J440" s="547"/>
      <c r="K440" s="547"/>
      <c r="L440" s="547"/>
      <c r="M440" s="547"/>
      <c r="N440" s="547"/>
      <c r="O440" s="547"/>
      <c r="P440" s="547"/>
      <c r="Q440" s="547">
        <f t="shared" si="24"/>
        <v>0</v>
      </c>
      <c r="R440" s="547"/>
      <c r="S440" s="547">
        <f t="shared" si="28"/>
        <v>0</v>
      </c>
      <c r="T440" s="547">
        <f t="shared" si="28"/>
        <v>0</v>
      </c>
      <c r="U440" s="566"/>
      <c r="V440" s="567"/>
      <c r="W440" s="812">
        <f t="shared" si="27"/>
        <v>0</v>
      </c>
      <c r="X440" s="812">
        <f t="shared" si="25"/>
        <v>0</v>
      </c>
    </row>
    <row r="441" spans="1:24" ht="27" customHeight="1">
      <c r="A441" s="531"/>
      <c r="B441" s="531">
        <v>100201</v>
      </c>
      <c r="C441" s="529">
        <v>10</v>
      </c>
      <c r="D441" s="530" t="s">
        <v>1159</v>
      </c>
      <c r="E441" s="531" t="s">
        <v>1160</v>
      </c>
      <c r="F441" s="547">
        <v>-137914963415</v>
      </c>
      <c r="G441" s="547"/>
      <c r="H441" s="547"/>
      <c r="I441" s="547">
        <v>-3722708310</v>
      </c>
      <c r="J441" s="547"/>
      <c r="K441" s="547"/>
      <c r="L441" s="547"/>
      <c r="M441" s="547"/>
      <c r="N441" s="547"/>
      <c r="O441" s="547"/>
      <c r="P441" s="547"/>
      <c r="Q441" s="547">
        <f t="shared" si="24"/>
        <v>-141637671725</v>
      </c>
      <c r="R441" s="547">
        <v>-137914963415</v>
      </c>
      <c r="S441" s="547">
        <f t="shared" si="28"/>
        <v>-141638</v>
      </c>
      <c r="T441" s="547">
        <f t="shared" si="28"/>
        <v>-137915</v>
      </c>
      <c r="U441" s="566"/>
      <c r="V441" s="567"/>
      <c r="W441" s="812">
        <f t="shared" si="27"/>
        <v>-141637671725</v>
      </c>
      <c r="X441" s="812">
        <f t="shared" si="25"/>
        <v>-141638</v>
      </c>
    </row>
    <row r="442" spans="1:24" ht="27" customHeight="1">
      <c r="A442" s="531"/>
      <c r="B442" s="531">
        <v>10040</v>
      </c>
      <c r="C442" s="529">
        <v>4</v>
      </c>
      <c r="D442" s="530" t="s">
        <v>1195</v>
      </c>
      <c r="E442" s="531" t="s">
        <v>1196</v>
      </c>
      <c r="F442" s="547"/>
      <c r="G442" s="547"/>
      <c r="H442" s="547"/>
      <c r="I442" s="547">
        <f>-1607148210659+1607148210659</f>
        <v>0</v>
      </c>
      <c r="J442" s="547"/>
      <c r="K442" s="547"/>
      <c r="L442" s="547"/>
      <c r="M442" s="547"/>
      <c r="N442" s="547"/>
      <c r="O442" s="547"/>
      <c r="P442" s="547"/>
      <c r="Q442" s="547">
        <f t="shared" si="24"/>
        <v>0</v>
      </c>
      <c r="R442" s="547">
        <v>0</v>
      </c>
      <c r="S442" s="547">
        <f t="shared" si="28"/>
        <v>0</v>
      </c>
      <c r="T442" s="547">
        <f t="shared" si="28"/>
        <v>0</v>
      </c>
      <c r="U442" s="566"/>
      <c r="V442" s="567"/>
      <c r="W442" s="812">
        <f t="shared" si="27"/>
        <v>0</v>
      </c>
      <c r="X442" s="812">
        <f t="shared" si="25"/>
        <v>0</v>
      </c>
    </row>
    <row r="443" spans="1:24" ht="27" customHeight="1">
      <c r="A443" s="531"/>
      <c r="B443" s="531">
        <v>100201</v>
      </c>
      <c r="C443" s="529">
        <v>10</v>
      </c>
      <c r="D443" s="530" t="s">
        <v>1473</v>
      </c>
      <c r="E443" s="531" t="s">
        <v>1496</v>
      </c>
      <c r="F443" s="547">
        <v>-1703608742748</v>
      </c>
      <c r="G443" s="547">
        <v>-12997306752</v>
      </c>
      <c r="H443" s="547">
        <v>-330480620076</v>
      </c>
      <c r="I443" s="547">
        <f>-4472313998667+1607148210659</f>
        <v>-2865165788008</v>
      </c>
      <c r="J443" s="547">
        <v>-4194603420041</v>
      </c>
      <c r="K443" s="547">
        <f>2877268458200+1548272015043+804711703155-69409566538</f>
        <v>5160842609860</v>
      </c>
      <c r="L443" s="547">
        <f>370592349109+76311517366+12183945163</f>
        <v>459087811638</v>
      </c>
      <c r="M443" s="547"/>
      <c r="N443" s="547">
        <f>78918155730+1701981386856+167207512633+70416986324-347981747+22416679657+3337155438+597446227922+1244895754752+744415944433</f>
        <v>4630687821998</v>
      </c>
      <c r="O443" s="547">
        <f>-1607148210659-36711945254-55644741586-1225232627107</f>
        <v>-2924737524606</v>
      </c>
      <c r="P443" s="547">
        <f>1607148210659+36711945254</f>
        <v>1643860155913</v>
      </c>
      <c r="Q443" s="547">
        <f t="shared" si="24"/>
        <v>-137115002822</v>
      </c>
      <c r="R443" s="547">
        <v>-2149910544979</v>
      </c>
      <c r="S443" s="547">
        <f t="shared" si="28"/>
        <v>-137115</v>
      </c>
      <c r="T443" s="547">
        <f t="shared" si="28"/>
        <v>-2149911</v>
      </c>
      <c r="U443" s="566"/>
      <c r="V443" s="567"/>
      <c r="W443" s="812">
        <f t="shared" si="27"/>
        <v>-137115002822</v>
      </c>
      <c r="X443" s="812">
        <f t="shared" si="25"/>
        <v>-137115</v>
      </c>
    </row>
    <row r="444" spans="1:24" ht="27" customHeight="1">
      <c r="A444" s="531">
        <v>3214</v>
      </c>
      <c r="B444" s="531">
        <v>100201</v>
      </c>
      <c r="C444" s="529">
        <v>10</v>
      </c>
      <c r="D444" s="530" t="s">
        <v>1473</v>
      </c>
      <c r="E444" s="531" t="s">
        <v>1496</v>
      </c>
      <c r="F444" s="547">
        <v>0</v>
      </c>
      <c r="G444" s="547">
        <v>0</v>
      </c>
      <c r="H444" s="547">
        <v>0</v>
      </c>
      <c r="I444" s="547">
        <v>-1607148210659</v>
      </c>
      <c r="J444" s="547"/>
      <c r="K444" s="547">
        <v>1607148210659</v>
      </c>
      <c r="L444" s="547"/>
      <c r="M444" s="547"/>
      <c r="N444" s="547"/>
      <c r="O444" s="547"/>
      <c r="P444" s="547"/>
      <c r="Q444" s="547">
        <f t="shared" si="24"/>
        <v>0</v>
      </c>
      <c r="R444" s="547">
        <v>0</v>
      </c>
      <c r="S444" s="547">
        <f t="shared" si="28"/>
        <v>0</v>
      </c>
      <c r="T444" s="547">
        <f t="shared" si="28"/>
        <v>0</v>
      </c>
      <c r="U444" s="566"/>
      <c r="V444" s="567"/>
      <c r="W444" s="812">
        <f t="shared" si="27"/>
        <v>0</v>
      </c>
      <c r="X444" s="812">
        <f t="shared" si="25"/>
        <v>0</v>
      </c>
    </row>
    <row r="445" spans="1:24" ht="27" customHeight="1">
      <c r="A445" s="531">
        <v>3214</v>
      </c>
      <c r="B445" s="531">
        <v>100201</v>
      </c>
      <c r="C445" s="529">
        <v>10</v>
      </c>
      <c r="D445" s="530" t="s">
        <v>538</v>
      </c>
      <c r="E445" s="531" t="s">
        <v>1441</v>
      </c>
      <c r="F445" s="547">
        <v>-24866347713</v>
      </c>
      <c r="G445" s="547"/>
      <c r="H445" s="547"/>
      <c r="I445" s="547">
        <v>164942000</v>
      </c>
      <c r="J445" s="547"/>
      <c r="K445" s="547">
        <f>-164942000</f>
        <v>-164942000</v>
      </c>
      <c r="L445" s="547"/>
      <c r="M445" s="547"/>
      <c r="N445" s="547"/>
      <c r="O445" s="547">
        <v>164942000</v>
      </c>
      <c r="P445" s="547"/>
      <c r="Q445" s="547">
        <f t="shared" si="24"/>
        <v>-24701405713</v>
      </c>
      <c r="R445" s="547">
        <v>0</v>
      </c>
      <c r="S445" s="683">
        <f t="shared" si="28"/>
        <v>-24701</v>
      </c>
      <c r="T445" s="547">
        <f t="shared" si="28"/>
        <v>0</v>
      </c>
      <c r="U445" s="566"/>
      <c r="V445" s="567"/>
      <c r="W445" s="812">
        <f t="shared" si="27"/>
        <v>-24701405713</v>
      </c>
      <c r="X445" s="812">
        <f t="shared" si="25"/>
        <v>-24701</v>
      </c>
    </row>
    <row r="446" spans="1:24" ht="27" customHeight="1">
      <c r="A446" s="531"/>
      <c r="B446" s="531">
        <v>1011</v>
      </c>
      <c r="C446" s="529">
        <v>10</v>
      </c>
      <c r="D446" s="530" t="s">
        <v>540</v>
      </c>
      <c r="E446" s="531" t="s">
        <v>229</v>
      </c>
      <c r="F446" s="547">
        <v>-1385583548</v>
      </c>
      <c r="G446" s="547">
        <v>449941673</v>
      </c>
      <c r="H446" s="547"/>
      <c r="I446" s="547"/>
      <c r="J446" s="547"/>
      <c r="K446" s="547"/>
      <c r="L446" s="547"/>
      <c r="M446" s="547"/>
      <c r="N446" s="547"/>
      <c r="O446" s="547"/>
      <c r="P446" s="547"/>
      <c r="Q446" s="812">
        <f t="shared" si="24"/>
        <v>-935641875</v>
      </c>
      <c r="R446" s="547">
        <v>-1556493185</v>
      </c>
      <c r="S446" s="812">
        <f t="shared" si="28"/>
        <v>-936</v>
      </c>
      <c r="T446" s="547">
        <f t="shared" si="28"/>
        <v>-1556</v>
      </c>
      <c r="U446" s="566"/>
      <c r="V446" s="567"/>
      <c r="W446" s="812">
        <f t="shared" si="27"/>
        <v>-935641875</v>
      </c>
      <c r="X446" s="812">
        <f t="shared" si="25"/>
        <v>-936</v>
      </c>
    </row>
    <row r="447" spans="1:24" ht="27" customHeight="1">
      <c r="A447" s="531"/>
      <c r="B447" s="531">
        <v>1014</v>
      </c>
      <c r="C447" s="529">
        <v>10</v>
      </c>
      <c r="D447" s="530" t="s">
        <v>541</v>
      </c>
      <c r="E447" s="531" t="s">
        <v>693</v>
      </c>
      <c r="F447" s="547">
        <v>-42273730303</v>
      </c>
      <c r="G447" s="547">
        <v>-586576870</v>
      </c>
      <c r="H447" s="547"/>
      <c r="I447" s="547"/>
      <c r="J447" s="547"/>
      <c r="K447" s="547"/>
      <c r="L447" s="547"/>
      <c r="M447" s="547"/>
      <c r="N447" s="547"/>
      <c r="O447" s="547"/>
      <c r="P447" s="547"/>
      <c r="Q447" s="812">
        <f t="shared" si="24"/>
        <v>-42860307173</v>
      </c>
      <c r="R447" s="547">
        <v>-23242911820</v>
      </c>
      <c r="S447" s="812">
        <f t="shared" si="28"/>
        <v>-42860</v>
      </c>
      <c r="T447" s="547">
        <f t="shared" si="28"/>
        <v>-23243</v>
      </c>
      <c r="U447" s="566"/>
      <c r="V447" s="567"/>
      <c r="W447" s="812">
        <f t="shared" si="27"/>
        <v>-42860307173</v>
      </c>
      <c r="X447" s="812">
        <f t="shared" si="25"/>
        <v>-42860</v>
      </c>
    </row>
    <row r="448" spans="1:24" ht="27" customHeight="1">
      <c r="A448" s="531">
        <v>3214</v>
      </c>
      <c r="B448" s="531">
        <v>1014</v>
      </c>
      <c r="C448" s="529">
        <v>10</v>
      </c>
      <c r="D448" s="530" t="s">
        <v>541</v>
      </c>
      <c r="E448" s="531" t="s">
        <v>1626</v>
      </c>
      <c r="F448" s="547"/>
      <c r="G448" s="547"/>
      <c r="H448" s="547"/>
      <c r="I448" s="547"/>
      <c r="J448" s="547">
        <v>-42738271</v>
      </c>
      <c r="K448" s="547">
        <v>42738271</v>
      </c>
      <c r="L448" s="547"/>
      <c r="M448" s="547"/>
      <c r="N448" s="547"/>
      <c r="O448" s="547">
        <f>-42738271-1376886586-777942540</f>
        <v>-2197567397</v>
      </c>
      <c r="P448" s="547"/>
      <c r="Q448" s="812">
        <f t="shared" si="24"/>
        <v>-2197567397</v>
      </c>
      <c r="R448" s="547"/>
      <c r="S448" s="812">
        <f t="shared" si="28"/>
        <v>-2198</v>
      </c>
      <c r="T448" s="547">
        <f t="shared" si="28"/>
        <v>0</v>
      </c>
      <c r="U448" s="566"/>
      <c r="V448" s="567"/>
      <c r="W448" s="812">
        <f t="shared" si="27"/>
        <v>-2197567397</v>
      </c>
      <c r="X448" s="812">
        <f t="shared" si="25"/>
        <v>-2198</v>
      </c>
    </row>
    <row r="449" spans="1:24" ht="27" customHeight="1">
      <c r="A449" s="531"/>
      <c r="B449" s="531">
        <v>1007</v>
      </c>
      <c r="C449" s="529">
        <v>10</v>
      </c>
      <c r="D449" s="530" t="s">
        <v>543</v>
      </c>
      <c r="E449" s="531" t="s">
        <v>544</v>
      </c>
      <c r="F449" s="547">
        <v>-124736092734</v>
      </c>
      <c r="G449" s="547">
        <v>-676258256</v>
      </c>
      <c r="H449" s="547"/>
      <c r="I449" s="547">
        <f>-365098339400+365045858898</f>
        <v>-52480502</v>
      </c>
      <c r="J449" s="547"/>
      <c r="K449" s="547"/>
      <c r="L449" s="547">
        <f>80139291-160278582</f>
        <v>-80139291</v>
      </c>
      <c r="M449" s="547"/>
      <c r="N449" s="547"/>
      <c r="O449" s="547"/>
      <c r="P449" s="547"/>
      <c r="Q449" s="812">
        <f t="shared" si="24"/>
        <v>-125544970783</v>
      </c>
      <c r="R449" s="547">
        <v>-133775096236</v>
      </c>
      <c r="S449" s="812">
        <f t="shared" si="28"/>
        <v>-125545</v>
      </c>
      <c r="T449" s="547">
        <f t="shared" si="28"/>
        <v>-133775</v>
      </c>
      <c r="U449" s="566"/>
      <c r="V449" s="567"/>
      <c r="W449" s="812">
        <f t="shared" si="27"/>
        <v>-125544970783</v>
      </c>
      <c r="X449" s="812">
        <f t="shared" si="25"/>
        <v>-125545</v>
      </c>
    </row>
    <row r="450" spans="1:24" ht="27" customHeight="1">
      <c r="A450" s="531">
        <v>3214</v>
      </c>
      <c r="B450" s="531">
        <v>1007</v>
      </c>
      <c r="C450" s="529">
        <v>10</v>
      </c>
      <c r="D450" s="530" t="s">
        <v>543</v>
      </c>
      <c r="E450" s="531" t="s">
        <v>1442</v>
      </c>
      <c r="F450" s="547"/>
      <c r="G450" s="547"/>
      <c r="H450" s="547"/>
      <c r="I450" s="547">
        <v>-365045858890</v>
      </c>
      <c r="J450" s="547"/>
      <c r="K450" s="547">
        <f>74729088696+290316770202</f>
        <v>365045858898</v>
      </c>
      <c r="L450" s="547"/>
      <c r="M450" s="547"/>
      <c r="N450" s="547"/>
      <c r="O450" s="547">
        <f>-74729088696-290316770202-216233915</f>
        <v>-365262092813</v>
      </c>
      <c r="P450" s="547"/>
      <c r="Q450" s="812">
        <f t="shared" si="24"/>
        <v>-365262092805</v>
      </c>
      <c r="R450" s="547">
        <v>-271876820753</v>
      </c>
      <c r="S450" s="812">
        <f t="shared" si="28"/>
        <v>-365262</v>
      </c>
      <c r="T450" s="547">
        <f t="shared" si="28"/>
        <v>-271877</v>
      </c>
      <c r="U450" s="566"/>
      <c r="V450" s="567"/>
      <c r="W450" s="812">
        <f t="shared" si="27"/>
        <v>-365262092805</v>
      </c>
      <c r="X450" s="812">
        <f t="shared" si="25"/>
        <v>-365262</v>
      </c>
    </row>
    <row r="451" spans="1:24" ht="27" customHeight="1">
      <c r="A451" s="531"/>
      <c r="B451" s="531">
        <v>1007</v>
      </c>
      <c r="C451" s="529">
        <v>10</v>
      </c>
      <c r="D451" s="530" t="s">
        <v>545</v>
      </c>
      <c r="E451" s="531" t="s">
        <v>510</v>
      </c>
      <c r="F451" s="547">
        <v>-715893006</v>
      </c>
      <c r="G451" s="547">
        <v>715893006</v>
      </c>
      <c r="H451" s="547"/>
      <c r="I451" s="547"/>
      <c r="J451" s="547"/>
      <c r="K451" s="547"/>
      <c r="L451" s="547"/>
      <c r="M451" s="547"/>
      <c r="N451" s="547"/>
      <c r="O451" s="547"/>
      <c r="P451" s="547"/>
      <c r="Q451" s="812">
        <f t="shared" si="24"/>
        <v>0</v>
      </c>
      <c r="R451" s="547">
        <v>0</v>
      </c>
      <c r="S451" s="812">
        <f t="shared" si="28"/>
        <v>0</v>
      </c>
      <c r="T451" s="547">
        <f t="shared" si="28"/>
        <v>0</v>
      </c>
      <c r="U451" s="566"/>
      <c r="V451" s="567"/>
      <c r="W451" s="812">
        <f t="shared" si="27"/>
        <v>0</v>
      </c>
      <c r="X451" s="812">
        <f t="shared" si="25"/>
        <v>0</v>
      </c>
    </row>
    <row r="452" spans="1:24" ht="27" customHeight="1">
      <c r="A452" s="531"/>
      <c r="B452" s="531">
        <v>1008</v>
      </c>
      <c r="C452" s="529">
        <v>10</v>
      </c>
      <c r="D452" s="530" t="s">
        <v>511</v>
      </c>
      <c r="E452" s="531" t="s">
        <v>512</v>
      </c>
      <c r="F452" s="547">
        <v>-1009421168</v>
      </c>
      <c r="G452" s="547"/>
      <c r="H452" s="547"/>
      <c r="I452" s="547"/>
      <c r="J452" s="547"/>
      <c r="K452" s="547"/>
      <c r="L452" s="547"/>
      <c r="M452" s="547"/>
      <c r="N452" s="547"/>
      <c r="O452" s="547"/>
      <c r="P452" s="547"/>
      <c r="Q452" s="812">
        <f t="shared" ref="Q452:Q515" si="29">SUM(F452:P452)</f>
        <v>-1009421168</v>
      </c>
      <c r="R452" s="547">
        <v>-1009421168</v>
      </c>
      <c r="S452" s="812">
        <f t="shared" si="28"/>
        <v>-1009</v>
      </c>
      <c r="T452" s="547">
        <f t="shared" si="28"/>
        <v>-1009</v>
      </c>
      <c r="U452" s="566"/>
      <c r="V452" s="567"/>
      <c r="W452" s="812">
        <f t="shared" si="27"/>
        <v>-1009421168</v>
      </c>
      <c r="X452" s="812">
        <f t="shared" si="25"/>
        <v>-1009</v>
      </c>
    </row>
    <row r="453" spans="1:24" ht="27" customHeight="1">
      <c r="A453" s="531"/>
      <c r="B453" s="531">
        <v>1008</v>
      </c>
      <c r="C453" s="529">
        <v>10</v>
      </c>
      <c r="D453" s="530" t="s">
        <v>513</v>
      </c>
      <c r="E453" s="531" t="s">
        <v>279</v>
      </c>
      <c r="F453" s="547">
        <v>-64251112622</v>
      </c>
      <c r="G453" s="547">
        <v>-113975292</v>
      </c>
      <c r="H453" s="547"/>
      <c r="I453" s="547">
        <f>-128969570557+128934828782</f>
        <v>-34741775</v>
      </c>
      <c r="J453" s="547"/>
      <c r="K453" s="547"/>
      <c r="L453" s="547">
        <f>160278582-80139291</f>
        <v>80139291</v>
      </c>
      <c r="M453" s="547"/>
      <c r="N453" s="547"/>
      <c r="O453" s="547"/>
      <c r="P453" s="547"/>
      <c r="Q453" s="812">
        <f t="shared" si="29"/>
        <v>-64319690398</v>
      </c>
      <c r="R453" s="547">
        <v>-83797997981</v>
      </c>
      <c r="S453" s="812">
        <f t="shared" si="28"/>
        <v>-64320</v>
      </c>
      <c r="T453" s="547">
        <f t="shared" si="28"/>
        <v>-83798</v>
      </c>
      <c r="U453" s="566"/>
      <c r="V453" s="567"/>
      <c r="W453" s="812">
        <f t="shared" si="27"/>
        <v>-64319690398</v>
      </c>
      <c r="X453" s="812">
        <f t="shared" si="25"/>
        <v>-64320</v>
      </c>
    </row>
    <row r="454" spans="1:24" ht="27" customHeight="1">
      <c r="A454" s="531">
        <v>3214</v>
      </c>
      <c r="B454" s="531">
        <v>1008</v>
      </c>
      <c r="C454" s="529">
        <v>10</v>
      </c>
      <c r="D454" s="530" t="s">
        <v>513</v>
      </c>
      <c r="E454" s="531" t="s">
        <v>1443</v>
      </c>
      <c r="F454" s="547"/>
      <c r="G454" s="547"/>
      <c r="H454" s="547"/>
      <c r="I454" s="547">
        <v>-128934828782</v>
      </c>
      <c r="J454" s="547"/>
      <c r="K454" s="547">
        <f>128934828782</f>
        <v>128934828782</v>
      </c>
      <c r="L454" s="547"/>
      <c r="M454" s="547"/>
      <c r="N454" s="547"/>
      <c r="O454" s="547">
        <f>-128934828782-670186608</f>
        <v>-129605015390</v>
      </c>
      <c r="P454" s="547"/>
      <c r="Q454" s="812">
        <f t="shared" si="29"/>
        <v>-129605015390</v>
      </c>
      <c r="R454" s="547">
        <v>-103073072284</v>
      </c>
      <c r="S454" s="812">
        <f t="shared" si="28"/>
        <v>-129605</v>
      </c>
      <c r="T454" s="547">
        <f t="shared" si="28"/>
        <v>-103073</v>
      </c>
      <c r="U454" s="566"/>
      <c r="V454" s="567"/>
      <c r="W454" s="812">
        <f t="shared" si="27"/>
        <v>-129605015390</v>
      </c>
      <c r="X454" s="812">
        <f t="shared" si="25"/>
        <v>-129605</v>
      </c>
    </row>
    <row r="455" spans="1:24" ht="27" customHeight="1">
      <c r="A455" s="531"/>
      <c r="B455" s="531">
        <v>1007</v>
      </c>
      <c r="C455" s="529">
        <v>10</v>
      </c>
      <c r="D455" s="530" t="s">
        <v>499</v>
      </c>
      <c r="E455" s="531" t="s">
        <v>694</v>
      </c>
      <c r="F455" s="547">
        <v>-18138801613</v>
      </c>
      <c r="G455" s="547"/>
      <c r="H455" s="547"/>
      <c r="I455" s="547">
        <v>0</v>
      </c>
      <c r="J455" s="547"/>
      <c r="K455" s="547"/>
      <c r="L455" s="547"/>
      <c r="M455" s="547"/>
      <c r="N455" s="547"/>
      <c r="O455" s="547"/>
      <c r="P455" s="547"/>
      <c r="Q455" s="812">
        <f t="shared" si="29"/>
        <v>-18138801613</v>
      </c>
      <c r="R455" s="547">
        <v>-7113932144</v>
      </c>
      <c r="S455" s="812">
        <f t="shared" si="28"/>
        <v>-18139</v>
      </c>
      <c r="T455" s="547">
        <f t="shared" si="28"/>
        <v>-7114</v>
      </c>
      <c r="U455" s="566"/>
      <c r="V455" s="567"/>
      <c r="W455" s="812">
        <f t="shared" si="27"/>
        <v>-18138801613</v>
      </c>
      <c r="X455" s="812">
        <f t="shared" si="25"/>
        <v>-18139</v>
      </c>
    </row>
    <row r="456" spans="1:24" ht="27" customHeight="1">
      <c r="A456" s="531">
        <v>3214</v>
      </c>
      <c r="B456" s="531">
        <v>1007</v>
      </c>
      <c r="C456" s="529">
        <v>10</v>
      </c>
      <c r="D456" s="530" t="s">
        <v>499</v>
      </c>
      <c r="E456" s="531" t="s">
        <v>1444</v>
      </c>
      <c r="F456" s="547"/>
      <c r="G456" s="547"/>
      <c r="H456" s="547"/>
      <c r="I456" s="547">
        <v>-69306189412</v>
      </c>
      <c r="J456" s="547"/>
      <c r="K456" s="547">
        <f>2864963088+138843005+66302383319</f>
        <v>69306189412</v>
      </c>
      <c r="L456" s="547"/>
      <c r="M456" s="547"/>
      <c r="N456" s="547"/>
      <c r="O456" s="547">
        <f>-2864963088-138843005-66302383319</f>
        <v>-69306189412</v>
      </c>
      <c r="P456" s="547"/>
      <c r="Q456" s="812">
        <f t="shared" si="29"/>
        <v>-69306189412</v>
      </c>
      <c r="R456" s="547">
        <v>-268022180425</v>
      </c>
      <c r="S456" s="812">
        <f t="shared" si="28"/>
        <v>-69306</v>
      </c>
      <c r="T456" s="547">
        <f t="shared" si="28"/>
        <v>-268022</v>
      </c>
      <c r="U456" s="566"/>
      <c r="V456" s="567"/>
      <c r="W456" s="812">
        <f t="shared" si="27"/>
        <v>-69306189412</v>
      </c>
      <c r="X456" s="812">
        <f t="shared" si="25"/>
        <v>-69306</v>
      </c>
    </row>
    <row r="457" spans="1:24" ht="27" customHeight="1">
      <c r="A457" s="531"/>
      <c r="B457" s="531">
        <v>1018</v>
      </c>
      <c r="C457" s="529">
        <v>10</v>
      </c>
      <c r="D457" s="530" t="s">
        <v>501</v>
      </c>
      <c r="E457" s="531" t="s">
        <v>695</v>
      </c>
      <c r="F457" s="547">
        <v>-197900000</v>
      </c>
      <c r="G457" s="547"/>
      <c r="H457" s="547"/>
      <c r="I457" s="547"/>
      <c r="J457" s="547"/>
      <c r="K457" s="547"/>
      <c r="L457" s="547"/>
      <c r="M457" s="547"/>
      <c r="N457" s="547"/>
      <c r="O457" s="547"/>
      <c r="P457" s="547"/>
      <c r="Q457" s="812">
        <f t="shared" si="29"/>
        <v>-197900000</v>
      </c>
      <c r="R457" s="547">
        <v>-50900000</v>
      </c>
      <c r="S457" s="812">
        <f t="shared" si="28"/>
        <v>-198</v>
      </c>
      <c r="T457" s="547">
        <f t="shared" si="28"/>
        <v>-51</v>
      </c>
      <c r="U457" s="566"/>
      <c r="V457" s="567"/>
      <c r="W457" s="812">
        <f t="shared" si="27"/>
        <v>-197900000</v>
      </c>
      <c r="X457" s="812">
        <f t="shared" si="25"/>
        <v>-198</v>
      </c>
    </row>
    <row r="458" spans="1:24" ht="27" customHeight="1">
      <c r="A458" s="531"/>
      <c r="B458" s="531">
        <v>1016</v>
      </c>
      <c r="C458" s="529">
        <v>10</v>
      </c>
      <c r="D458" s="530" t="s">
        <v>503</v>
      </c>
      <c r="E458" s="531" t="s">
        <v>504</v>
      </c>
      <c r="F458" s="547">
        <v>-65422850461</v>
      </c>
      <c r="G458" s="547">
        <v>12755000</v>
      </c>
      <c r="H458" s="547">
        <v>252500</v>
      </c>
      <c r="I458" s="547">
        <v>-4538400000</v>
      </c>
      <c r="J458" s="547"/>
      <c r="K458" s="547"/>
      <c r="L458" s="547"/>
      <c r="M458" s="547"/>
      <c r="N458" s="547"/>
      <c r="O458" s="547"/>
      <c r="P458" s="547"/>
      <c r="Q458" s="812">
        <f t="shared" si="29"/>
        <v>-69948242961</v>
      </c>
      <c r="R458" s="547">
        <v>-50305874180</v>
      </c>
      <c r="S458" s="812">
        <f>ROUND((Q458/1000000),0)+1</f>
        <v>-69947</v>
      </c>
      <c r="T458" s="547">
        <f t="shared" si="28"/>
        <v>-50306</v>
      </c>
      <c r="U458" s="566"/>
      <c r="V458" s="567"/>
      <c r="W458" s="812">
        <f t="shared" si="27"/>
        <v>-69948242961</v>
      </c>
      <c r="X458" s="812">
        <f t="shared" si="25"/>
        <v>-69948</v>
      </c>
    </row>
    <row r="459" spans="1:24" ht="27" customHeight="1">
      <c r="A459" s="531"/>
      <c r="B459" s="531">
        <v>1017</v>
      </c>
      <c r="C459" s="529">
        <v>10</v>
      </c>
      <c r="D459" s="530" t="s">
        <v>697</v>
      </c>
      <c r="E459" s="531" t="s">
        <v>696</v>
      </c>
      <c r="F459" s="547">
        <v>-7129121248</v>
      </c>
      <c r="G459" s="547">
        <v>-57240107953</v>
      </c>
      <c r="H459" s="547">
        <v>-10025276543</v>
      </c>
      <c r="I459" s="547">
        <v>-3185653777</v>
      </c>
      <c r="J459" s="547">
        <v>-164022832</v>
      </c>
      <c r="K459" s="547"/>
      <c r="L459" s="547"/>
      <c r="M459" s="547"/>
      <c r="N459" s="547"/>
      <c r="O459" s="547"/>
      <c r="P459" s="547"/>
      <c r="Q459" s="812">
        <f t="shared" si="29"/>
        <v>-77744182353</v>
      </c>
      <c r="R459" s="547">
        <v>-88886635507</v>
      </c>
      <c r="S459" s="812">
        <f>ROUND((Q459/1000000),0)</f>
        <v>-77744</v>
      </c>
      <c r="T459" s="547">
        <f t="shared" si="28"/>
        <v>-88887</v>
      </c>
      <c r="U459" s="566"/>
      <c r="V459" s="567"/>
      <c r="W459" s="812">
        <f t="shared" si="27"/>
        <v>-77744182353</v>
      </c>
      <c r="X459" s="812">
        <f t="shared" si="25"/>
        <v>-77744</v>
      </c>
    </row>
    <row r="460" spans="1:24" ht="27" customHeight="1">
      <c r="A460" s="531"/>
      <c r="B460" s="531">
        <v>1007</v>
      </c>
      <c r="C460" s="529">
        <v>10</v>
      </c>
      <c r="D460" s="530" t="s">
        <v>505</v>
      </c>
      <c r="E460" s="531" t="s">
        <v>506</v>
      </c>
      <c r="F460" s="547">
        <v>-18122311649</v>
      </c>
      <c r="G460" s="547">
        <v>-1256142798</v>
      </c>
      <c r="H460" s="547">
        <v>-340945947</v>
      </c>
      <c r="I460" s="547">
        <v>25346172</v>
      </c>
      <c r="J460" s="547"/>
      <c r="K460" s="547"/>
      <c r="L460" s="547"/>
      <c r="M460" s="547"/>
      <c r="N460" s="547"/>
      <c r="O460" s="547"/>
      <c r="P460" s="547"/>
      <c r="Q460" s="812">
        <f t="shared" si="29"/>
        <v>-19694054222</v>
      </c>
      <c r="R460" s="547">
        <v>-8849225650</v>
      </c>
      <c r="S460" s="812">
        <f t="shared" si="28"/>
        <v>-19694</v>
      </c>
      <c r="T460" s="547">
        <f t="shared" si="28"/>
        <v>-8849</v>
      </c>
      <c r="U460" s="566"/>
      <c r="V460" s="567"/>
      <c r="W460" s="812">
        <f t="shared" si="27"/>
        <v>-19694054222</v>
      </c>
      <c r="X460" s="812">
        <f t="shared" si="25"/>
        <v>-19694</v>
      </c>
    </row>
    <row r="461" spans="1:24" ht="27" customHeight="1">
      <c r="A461" s="531">
        <v>3214</v>
      </c>
      <c r="B461" s="531">
        <v>1007</v>
      </c>
      <c r="C461" s="529">
        <v>10</v>
      </c>
      <c r="D461" s="530" t="s">
        <v>507</v>
      </c>
      <c r="E461" s="531" t="s">
        <v>185</v>
      </c>
      <c r="F461" s="547"/>
      <c r="G461" s="547"/>
      <c r="H461" s="547"/>
      <c r="I461" s="547"/>
      <c r="J461" s="547"/>
      <c r="K461" s="547"/>
      <c r="L461" s="547"/>
      <c r="M461" s="547"/>
      <c r="N461" s="547"/>
      <c r="O461" s="547"/>
      <c r="P461" s="547"/>
      <c r="Q461" s="812">
        <f t="shared" si="29"/>
        <v>0</v>
      </c>
      <c r="R461" s="547">
        <v>0</v>
      </c>
      <c r="S461" s="812">
        <f t="shared" si="28"/>
        <v>0</v>
      </c>
      <c r="T461" s="547">
        <f t="shared" si="28"/>
        <v>0</v>
      </c>
      <c r="U461" s="566"/>
      <c r="V461" s="567"/>
      <c r="W461" s="812">
        <f t="shared" si="27"/>
        <v>0</v>
      </c>
      <c r="X461" s="812">
        <f t="shared" si="25"/>
        <v>0</v>
      </c>
    </row>
    <row r="462" spans="1:24" ht="27" customHeight="1">
      <c r="A462" s="531"/>
      <c r="B462" s="531">
        <v>1010</v>
      </c>
      <c r="C462" s="529">
        <v>10</v>
      </c>
      <c r="D462" s="530" t="s">
        <v>186</v>
      </c>
      <c r="E462" s="531" t="s">
        <v>187</v>
      </c>
      <c r="F462" s="547"/>
      <c r="G462" s="547"/>
      <c r="H462" s="547"/>
      <c r="I462" s="547"/>
      <c r="J462" s="547"/>
      <c r="K462" s="547"/>
      <c r="L462" s="547"/>
      <c r="M462" s="547"/>
      <c r="N462" s="547"/>
      <c r="O462" s="547"/>
      <c r="P462" s="547"/>
      <c r="Q462" s="812">
        <f t="shared" si="29"/>
        <v>0</v>
      </c>
      <c r="R462" s="547">
        <v>0</v>
      </c>
      <c r="S462" s="812">
        <f t="shared" si="28"/>
        <v>0</v>
      </c>
      <c r="T462" s="547">
        <f t="shared" si="28"/>
        <v>0</v>
      </c>
      <c r="U462" s="566"/>
      <c r="V462" s="567"/>
      <c r="W462" s="812">
        <f t="shared" si="27"/>
        <v>0</v>
      </c>
      <c r="X462" s="812">
        <f t="shared" ref="X462:X531" si="30">ROUND((W462/1000000),0)</f>
        <v>0</v>
      </c>
    </row>
    <row r="463" spans="1:24" ht="27" customHeight="1">
      <c r="A463" s="531"/>
      <c r="B463" s="531">
        <v>1010</v>
      </c>
      <c r="C463" s="529">
        <v>10</v>
      </c>
      <c r="D463" s="530" t="s">
        <v>188</v>
      </c>
      <c r="E463" s="531" t="s">
        <v>748</v>
      </c>
      <c r="F463" s="547">
        <v>-81694848796</v>
      </c>
      <c r="G463" s="547">
        <v>-2330475833</v>
      </c>
      <c r="H463" s="547">
        <v>-829938440</v>
      </c>
      <c r="I463" s="547">
        <v>-117575334</v>
      </c>
      <c r="J463" s="547"/>
      <c r="K463" s="547"/>
      <c r="L463" s="547"/>
      <c r="M463" s="547"/>
      <c r="N463" s="547"/>
      <c r="O463" s="547"/>
      <c r="P463" s="547"/>
      <c r="Q463" s="812">
        <f t="shared" si="29"/>
        <v>-84972838403</v>
      </c>
      <c r="R463" s="547">
        <v>-62833092331</v>
      </c>
      <c r="S463" s="812">
        <f t="shared" si="28"/>
        <v>-84973</v>
      </c>
      <c r="T463" s="547">
        <f t="shared" si="28"/>
        <v>-62833</v>
      </c>
      <c r="U463" s="566"/>
      <c r="V463" s="567"/>
      <c r="W463" s="812">
        <f t="shared" si="27"/>
        <v>-84972838403</v>
      </c>
      <c r="X463" s="812">
        <f t="shared" si="30"/>
        <v>-84973</v>
      </c>
    </row>
    <row r="464" spans="1:24" ht="27" customHeight="1">
      <c r="A464" s="531"/>
      <c r="B464" s="531">
        <v>1007</v>
      </c>
      <c r="C464" s="529">
        <v>10</v>
      </c>
      <c r="D464" s="530" t="s">
        <v>190</v>
      </c>
      <c r="E464" s="531" t="s">
        <v>191</v>
      </c>
      <c r="F464" s="547">
        <v>-7144503308</v>
      </c>
      <c r="G464" s="547">
        <v>-26207000</v>
      </c>
      <c r="H464" s="547"/>
      <c r="I464" s="547">
        <v>-68792800</v>
      </c>
      <c r="J464" s="547"/>
      <c r="K464" s="547"/>
      <c r="L464" s="547"/>
      <c r="M464" s="547"/>
      <c r="N464" s="547"/>
      <c r="O464" s="547">
        <v>-4707014909</v>
      </c>
      <c r="P464" s="547"/>
      <c r="Q464" s="812">
        <f t="shared" si="29"/>
        <v>-11946518017</v>
      </c>
      <c r="R464" s="547">
        <v>-6380751561</v>
      </c>
      <c r="S464" s="812">
        <f t="shared" si="28"/>
        <v>-11947</v>
      </c>
      <c r="T464" s="547">
        <f t="shared" si="28"/>
        <v>-6381</v>
      </c>
      <c r="U464" s="566"/>
      <c r="V464" s="567"/>
      <c r="W464" s="812">
        <f t="shared" si="27"/>
        <v>-11946518017</v>
      </c>
      <c r="X464" s="812">
        <f t="shared" si="30"/>
        <v>-11947</v>
      </c>
    </row>
    <row r="465" spans="1:24" ht="27" customHeight="1">
      <c r="A465" s="531"/>
      <c r="B465" s="531">
        <v>1017</v>
      </c>
      <c r="C465" s="529">
        <v>10</v>
      </c>
      <c r="D465" s="530" t="s">
        <v>192</v>
      </c>
      <c r="E465" s="531" t="s">
        <v>25</v>
      </c>
      <c r="F465" s="547">
        <v>-1896707000</v>
      </c>
      <c r="G465" s="547">
        <v>22607000</v>
      </c>
      <c r="H465" s="547"/>
      <c r="I465" s="547">
        <v>45117800</v>
      </c>
      <c r="J465" s="547"/>
      <c r="K465" s="547"/>
      <c r="L465" s="547"/>
      <c r="M465" s="547"/>
      <c r="N465" s="547"/>
      <c r="O465" s="547"/>
      <c r="P465" s="547"/>
      <c r="Q465" s="812">
        <f t="shared" si="29"/>
        <v>-1828982200</v>
      </c>
      <c r="R465" s="547">
        <v>-12872422186</v>
      </c>
      <c r="S465" s="812">
        <f t="shared" si="28"/>
        <v>-1829</v>
      </c>
      <c r="T465" s="547">
        <f t="shared" si="28"/>
        <v>-12872</v>
      </c>
      <c r="U465" s="566"/>
      <c r="V465" s="567"/>
      <c r="W465" s="812">
        <f t="shared" si="27"/>
        <v>-1828982200</v>
      </c>
      <c r="X465" s="812">
        <f t="shared" si="30"/>
        <v>-1829</v>
      </c>
    </row>
    <row r="466" spans="1:24" ht="27" customHeight="1">
      <c r="A466" s="531"/>
      <c r="B466" s="531">
        <v>302</v>
      </c>
      <c r="C466" s="529">
        <v>3</v>
      </c>
      <c r="D466" s="530" t="s">
        <v>26</v>
      </c>
      <c r="E466" s="531" t="s">
        <v>27</v>
      </c>
      <c r="F466" s="547">
        <v>1118359304</v>
      </c>
      <c r="G466" s="547">
        <v>100000000</v>
      </c>
      <c r="H466" s="547"/>
      <c r="I466" s="547"/>
      <c r="J466" s="547"/>
      <c r="K466" s="547"/>
      <c r="L466" s="547"/>
      <c r="M466" s="547"/>
      <c r="N466" s="547"/>
      <c r="O466" s="547"/>
      <c r="P466" s="547"/>
      <c r="Q466" s="812">
        <f t="shared" si="29"/>
        <v>1218359304</v>
      </c>
      <c r="R466" s="547">
        <v>1110000000</v>
      </c>
      <c r="S466" s="812">
        <f t="shared" si="28"/>
        <v>1218</v>
      </c>
      <c r="T466" s="547">
        <f t="shared" si="28"/>
        <v>1110</v>
      </c>
      <c r="U466" s="566"/>
      <c r="V466" s="567"/>
      <c r="W466" s="812">
        <f t="shared" si="27"/>
        <v>1218359304</v>
      </c>
      <c r="X466" s="812">
        <f t="shared" si="30"/>
        <v>1218</v>
      </c>
    </row>
    <row r="467" spans="1:24" ht="27" customHeight="1">
      <c r="A467" s="531"/>
      <c r="B467" s="531">
        <v>302</v>
      </c>
      <c r="C467" s="529">
        <v>3</v>
      </c>
      <c r="D467" s="530" t="s">
        <v>850</v>
      </c>
      <c r="E467" s="531" t="s">
        <v>851</v>
      </c>
      <c r="F467" s="547"/>
      <c r="G467" s="547"/>
      <c r="H467" s="547"/>
      <c r="I467" s="547"/>
      <c r="J467" s="547"/>
      <c r="K467" s="547"/>
      <c r="L467" s="547"/>
      <c r="M467" s="547"/>
      <c r="N467" s="547"/>
      <c r="O467" s="547"/>
      <c r="P467" s="547"/>
      <c r="Q467" s="812">
        <f t="shared" si="29"/>
        <v>0</v>
      </c>
      <c r="R467" s="547">
        <v>1180000</v>
      </c>
      <c r="S467" s="812">
        <f t="shared" si="28"/>
        <v>0</v>
      </c>
      <c r="T467" s="547">
        <f t="shared" si="28"/>
        <v>1</v>
      </c>
      <c r="U467" s="566"/>
      <c r="V467" s="567"/>
      <c r="W467" s="812">
        <f t="shared" si="27"/>
        <v>0</v>
      </c>
      <c r="X467" s="812">
        <f t="shared" si="30"/>
        <v>0</v>
      </c>
    </row>
    <row r="468" spans="1:24" ht="27" customHeight="1">
      <c r="A468" s="531"/>
      <c r="B468" s="531">
        <v>303</v>
      </c>
      <c r="C468" s="529">
        <v>3</v>
      </c>
      <c r="D468" s="530" t="s">
        <v>28</v>
      </c>
      <c r="E468" s="531" t="s">
        <v>29</v>
      </c>
      <c r="F468" s="547">
        <v>9835773472</v>
      </c>
      <c r="G468" s="547">
        <v>-1929505000</v>
      </c>
      <c r="H468" s="547"/>
      <c r="I468" s="547">
        <v>199903282</v>
      </c>
      <c r="J468" s="547"/>
      <c r="K468" s="547"/>
      <c r="L468" s="547"/>
      <c r="M468" s="547"/>
      <c r="N468" s="547"/>
      <c r="O468" s="547"/>
      <c r="P468" s="547"/>
      <c r="Q468" s="812">
        <f t="shared" si="29"/>
        <v>8106171754</v>
      </c>
      <c r="R468" s="547">
        <v>14175797771</v>
      </c>
      <c r="S468" s="812">
        <f t="shared" ref="S468:T501" si="31">ROUND((Q468/1000000),0)</f>
        <v>8106</v>
      </c>
      <c r="T468" s="547">
        <f t="shared" si="31"/>
        <v>14176</v>
      </c>
      <c r="U468" s="566"/>
      <c r="V468" s="567"/>
      <c r="W468" s="812">
        <f t="shared" si="27"/>
        <v>8106171754</v>
      </c>
      <c r="X468" s="812">
        <f t="shared" si="30"/>
        <v>8106</v>
      </c>
    </row>
    <row r="469" spans="1:24" ht="27" customHeight="1">
      <c r="A469" s="531"/>
      <c r="B469" s="531">
        <v>1018</v>
      </c>
      <c r="C469" s="529">
        <v>10</v>
      </c>
      <c r="D469" s="530" t="s">
        <v>30</v>
      </c>
      <c r="E469" s="531" t="s">
        <v>31</v>
      </c>
      <c r="F469" s="547">
        <v>-25328500</v>
      </c>
      <c r="G469" s="547">
        <v>25328500</v>
      </c>
      <c r="H469" s="547"/>
      <c r="I469" s="547"/>
      <c r="J469" s="547"/>
      <c r="K469" s="547"/>
      <c r="L469" s="547"/>
      <c r="M469" s="547"/>
      <c r="N469" s="547"/>
      <c r="O469" s="547"/>
      <c r="P469" s="547"/>
      <c r="Q469" s="812">
        <f t="shared" si="29"/>
        <v>0</v>
      </c>
      <c r="R469" s="547">
        <v>0</v>
      </c>
      <c r="S469" s="812">
        <f t="shared" si="31"/>
        <v>0</v>
      </c>
      <c r="T469" s="547">
        <f t="shared" si="31"/>
        <v>0</v>
      </c>
      <c r="U469" s="566"/>
      <c r="V469" s="567"/>
      <c r="W469" s="812">
        <f t="shared" si="27"/>
        <v>0</v>
      </c>
      <c r="X469" s="812">
        <f t="shared" si="30"/>
        <v>0</v>
      </c>
    </row>
    <row r="470" spans="1:24" ht="27" customHeight="1">
      <c r="A470" s="531"/>
      <c r="B470" s="531">
        <v>303</v>
      </c>
      <c r="C470" s="529">
        <v>3</v>
      </c>
      <c r="D470" s="530" t="s">
        <v>1154</v>
      </c>
      <c r="E470" s="531" t="s">
        <v>1155</v>
      </c>
      <c r="F470" s="547">
        <v>97827455235</v>
      </c>
      <c r="G470" s="547">
        <v>-89914091677</v>
      </c>
      <c r="H470" s="547">
        <v>-7913363558</v>
      </c>
      <c r="I470" s="547"/>
      <c r="J470" s="547"/>
      <c r="K470" s="547"/>
      <c r="L470" s="547"/>
      <c r="M470" s="547"/>
      <c r="N470" s="547"/>
      <c r="O470" s="547"/>
      <c r="P470" s="547"/>
      <c r="Q470" s="812">
        <f t="shared" si="29"/>
        <v>0</v>
      </c>
      <c r="R470" s="547">
        <v>0</v>
      </c>
      <c r="S470" s="812">
        <f t="shared" si="31"/>
        <v>0</v>
      </c>
      <c r="T470" s="547">
        <f t="shared" si="31"/>
        <v>0</v>
      </c>
      <c r="U470" s="566"/>
      <c r="V470" s="567"/>
      <c r="W470" s="812">
        <f t="shared" si="27"/>
        <v>0</v>
      </c>
      <c r="X470" s="812">
        <f t="shared" si="30"/>
        <v>0</v>
      </c>
    </row>
    <row r="471" spans="1:24" ht="27" customHeight="1">
      <c r="A471" s="531"/>
      <c r="B471" s="531">
        <v>303</v>
      </c>
      <c r="C471" s="529">
        <v>3</v>
      </c>
      <c r="D471" s="530" t="s">
        <v>1156</v>
      </c>
      <c r="E471" s="531" t="s">
        <v>1155</v>
      </c>
      <c r="F471" s="547">
        <v>-97769909735</v>
      </c>
      <c r="G471" s="547">
        <v>89856546177</v>
      </c>
      <c r="H471" s="547">
        <v>7913363558</v>
      </c>
      <c r="I471" s="547"/>
      <c r="J471" s="547"/>
      <c r="K471" s="547"/>
      <c r="L471" s="547"/>
      <c r="M471" s="547"/>
      <c r="N471" s="547"/>
      <c r="O471" s="547"/>
      <c r="P471" s="547"/>
      <c r="Q471" s="812">
        <f t="shared" si="29"/>
        <v>0</v>
      </c>
      <c r="R471" s="547">
        <v>0</v>
      </c>
      <c r="S471" s="812">
        <f t="shared" si="31"/>
        <v>0</v>
      </c>
      <c r="T471" s="547">
        <f t="shared" si="31"/>
        <v>0</v>
      </c>
      <c r="U471" s="566"/>
      <c r="V471" s="567"/>
      <c r="W471" s="812">
        <f t="shared" si="27"/>
        <v>0</v>
      </c>
      <c r="X471" s="812">
        <f t="shared" si="30"/>
        <v>0</v>
      </c>
    </row>
    <row r="472" spans="1:24" ht="27" customHeight="1">
      <c r="A472" s="531">
        <v>3214</v>
      </c>
      <c r="B472" s="531">
        <v>302</v>
      </c>
      <c r="C472" s="529">
        <v>3</v>
      </c>
      <c r="D472" s="530" t="s">
        <v>775</v>
      </c>
      <c r="E472" s="531" t="s">
        <v>1432</v>
      </c>
      <c r="F472" s="547"/>
      <c r="G472" s="547"/>
      <c r="H472" s="547"/>
      <c r="I472" s="547"/>
      <c r="J472" s="547"/>
      <c r="K472" s="547"/>
      <c r="L472" s="547"/>
      <c r="M472" s="547"/>
      <c r="N472" s="547"/>
      <c r="O472" s="547"/>
      <c r="P472" s="547"/>
      <c r="Q472" s="812">
        <f t="shared" si="29"/>
        <v>0</v>
      </c>
      <c r="R472" s="547">
        <v>164045000</v>
      </c>
      <c r="S472" s="812">
        <f t="shared" si="31"/>
        <v>0</v>
      </c>
      <c r="T472" s="547">
        <f t="shared" si="31"/>
        <v>164</v>
      </c>
      <c r="U472" s="566"/>
      <c r="V472" s="567"/>
      <c r="W472" s="812">
        <f t="shared" si="27"/>
        <v>0</v>
      </c>
      <c r="X472" s="812">
        <f t="shared" si="30"/>
        <v>0</v>
      </c>
    </row>
    <row r="473" spans="1:24" ht="27" customHeight="1">
      <c r="A473" s="531">
        <v>12</v>
      </c>
      <c r="B473" s="531">
        <v>907</v>
      </c>
      <c r="C473" s="529">
        <v>9</v>
      </c>
      <c r="D473" s="530" t="s">
        <v>32</v>
      </c>
      <c r="E473" s="531" t="s">
        <v>769</v>
      </c>
      <c r="F473" s="547">
        <v>23871328496</v>
      </c>
      <c r="G473" s="547"/>
      <c r="H473" s="547">
        <v>58407044062</v>
      </c>
      <c r="I473" s="547"/>
      <c r="J473" s="547"/>
      <c r="K473" s="547"/>
      <c r="L473" s="547"/>
      <c r="M473" s="547"/>
      <c r="N473" s="547"/>
      <c r="O473" s="547">
        <v>-74725488958</v>
      </c>
      <c r="P473" s="547"/>
      <c r="Q473" s="812">
        <f t="shared" si="29"/>
        <v>7552883600</v>
      </c>
      <c r="R473" s="547">
        <v>377616606194</v>
      </c>
      <c r="S473" s="812">
        <f>ROUND((Q473/1000000),0)</f>
        <v>7553</v>
      </c>
      <c r="T473" s="547">
        <f t="shared" si="31"/>
        <v>377617</v>
      </c>
      <c r="U473" s="566"/>
      <c r="V473" s="567"/>
      <c r="W473" s="812">
        <f t="shared" si="27"/>
        <v>7552883600</v>
      </c>
      <c r="X473" s="812">
        <f t="shared" si="30"/>
        <v>7553</v>
      </c>
    </row>
    <row r="474" spans="1:24" ht="27" customHeight="1">
      <c r="A474" s="531">
        <v>3214</v>
      </c>
      <c r="B474" s="531">
        <v>909</v>
      </c>
      <c r="C474" s="529">
        <v>9</v>
      </c>
      <c r="D474" s="530" t="s">
        <v>32</v>
      </c>
      <c r="E474" s="531" t="s">
        <v>1445</v>
      </c>
      <c r="F474" s="547"/>
      <c r="G474" s="547"/>
      <c r="H474" s="547"/>
      <c r="I474" s="547"/>
      <c r="J474" s="547"/>
      <c r="K474" s="547"/>
      <c r="L474" s="547"/>
      <c r="M474" s="547"/>
      <c r="N474" s="547"/>
      <c r="O474" s="547"/>
      <c r="P474" s="547"/>
      <c r="Q474" s="812">
        <f t="shared" si="29"/>
        <v>0</v>
      </c>
      <c r="R474" s="547">
        <v>0</v>
      </c>
      <c r="S474" s="812">
        <f t="shared" si="31"/>
        <v>0</v>
      </c>
      <c r="T474" s="547">
        <f t="shared" si="31"/>
        <v>0</v>
      </c>
      <c r="U474" s="566"/>
      <c r="V474" s="567"/>
      <c r="W474" s="812">
        <f t="shared" si="27"/>
        <v>0</v>
      </c>
      <c r="X474" s="812">
        <f t="shared" si="30"/>
        <v>0</v>
      </c>
    </row>
    <row r="475" spans="1:24" ht="27" customHeight="1">
      <c r="A475" s="531"/>
      <c r="B475" s="531">
        <v>601</v>
      </c>
      <c r="C475" s="529">
        <v>6</v>
      </c>
      <c r="D475" s="530" t="s">
        <v>34</v>
      </c>
      <c r="E475" s="531" t="s">
        <v>35</v>
      </c>
      <c r="F475" s="547"/>
      <c r="G475" s="547"/>
      <c r="H475" s="547"/>
      <c r="I475" s="547"/>
      <c r="J475" s="547"/>
      <c r="K475" s="547"/>
      <c r="L475" s="547"/>
      <c r="M475" s="547"/>
      <c r="N475" s="547"/>
      <c r="O475" s="547"/>
      <c r="P475" s="547"/>
      <c r="Q475" s="812">
        <f t="shared" si="29"/>
        <v>0</v>
      </c>
      <c r="R475" s="547">
        <v>269965645408</v>
      </c>
      <c r="S475" s="812">
        <f t="shared" si="31"/>
        <v>0</v>
      </c>
      <c r="T475" s="547">
        <f t="shared" si="31"/>
        <v>269966</v>
      </c>
      <c r="U475" s="566"/>
      <c r="V475" s="567"/>
      <c r="W475" s="812">
        <f t="shared" si="27"/>
        <v>0</v>
      </c>
      <c r="X475" s="812">
        <f t="shared" si="30"/>
        <v>0</v>
      </c>
    </row>
    <row r="476" spans="1:24" ht="27" customHeight="1">
      <c r="A476" s="531"/>
      <c r="B476" s="531">
        <v>301</v>
      </c>
      <c r="C476" s="529">
        <v>3</v>
      </c>
      <c r="D476" s="530" t="s">
        <v>36</v>
      </c>
      <c r="E476" s="531" t="s">
        <v>37</v>
      </c>
      <c r="F476" s="547">
        <v>37238940258</v>
      </c>
      <c r="G476" s="547"/>
      <c r="H476" s="547"/>
      <c r="I476" s="547"/>
      <c r="J476" s="547"/>
      <c r="K476" s="547"/>
      <c r="L476" s="547"/>
      <c r="M476" s="547"/>
      <c r="N476" s="547"/>
      <c r="O476" s="547"/>
      <c r="P476" s="547"/>
      <c r="Q476" s="812">
        <f t="shared" si="29"/>
        <v>37238940258</v>
      </c>
      <c r="R476" s="547">
        <v>115235121127</v>
      </c>
      <c r="S476" s="812">
        <f t="shared" si="31"/>
        <v>37239</v>
      </c>
      <c r="T476" s="547">
        <f t="shared" si="31"/>
        <v>115235</v>
      </c>
      <c r="U476" s="566"/>
      <c r="V476" s="567"/>
      <c r="W476" s="812">
        <f t="shared" si="27"/>
        <v>37238940258</v>
      </c>
      <c r="X476" s="812">
        <f t="shared" si="30"/>
        <v>37239</v>
      </c>
    </row>
    <row r="477" spans="1:24" ht="27" customHeight="1">
      <c r="A477" s="531"/>
      <c r="B477" s="531">
        <v>301</v>
      </c>
      <c r="C477" s="529">
        <v>3</v>
      </c>
      <c r="D477" s="530" t="s">
        <v>1596</v>
      </c>
      <c r="E477" s="531" t="s">
        <v>37</v>
      </c>
      <c r="F477" s="547">
        <v>153129463397</v>
      </c>
      <c r="G477" s="547"/>
      <c r="H477" s="547"/>
      <c r="I477" s="547"/>
      <c r="J477" s="547"/>
      <c r="K477" s="547"/>
      <c r="L477" s="547"/>
      <c r="M477" s="547"/>
      <c r="N477" s="547"/>
      <c r="O477" s="547"/>
      <c r="P477" s="547"/>
      <c r="Q477" s="812">
        <f t="shared" si="29"/>
        <v>153129463397</v>
      </c>
      <c r="R477" s="547"/>
      <c r="S477" s="812">
        <f t="shared" si="31"/>
        <v>153129</v>
      </c>
      <c r="T477" s="547">
        <f t="shared" si="31"/>
        <v>0</v>
      </c>
      <c r="U477" s="566"/>
      <c r="V477" s="567"/>
      <c r="W477" s="812">
        <f t="shared" si="27"/>
        <v>153129463397</v>
      </c>
      <c r="X477" s="812">
        <f t="shared" si="30"/>
        <v>153129</v>
      </c>
    </row>
    <row r="478" spans="1:24" ht="27" customHeight="1">
      <c r="A478" s="531"/>
      <c r="B478" s="531">
        <v>301</v>
      </c>
      <c r="C478" s="529">
        <v>3</v>
      </c>
      <c r="D478" s="530" t="s">
        <v>38</v>
      </c>
      <c r="E478" s="531" t="s">
        <v>624</v>
      </c>
      <c r="F478" s="547">
        <v>109111878158</v>
      </c>
      <c r="G478" s="547"/>
      <c r="H478" s="547"/>
      <c r="I478" s="547"/>
      <c r="J478" s="547"/>
      <c r="K478" s="547"/>
      <c r="L478" s="547"/>
      <c r="M478" s="547"/>
      <c r="N478" s="547"/>
      <c r="O478" s="547"/>
      <c r="P478" s="547"/>
      <c r="Q478" s="812">
        <f t="shared" si="29"/>
        <v>109111878158</v>
      </c>
      <c r="R478" s="547">
        <v>251978800792</v>
      </c>
      <c r="S478" s="812">
        <f t="shared" si="31"/>
        <v>109112</v>
      </c>
      <c r="T478" s="547">
        <f t="shared" si="31"/>
        <v>251979</v>
      </c>
      <c r="U478" s="566"/>
      <c r="V478" s="567"/>
      <c r="W478" s="812">
        <f t="shared" si="27"/>
        <v>109111878158</v>
      </c>
      <c r="X478" s="812">
        <f t="shared" si="30"/>
        <v>109112</v>
      </c>
    </row>
    <row r="479" spans="1:24" ht="27" customHeight="1">
      <c r="A479" s="531"/>
      <c r="B479" s="531"/>
      <c r="C479" s="529">
        <v>20</v>
      </c>
      <c r="D479" s="530" t="s">
        <v>733</v>
      </c>
      <c r="E479" s="531" t="s">
        <v>735</v>
      </c>
      <c r="F479" s="547">
        <v>12588248698856</v>
      </c>
      <c r="G479" s="547">
        <v>867271098014</v>
      </c>
      <c r="H479" s="547">
        <v>-198488028794</v>
      </c>
      <c r="I479" s="547">
        <v>224114074828</v>
      </c>
      <c r="J479" s="547">
        <f>-386944881924</f>
        <v>-386944881924</v>
      </c>
      <c r="K479" s="547">
        <f>-1750000000+156935703569+1495199443+1771834004-32289000+912747472+293494400+110117368</f>
        <v>159736807256</v>
      </c>
      <c r="L479" s="547">
        <f>-2400000000-298938553</f>
        <v>-2698938553</v>
      </c>
      <c r="M479" s="547"/>
      <c r="N479" s="547"/>
      <c r="O479" s="547"/>
      <c r="P479" s="547"/>
      <c r="Q479" s="812">
        <f t="shared" si="29"/>
        <v>13251238829683</v>
      </c>
      <c r="R479" s="547">
        <v>0</v>
      </c>
      <c r="S479" s="812">
        <f t="shared" si="31"/>
        <v>13251239</v>
      </c>
      <c r="T479" s="547">
        <f t="shared" si="31"/>
        <v>0</v>
      </c>
      <c r="U479" s="566"/>
      <c r="V479" s="566">
        <f>Q479</f>
        <v>13251238829683</v>
      </c>
      <c r="W479" s="812">
        <f>Q479-V479+U479</f>
        <v>0</v>
      </c>
      <c r="X479" s="812">
        <f t="shared" si="30"/>
        <v>0</v>
      </c>
    </row>
    <row r="480" spans="1:24" ht="27" customHeight="1">
      <c r="A480" s="531"/>
      <c r="B480" s="531"/>
      <c r="C480" s="529">
        <v>20</v>
      </c>
      <c r="D480" s="530" t="s">
        <v>734</v>
      </c>
      <c r="E480" s="531" t="s">
        <v>903</v>
      </c>
      <c r="F480" s="547">
        <v>-111036466800</v>
      </c>
      <c r="G480" s="547">
        <v>-60849624940</v>
      </c>
      <c r="H480" s="547">
        <v>-16362981273</v>
      </c>
      <c r="I480" s="547">
        <v>-969582426284</v>
      </c>
      <c r="J480" s="547">
        <f>38651229699+38561376514+10693832597+33621913599</f>
        <v>121528352409</v>
      </c>
      <c r="K480" s="547"/>
      <c r="L480" s="547"/>
      <c r="M480" s="547"/>
      <c r="N480" s="547">
        <v>-307839696188</v>
      </c>
      <c r="O480" s="547"/>
      <c r="P480" s="547"/>
      <c r="Q480" s="812">
        <f t="shared" si="29"/>
        <v>-1344142843076</v>
      </c>
      <c r="R480" s="547">
        <v>0</v>
      </c>
      <c r="S480" s="812">
        <f t="shared" si="31"/>
        <v>-1344143</v>
      </c>
      <c r="T480" s="547">
        <f t="shared" si="31"/>
        <v>0</v>
      </c>
      <c r="U480" s="566">
        <f>-Q480</f>
        <v>1344142843076</v>
      </c>
      <c r="V480" s="566"/>
      <c r="W480" s="812">
        <f>Q480-V480+U480</f>
        <v>0</v>
      </c>
      <c r="X480" s="812">
        <f t="shared" si="30"/>
        <v>0</v>
      </c>
    </row>
    <row r="481" spans="1:24" ht="27" customHeight="1">
      <c r="A481" s="531"/>
      <c r="B481" s="531"/>
      <c r="C481" s="529">
        <v>20</v>
      </c>
      <c r="D481" s="530" t="s">
        <v>905</v>
      </c>
      <c r="E481" s="531" t="s">
        <v>904</v>
      </c>
      <c r="F481" s="547">
        <v>-49192747088</v>
      </c>
      <c r="G481" s="547">
        <v>-117330468</v>
      </c>
      <c r="H481" s="547"/>
      <c r="I481" s="547"/>
      <c r="J481" s="547">
        <v>-5827500</v>
      </c>
      <c r="K481" s="547"/>
      <c r="L481" s="547"/>
      <c r="M481" s="547"/>
      <c r="N481" s="547"/>
      <c r="O481" s="547"/>
      <c r="P481" s="547"/>
      <c r="Q481" s="812">
        <f t="shared" si="29"/>
        <v>-49315905056</v>
      </c>
      <c r="R481" s="547">
        <v>0</v>
      </c>
      <c r="S481" s="812">
        <f t="shared" si="31"/>
        <v>-49316</v>
      </c>
      <c r="T481" s="547">
        <f t="shared" si="31"/>
        <v>0</v>
      </c>
      <c r="U481" s="566">
        <f>-Q481</f>
        <v>49315905056</v>
      </c>
      <c r="V481" s="566"/>
      <c r="W481" s="812">
        <f>Q481-V481+U481</f>
        <v>0</v>
      </c>
      <c r="X481" s="812">
        <f t="shared" si="30"/>
        <v>0</v>
      </c>
    </row>
    <row r="482" spans="1:24" ht="27" customHeight="1">
      <c r="A482" s="531"/>
      <c r="B482" s="531">
        <v>10040</v>
      </c>
      <c r="C482" s="529">
        <v>4</v>
      </c>
      <c r="D482" s="530" t="s">
        <v>608</v>
      </c>
      <c r="E482" s="531" t="s">
        <v>609</v>
      </c>
      <c r="F482" s="547">
        <v>-12353341048746</v>
      </c>
      <c r="G482" s="547">
        <v>-89919228985</v>
      </c>
      <c r="H482" s="547">
        <v>-96952477210</v>
      </c>
      <c r="I482" s="547">
        <v>10610331660713</v>
      </c>
      <c r="J482" s="547">
        <v>-19623177600</v>
      </c>
      <c r="K482" s="547">
        <f>-156935703569</f>
        <v>-156935703569</v>
      </c>
      <c r="L482" s="547">
        <f>-1682484433-22794894744</f>
        <v>-24477379177</v>
      </c>
      <c r="M482" s="547"/>
      <c r="N482" s="547">
        <v>181413082746</v>
      </c>
      <c r="O482" s="547"/>
      <c r="P482" s="547"/>
      <c r="Q482" s="547">
        <f t="shared" si="29"/>
        <v>-1949504271828</v>
      </c>
      <c r="R482" s="547">
        <v>-4027367733092</v>
      </c>
      <c r="S482" s="547">
        <f>ROUND((Q482/1000000),0)</f>
        <v>-1949504</v>
      </c>
      <c r="T482" s="547">
        <f t="shared" si="31"/>
        <v>-4027368</v>
      </c>
      <c r="U482" s="566"/>
      <c r="V482" s="566"/>
      <c r="W482" s="812">
        <f t="shared" si="27"/>
        <v>-1949504271828</v>
      </c>
      <c r="X482" s="812">
        <f t="shared" si="30"/>
        <v>-1949504</v>
      </c>
    </row>
    <row r="483" spans="1:24" ht="27" customHeight="1">
      <c r="A483" s="531"/>
      <c r="B483" s="531"/>
      <c r="C483" s="529">
        <v>20</v>
      </c>
      <c r="D483" s="530" t="s">
        <v>737</v>
      </c>
      <c r="E483" s="531" t="s">
        <v>736</v>
      </c>
      <c r="F483" s="547">
        <v>-86004546584</v>
      </c>
      <c r="G483" s="547">
        <v>-93394495</v>
      </c>
      <c r="H483" s="547"/>
      <c r="I483" s="547"/>
      <c r="J483" s="547"/>
      <c r="K483" s="547"/>
      <c r="L483" s="547"/>
      <c r="M483" s="547"/>
      <c r="N483" s="547"/>
      <c r="O483" s="547"/>
      <c r="P483" s="547"/>
      <c r="Q483" s="812">
        <f t="shared" si="29"/>
        <v>-86097941079</v>
      </c>
      <c r="R483" s="547">
        <v>0</v>
      </c>
      <c r="S483" s="812">
        <f t="shared" si="31"/>
        <v>-86098</v>
      </c>
      <c r="T483" s="547">
        <f t="shared" si="31"/>
        <v>0</v>
      </c>
      <c r="U483" s="566">
        <f>-Q483</f>
        <v>86097941079</v>
      </c>
      <c r="V483" s="566"/>
      <c r="W483" s="812">
        <f>Q483-V483+U483</f>
        <v>0</v>
      </c>
      <c r="X483" s="812">
        <f t="shared" si="30"/>
        <v>0</v>
      </c>
    </row>
    <row r="484" spans="1:24" ht="27" customHeight="1">
      <c r="A484" s="531"/>
      <c r="B484" s="531"/>
      <c r="C484" s="529">
        <v>20</v>
      </c>
      <c r="D484" s="530" t="s">
        <v>906</v>
      </c>
      <c r="E484" s="531" t="s">
        <v>907</v>
      </c>
      <c r="F484" s="547">
        <v>-5798461183282</v>
      </c>
      <c r="G484" s="547">
        <v>-553264983488</v>
      </c>
      <c r="H484" s="547">
        <v>46411230</v>
      </c>
      <c r="I484" s="547"/>
      <c r="J484" s="547"/>
      <c r="K484" s="547"/>
      <c r="L484" s="547"/>
      <c r="M484" s="547"/>
      <c r="N484" s="547"/>
      <c r="O484" s="547"/>
      <c r="P484" s="547"/>
      <c r="Q484" s="812">
        <f t="shared" si="29"/>
        <v>-6351679755540</v>
      </c>
      <c r="R484" s="547">
        <v>0</v>
      </c>
      <c r="S484" s="812">
        <f t="shared" si="31"/>
        <v>-6351680</v>
      </c>
      <c r="T484" s="547">
        <f t="shared" si="31"/>
        <v>0</v>
      </c>
      <c r="U484" s="566">
        <f>-Q484</f>
        <v>6351679755540</v>
      </c>
      <c r="V484" s="566"/>
      <c r="W484" s="812">
        <f>Q484-V484+U484</f>
        <v>0</v>
      </c>
      <c r="X484" s="812">
        <f t="shared" si="30"/>
        <v>0</v>
      </c>
    </row>
    <row r="485" spans="1:24" ht="27" customHeight="1">
      <c r="A485" s="531"/>
      <c r="B485" s="531"/>
      <c r="C485" s="529">
        <v>20</v>
      </c>
      <c r="D485" s="530" t="s">
        <v>908</v>
      </c>
      <c r="E485" s="531" t="s">
        <v>909</v>
      </c>
      <c r="F485" s="547">
        <v>-5996708015090</v>
      </c>
      <c r="G485" s="547">
        <v>-477860679000</v>
      </c>
      <c r="H485" s="547"/>
      <c r="I485" s="547"/>
      <c r="J485" s="547"/>
      <c r="K485" s="547"/>
      <c r="L485" s="547"/>
      <c r="M485" s="547"/>
      <c r="N485" s="547"/>
      <c r="O485" s="547"/>
      <c r="P485" s="547"/>
      <c r="Q485" s="812">
        <f t="shared" si="29"/>
        <v>-6474568694090</v>
      </c>
      <c r="R485" s="547">
        <v>0</v>
      </c>
      <c r="S485" s="812">
        <f t="shared" si="31"/>
        <v>-6474569</v>
      </c>
      <c r="T485" s="547">
        <f t="shared" si="31"/>
        <v>0</v>
      </c>
      <c r="U485" s="566">
        <f>-Q485</f>
        <v>6474568694090</v>
      </c>
      <c r="V485" s="566"/>
      <c r="W485" s="812">
        <f>Q485-V485+U485</f>
        <v>0</v>
      </c>
      <c r="X485" s="812">
        <f t="shared" si="30"/>
        <v>0</v>
      </c>
    </row>
    <row r="486" spans="1:24" ht="27" customHeight="1">
      <c r="A486" s="531"/>
      <c r="B486" s="531"/>
      <c r="C486" s="529">
        <v>20</v>
      </c>
      <c r="D486" s="530" t="s">
        <v>738</v>
      </c>
      <c r="E486" s="531" t="s">
        <v>910</v>
      </c>
      <c r="F486" s="547">
        <v>-8853300</v>
      </c>
      <c r="G486" s="547"/>
      <c r="H486" s="547"/>
      <c r="I486" s="547"/>
      <c r="J486" s="547"/>
      <c r="K486" s="547"/>
      <c r="L486" s="547"/>
      <c r="M486" s="547"/>
      <c r="N486" s="547"/>
      <c r="O486" s="547"/>
      <c r="P486" s="547"/>
      <c r="Q486" s="812">
        <f t="shared" si="29"/>
        <v>-8853300</v>
      </c>
      <c r="R486" s="547">
        <v>0</v>
      </c>
      <c r="S486" s="812">
        <f t="shared" si="31"/>
        <v>-9</v>
      </c>
      <c r="T486" s="547">
        <f t="shared" si="31"/>
        <v>0</v>
      </c>
      <c r="U486" s="566">
        <f>-Q486</f>
        <v>8853300</v>
      </c>
      <c r="V486" s="566"/>
      <c r="W486" s="812">
        <f>Q486-V486+U486</f>
        <v>0</v>
      </c>
      <c r="X486" s="812">
        <f t="shared" si="30"/>
        <v>0</v>
      </c>
    </row>
    <row r="487" spans="1:24" ht="27" customHeight="1">
      <c r="A487" s="531"/>
      <c r="B487" s="531">
        <v>1001</v>
      </c>
      <c r="C487" s="529">
        <v>10</v>
      </c>
      <c r="D487" s="530" t="s">
        <v>586</v>
      </c>
      <c r="E487" s="531" t="s">
        <v>587</v>
      </c>
      <c r="F487" s="547">
        <v>-1781747351</v>
      </c>
      <c r="G487" s="547"/>
      <c r="H487" s="547">
        <v>1058131507</v>
      </c>
      <c r="I487" s="547">
        <v>238707164</v>
      </c>
      <c r="J487" s="547">
        <v>-1000000</v>
      </c>
      <c r="K487" s="547"/>
      <c r="L487" s="547">
        <f>1203420793+64268640</f>
        <v>1267689433</v>
      </c>
      <c r="M487" s="547"/>
      <c r="N487" s="547"/>
      <c r="O487" s="547"/>
      <c r="P487" s="547"/>
      <c r="Q487" s="812">
        <f t="shared" si="29"/>
        <v>781780753</v>
      </c>
      <c r="R487" s="547">
        <v>-1608215774</v>
      </c>
      <c r="S487" s="812">
        <f t="shared" si="31"/>
        <v>782</v>
      </c>
      <c r="T487" s="547">
        <f t="shared" si="31"/>
        <v>-1608</v>
      </c>
      <c r="U487" s="566"/>
      <c r="V487" s="566"/>
      <c r="W487" s="812">
        <f t="shared" si="27"/>
        <v>781780753</v>
      </c>
      <c r="X487" s="812">
        <f t="shared" si="30"/>
        <v>782</v>
      </c>
    </row>
    <row r="488" spans="1:24" ht="27" customHeight="1">
      <c r="A488" s="531"/>
      <c r="B488" s="531">
        <v>1011</v>
      </c>
      <c r="C488" s="529">
        <v>10</v>
      </c>
      <c r="D488" s="530" t="s">
        <v>588</v>
      </c>
      <c r="E488" s="531" t="s">
        <v>468</v>
      </c>
      <c r="F488" s="547">
        <v>-5055396358</v>
      </c>
      <c r="G488" s="547"/>
      <c r="H488" s="547"/>
      <c r="I488" s="547"/>
      <c r="J488" s="547"/>
      <c r="K488" s="547"/>
      <c r="L488" s="547"/>
      <c r="M488" s="547"/>
      <c r="N488" s="547"/>
      <c r="O488" s="547"/>
      <c r="P488" s="547"/>
      <c r="Q488" s="812">
        <f t="shared" si="29"/>
        <v>-5055396358</v>
      </c>
      <c r="R488" s="547">
        <v>-5064396358</v>
      </c>
      <c r="S488" s="812">
        <f t="shared" si="31"/>
        <v>-5055</v>
      </c>
      <c r="T488" s="547">
        <f t="shared" si="31"/>
        <v>-5064</v>
      </c>
      <c r="U488" s="566"/>
      <c r="V488" s="566"/>
      <c r="W488" s="812">
        <f t="shared" si="27"/>
        <v>-5055396358</v>
      </c>
      <c r="X488" s="812">
        <f t="shared" si="30"/>
        <v>-5055</v>
      </c>
    </row>
    <row r="489" spans="1:24" ht="27" customHeight="1">
      <c r="A489" s="531"/>
      <c r="B489" s="531"/>
      <c r="C489" s="529">
        <v>20</v>
      </c>
      <c r="D489" s="530" t="s">
        <v>747</v>
      </c>
      <c r="E489" s="531" t="s">
        <v>746</v>
      </c>
      <c r="F489" s="547">
        <v>-38950546299</v>
      </c>
      <c r="G489" s="547">
        <v>-1080978000</v>
      </c>
      <c r="H489" s="547"/>
      <c r="I489" s="547"/>
      <c r="J489" s="547"/>
      <c r="K489" s="547"/>
      <c r="L489" s="547"/>
      <c r="M489" s="547"/>
      <c r="N489" s="547"/>
      <c r="O489" s="547"/>
      <c r="P489" s="547"/>
      <c r="Q489" s="812">
        <f t="shared" si="29"/>
        <v>-40031524299</v>
      </c>
      <c r="R489" s="547">
        <v>0</v>
      </c>
      <c r="S489" s="812">
        <f t="shared" si="31"/>
        <v>-40032</v>
      </c>
      <c r="T489" s="547">
        <f t="shared" si="31"/>
        <v>0</v>
      </c>
      <c r="U489" s="566">
        <f>-Q489</f>
        <v>40031524299</v>
      </c>
      <c r="V489" s="566"/>
      <c r="W489" s="812">
        <f>Q489-V489+U489</f>
        <v>0</v>
      </c>
      <c r="X489" s="812">
        <f t="shared" si="30"/>
        <v>0</v>
      </c>
    </row>
    <row r="490" spans="1:24" ht="27" customHeight="1">
      <c r="A490" s="531"/>
      <c r="B490" s="531"/>
      <c r="C490" s="529">
        <v>20</v>
      </c>
      <c r="D490" s="530" t="s">
        <v>852</v>
      </c>
      <c r="E490" s="531" t="s">
        <v>1040</v>
      </c>
      <c r="F490" s="547"/>
      <c r="G490" s="547"/>
      <c r="H490" s="547"/>
      <c r="I490" s="547"/>
      <c r="J490" s="547"/>
      <c r="K490" s="547"/>
      <c r="L490" s="547"/>
      <c r="M490" s="547"/>
      <c r="N490" s="547"/>
      <c r="O490" s="547"/>
      <c r="P490" s="547"/>
      <c r="Q490" s="812">
        <f t="shared" si="29"/>
        <v>0</v>
      </c>
      <c r="R490" s="547">
        <v>0</v>
      </c>
      <c r="S490" s="812">
        <f t="shared" si="31"/>
        <v>0</v>
      </c>
      <c r="T490" s="547">
        <f t="shared" si="31"/>
        <v>0</v>
      </c>
      <c r="U490" s="566">
        <f>V490</f>
        <v>-249476656319</v>
      </c>
      <c r="V490" s="566">
        <f>U489+U486+U485+U484+U483+U481+U427-V479</f>
        <v>-249476656319</v>
      </c>
      <c r="W490" s="812">
        <f>Q490-V490+U490</f>
        <v>0</v>
      </c>
      <c r="X490" s="812">
        <f t="shared" si="30"/>
        <v>0</v>
      </c>
    </row>
    <row r="491" spans="1:24" ht="27" customHeight="1">
      <c r="A491" s="531"/>
      <c r="B491" s="531"/>
      <c r="C491" s="529">
        <v>20</v>
      </c>
      <c r="D491" s="530" t="s">
        <v>613</v>
      </c>
      <c r="E491" s="531" t="s">
        <v>614</v>
      </c>
      <c r="F491" s="547">
        <v>2150166441944</v>
      </c>
      <c r="G491" s="547"/>
      <c r="H491" s="547"/>
      <c r="I491" s="547"/>
      <c r="J491" s="547"/>
      <c r="K491" s="547"/>
      <c r="L491" s="547"/>
      <c r="M491" s="547"/>
      <c r="N491" s="547"/>
      <c r="O491" s="547"/>
      <c r="P491" s="547"/>
      <c r="Q491" s="812">
        <f t="shared" si="29"/>
        <v>2150166441944</v>
      </c>
      <c r="R491" s="547">
        <v>2150166441944</v>
      </c>
      <c r="S491" s="812">
        <f t="shared" si="31"/>
        <v>2150166</v>
      </c>
      <c r="T491" s="547">
        <f t="shared" si="31"/>
        <v>2150166</v>
      </c>
      <c r="U491" s="566">
        <f>-V490</f>
        <v>249476656319</v>
      </c>
      <c r="V491" s="566">
        <f>U480</f>
        <v>1344142843076</v>
      </c>
      <c r="W491" s="812">
        <f>Q491-V491+U491</f>
        <v>1055500255187</v>
      </c>
      <c r="X491" s="812">
        <f t="shared" si="30"/>
        <v>1055500</v>
      </c>
    </row>
    <row r="492" spans="1:24" ht="27" customHeight="1">
      <c r="A492" s="531"/>
      <c r="B492" s="531">
        <v>406</v>
      </c>
      <c r="C492" s="529">
        <v>4</v>
      </c>
      <c r="D492" s="530" t="s">
        <v>1257</v>
      </c>
      <c r="E492" s="531" t="s">
        <v>1029</v>
      </c>
      <c r="F492" s="547">
        <v>5678226467</v>
      </c>
      <c r="G492" s="547">
        <v>-2115811271</v>
      </c>
      <c r="H492" s="547">
        <v>-1729137635</v>
      </c>
      <c r="I492" s="547">
        <v>-214963291</v>
      </c>
      <c r="J492" s="547">
        <v>-1618314270</v>
      </c>
      <c r="K492" s="547"/>
      <c r="L492" s="547"/>
      <c r="M492" s="547"/>
      <c r="N492" s="547"/>
      <c r="O492" s="547"/>
      <c r="P492" s="547"/>
      <c r="Q492" s="812">
        <f t="shared" si="29"/>
        <v>0</v>
      </c>
      <c r="R492" s="547">
        <v>0</v>
      </c>
      <c r="S492" s="812">
        <f t="shared" si="31"/>
        <v>0</v>
      </c>
      <c r="T492" s="547">
        <f t="shared" si="31"/>
        <v>0</v>
      </c>
      <c r="U492" s="566"/>
      <c r="V492" s="567"/>
      <c r="W492" s="812">
        <f t="shared" ref="W492:W533" si="32">Q492+V492-U492</f>
        <v>0</v>
      </c>
      <c r="X492" s="812">
        <f t="shared" si="30"/>
        <v>0</v>
      </c>
    </row>
    <row r="493" spans="1:24" ht="27" customHeight="1">
      <c r="A493" s="531"/>
      <c r="B493" s="531">
        <v>1018</v>
      </c>
      <c r="C493" s="529">
        <v>10</v>
      </c>
      <c r="D493" s="530" t="s">
        <v>1157</v>
      </c>
      <c r="E493" s="531" t="s">
        <v>956</v>
      </c>
      <c r="F493" s="547">
        <v>-4825494398</v>
      </c>
      <c r="G493" s="547">
        <v>3945514771</v>
      </c>
      <c r="H493" s="547">
        <v>-1254102885</v>
      </c>
      <c r="I493" s="547">
        <v>2134082512</v>
      </c>
      <c r="J493" s="547">
        <v>-1428963914190</v>
      </c>
      <c r="K493" s="547">
        <v>1428963914190</v>
      </c>
      <c r="L493" s="547"/>
      <c r="M493" s="547"/>
      <c r="N493" s="547"/>
      <c r="O493" s="547"/>
      <c r="P493" s="547"/>
      <c r="Q493" s="812">
        <f t="shared" si="29"/>
        <v>0</v>
      </c>
      <c r="R493" s="547">
        <v>0</v>
      </c>
      <c r="S493" s="812">
        <f t="shared" si="31"/>
        <v>0</v>
      </c>
      <c r="T493" s="547">
        <f t="shared" si="31"/>
        <v>0</v>
      </c>
      <c r="U493" s="566"/>
      <c r="V493" s="567"/>
      <c r="W493" s="812">
        <f t="shared" si="32"/>
        <v>0</v>
      </c>
      <c r="X493" s="812">
        <f t="shared" si="30"/>
        <v>0</v>
      </c>
    </row>
    <row r="494" spans="1:24" ht="27" customHeight="1">
      <c r="A494" s="531"/>
      <c r="B494" s="531">
        <v>406</v>
      </c>
      <c r="C494" s="529">
        <v>4</v>
      </c>
      <c r="D494" s="530" t="s">
        <v>1003</v>
      </c>
      <c r="E494" s="531" t="s">
        <v>1258</v>
      </c>
      <c r="F494" s="547">
        <v>-113265040</v>
      </c>
      <c r="G494" s="547"/>
      <c r="H494" s="547"/>
      <c r="I494" s="547">
        <v>18116199</v>
      </c>
      <c r="J494" s="547">
        <v>95148841</v>
      </c>
      <c r="K494" s="547"/>
      <c r="L494" s="547"/>
      <c r="M494" s="547"/>
      <c r="N494" s="547"/>
      <c r="O494" s="547"/>
      <c r="P494" s="547"/>
      <c r="Q494" s="812">
        <f t="shared" si="29"/>
        <v>0</v>
      </c>
      <c r="R494" s="547">
        <v>0</v>
      </c>
      <c r="S494" s="812">
        <f t="shared" si="31"/>
        <v>0</v>
      </c>
      <c r="T494" s="547">
        <f t="shared" si="31"/>
        <v>0</v>
      </c>
      <c r="U494" s="566"/>
      <c r="V494" s="567"/>
      <c r="W494" s="812">
        <f t="shared" si="32"/>
        <v>0</v>
      </c>
      <c r="X494" s="812">
        <f t="shared" si="30"/>
        <v>0</v>
      </c>
    </row>
    <row r="495" spans="1:24" ht="27" customHeight="1">
      <c r="A495" s="531"/>
      <c r="B495" s="531">
        <v>406</v>
      </c>
      <c r="C495" s="529">
        <v>4</v>
      </c>
      <c r="D495" s="530" t="s">
        <v>1598</v>
      </c>
      <c r="E495" s="531" t="s">
        <v>1597</v>
      </c>
      <c r="F495" s="547">
        <v>23010262</v>
      </c>
      <c r="G495" s="547">
        <v>-12080000</v>
      </c>
      <c r="H495" s="547"/>
      <c r="I495" s="547"/>
      <c r="J495" s="547">
        <v>-10930262</v>
      </c>
      <c r="K495" s="547"/>
      <c r="L495" s="547"/>
      <c r="M495" s="547"/>
      <c r="N495" s="547"/>
      <c r="O495" s="547"/>
      <c r="P495" s="547"/>
      <c r="Q495" s="812">
        <f t="shared" si="29"/>
        <v>0</v>
      </c>
      <c r="R495" s="547">
        <v>0</v>
      </c>
      <c r="S495" s="812">
        <f t="shared" si="31"/>
        <v>0</v>
      </c>
      <c r="T495" s="547">
        <f t="shared" si="31"/>
        <v>0</v>
      </c>
      <c r="U495" s="566"/>
      <c r="V495" s="567"/>
      <c r="W495" s="812">
        <f t="shared" si="32"/>
        <v>0</v>
      </c>
      <c r="X495" s="812">
        <f t="shared" si="30"/>
        <v>0</v>
      </c>
    </row>
    <row r="496" spans="1:24" ht="27" customHeight="1">
      <c r="A496" s="531"/>
      <c r="B496" s="531">
        <v>406</v>
      </c>
      <c r="C496" s="529">
        <v>4</v>
      </c>
      <c r="D496" s="530" t="s">
        <v>1259</v>
      </c>
      <c r="E496" s="531" t="s">
        <v>1260</v>
      </c>
      <c r="F496" s="547">
        <v>74239190</v>
      </c>
      <c r="G496" s="547">
        <v>242879950</v>
      </c>
      <c r="H496" s="547">
        <v>-322683600</v>
      </c>
      <c r="I496" s="547"/>
      <c r="J496" s="547">
        <v>5827500</v>
      </c>
      <c r="K496" s="547"/>
      <c r="L496" s="547"/>
      <c r="M496" s="547"/>
      <c r="N496" s="547"/>
      <c r="O496" s="547"/>
      <c r="P496" s="547"/>
      <c r="Q496" s="812">
        <f t="shared" si="29"/>
        <v>263040</v>
      </c>
      <c r="R496" s="547">
        <v>0</v>
      </c>
      <c r="S496" s="812">
        <f t="shared" si="31"/>
        <v>0</v>
      </c>
      <c r="T496" s="547">
        <f t="shared" si="31"/>
        <v>0</v>
      </c>
      <c r="U496" s="566"/>
      <c r="V496" s="567"/>
      <c r="W496" s="812">
        <f t="shared" si="32"/>
        <v>263040</v>
      </c>
      <c r="X496" s="812">
        <f t="shared" si="30"/>
        <v>0</v>
      </c>
    </row>
    <row r="497" spans="1:24" ht="27" customHeight="1">
      <c r="A497" s="531"/>
      <c r="B497" s="531">
        <v>10040</v>
      </c>
      <c r="C497" s="529">
        <v>4</v>
      </c>
      <c r="D497" s="530" t="s">
        <v>615</v>
      </c>
      <c r="E497" s="531" t="s">
        <v>616</v>
      </c>
      <c r="F497" s="547">
        <v>-473188</v>
      </c>
      <c r="G497" s="547"/>
      <c r="H497" s="547"/>
      <c r="I497" s="547"/>
      <c r="J497" s="547"/>
      <c r="K497" s="547"/>
      <c r="L497" s="547"/>
      <c r="M497" s="547"/>
      <c r="N497" s="547"/>
      <c r="O497" s="547"/>
      <c r="P497" s="547"/>
      <c r="Q497" s="547">
        <f t="shared" si="29"/>
        <v>-473188</v>
      </c>
      <c r="R497" s="547">
        <v>-473188</v>
      </c>
      <c r="S497" s="547">
        <f t="shared" si="31"/>
        <v>0</v>
      </c>
      <c r="T497" s="547">
        <f t="shared" si="31"/>
        <v>0</v>
      </c>
      <c r="U497" s="566"/>
      <c r="V497" s="567"/>
      <c r="W497" s="812">
        <f t="shared" si="32"/>
        <v>-473188</v>
      </c>
      <c r="X497" s="812">
        <f t="shared" si="30"/>
        <v>0</v>
      </c>
    </row>
    <row r="498" spans="1:24" ht="27" customHeight="1">
      <c r="A498" s="531"/>
      <c r="B498" s="531"/>
      <c r="C498" s="529">
        <v>19</v>
      </c>
      <c r="D498" s="530" t="s">
        <v>617</v>
      </c>
      <c r="E498" s="531" t="s">
        <v>618</v>
      </c>
      <c r="F498" s="547">
        <v>1355139519884</v>
      </c>
      <c r="G498" s="547"/>
      <c r="H498" s="547">
        <v>-231860000</v>
      </c>
      <c r="I498" s="547">
        <v>3999635989</v>
      </c>
      <c r="J498" s="547"/>
      <c r="K498" s="547"/>
      <c r="L498" s="547"/>
      <c r="M498" s="547"/>
      <c r="N498" s="547"/>
      <c r="O498" s="547"/>
      <c r="P498" s="547"/>
      <c r="Q498" s="812">
        <f t="shared" si="29"/>
        <v>1358907295873</v>
      </c>
      <c r="R498" s="547">
        <v>1323418194539</v>
      </c>
      <c r="S498" s="812">
        <f t="shared" si="31"/>
        <v>1358907</v>
      </c>
      <c r="T498" s="547">
        <f t="shared" si="31"/>
        <v>1323418</v>
      </c>
      <c r="U498" s="566"/>
      <c r="V498" s="567"/>
      <c r="W498" s="812">
        <f t="shared" si="32"/>
        <v>1358907295873</v>
      </c>
      <c r="X498" s="812">
        <f t="shared" si="30"/>
        <v>1358907</v>
      </c>
    </row>
    <row r="499" spans="1:24" ht="27" customHeight="1">
      <c r="A499" s="531"/>
      <c r="B499" s="531"/>
      <c r="C499" s="529">
        <v>19</v>
      </c>
      <c r="D499" s="530" t="s">
        <v>1202</v>
      </c>
      <c r="E499" s="531" t="s">
        <v>1203</v>
      </c>
      <c r="F499" s="547"/>
      <c r="G499" s="547"/>
      <c r="H499" s="547"/>
      <c r="I499" s="547">
        <v>0</v>
      </c>
      <c r="J499" s="547"/>
      <c r="K499" s="547"/>
      <c r="L499" s="547"/>
      <c r="M499" s="547"/>
      <c r="N499" s="547"/>
      <c r="O499" s="547"/>
      <c r="P499" s="547"/>
      <c r="Q499" s="812">
        <f t="shared" si="29"/>
        <v>0</v>
      </c>
      <c r="R499" s="547">
        <v>-10000000</v>
      </c>
      <c r="S499" s="812">
        <f t="shared" si="31"/>
        <v>0</v>
      </c>
      <c r="T499" s="547">
        <f t="shared" si="31"/>
        <v>-10</v>
      </c>
      <c r="U499" s="566"/>
      <c r="V499" s="567"/>
      <c r="W499" s="812">
        <f t="shared" si="32"/>
        <v>0</v>
      </c>
      <c r="X499" s="812">
        <f t="shared" si="30"/>
        <v>0</v>
      </c>
    </row>
    <row r="500" spans="1:24" ht="27" customHeight="1">
      <c r="A500" s="531"/>
      <c r="B500" s="531"/>
      <c r="C500" s="529">
        <v>19</v>
      </c>
      <c r="D500" s="530" t="s">
        <v>619</v>
      </c>
      <c r="E500" s="531" t="s">
        <v>620</v>
      </c>
      <c r="F500" s="547">
        <v>-1355139519884</v>
      </c>
      <c r="G500" s="547"/>
      <c r="H500" s="547">
        <v>231860000</v>
      </c>
      <c r="I500" s="547">
        <v>-3999635989</v>
      </c>
      <c r="J500" s="547"/>
      <c r="K500" s="547"/>
      <c r="L500" s="547"/>
      <c r="M500" s="547"/>
      <c r="N500" s="547"/>
      <c r="O500" s="547"/>
      <c r="P500" s="547"/>
      <c r="Q500" s="812">
        <f t="shared" si="29"/>
        <v>-1358907295873</v>
      </c>
      <c r="R500" s="547">
        <v>-1323408194539</v>
      </c>
      <c r="S500" s="812">
        <f t="shared" si="31"/>
        <v>-1358907</v>
      </c>
      <c r="T500" s="547">
        <f t="shared" si="31"/>
        <v>-1323408</v>
      </c>
      <c r="U500" s="566"/>
      <c r="V500" s="567"/>
      <c r="W500" s="812">
        <f t="shared" si="32"/>
        <v>-1358907295873</v>
      </c>
      <c r="X500" s="812">
        <f t="shared" si="30"/>
        <v>-1358907</v>
      </c>
    </row>
    <row r="501" spans="1:24" ht="27" customHeight="1">
      <c r="A501" s="531"/>
      <c r="B501" s="531"/>
      <c r="C501" s="529">
        <v>19</v>
      </c>
      <c r="D501" s="530" t="s">
        <v>1204</v>
      </c>
      <c r="E501" s="531" t="s">
        <v>1205</v>
      </c>
      <c r="F501" s="547"/>
      <c r="G501" s="547"/>
      <c r="H501" s="547"/>
      <c r="I501" s="547">
        <v>0</v>
      </c>
      <c r="J501" s="547"/>
      <c r="K501" s="547"/>
      <c r="L501" s="547"/>
      <c r="M501" s="547"/>
      <c r="N501" s="547"/>
      <c r="O501" s="547"/>
      <c r="P501" s="547"/>
      <c r="Q501" s="812">
        <f t="shared" si="29"/>
        <v>0</v>
      </c>
      <c r="R501" s="547">
        <v>0</v>
      </c>
      <c r="S501" s="812">
        <f t="shared" si="31"/>
        <v>0</v>
      </c>
      <c r="T501" s="547">
        <f t="shared" si="31"/>
        <v>0</v>
      </c>
      <c r="U501" s="566"/>
      <c r="V501" s="567"/>
      <c r="W501" s="812">
        <f t="shared" si="32"/>
        <v>0</v>
      </c>
      <c r="X501" s="812">
        <f t="shared" si="30"/>
        <v>0</v>
      </c>
    </row>
    <row r="502" spans="1:24" ht="27" customHeight="1">
      <c r="A502" s="531">
        <v>3214</v>
      </c>
      <c r="B502" s="531"/>
      <c r="C502" s="529">
        <v>19</v>
      </c>
      <c r="D502" s="530" t="s">
        <v>617</v>
      </c>
      <c r="E502" s="531" t="s">
        <v>1618</v>
      </c>
      <c r="F502" s="547"/>
      <c r="G502" s="547"/>
      <c r="H502" s="547"/>
      <c r="I502" s="547">
        <f>1738362729959</f>
        <v>1738362729959</v>
      </c>
      <c r="J502" s="547"/>
      <c r="K502" s="547">
        <v>-1738362729959</v>
      </c>
      <c r="L502" s="547"/>
      <c r="M502" s="547"/>
      <c r="N502" s="547"/>
      <c r="O502" s="547">
        <f>1738362729959+10000000</f>
        <v>1738372729959</v>
      </c>
      <c r="P502" s="547"/>
      <c r="Q502" s="812">
        <f t="shared" si="29"/>
        <v>1738372729959</v>
      </c>
      <c r="R502" s="547"/>
      <c r="S502" s="812">
        <f t="shared" ref="S502:T517" si="33">ROUND((Q502/1000000),0)</f>
        <v>1738373</v>
      </c>
      <c r="T502" s="547">
        <f t="shared" si="33"/>
        <v>0</v>
      </c>
      <c r="U502" s="566"/>
      <c r="V502" s="567"/>
      <c r="W502" s="812">
        <f t="shared" si="32"/>
        <v>1738372729959</v>
      </c>
      <c r="X502" s="812">
        <f t="shared" si="30"/>
        <v>1738373</v>
      </c>
    </row>
    <row r="503" spans="1:24" ht="27" customHeight="1">
      <c r="A503" s="531">
        <v>3214</v>
      </c>
      <c r="B503" s="531"/>
      <c r="C503" s="529">
        <v>19</v>
      </c>
      <c r="D503" s="530" t="s">
        <v>1202</v>
      </c>
      <c r="E503" s="531" t="s">
        <v>1619</v>
      </c>
      <c r="F503" s="547"/>
      <c r="G503" s="547"/>
      <c r="H503" s="547"/>
      <c r="I503" s="547">
        <f>500261912448</f>
        <v>500261912448</v>
      </c>
      <c r="J503" s="547"/>
      <c r="K503" s="547">
        <v>-500261912448</v>
      </c>
      <c r="L503" s="547"/>
      <c r="M503" s="547"/>
      <c r="N503" s="547"/>
      <c r="O503" s="547">
        <f>-1738362729959-10000000</f>
        <v>-1738372729959</v>
      </c>
      <c r="P503" s="547"/>
      <c r="Q503" s="812">
        <f t="shared" si="29"/>
        <v>-1738372729959</v>
      </c>
      <c r="R503" s="547"/>
      <c r="S503" s="812">
        <f t="shared" si="33"/>
        <v>-1738373</v>
      </c>
      <c r="T503" s="547">
        <f t="shared" si="33"/>
        <v>0</v>
      </c>
      <c r="U503" s="566"/>
      <c r="V503" s="567"/>
      <c r="W503" s="812">
        <f t="shared" si="32"/>
        <v>-1738372729959</v>
      </c>
      <c r="X503" s="812">
        <f t="shared" si="30"/>
        <v>-1738373</v>
      </c>
    </row>
    <row r="504" spans="1:24" ht="27" customHeight="1">
      <c r="A504" s="531">
        <v>3214</v>
      </c>
      <c r="B504" s="531"/>
      <c r="C504" s="529">
        <v>19</v>
      </c>
      <c r="D504" s="530" t="s">
        <v>619</v>
      </c>
      <c r="E504" s="531" t="s">
        <v>1620</v>
      </c>
      <c r="F504" s="547"/>
      <c r="G504" s="547"/>
      <c r="H504" s="547"/>
      <c r="I504" s="547">
        <v>-1738362729959</v>
      </c>
      <c r="J504" s="547"/>
      <c r="K504" s="547">
        <v>1738362729959</v>
      </c>
      <c r="L504" s="547"/>
      <c r="M504" s="547"/>
      <c r="N504" s="547"/>
      <c r="O504" s="547">
        <v>500261912448</v>
      </c>
      <c r="P504" s="547"/>
      <c r="Q504" s="812">
        <f t="shared" si="29"/>
        <v>500261912448</v>
      </c>
      <c r="R504" s="547"/>
      <c r="S504" s="812">
        <f t="shared" si="33"/>
        <v>500262</v>
      </c>
      <c r="T504" s="547">
        <f t="shared" si="33"/>
        <v>0</v>
      </c>
      <c r="U504" s="566"/>
      <c r="V504" s="567"/>
      <c r="W504" s="812">
        <f t="shared" si="32"/>
        <v>500261912448</v>
      </c>
      <c r="X504" s="812">
        <f t="shared" si="30"/>
        <v>500262</v>
      </c>
    </row>
    <row r="505" spans="1:24" ht="27" customHeight="1">
      <c r="A505" s="531">
        <v>3214</v>
      </c>
      <c r="B505" s="531"/>
      <c r="C505" s="529">
        <v>19</v>
      </c>
      <c r="D505" s="530" t="s">
        <v>1204</v>
      </c>
      <c r="E505" s="531" t="s">
        <v>1621</v>
      </c>
      <c r="F505" s="547"/>
      <c r="G505" s="547"/>
      <c r="H505" s="547"/>
      <c r="I505" s="547">
        <v>-500261912448</v>
      </c>
      <c r="J505" s="547"/>
      <c r="K505" s="547">
        <v>500261912448</v>
      </c>
      <c r="L505" s="547"/>
      <c r="M505" s="547"/>
      <c r="N505" s="547"/>
      <c r="O505" s="547">
        <v>-500261912448</v>
      </c>
      <c r="P505" s="547"/>
      <c r="Q505" s="812">
        <f t="shared" si="29"/>
        <v>-500261912448</v>
      </c>
      <c r="R505" s="547">
        <v>0</v>
      </c>
      <c r="S505" s="812">
        <f t="shared" si="33"/>
        <v>-500262</v>
      </c>
      <c r="T505" s="547">
        <f t="shared" si="33"/>
        <v>0</v>
      </c>
      <c r="U505" s="566"/>
      <c r="V505" s="567"/>
      <c r="W505" s="812">
        <f t="shared" si="32"/>
        <v>-500261912448</v>
      </c>
      <c r="X505" s="812">
        <f t="shared" si="30"/>
        <v>-500262</v>
      </c>
    </row>
    <row r="506" spans="1:24" ht="27" customHeight="1">
      <c r="A506" s="531"/>
      <c r="B506" s="531">
        <v>501</v>
      </c>
      <c r="C506" s="529">
        <v>5</v>
      </c>
      <c r="D506" s="530" t="s">
        <v>1266</v>
      </c>
      <c r="E506" s="531" t="s">
        <v>1267</v>
      </c>
      <c r="F506" s="547">
        <v>1043161770</v>
      </c>
      <c r="G506" s="547"/>
      <c r="H506" s="547"/>
      <c r="I506" s="547"/>
      <c r="J506" s="547"/>
      <c r="K506" s="547"/>
      <c r="L506" s="547"/>
      <c r="M506" s="547"/>
      <c r="N506" s="547"/>
      <c r="O506" s="547"/>
      <c r="P506" s="547"/>
      <c r="Q506" s="812">
        <f t="shared" si="29"/>
        <v>1043161770</v>
      </c>
      <c r="R506" s="547">
        <v>1042687796</v>
      </c>
      <c r="S506" s="812">
        <f t="shared" si="33"/>
        <v>1043</v>
      </c>
      <c r="T506" s="547">
        <f t="shared" si="33"/>
        <v>1043</v>
      </c>
      <c r="U506" s="566"/>
      <c r="V506" s="567"/>
      <c r="W506" s="812">
        <f t="shared" si="32"/>
        <v>1043161770</v>
      </c>
      <c r="X506" s="812">
        <f t="shared" si="30"/>
        <v>1043</v>
      </c>
    </row>
    <row r="507" spans="1:24" ht="27" customHeight="1">
      <c r="A507" s="531"/>
      <c r="B507" s="531">
        <v>1018</v>
      </c>
      <c r="C507" s="529">
        <v>10</v>
      </c>
      <c r="D507" s="530" t="s">
        <v>97</v>
      </c>
      <c r="E507" s="531" t="s">
        <v>95</v>
      </c>
      <c r="F507" s="547"/>
      <c r="G507" s="547"/>
      <c r="H507" s="547"/>
      <c r="I507" s="547">
        <v>0</v>
      </c>
      <c r="J507" s="547"/>
      <c r="K507" s="547"/>
      <c r="L507" s="547"/>
      <c r="M507" s="547"/>
      <c r="N507" s="547"/>
      <c r="O507" s="547"/>
      <c r="P507" s="547"/>
      <c r="Q507" s="812">
        <f t="shared" si="29"/>
        <v>0</v>
      </c>
      <c r="R507" s="547">
        <v>-103679858706</v>
      </c>
      <c r="S507" s="812">
        <f t="shared" si="33"/>
        <v>0</v>
      </c>
      <c r="T507" s="547">
        <f t="shared" si="33"/>
        <v>-103680</v>
      </c>
      <c r="U507" s="566"/>
      <c r="V507" s="567"/>
      <c r="W507" s="812">
        <f t="shared" si="32"/>
        <v>0</v>
      </c>
      <c r="X507" s="812">
        <f t="shared" si="30"/>
        <v>0</v>
      </c>
    </row>
    <row r="508" spans="1:24" ht="27" customHeight="1">
      <c r="A508" s="531"/>
      <c r="B508" s="531">
        <v>1018</v>
      </c>
      <c r="C508" s="529">
        <v>10</v>
      </c>
      <c r="D508" s="530" t="s">
        <v>471</v>
      </c>
      <c r="E508" s="531" t="s">
        <v>98</v>
      </c>
      <c r="F508" s="547"/>
      <c r="G508" s="547"/>
      <c r="H508" s="547"/>
      <c r="I508" s="547"/>
      <c r="J508" s="547"/>
      <c r="K508" s="547"/>
      <c r="L508" s="547"/>
      <c r="M508" s="547"/>
      <c r="N508" s="547"/>
      <c r="O508" s="547"/>
      <c r="P508" s="547"/>
      <c r="Q508" s="812">
        <f t="shared" si="29"/>
        <v>0</v>
      </c>
      <c r="R508" s="547">
        <v>-54076065839</v>
      </c>
      <c r="S508" s="812">
        <f t="shared" si="33"/>
        <v>0</v>
      </c>
      <c r="T508" s="547">
        <f t="shared" si="33"/>
        <v>-54076</v>
      </c>
      <c r="U508" s="566"/>
      <c r="V508" s="567"/>
      <c r="W508" s="812">
        <f t="shared" si="32"/>
        <v>0</v>
      </c>
      <c r="X508" s="812">
        <f t="shared" si="30"/>
        <v>0</v>
      </c>
    </row>
    <row r="509" spans="1:24" ht="27" customHeight="1">
      <c r="A509" s="531"/>
      <c r="B509" s="531">
        <v>1018</v>
      </c>
      <c r="C509" s="529">
        <v>10</v>
      </c>
      <c r="D509" s="530" t="s">
        <v>100</v>
      </c>
      <c r="E509" s="531" t="s">
        <v>1612</v>
      </c>
      <c r="F509" s="547"/>
      <c r="G509" s="547"/>
      <c r="H509" s="547"/>
      <c r="I509" s="547">
        <v>0</v>
      </c>
      <c r="J509" s="547"/>
      <c r="K509" s="547"/>
      <c r="L509" s="547"/>
      <c r="M509" s="547"/>
      <c r="N509" s="547"/>
      <c r="O509" s="547"/>
      <c r="P509" s="547"/>
      <c r="Q509" s="812">
        <f t="shared" si="29"/>
        <v>0</v>
      </c>
      <c r="R509" s="547">
        <v>-4810437004</v>
      </c>
      <c r="S509" s="812">
        <f t="shared" si="33"/>
        <v>0</v>
      </c>
      <c r="T509" s="547">
        <f t="shared" si="33"/>
        <v>-4810</v>
      </c>
      <c r="U509" s="566"/>
      <c r="V509" s="567"/>
      <c r="W509" s="812">
        <f t="shared" si="32"/>
        <v>0</v>
      </c>
      <c r="X509" s="812">
        <f t="shared" si="30"/>
        <v>0</v>
      </c>
    </row>
    <row r="510" spans="1:24" ht="27" customHeight="1">
      <c r="A510" s="531"/>
      <c r="B510" s="531">
        <v>1018</v>
      </c>
      <c r="C510" s="529">
        <v>10</v>
      </c>
      <c r="D510" s="530" t="s">
        <v>1360</v>
      </c>
      <c r="E510" s="531" t="s">
        <v>1613</v>
      </c>
      <c r="F510" s="547"/>
      <c r="G510" s="547"/>
      <c r="H510" s="547"/>
      <c r="I510" s="547"/>
      <c r="J510" s="547"/>
      <c r="K510" s="547"/>
      <c r="L510" s="547"/>
      <c r="M510" s="547"/>
      <c r="N510" s="547"/>
      <c r="O510" s="547"/>
      <c r="P510" s="547"/>
      <c r="Q510" s="812">
        <f t="shared" si="29"/>
        <v>0</v>
      </c>
      <c r="R510" s="547">
        <v>-1941420</v>
      </c>
      <c r="S510" s="812">
        <f t="shared" si="33"/>
        <v>0</v>
      </c>
      <c r="T510" s="547">
        <f t="shared" si="33"/>
        <v>-2</v>
      </c>
      <c r="U510" s="566"/>
      <c r="V510" s="567"/>
      <c r="W510" s="812">
        <f t="shared" si="32"/>
        <v>0</v>
      </c>
      <c r="X510" s="812">
        <f t="shared" si="30"/>
        <v>0</v>
      </c>
    </row>
    <row r="511" spans="1:24" ht="27" customHeight="1">
      <c r="A511" s="531"/>
      <c r="B511" s="531">
        <v>506</v>
      </c>
      <c r="C511" s="529">
        <v>5</v>
      </c>
      <c r="D511" s="530" t="s">
        <v>1595</v>
      </c>
      <c r="E511" s="531" t="s">
        <v>1613</v>
      </c>
      <c r="F511" s="547"/>
      <c r="G511" s="547"/>
      <c r="H511" s="547"/>
      <c r="I511" s="547"/>
      <c r="J511" s="547"/>
      <c r="K511" s="547"/>
      <c r="L511" s="547"/>
      <c r="M511" s="547"/>
      <c r="N511" s="547"/>
      <c r="O511" s="547"/>
      <c r="P511" s="547"/>
      <c r="Q511" s="812">
        <f t="shared" si="29"/>
        <v>0</v>
      </c>
      <c r="R511" s="547"/>
      <c r="S511" s="812">
        <f t="shared" si="33"/>
        <v>0</v>
      </c>
      <c r="T511" s="547">
        <f t="shared" si="33"/>
        <v>0</v>
      </c>
      <c r="U511" s="566"/>
      <c r="V511" s="567"/>
      <c r="W511" s="812">
        <f t="shared" si="32"/>
        <v>0</v>
      </c>
      <c r="X511" s="812">
        <f t="shared" si="30"/>
        <v>0</v>
      </c>
    </row>
    <row r="512" spans="1:24" ht="27" customHeight="1">
      <c r="A512" s="531"/>
      <c r="B512" s="531">
        <v>501</v>
      </c>
      <c r="C512" s="529">
        <v>5</v>
      </c>
      <c r="D512" s="530" t="s">
        <v>1572</v>
      </c>
      <c r="E512" s="531" t="s">
        <v>1574</v>
      </c>
      <c r="F512" s="547"/>
      <c r="G512" s="547"/>
      <c r="H512" s="547"/>
      <c r="I512" s="547"/>
      <c r="J512" s="547"/>
      <c r="K512" s="547"/>
      <c r="L512" s="547"/>
      <c r="M512" s="547"/>
      <c r="N512" s="547"/>
      <c r="O512" s="547"/>
      <c r="P512" s="547"/>
      <c r="Q512" s="812">
        <f t="shared" si="29"/>
        <v>0</v>
      </c>
      <c r="R512" s="547"/>
      <c r="S512" s="812">
        <f t="shared" si="33"/>
        <v>0</v>
      </c>
      <c r="T512" s="547">
        <f t="shared" si="33"/>
        <v>0</v>
      </c>
      <c r="U512" s="566"/>
      <c r="V512" s="567"/>
      <c r="W512" s="812">
        <f t="shared" si="32"/>
        <v>0</v>
      </c>
      <c r="X512" s="812">
        <f t="shared" si="30"/>
        <v>0</v>
      </c>
    </row>
    <row r="513" spans="1:24" ht="27" customHeight="1">
      <c r="A513" s="531"/>
      <c r="B513" s="531">
        <v>908</v>
      </c>
      <c r="C513" s="529">
        <v>9</v>
      </c>
      <c r="D513" s="530" t="s">
        <v>1573</v>
      </c>
      <c r="E513" s="531" t="s">
        <v>1575</v>
      </c>
      <c r="F513" s="547"/>
      <c r="G513" s="547"/>
      <c r="H513" s="547"/>
      <c r="I513" s="547"/>
      <c r="J513" s="547"/>
      <c r="K513" s="547"/>
      <c r="L513" s="547"/>
      <c r="M513" s="547"/>
      <c r="N513" s="547"/>
      <c r="O513" s="547"/>
      <c r="P513" s="547"/>
      <c r="Q513" s="812">
        <f t="shared" si="29"/>
        <v>0</v>
      </c>
      <c r="R513" s="547"/>
      <c r="S513" s="812">
        <f t="shared" si="33"/>
        <v>0</v>
      </c>
      <c r="T513" s="547">
        <f t="shared" si="33"/>
        <v>0</v>
      </c>
      <c r="U513" s="566"/>
      <c r="V513" s="567"/>
      <c r="W513" s="812">
        <f t="shared" si="32"/>
        <v>0</v>
      </c>
      <c r="X513" s="812">
        <f t="shared" si="30"/>
        <v>0</v>
      </c>
    </row>
    <row r="514" spans="1:24" ht="27" customHeight="1">
      <c r="A514" s="531"/>
      <c r="B514" s="531">
        <v>506</v>
      </c>
      <c r="C514" s="529">
        <v>5</v>
      </c>
      <c r="D514" s="530" t="s">
        <v>593</v>
      </c>
      <c r="E514" s="531" t="s">
        <v>1614</v>
      </c>
      <c r="F514" s="547"/>
      <c r="G514" s="547"/>
      <c r="H514" s="547"/>
      <c r="I514" s="547"/>
      <c r="J514" s="547"/>
      <c r="K514" s="547"/>
      <c r="L514" s="547"/>
      <c r="M514" s="547"/>
      <c r="N514" s="547"/>
      <c r="O514" s="547"/>
      <c r="P514" s="547"/>
      <c r="Q514" s="812">
        <f t="shared" si="29"/>
        <v>0</v>
      </c>
      <c r="R514" s="547">
        <v>9528154498</v>
      </c>
      <c r="S514" s="812">
        <f t="shared" si="33"/>
        <v>0</v>
      </c>
      <c r="T514" s="547">
        <f t="shared" si="33"/>
        <v>9528</v>
      </c>
      <c r="U514" s="566"/>
      <c r="V514" s="567"/>
      <c r="W514" s="812">
        <f t="shared" si="32"/>
        <v>0</v>
      </c>
      <c r="X514" s="812">
        <f t="shared" si="30"/>
        <v>0</v>
      </c>
    </row>
    <row r="515" spans="1:24" ht="27" customHeight="1">
      <c r="A515" s="531"/>
      <c r="B515" s="531">
        <v>506</v>
      </c>
      <c r="C515" s="529">
        <v>5</v>
      </c>
      <c r="D515" s="530" t="s">
        <v>101</v>
      </c>
      <c r="E515" s="531" t="s">
        <v>102</v>
      </c>
      <c r="F515" s="547"/>
      <c r="G515" s="547"/>
      <c r="H515" s="547"/>
      <c r="I515" s="547"/>
      <c r="J515" s="547"/>
      <c r="K515" s="547"/>
      <c r="L515" s="547"/>
      <c r="M515" s="547"/>
      <c r="N515" s="547"/>
      <c r="O515" s="547"/>
      <c r="P515" s="547"/>
      <c r="Q515" s="812">
        <f t="shared" si="29"/>
        <v>0</v>
      </c>
      <c r="R515" s="547">
        <v>31678773986</v>
      </c>
      <c r="S515" s="812">
        <f t="shared" si="33"/>
        <v>0</v>
      </c>
      <c r="T515" s="547">
        <f t="shared" si="33"/>
        <v>31679</v>
      </c>
      <c r="U515" s="566"/>
      <c r="V515" s="567"/>
      <c r="W515" s="812">
        <f t="shared" si="32"/>
        <v>0</v>
      </c>
      <c r="X515" s="812">
        <f t="shared" si="30"/>
        <v>0</v>
      </c>
    </row>
    <row r="516" spans="1:24" ht="27" customHeight="1">
      <c r="A516" s="531"/>
      <c r="B516" s="531">
        <v>506</v>
      </c>
      <c r="C516" s="529">
        <v>5</v>
      </c>
      <c r="D516" s="530" t="s">
        <v>1599</v>
      </c>
      <c r="E516" s="531" t="s">
        <v>1600</v>
      </c>
      <c r="F516" s="547"/>
      <c r="G516" s="547"/>
      <c r="H516" s="547"/>
      <c r="I516" s="547"/>
      <c r="J516" s="547"/>
      <c r="K516" s="547"/>
      <c r="L516" s="547"/>
      <c r="M516" s="547"/>
      <c r="N516" s="547"/>
      <c r="O516" s="547"/>
      <c r="P516" s="547"/>
      <c r="Q516" s="812">
        <f t="shared" ref="Q516:Q533" si="34">SUM(F516:P516)</f>
        <v>0</v>
      </c>
      <c r="R516" s="547"/>
      <c r="S516" s="812">
        <f t="shared" si="33"/>
        <v>0</v>
      </c>
      <c r="T516" s="547">
        <f t="shared" si="33"/>
        <v>0</v>
      </c>
      <c r="U516" s="566"/>
      <c r="V516" s="567"/>
      <c r="W516" s="812">
        <f t="shared" si="32"/>
        <v>0</v>
      </c>
      <c r="X516" s="812">
        <f t="shared" si="30"/>
        <v>0</v>
      </c>
    </row>
    <row r="517" spans="1:24" ht="27" customHeight="1">
      <c r="A517" s="531"/>
      <c r="B517" s="531">
        <v>506</v>
      </c>
      <c r="C517" s="529">
        <v>5</v>
      </c>
      <c r="D517" s="530" t="s">
        <v>1362</v>
      </c>
      <c r="E517" s="531" t="s">
        <v>1363</v>
      </c>
      <c r="F517" s="547"/>
      <c r="G517" s="547"/>
      <c r="H517" s="547"/>
      <c r="I517" s="547"/>
      <c r="J517" s="547"/>
      <c r="K517" s="547"/>
      <c r="L517" s="547"/>
      <c r="M517" s="547"/>
      <c r="N517" s="547"/>
      <c r="O517" s="547"/>
      <c r="P517" s="547"/>
      <c r="Q517" s="812">
        <f t="shared" si="34"/>
        <v>0</v>
      </c>
      <c r="R517" s="547">
        <v>-2017</v>
      </c>
      <c r="S517" s="812">
        <f t="shared" si="33"/>
        <v>0</v>
      </c>
      <c r="T517" s="547">
        <f t="shared" si="33"/>
        <v>0</v>
      </c>
      <c r="U517" s="566"/>
      <c r="V517" s="567"/>
      <c r="W517" s="812">
        <f t="shared" si="32"/>
        <v>0</v>
      </c>
      <c r="X517" s="812">
        <f t="shared" si="30"/>
        <v>0</v>
      </c>
    </row>
    <row r="518" spans="1:24" ht="27" customHeight="1">
      <c r="A518" s="531"/>
      <c r="B518" s="531">
        <v>506</v>
      </c>
      <c r="C518" s="529">
        <v>5</v>
      </c>
      <c r="D518" s="530" t="s">
        <v>1576</v>
      </c>
      <c r="E518" s="531" t="s">
        <v>1582</v>
      </c>
      <c r="F518" s="547"/>
      <c r="G518" s="547"/>
      <c r="H518" s="547"/>
      <c r="I518" s="547"/>
      <c r="J518" s="547"/>
      <c r="K518" s="547"/>
      <c r="L518" s="547"/>
      <c r="M518" s="547"/>
      <c r="N518" s="547"/>
      <c r="O518" s="547"/>
      <c r="P518" s="547"/>
      <c r="Q518" s="812">
        <f t="shared" si="34"/>
        <v>0</v>
      </c>
      <c r="R518" s="547"/>
      <c r="S518" s="812">
        <f t="shared" ref="S518:T533" si="35">ROUND((Q518/1000000),0)</f>
        <v>0</v>
      </c>
      <c r="T518" s="547">
        <f t="shared" si="35"/>
        <v>0</v>
      </c>
      <c r="U518" s="566"/>
      <c r="V518" s="567"/>
      <c r="W518" s="812">
        <f t="shared" si="32"/>
        <v>0</v>
      </c>
      <c r="X518" s="812">
        <f t="shared" si="30"/>
        <v>0</v>
      </c>
    </row>
    <row r="519" spans="1:24" ht="27" customHeight="1">
      <c r="A519" s="531"/>
      <c r="B519" s="531">
        <v>506</v>
      </c>
      <c r="C519" s="529">
        <v>5</v>
      </c>
      <c r="D519" s="530" t="s">
        <v>1577</v>
      </c>
      <c r="E519" s="531" t="s">
        <v>1583</v>
      </c>
      <c r="F519" s="547"/>
      <c r="G519" s="547"/>
      <c r="H519" s="547"/>
      <c r="I519" s="547"/>
      <c r="J519" s="547"/>
      <c r="K519" s="547"/>
      <c r="L519" s="547"/>
      <c r="M519" s="547"/>
      <c r="N519" s="547"/>
      <c r="O519" s="547"/>
      <c r="P519" s="547"/>
      <c r="Q519" s="812">
        <f t="shared" si="34"/>
        <v>0</v>
      </c>
      <c r="R519" s="547"/>
      <c r="S519" s="812">
        <f t="shared" si="35"/>
        <v>0</v>
      </c>
      <c r="T519" s="547">
        <f t="shared" si="35"/>
        <v>0</v>
      </c>
      <c r="U519" s="566"/>
      <c r="V519" s="567"/>
      <c r="W519" s="812">
        <f t="shared" si="32"/>
        <v>0</v>
      </c>
      <c r="X519" s="812">
        <f t="shared" si="30"/>
        <v>0</v>
      </c>
    </row>
    <row r="520" spans="1:24" ht="27" customHeight="1">
      <c r="A520" s="531"/>
      <c r="B520" s="531">
        <v>506</v>
      </c>
      <c r="C520" s="529">
        <v>5</v>
      </c>
      <c r="D520" s="530" t="s">
        <v>1578</v>
      </c>
      <c r="E520" s="531" t="s">
        <v>1584</v>
      </c>
      <c r="F520" s="547"/>
      <c r="G520" s="547"/>
      <c r="H520" s="547"/>
      <c r="I520" s="547"/>
      <c r="J520" s="547"/>
      <c r="K520" s="547"/>
      <c r="L520" s="547"/>
      <c r="M520" s="547"/>
      <c r="N520" s="547"/>
      <c r="O520" s="547"/>
      <c r="P520" s="547"/>
      <c r="Q520" s="812">
        <f t="shared" si="34"/>
        <v>0</v>
      </c>
      <c r="R520" s="547"/>
      <c r="S520" s="812">
        <f t="shared" si="35"/>
        <v>0</v>
      </c>
      <c r="T520" s="547">
        <f t="shared" si="35"/>
        <v>0</v>
      </c>
      <c r="U520" s="566"/>
      <c r="V520" s="567"/>
      <c r="W520" s="812">
        <f t="shared" si="32"/>
        <v>0</v>
      </c>
      <c r="X520" s="812">
        <f t="shared" si="30"/>
        <v>0</v>
      </c>
    </row>
    <row r="521" spans="1:24" ht="27" customHeight="1">
      <c r="A521" s="531"/>
      <c r="B521" s="531">
        <v>506</v>
      </c>
      <c r="C521" s="529">
        <v>5</v>
      </c>
      <c r="D521" s="530" t="s">
        <v>1579</v>
      </c>
      <c r="E521" s="531" t="s">
        <v>1585</v>
      </c>
      <c r="F521" s="547"/>
      <c r="G521" s="547"/>
      <c r="H521" s="547"/>
      <c r="I521" s="547"/>
      <c r="J521" s="547"/>
      <c r="K521" s="547"/>
      <c r="L521" s="547"/>
      <c r="M521" s="547"/>
      <c r="N521" s="547"/>
      <c r="O521" s="547"/>
      <c r="P521" s="547"/>
      <c r="Q521" s="812">
        <f t="shared" si="34"/>
        <v>0</v>
      </c>
      <c r="R521" s="547"/>
      <c r="S521" s="812">
        <f t="shared" si="35"/>
        <v>0</v>
      </c>
      <c r="T521" s="547">
        <f t="shared" si="35"/>
        <v>0</v>
      </c>
      <c r="U521" s="566"/>
      <c r="V521" s="567"/>
      <c r="W521" s="812">
        <f t="shared" si="32"/>
        <v>0</v>
      </c>
      <c r="X521" s="812">
        <f t="shared" si="30"/>
        <v>0</v>
      </c>
    </row>
    <row r="522" spans="1:24" ht="27" customHeight="1">
      <c r="A522" s="531"/>
      <c r="B522" s="531">
        <v>506</v>
      </c>
      <c r="C522" s="529">
        <v>5</v>
      </c>
      <c r="D522" s="530" t="s">
        <v>1580</v>
      </c>
      <c r="E522" s="531" t="s">
        <v>1586</v>
      </c>
      <c r="F522" s="547"/>
      <c r="G522" s="547"/>
      <c r="H522" s="547"/>
      <c r="I522" s="547"/>
      <c r="J522" s="547"/>
      <c r="K522" s="547"/>
      <c r="L522" s="547"/>
      <c r="M522" s="547"/>
      <c r="N522" s="547"/>
      <c r="O522" s="547"/>
      <c r="P522" s="547"/>
      <c r="Q522" s="812">
        <f t="shared" si="34"/>
        <v>0</v>
      </c>
      <c r="R522" s="547"/>
      <c r="S522" s="812">
        <f t="shared" si="35"/>
        <v>0</v>
      </c>
      <c r="T522" s="547">
        <f t="shared" si="35"/>
        <v>0</v>
      </c>
      <c r="U522" s="566"/>
      <c r="V522" s="567"/>
      <c r="W522" s="812">
        <f t="shared" si="32"/>
        <v>0</v>
      </c>
      <c r="X522" s="812">
        <f t="shared" si="30"/>
        <v>0</v>
      </c>
    </row>
    <row r="523" spans="1:24" ht="27" customHeight="1">
      <c r="A523" s="531"/>
      <c r="B523" s="531">
        <v>1018</v>
      </c>
      <c r="C523" s="529">
        <v>10</v>
      </c>
      <c r="D523" s="530" t="s">
        <v>912</v>
      </c>
      <c r="E523" s="531" t="s">
        <v>1005</v>
      </c>
      <c r="F523" s="547"/>
      <c r="G523" s="547"/>
      <c r="H523" s="547"/>
      <c r="I523" s="547"/>
      <c r="J523" s="547"/>
      <c r="K523" s="547"/>
      <c r="L523" s="547"/>
      <c r="M523" s="547"/>
      <c r="N523" s="547"/>
      <c r="O523" s="547"/>
      <c r="P523" s="547"/>
      <c r="Q523" s="812">
        <f t="shared" si="34"/>
        <v>0</v>
      </c>
      <c r="R523" s="547">
        <v>-339656007</v>
      </c>
      <c r="S523" s="812">
        <f t="shared" si="35"/>
        <v>0</v>
      </c>
      <c r="T523" s="547">
        <f t="shared" si="35"/>
        <v>-340</v>
      </c>
      <c r="U523" s="566"/>
      <c r="V523" s="567"/>
      <c r="W523" s="812">
        <f t="shared" si="32"/>
        <v>0</v>
      </c>
      <c r="X523" s="812">
        <f t="shared" si="30"/>
        <v>0</v>
      </c>
    </row>
    <row r="524" spans="1:24" ht="27" customHeight="1">
      <c r="A524" s="531"/>
      <c r="B524" s="531">
        <v>506</v>
      </c>
      <c r="C524" s="529">
        <v>5</v>
      </c>
      <c r="D524" s="530" t="s">
        <v>1581</v>
      </c>
      <c r="E524" s="531" t="s">
        <v>1587</v>
      </c>
      <c r="F524" s="547"/>
      <c r="G524" s="547"/>
      <c r="H524" s="547"/>
      <c r="I524" s="547"/>
      <c r="J524" s="547"/>
      <c r="K524" s="547"/>
      <c r="L524" s="547"/>
      <c r="M524" s="547"/>
      <c r="N524" s="547"/>
      <c r="O524" s="547"/>
      <c r="P524" s="547"/>
      <c r="Q524" s="812">
        <f t="shared" si="34"/>
        <v>0</v>
      </c>
      <c r="R524" s="547">
        <v>1</v>
      </c>
      <c r="S524" s="812">
        <f t="shared" si="35"/>
        <v>0</v>
      </c>
      <c r="T524" s="547">
        <f t="shared" si="35"/>
        <v>0</v>
      </c>
      <c r="U524" s="566"/>
      <c r="V524" s="567"/>
      <c r="W524" s="812">
        <f t="shared" si="32"/>
        <v>0</v>
      </c>
      <c r="X524" s="812">
        <f t="shared" si="30"/>
        <v>0</v>
      </c>
    </row>
    <row r="525" spans="1:24" ht="27" customHeight="1">
      <c r="A525" s="531"/>
      <c r="B525" s="531">
        <v>506</v>
      </c>
      <c r="C525" s="529">
        <v>5</v>
      </c>
      <c r="D525" s="530" t="s">
        <v>1025</v>
      </c>
      <c r="E525" s="531" t="s">
        <v>1029</v>
      </c>
      <c r="F525" s="547"/>
      <c r="G525" s="547"/>
      <c r="H525" s="547"/>
      <c r="I525" s="547"/>
      <c r="J525" s="547"/>
      <c r="K525" s="547"/>
      <c r="L525" s="547"/>
      <c r="M525" s="547"/>
      <c r="N525" s="547"/>
      <c r="O525" s="547"/>
      <c r="P525" s="547"/>
      <c r="Q525" s="812">
        <f t="shared" si="34"/>
        <v>0</v>
      </c>
      <c r="R525" s="547">
        <v>1</v>
      </c>
      <c r="S525" s="812">
        <f t="shared" si="35"/>
        <v>0</v>
      </c>
      <c r="T525" s="547">
        <f t="shared" si="35"/>
        <v>0</v>
      </c>
      <c r="U525" s="566"/>
      <c r="V525" s="567"/>
      <c r="W525" s="812">
        <f t="shared" si="32"/>
        <v>0</v>
      </c>
      <c r="X525" s="812">
        <f t="shared" si="30"/>
        <v>0</v>
      </c>
    </row>
    <row r="526" spans="1:24" ht="27" customHeight="1">
      <c r="A526" s="531"/>
      <c r="B526" s="531">
        <v>1018</v>
      </c>
      <c r="C526" s="529">
        <v>10</v>
      </c>
      <c r="D526" s="530" t="s">
        <v>741</v>
      </c>
      <c r="E526" s="531" t="s">
        <v>742</v>
      </c>
      <c r="F526" s="547"/>
      <c r="G526" s="547"/>
      <c r="H526" s="547"/>
      <c r="I526" s="547"/>
      <c r="J526" s="547"/>
      <c r="K526" s="547"/>
      <c r="L526" s="547"/>
      <c r="M526" s="547"/>
      <c r="N526" s="547"/>
      <c r="O526" s="547"/>
      <c r="P526" s="547"/>
      <c r="Q526" s="812">
        <f t="shared" si="34"/>
        <v>0</v>
      </c>
      <c r="R526" s="547">
        <v>-3999804000</v>
      </c>
      <c r="S526" s="812">
        <f t="shared" si="35"/>
        <v>0</v>
      </c>
      <c r="T526" s="547">
        <f t="shared" si="35"/>
        <v>-4000</v>
      </c>
      <c r="U526" s="566"/>
      <c r="V526" s="567"/>
      <c r="W526" s="812">
        <f t="shared" si="32"/>
        <v>0</v>
      </c>
      <c r="X526" s="812">
        <f t="shared" si="30"/>
        <v>0</v>
      </c>
    </row>
    <row r="527" spans="1:24" ht="27" customHeight="1">
      <c r="A527" s="531"/>
      <c r="B527" s="531">
        <v>606</v>
      </c>
      <c r="C527" s="529">
        <v>6</v>
      </c>
      <c r="D527" s="530" t="s">
        <v>621</v>
      </c>
      <c r="E527" s="531" t="s">
        <v>1602</v>
      </c>
      <c r="F527" s="547">
        <v>309676356057</v>
      </c>
      <c r="G527" s="547"/>
      <c r="H527" s="547">
        <v>752000000</v>
      </c>
      <c r="I527" s="547"/>
      <c r="J527" s="547">
        <v>100000000</v>
      </c>
      <c r="K527" s="547"/>
      <c r="L527" s="547"/>
      <c r="M527" s="547"/>
      <c r="N527" s="547"/>
      <c r="O527" s="547">
        <v>1159823432128</v>
      </c>
      <c r="P527" s="547"/>
      <c r="Q527" s="812">
        <f t="shared" si="34"/>
        <v>1470351788185</v>
      </c>
      <c r="R527" s="547"/>
      <c r="S527" s="812">
        <f t="shared" si="35"/>
        <v>1470352</v>
      </c>
      <c r="T527" s="547">
        <f t="shared" si="35"/>
        <v>0</v>
      </c>
      <c r="U527" s="566"/>
      <c r="V527" s="567"/>
      <c r="W527" s="812">
        <f t="shared" si="32"/>
        <v>1470351788185</v>
      </c>
      <c r="X527" s="812">
        <f t="shared" si="30"/>
        <v>1470352</v>
      </c>
    </row>
    <row r="528" spans="1:24" ht="27" customHeight="1">
      <c r="A528" s="531"/>
      <c r="B528" s="531">
        <v>606</v>
      </c>
      <c r="C528" s="529">
        <v>6</v>
      </c>
      <c r="D528" s="530" t="s">
        <v>623</v>
      </c>
      <c r="E528" s="531" t="s">
        <v>1603</v>
      </c>
      <c r="F528" s="547">
        <v>-309676356057</v>
      </c>
      <c r="G528" s="547"/>
      <c r="H528" s="547">
        <v>-752000000</v>
      </c>
      <c r="I528" s="547"/>
      <c r="J528" s="547">
        <v>-100000000</v>
      </c>
      <c r="K528" s="547"/>
      <c r="L528" s="547"/>
      <c r="M528" s="547"/>
      <c r="N528" s="547"/>
      <c r="O528" s="547">
        <v>-1159823432128</v>
      </c>
      <c r="P528" s="547"/>
      <c r="Q528" s="812">
        <f t="shared" si="34"/>
        <v>-1470351788185</v>
      </c>
      <c r="R528" s="547"/>
      <c r="S528" s="812">
        <f t="shared" si="35"/>
        <v>-1470352</v>
      </c>
      <c r="T528" s="547">
        <f t="shared" si="35"/>
        <v>0</v>
      </c>
      <c r="U528" s="566"/>
      <c r="V528" s="567"/>
      <c r="W528" s="812">
        <f t="shared" si="32"/>
        <v>-1470351788185</v>
      </c>
      <c r="X528" s="812">
        <f t="shared" si="30"/>
        <v>-1470352</v>
      </c>
    </row>
    <row r="529" spans="1:24" ht="27" customHeight="1">
      <c r="A529" s="531">
        <v>3214</v>
      </c>
      <c r="B529" s="531">
        <v>606</v>
      </c>
      <c r="C529" s="529">
        <v>6</v>
      </c>
      <c r="D529" s="530" t="s">
        <v>621</v>
      </c>
      <c r="E529" s="531" t="s">
        <v>1622</v>
      </c>
      <c r="F529" s="547"/>
      <c r="G529" s="547"/>
      <c r="H529" s="547"/>
      <c r="I529" s="547">
        <v>1159823432128</v>
      </c>
      <c r="J529" s="547"/>
      <c r="K529" s="547">
        <v>-1159823432128</v>
      </c>
      <c r="L529" s="547"/>
      <c r="M529" s="547"/>
      <c r="N529" s="547"/>
      <c r="O529" s="547"/>
      <c r="P529" s="547"/>
      <c r="Q529" s="812">
        <f t="shared" si="34"/>
        <v>0</v>
      </c>
      <c r="R529" s="547"/>
      <c r="S529" s="812">
        <f t="shared" si="35"/>
        <v>0</v>
      </c>
      <c r="T529" s="547">
        <f t="shared" si="35"/>
        <v>0</v>
      </c>
      <c r="U529" s="566"/>
      <c r="V529" s="567"/>
      <c r="W529" s="812">
        <f t="shared" si="32"/>
        <v>0</v>
      </c>
      <c r="X529" s="812">
        <f t="shared" si="30"/>
        <v>0</v>
      </c>
    </row>
    <row r="530" spans="1:24" ht="27" customHeight="1">
      <c r="A530" s="531">
        <v>3214</v>
      </c>
      <c r="B530" s="531">
        <v>606</v>
      </c>
      <c r="C530" s="529">
        <v>6</v>
      </c>
      <c r="D530" s="530" t="s">
        <v>623</v>
      </c>
      <c r="E530" s="531" t="s">
        <v>1623</v>
      </c>
      <c r="F530" s="547"/>
      <c r="G530" s="547"/>
      <c r="H530" s="547"/>
      <c r="I530" s="547">
        <v>-1159823432128</v>
      </c>
      <c r="J530" s="547"/>
      <c r="K530" s="547">
        <v>1159823432128</v>
      </c>
      <c r="L530" s="547"/>
      <c r="M530" s="547"/>
      <c r="N530" s="547"/>
      <c r="O530" s="547"/>
      <c r="P530" s="547"/>
      <c r="Q530" s="812">
        <f t="shared" si="34"/>
        <v>0</v>
      </c>
      <c r="R530" s="547"/>
      <c r="S530" s="812">
        <f t="shared" si="35"/>
        <v>0</v>
      </c>
      <c r="T530" s="547">
        <f t="shared" si="35"/>
        <v>0</v>
      </c>
      <c r="U530" s="566"/>
      <c r="V530" s="567"/>
      <c r="W530" s="812">
        <f t="shared" si="32"/>
        <v>0</v>
      </c>
      <c r="X530" s="812">
        <f t="shared" si="30"/>
        <v>0</v>
      </c>
    </row>
    <row r="531" spans="1:24" ht="27" customHeight="1">
      <c r="A531" s="531"/>
      <c r="B531" s="531"/>
      <c r="C531" s="529"/>
      <c r="D531" s="530" t="s">
        <v>1588</v>
      </c>
      <c r="E531" s="531" t="s">
        <v>1591</v>
      </c>
      <c r="F531" s="547"/>
      <c r="G531" s="547"/>
      <c r="H531" s="547"/>
      <c r="I531" s="547"/>
      <c r="J531" s="547"/>
      <c r="K531" s="547"/>
      <c r="L531" s="547"/>
      <c r="M531" s="547"/>
      <c r="N531" s="547"/>
      <c r="O531" s="547"/>
      <c r="P531" s="547"/>
      <c r="Q531" s="812">
        <f t="shared" si="34"/>
        <v>0</v>
      </c>
      <c r="R531" s="547"/>
      <c r="S531" s="812">
        <f t="shared" si="35"/>
        <v>0</v>
      </c>
      <c r="T531" s="547">
        <f t="shared" si="35"/>
        <v>0</v>
      </c>
      <c r="U531" s="566"/>
      <c r="V531" s="567"/>
      <c r="W531" s="812">
        <f t="shared" si="32"/>
        <v>0</v>
      </c>
      <c r="X531" s="812">
        <f t="shared" si="30"/>
        <v>0</v>
      </c>
    </row>
    <row r="532" spans="1:24" ht="27" customHeight="1">
      <c r="A532" s="531"/>
      <c r="B532" s="531">
        <v>506</v>
      </c>
      <c r="C532" s="529">
        <v>5</v>
      </c>
      <c r="D532" s="530" t="s">
        <v>1589</v>
      </c>
      <c r="E532" s="531" t="s">
        <v>1592</v>
      </c>
      <c r="F532" s="547"/>
      <c r="G532" s="547"/>
      <c r="H532" s="547">
        <v>8</v>
      </c>
      <c r="I532" s="547">
        <v>-8</v>
      </c>
      <c r="J532" s="547"/>
      <c r="K532" s="547"/>
      <c r="L532" s="547"/>
      <c r="M532" s="547"/>
      <c r="N532" s="547"/>
      <c r="O532" s="547"/>
      <c r="P532" s="547"/>
      <c r="Q532" s="812">
        <f t="shared" si="34"/>
        <v>0</v>
      </c>
      <c r="R532" s="547"/>
      <c r="S532" s="812">
        <f t="shared" si="35"/>
        <v>0</v>
      </c>
      <c r="T532" s="547">
        <f>ROUND((R532/1000000),0)</f>
        <v>0</v>
      </c>
      <c r="U532" s="566"/>
      <c r="V532" s="567"/>
      <c r="W532" s="812">
        <f t="shared" si="32"/>
        <v>0</v>
      </c>
      <c r="X532" s="812">
        <f>ROUND((W532/1000000),0)</f>
        <v>0</v>
      </c>
    </row>
    <row r="533" spans="1:24" ht="27" customHeight="1">
      <c r="A533" s="531"/>
      <c r="B533" s="531">
        <v>506</v>
      </c>
      <c r="C533" s="529">
        <v>5</v>
      </c>
      <c r="D533" s="530" t="s">
        <v>1590</v>
      </c>
      <c r="E533" s="531" t="s">
        <v>1593</v>
      </c>
      <c r="F533" s="547"/>
      <c r="G533" s="547"/>
      <c r="H533" s="547"/>
      <c r="I533" s="547"/>
      <c r="J533" s="547"/>
      <c r="K533" s="547"/>
      <c r="L533" s="547"/>
      <c r="M533" s="547"/>
      <c r="N533" s="547"/>
      <c r="O533" s="547"/>
      <c r="P533" s="547"/>
      <c r="Q533" s="812">
        <f t="shared" si="34"/>
        <v>0</v>
      </c>
      <c r="R533" s="547"/>
      <c r="S533" s="812">
        <f t="shared" si="35"/>
        <v>0</v>
      </c>
      <c r="T533" s="547">
        <f t="shared" si="35"/>
        <v>0</v>
      </c>
      <c r="U533" s="566"/>
      <c r="V533" s="567"/>
      <c r="W533" s="812">
        <f t="shared" si="32"/>
        <v>0</v>
      </c>
      <c r="X533" s="812">
        <f>ROUND((W533/1000000),0)</f>
        <v>0</v>
      </c>
    </row>
    <row r="534" spans="1:24" ht="22.5" customHeight="1">
      <c r="A534" s="531"/>
      <c r="B534" s="531"/>
      <c r="C534" s="529"/>
      <c r="D534" s="530"/>
      <c r="E534" s="531"/>
      <c r="F534" s="544">
        <f>SUM(F3:F533)</f>
        <v>0</v>
      </c>
      <c r="G534" s="544">
        <f t="shared" ref="G534:P534" si="36">SUM(G3:G533)</f>
        <v>0</v>
      </c>
      <c r="H534" s="544">
        <f t="shared" si="36"/>
        <v>0</v>
      </c>
      <c r="I534" s="544">
        <f t="shared" si="36"/>
        <v>0</v>
      </c>
      <c r="J534" s="544">
        <f t="shared" si="36"/>
        <v>0</v>
      </c>
      <c r="K534" s="544">
        <f t="shared" si="36"/>
        <v>0</v>
      </c>
      <c r="L534" s="544">
        <f t="shared" si="36"/>
        <v>0</v>
      </c>
      <c r="M534" s="544">
        <f t="shared" si="36"/>
        <v>0</v>
      </c>
      <c r="N534" s="544">
        <f t="shared" si="36"/>
        <v>0</v>
      </c>
      <c r="O534" s="544">
        <f t="shared" si="36"/>
        <v>0</v>
      </c>
      <c r="P534" s="544">
        <f t="shared" si="36"/>
        <v>0</v>
      </c>
      <c r="Q534" s="553">
        <f t="shared" ref="Q534:X534" si="37">SUBTOTAL(9,Q3:Q533)</f>
        <v>0</v>
      </c>
      <c r="R534" s="544">
        <f t="shared" si="37"/>
        <v>21010</v>
      </c>
      <c r="S534" s="544">
        <f t="shared" si="37"/>
        <v>-1</v>
      </c>
      <c r="T534" s="544">
        <f t="shared" si="37"/>
        <v>0</v>
      </c>
      <c r="U534" s="550">
        <f t="shared" si="37"/>
        <v>14345905016440</v>
      </c>
      <c r="V534" s="550">
        <f t="shared" si="37"/>
        <v>14345905016440</v>
      </c>
      <c r="W534" s="550">
        <f t="shared" si="37"/>
        <v>0</v>
      </c>
      <c r="X534" s="550">
        <f t="shared" si="37"/>
        <v>-4</v>
      </c>
    </row>
    <row r="535" spans="1:24" ht="22.5">
      <c r="C535" s="545"/>
      <c r="D535" s="545"/>
      <c r="F535" s="836">
        <f t="shared" ref="F535:O535" si="38">SUBTOTAL(9,F3:F533)</f>
        <v>0</v>
      </c>
      <c r="G535" s="836">
        <f t="shared" si="38"/>
        <v>0</v>
      </c>
      <c r="H535" s="836">
        <f t="shared" si="38"/>
        <v>0</v>
      </c>
      <c r="I535" s="836">
        <f t="shared" si="38"/>
        <v>0</v>
      </c>
      <c r="J535" s="836">
        <f t="shared" si="38"/>
        <v>0</v>
      </c>
      <c r="K535" s="836">
        <f t="shared" si="38"/>
        <v>0</v>
      </c>
      <c r="L535" s="836">
        <f t="shared" si="38"/>
        <v>0</v>
      </c>
      <c r="M535" s="836">
        <f t="shared" si="38"/>
        <v>0</v>
      </c>
      <c r="N535" s="836">
        <f t="shared" si="38"/>
        <v>0</v>
      </c>
      <c r="O535" s="836">
        <f t="shared" si="38"/>
        <v>0</v>
      </c>
      <c r="P535" s="836">
        <f>SUBTOTAL(9,P3:P533)</f>
        <v>0</v>
      </c>
      <c r="Q535" s="550">
        <f>SUBTOTAL(9,Q3:Q533)</f>
        <v>0</v>
      </c>
      <c r="R535" s="550">
        <f>SUBTOTAL(9,R3:R533)</f>
        <v>21010</v>
      </c>
      <c r="S535" s="550">
        <f>SUBTOTAL(9,S3:S533)</f>
        <v>-1</v>
      </c>
      <c r="T535" s="550">
        <f>SUBTOTAL(9,T3:T533)</f>
        <v>0</v>
      </c>
      <c r="W535" s="546"/>
      <c r="X535" s="546"/>
    </row>
    <row r="536" spans="1:24" ht="21">
      <c r="C536" s="545"/>
      <c r="D536" s="545"/>
      <c r="O536" s="835"/>
      <c r="Q536" s="546"/>
      <c r="R536" s="546"/>
      <c r="S536" s="546"/>
      <c r="T536" s="546"/>
      <c r="W536" s="546"/>
      <c r="X536" s="546"/>
    </row>
    <row r="537" spans="1:24" ht="21">
      <c r="C537" s="545"/>
      <c r="D537" s="545"/>
      <c r="Q537" s="546"/>
      <c r="R537" s="546"/>
      <c r="S537" s="546"/>
      <c r="T537" s="546"/>
      <c r="W537" s="546"/>
      <c r="X537" s="546"/>
    </row>
    <row r="538" spans="1:24" ht="21">
      <c r="C538" s="545"/>
      <c r="D538" s="545"/>
      <c r="Q538" s="560"/>
      <c r="R538" s="560"/>
      <c r="S538" s="560"/>
      <c r="T538" s="560"/>
      <c r="W538" s="560"/>
      <c r="X538" s="560"/>
    </row>
    <row r="539" spans="1:24" ht="19.5" customHeight="1">
      <c r="C539" s="545"/>
      <c r="D539" s="545"/>
      <c r="E539" s="546"/>
      <c r="F539" s="546"/>
      <c r="G539" s="546"/>
      <c r="H539" s="546"/>
      <c r="I539" s="546"/>
      <c r="J539" s="546"/>
      <c r="K539" s="546"/>
      <c r="L539" s="546"/>
      <c r="M539" s="546"/>
      <c r="N539" s="546"/>
      <c r="O539" s="546"/>
      <c r="P539" s="546"/>
      <c r="Q539" s="561"/>
      <c r="R539" s="561"/>
      <c r="S539" s="561"/>
      <c r="T539" s="561"/>
      <c r="U539" s="546"/>
      <c r="V539" s="546"/>
      <c r="W539" s="561"/>
      <c r="X539" s="561"/>
    </row>
    <row r="540" spans="1:24" ht="19.5" customHeight="1">
      <c r="C540" s="545"/>
      <c r="D540" s="545"/>
      <c r="E540" s="546"/>
      <c r="F540" s="546"/>
      <c r="G540" s="546"/>
      <c r="H540" s="546"/>
      <c r="I540" s="546"/>
      <c r="J540" s="546"/>
      <c r="K540" s="546"/>
      <c r="L540" s="546"/>
      <c r="M540" s="546"/>
      <c r="N540" s="546"/>
      <c r="O540" s="546"/>
      <c r="P540" s="546"/>
      <c r="Q540" s="561"/>
      <c r="R540" s="561"/>
      <c r="S540" s="561"/>
      <c r="T540" s="561"/>
      <c r="U540" s="546"/>
      <c r="V540" s="546"/>
      <c r="W540" s="561"/>
      <c r="X540" s="561"/>
    </row>
    <row r="541" spans="1:24" ht="19.5" customHeight="1">
      <c r="C541" s="545"/>
      <c r="D541" s="545"/>
      <c r="E541" s="546"/>
      <c r="F541" s="546"/>
      <c r="G541" s="546"/>
      <c r="H541" s="546"/>
      <c r="I541" s="546"/>
      <c r="J541" s="546"/>
      <c r="K541" s="546"/>
      <c r="L541" s="546"/>
      <c r="M541" s="546"/>
      <c r="N541" s="546"/>
      <c r="O541" s="546"/>
      <c r="P541" s="546"/>
      <c r="Q541" s="561"/>
      <c r="R541" s="561"/>
      <c r="S541" s="561"/>
      <c r="T541" s="561"/>
      <c r="U541" s="546"/>
      <c r="V541" s="546"/>
      <c r="W541" s="561"/>
      <c r="X541" s="561"/>
    </row>
    <row r="542" spans="1:24" ht="19.5" customHeight="1">
      <c r="C542" s="545"/>
      <c r="D542" s="545"/>
      <c r="E542" s="546"/>
      <c r="F542" s="546"/>
      <c r="G542" s="546"/>
      <c r="H542" s="546"/>
      <c r="I542" s="546"/>
      <c r="J542" s="546"/>
      <c r="K542" s="546"/>
      <c r="L542" s="546"/>
      <c r="M542" s="546"/>
      <c r="N542" s="546"/>
      <c r="O542" s="546"/>
      <c r="P542" s="546"/>
      <c r="Q542" s="561"/>
      <c r="R542" s="561"/>
      <c r="S542" s="561"/>
      <c r="T542" s="561"/>
      <c r="U542" s="546"/>
      <c r="V542" s="546"/>
      <c r="W542" s="561"/>
      <c r="X542" s="561"/>
    </row>
    <row r="543" spans="1:24" ht="19.5" customHeight="1">
      <c r="C543" s="545"/>
      <c r="D543" s="545"/>
      <c r="E543" s="546"/>
      <c r="F543" s="546"/>
      <c r="G543" s="546"/>
      <c r="H543" s="546"/>
      <c r="I543" s="546"/>
      <c r="J543" s="546"/>
      <c r="K543" s="546"/>
      <c r="L543" s="546"/>
      <c r="M543" s="546"/>
      <c r="N543" s="546"/>
      <c r="O543" s="546"/>
      <c r="P543" s="546"/>
      <c r="Q543" s="560"/>
      <c r="R543" s="560"/>
      <c r="S543" s="560"/>
      <c r="T543" s="560"/>
      <c r="U543" s="546"/>
      <c r="V543" s="546"/>
      <c r="W543" s="560"/>
      <c r="X543" s="560"/>
    </row>
    <row r="544" spans="1:24" ht="19.5" customHeight="1">
      <c r="C544" s="545"/>
      <c r="D544" s="545"/>
      <c r="Q544" s="561"/>
      <c r="R544" s="561"/>
      <c r="S544" s="561"/>
      <c r="T544" s="561"/>
      <c r="W544" s="561"/>
      <c r="X544" s="561"/>
    </row>
    <row r="545" spans="3:24" ht="19.5" customHeight="1">
      <c r="C545" s="545"/>
      <c r="D545" s="545"/>
      <c r="Q545" s="561"/>
      <c r="R545" s="561"/>
      <c r="S545" s="561"/>
      <c r="T545" s="561"/>
      <c r="W545" s="561"/>
      <c r="X545" s="561"/>
    </row>
    <row r="546" spans="3:24" ht="19.5" customHeight="1">
      <c r="C546" s="545"/>
      <c r="D546" s="545"/>
      <c r="Q546" s="561"/>
      <c r="R546" s="561"/>
      <c r="S546" s="561"/>
      <c r="T546" s="561"/>
      <c r="W546" s="561"/>
      <c r="X546" s="561"/>
    </row>
    <row r="547" spans="3:24" ht="19.5" customHeight="1">
      <c r="C547" s="545"/>
      <c r="D547" s="545"/>
      <c r="Q547" s="561"/>
      <c r="R547" s="561"/>
      <c r="S547" s="561"/>
      <c r="T547" s="561"/>
      <c r="W547" s="561"/>
      <c r="X547" s="561"/>
    </row>
    <row r="548" spans="3:24" ht="19.5" customHeight="1">
      <c r="C548" s="545"/>
      <c r="D548" s="545"/>
      <c r="Q548" s="561"/>
      <c r="R548" s="561"/>
      <c r="S548" s="561"/>
      <c r="T548" s="561"/>
      <c r="W548" s="561"/>
      <c r="X548" s="561"/>
    </row>
    <row r="549" spans="3:24" ht="19.5" customHeight="1">
      <c r="C549" s="545"/>
      <c r="D549" s="545"/>
      <c r="Q549" s="561"/>
      <c r="R549" s="561"/>
      <c r="S549" s="561"/>
      <c r="T549" s="561"/>
      <c r="W549" s="561"/>
      <c r="X549" s="561"/>
    </row>
    <row r="550" spans="3:24" ht="19.5" customHeight="1">
      <c r="C550" s="545"/>
      <c r="D550" s="545"/>
      <c r="Q550" s="561"/>
      <c r="R550" s="561"/>
      <c r="S550" s="561"/>
      <c r="T550" s="561"/>
      <c r="W550" s="561"/>
      <c r="X550" s="561"/>
    </row>
    <row r="551" spans="3:24" ht="19.5" customHeight="1">
      <c r="C551" s="545"/>
      <c r="D551" s="545"/>
      <c r="Q551" s="561"/>
      <c r="R551" s="561"/>
      <c r="S551" s="561"/>
      <c r="T551" s="561"/>
      <c r="W551" s="561"/>
      <c r="X551" s="561"/>
    </row>
    <row r="552" spans="3:24" ht="19.5" customHeight="1">
      <c r="C552" s="545"/>
      <c r="D552" s="545"/>
      <c r="Q552" s="561"/>
      <c r="R552" s="561"/>
      <c r="S552" s="561"/>
      <c r="T552" s="561"/>
      <c r="W552" s="561"/>
      <c r="X552" s="561"/>
    </row>
    <row r="553" spans="3:24" ht="19.5" customHeight="1">
      <c r="C553" s="545"/>
      <c r="D553" s="545"/>
      <c r="Q553" s="546"/>
      <c r="R553" s="546"/>
      <c r="S553" s="546"/>
      <c r="T553" s="546"/>
      <c r="W553" s="546"/>
      <c r="X553" s="546"/>
    </row>
  </sheetData>
  <autoFilter ref="A2:X534"/>
  <mergeCells count="24">
    <mergeCell ref="A1:A2"/>
    <mergeCell ref="V1:V2"/>
    <mergeCell ref="W1:W2"/>
    <mergeCell ref="P1:P2"/>
    <mergeCell ref="Q1:Q2"/>
    <mergeCell ref="R1:R2"/>
    <mergeCell ref="S1:S2"/>
    <mergeCell ref="T1:T2"/>
    <mergeCell ref="X1:X2"/>
    <mergeCell ref="B1:B2"/>
    <mergeCell ref="C1:C2"/>
    <mergeCell ref="D1:D2"/>
    <mergeCell ref="E1:E2"/>
    <mergeCell ref="F1:F2"/>
    <mergeCell ref="G1:G2"/>
    <mergeCell ref="H1:H2"/>
    <mergeCell ref="I1:I2"/>
    <mergeCell ref="J1:J2"/>
    <mergeCell ref="K1:K2"/>
    <mergeCell ref="L1:L2"/>
    <mergeCell ref="M1:M2"/>
    <mergeCell ref="N1:N2"/>
    <mergeCell ref="O1:O2"/>
    <mergeCell ref="U1:U2"/>
  </mergeCells>
  <printOptions horizontalCentered="1" verticalCentered="1"/>
  <pageMargins left="0" right="0" top="0.15748031496062992" bottom="0" header="0" footer="0"/>
  <pageSetup paperSize="9" scale="10" orientation="landscape"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40"/>
  <sheetViews>
    <sheetView rightToLeft="1" view="pageBreakPreview" topLeftCell="A22" zoomScale="70" zoomScaleNormal="10" zoomScaleSheetLayoutView="70" zoomScalePageLayoutView="10" workbookViewId="0">
      <selection activeCell="M35" activeCellId="1" sqref="I35 M35"/>
    </sheetView>
  </sheetViews>
  <sheetFormatPr defaultRowHeight="59.25"/>
  <cols>
    <col min="1" max="1" width="6.25" style="2670" customWidth="1"/>
    <col min="2" max="2" width="3.125" customWidth="1"/>
    <col min="3" max="3" width="15.125" customWidth="1"/>
    <col min="4" max="4" width="17.75" customWidth="1"/>
    <col min="5" max="5" width="12.75" customWidth="1"/>
    <col min="6" max="6" width="1.375" customWidth="1"/>
    <col min="7" max="7" width="12.5" customWidth="1"/>
    <col min="8" max="8" width="1.375" customWidth="1"/>
    <col min="9" max="9" width="13.375" customWidth="1"/>
    <col min="10" max="10" width="1.625" customWidth="1"/>
    <col min="11" max="11" width="12.5" bestFit="1" customWidth="1"/>
    <col min="12" max="12" width="2.375" customWidth="1"/>
    <col min="13" max="13" width="13.625" customWidth="1"/>
    <col min="14" max="14" width="2.625" customWidth="1"/>
    <col min="15" max="15" width="12.875" customWidth="1"/>
    <col min="16" max="16" width="3.875" customWidth="1"/>
    <col min="17" max="17" width="11.125" style="2428" bestFit="1" customWidth="1"/>
    <col min="18" max="18" width="1.5" style="2428" customWidth="1"/>
    <col min="19" max="19" width="11.125" style="2428" customWidth="1"/>
    <col min="20" max="20" width="1.625" style="2428" customWidth="1"/>
    <col min="21" max="21" width="14.625" style="2428" bestFit="1" customWidth="1"/>
    <col min="22" max="22" width="1.375" style="2428" customWidth="1"/>
    <col min="23" max="23" width="16.125" style="2428" customWidth="1"/>
    <col min="24" max="24" width="2.125" style="2428" customWidth="1"/>
    <col min="25" max="25" width="15" style="2428" customWidth="1"/>
    <col min="26" max="26" width="1.375" style="2428" customWidth="1"/>
    <col min="27" max="27" width="15.125" style="2428" bestFit="1" customWidth="1"/>
    <col min="28" max="28" width="20.875" bestFit="1" customWidth="1"/>
  </cols>
  <sheetData>
    <row r="1" spans="1:27" s="250" customFormat="1" ht="21" customHeight="1">
      <c r="A1" s="3604" t="str">
        <f>مفروضات!A1</f>
        <v>شركت خطوط لوله و مخابرات نفت ايران (سهامي خاص)</v>
      </c>
      <c r="B1" s="3604"/>
      <c r="C1" s="3604"/>
      <c r="D1" s="3604"/>
      <c r="E1" s="3604"/>
      <c r="F1" s="3604"/>
      <c r="G1" s="3604"/>
      <c r="H1" s="3604"/>
      <c r="I1" s="3604"/>
      <c r="J1" s="3604"/>
      <c r="K1" s="3604"/>
      <c r="L1" s="3604"/>
      <c r="M1" s="3604"/>
      <c r="N1" s="3604"/>
      <c r="O1" s="3604"/>
      <c r="P1" s="3604"/>
      <c r="Q1" s="3604"/>
      <c r="R1" s="3604"/>
      <c r="S1" s="3604"/>
      <c r="T1" s="3604"/>
      <c r="U1" s="3604"/>
      <c r="V1" s="3604"/>
      <c r="W1" s="3604"/>
      <c r="X1" s="3604"/>
      <c r="Y1" s="3604"/>
      <c r="Z1" s="3604"/>
      <c r="AA1" s="3604"/>
    </row>
    <row r="2" spans="1:27" s="250" customFormat="1" ht="24" customHeight="1">
      <c r="A2" s="3604" t="str">
        <f>مفروضات!A2</f>
        <v>يادداشت هاي توضيحي صورت هاي مالي</v>
      </c>
      <c r="B2" s="3604"/>
      <c r="C2" s="3604"/>
      <c r="D2" s="3604"/>
      <c r="E2" s="3604"/>
      <c r="F2" s="3604"/>
      <c r="G2" s="3604"/>
      <c r="H2" s="3604"/>
      <c r="I2" s="3604"/>
      <c r="J2" s="3604"/>
      <c r="K2" s="3604"/>
      <c r="L2" s="3604"/>
      <c r="M2" s="3604"/>
      <c r="N2" s="3604"/>
      <c r="O2" s="3604"/>
      <c r="P2" s="3604"/>
      <c r="Q2" s="3604"/>
      <c r="R2" s="3604"/>
      <c r="S2" s="3604"/>
      <c r="T2" s="3604"/>
      <c r="U2" s="3604"/>
      <c r="V2" s="3604"/>
      <c r="W2" s="3604"/>
      <c r="X2" s="3604"/>
      <c r="Y2" s="3604"/>
      <c r="Z2" s="3604"/>
      <c r="AA2" s="3604"/>
    </row>
    <row r="3" spans="1:27" s="250" customFormat="1" ht="27.75" customHeight="1">
      <c r="A3" s="3604" t="str">
        <f>mafrozat!A3</f>
        <v xml:space="preserve"> سال مالي منتهي به 29 اسفند 1402</v>
      </c>
      <c r="B3" s="3604"/>
      <c r="C3" s="3604"/>
      <c r="D3" s="3604"/>
      <c r="E3" s="3604"/>
      <c r="F3" s="3604"/>
      <c r="G3" s="3604"/>
      <c r="H3" s="3604"/>
      <c r="I3" s="3604"/>
      <c r="J3" s="3604"/>
      <c r="K3" s="3604"/>
      <c r="L3" s="3604"/>
      <c r="M3" s="3604"/>
      <c r="N3" s="3604"/>
      <c r="O3" s="3604"/>
      <c r="P3" s="3604"/>
      <c r="Q3" s="3604"/>
      <c r="R3" s="3604"/>
      <c r="S3" s="3604"/>
      <c r="T3" s="3604"/>
      <c r="U3" s="3604"/>
      <c r="V3" s="3604"/>
      <c r="W3" s="3604"/>
      <c r="X3" s="3604"/>
      <c r="Y3" s="3604"/>
      <c r="Z3" s="3604"/>
      <c r="AA3" s="3604"/>
    </row>
    <row r="4" spans="1:27" s="2298" customFormat="1" ht="28.5" customHeight="1">
      <c r="A4" s="2667"/>
      <c r="B4" s="2517"/>
      <c r="C4" s="3602" t="s">
        <v>2803</v>
      </c>
      <c r="D4" s="3602"/>
      <c r="E4" s="3602"/>
      <c r="F4" s="3602"/>
      <c r="G4" s="3602"/>
      <c r="H4" s="3602"/>
      <c r="I4" s="3602"/>
      <c r="J4" s="3602"/>
      <c r="K4" s="3602"/>
      <c r="L4" s="2518"/>
      <c r="M4" s="2519"/>
      <c r="N4" s="2519"/>
      <c r="O4" s="2520"/>
      <c r="P4" s="2439"/>
      <c r="Q4" s="2439"/>
      <c r="R4" s="2439"/>
      <c r="S4" s="2439"/>
      <c r="T4" s="2439"/>
      <c r="U4" s="3585" t="s">
        <v>1879</v>
      </c>
      <c r="V4" s="3585"/>
      <c r="W4" s="3585"/>
      <c r="X4" s="2439"/>
    </row>
    <row r="5" spans="1:27" s="1952" customFormat="1" ht="24" customHeight="1">
      <c r="A5" s="2667"/>
      <c r="B5" s="2521"/>
      <c r="C5" s="2439"/>
      <c r="D5" s="2439"/>
      <c r="E5" s="2439"/>
      <c r="F5" s="2439"/>
      <c r="G5" s="2439"/>
      <c r="H5" s="2439"/>
      <c r="I5" s="2520"/>
      <c r="J5" s="2520"/>
      <c r="K5" s="2520"/>
      <c r="L5" s="2520"/>
      <c r="M5" s="2522"/>
      <c r="N5" s="2461"/>
      <c r="O5" s="2461"/>
      <c r="P5" s="2439"/>
      <c r="Q5" s="2439"/>
      <c r="R5" s="2439"/>
      <c r="S5" s="2439"/>
      <c r="T5" s="2439"/>
      <c r="U5" s="2523">
        <v>1402</v>
      </c>
      <c r="V5" s="2522"/>
      <c r="W5" s="2462">
        <v>1401</v>
      </c>
      <c r="X5" s="2439"/>
    </row>
    <row r="6" spans="1:27" s="1952" customFormat="1" ht="27" customHeight="1">
      <c r="A6" s="2667"/>
      <c r="B6" s="2521"/>
      <c r="C6" s="3606" t="s">
        <v>1207</v>
      </c>
      <c r="D6" s="3606"/>
      <c r="E6" s="3606"/>
      <c r="F6" s="3606"/>
      <c r="G6" s="3606"/>
      <c r="H6" s="3606"/>
      <c r="I6" s="3606"/>
      <c r="J6" s="3606"/>
      <c r="K6" s="3606"/>
      <c r="L6" s="3606"/>
      <c r="M6" s="3606"/>
      <c r="N6" s="3606"/>
      <c r="O6" s="3606"/>
      <c r="P6" s="3606"/>
      <c r="Q6" s="2439"/>
      <c r="R6" s="2439"/>
      <c r="S6" s="2439"/>
      <c r="T6" s="2439"/>
      <c r="U6" s="2486">
        <f>W16</f>
        <v>18103895</v>
      </c>
      <c r="V6" s="2486"/>
      <c r="W6" s="2486">
        <v>4447274</v>
      </c>
      <c r="X6" s="2439"/>
    </row>
    <row r="7" spans="1:27" s="1952" customFormat="1" ht="27" customHeight="1">
      <c r="A7" s="2667"/>
      <c r="B7" s="2521"/>
      <c r="C7" s="3606" t="s">
        <v>1394</v>
      </c>
      <c r="D7" s="3606"/>
      <c r="E7" s="3606"/>
      <c r="F7" s="3606"/>
      <c r="G7" s="3606"/>
      <c r="H7" s="3606"/>
      <c r="I7" s="3606"/>
      <c r="J7" s="3606"/>
      <c r="K7" s="3606"/>
      <c r="L7" s="3606"/>
      <c r="M7" s="3606"/>
      <c r="N7" s="3606"/>
      <c r="O7" s="3606"/>
      <c r="P7" s="3606"/>
      <c r="Q7" s="2439"/>
      <c r="R7" s="2439"/>
      <c r="S7" s="2439"/>
      <c r="T7" s="2439"/>
      <c r="U7" s="2524">
        <f>43083305+1799890+2921512+1518293</f>
        <v>49323000</v>
      </c>
      <c r="V7" s="2524"/>
      <c r="W7" s="2524">
        <v>42153000</v>
      </c>
      <c r="X7" s="2439"/>
    </row>
    <row r="8" spans="1:27" s="1952" customFormat="1" ht="27" customHeight="1">
      <c r="A8" s="2667"/>
      <c r="B8" s="2521"/>
      <c r="C8" s="3606" t="s">
        <v>2408</v>
      </c>
      <c r="D8" s="3606"/>
      <c r="E8" s="3606"/>
      <c r="F8" s="3606"/>
      <c r="G8" s="3606"/>
      <c r="H8" s="3606"/>
      <c r="I8" s="3606"/>
      <c r="J8" s="3606"/>
      <c r="K8" s="3606"/>
      <c r="L8" s="3606"/>
      <c r="M8" s="3606"/>
      <c r="N8" s="3606"/>
      <c r="O8" s="3606"/>
      <c r="P8" s="3606"/>
      <c r="Q8" s="2439"/>
      <c r="R8" s="2439"/>
      <c r="S8" s="2439"/>
      <c r="T8" s="2439"/>
      <c r="U8" s="2524">
        <v>-71766130</v>
      </c>
      <c r="V8" s="2524"/>
      <c r="W8" s="2524">
        <v>-52546498</v>
      </c>
      <c r="X8" s="2439"/>
    </row>
    <row r="9" spans="1:27" s="1952" customFormat="1" ht="27" hidden="1" customHeight="1">
      <c r="A9" s="2667"/>
      <c r="B9" s="2521"/>
      <c r="C9" s="3606" t="s">
        <v>1397</v>
      </c>
      <c r="D9" s="3606"/>
      <c r="E9" s="3606"/>
      <c r="F9" s="3606"/>
      <c r="G9" s="3606"/>
      <c r="H9" s="3606"/>
      <c r="I9" s="3606"/>
      <c r="J9" s="3606"/>
      <c r="K9" s="3606"/>
      <c r="L9" s="3606"/>
      <c r="M9" s="3606"/>
      <c r="N9" s="3606"/>
      <c r="O9" s="3606"/>
      <c r="P9" s="3606"/>
      <c r="Q9" s="2439"/>
      <c r="R9" s="2439"/>
      <c r="S9" s="2439"/>
      <c r="T9" s="2439"/>
      <c r="U9" s="2486"/>
      <c r="V9" s="2486"/>
      <c r="W9" s="2486">
        <v>0</v>
      </c>
      <c r="X9" s="2439"/>
    </row>
    <row r="10" spans="1:27" s="1952" customFormat="1" ht="27" customHeight="1">
      <c r="A10" s="2667"/>
      <c r="B10" s="2521"/>
      <c r="C10" s="3606" t="s">
        <v>1413</v>
      </c>
      <c r="D10" s="3606"/>
      <c r="E10" s="3606"/>
      <c r="F10" s="3606"/>
      <c r="G10" s="3606"/>
      <c r="H10" s="3606"/>
      <c r="I10" s="3606"/>
      <c r="J10" s="3606"/>
      <c r="K10" s="3606"/>
      <c r="L10" s="3606"/>
      <c r="M10" s="3606"/>
      <c r="N10" s="3606"/>
      <c r="O10" s="3606"/>
      <c r="P10" s="3606"/>
      <c r="Q10" s="2439"/>
      <c r="R10" s="2439"/>
      <c r="S10" s="2439"/>
      <c r="T10" s="2439"/>
      <c r="U10" s="2486">
        <v>0</v>
      </c>
      <c r="V10" s="2486"/>
      <c r="W10" s="2486">
        <v>-761362</v>
      </c>
      <c r="X10" s="2439"/>
    </row>
    <row r="11" spans="1:27" s="1952" customFormat="1" ht="27" customHeight="1">
      <c r="A11" s="2667"/>
      <c r="B11" s="2521"/>
      <c r="C11" s="3606" t="s">
        <v>2526</v>
      </c>
      <c r="D11" s="3606"/>
      <c r="E11" s="3606"/>
      <c r="F11" s="3606"/>
      <c r="G11" s="3606"/>
      <c r="H11" s="3606"/>
      <c r="I11" s="3606"/>
      <c r="J11" s="3606"/>
      <c r="K11" s="3606"/>
      <c r="L11" s="3606"/>
      <c r="M11" s="3606"/>
      <c r="N11" s="3606"/>
      <c r="O11" s="3606"/>
      <c r="P11" s="3606"/>
      <c r="Q11" s="2439"/>
      <c r="R11" s="2439"/>
      <c r="S11" s="2439"/>
      <c r="T11" s="2439"/>
      <c r="U11" s="2486">
        <v>3478877</v>
      </c>
      <c r="V11" s="2486"/>
      <c r="W11" s="2486">
        <v>2144429</v>
      </c>
      <c r="X11" s="2439"/>
    </row>
    <row r="12" spans="1:27" s="1952" customFormat="1" ht="27" customHeight="1">
      <c r="A12" s="2667"/>
      <c r="B12" s="2521"/>
      <c r="C12" s="3606" t="s">
        <v>2394</v>
      </c>
      <c r="D12" s="3606"/>
      <c r="E12" s="3606"/>
      <c r="F12" s="3606"/>
      <c r="G12" s="3606"/>
      <c r="H12" s="3606"/>
      <c r="I12" s="3606"/>
      <c r="J12" s="3606"/>
      <c r="K12" s="3606"/>
      <c r="L12" s="3606"/>
      <c r="M12" s="3606"/>
      <c r="N12" s="3606"/>
      <c r="O12" s="3606"/>
      <c r="P12" s="3606"/>
      <c r="Q12" s="2439"/>
      <c r="R12" s="2439"/>
      <c r="S12" s="2439"/>
      <c r="T12" s="2439"/>
      <c r="U12" s="2486">
        <v>7568937</v>
      </c>
      <c r="V12" s="2486"/>
      <c r="W12" s="2486">
        <v>4856707</v>
      </c>
      <c r="X12" s="2439"/>
    </row>
    <row r="13" spans="1:27" s="1952" customFormat="1" ht="27" customHeight="1">
      <c r="A13" s="2667"/>
      <c r="B13" s="2521"/>
      <c r="C13" s="3606" t="s">
        <v>2395</v>
      </c>
      <c r="D13" s="3606"/>
      <c r="E13" s="3606"/>
      <c r="F13" s="3606"/>
      <c r="G13" s="3606"/>
      <c r="H13" s="3606"/>
      <c r="I13" s="3606"/>
      <c r="J13" s="3606"/>
      <c r="K13" s="3606"/>
      <c r="L13" s="3606"/>
      <c r="M13" s="3606"/>
      <c r="N13" s="3606"/>
      <c r="O13" s="3606"/>
      <c r="P13" s="3606"/>
      <c r="Q13" s="2439"/>
      <c r="R13" s="2439"/>
      <c r="S13" s="2439"/>
      <c r="T13" s="2439"/>
      <c r="U13" s="2486">
        <v>2991912</v>
      </c>
      <c r="V13" s="2486"/>
      <c r="W13" s="2486">
        <v>1746009</v>
      </c>
      <c r="X13" s="2439"/>
    </row>
    <row r="14" spans="1:27" s="1952" customFormat="1" ht="27" customHeight="1">
      <c r="A14" s="2667"/>
      <c r="B14" s="2521"/>
      <c r="C14" s="2600" t="s">
        <v>2804</v>
      </c>
      <c r="D14" s="2600"/>
      <c r="E14" s="2600"/>
      <c r="F14" s="2600"/>
      <c r="G14" s="2600"/>
      <c r="H14" s="2600"/>
      <c r="I14" s="2600"/>
      <c r="J14" s="2600"/>
      <c r="K14" s="2600"/>
      <c r="L14" s="2600"/>
      <c r="M14" s="2600"/>
      <c r="N14" s="2600"/>
      <c r="O14" s="2600"/>
      <c r="P14" s="2600"/>
      <c r="Q14" s="2439"/>
      <c r="R14" s="2439"/>
      <c r="S14" s="2439"/>
      <c r="T14" s="2439"/>
      <c r="U14" s="2486">
        <v>-10000000</v>
      </c>
      <c r="V14" s="2486"/>
      <c r="W14" s="2486">
        <v>10000000</v>
      </c>
      <c r="X14" s="2439"/>
    </row>
    <row r="15" spans="1:27" s="1952" customFormat="1" ht="27" customHeight="1">
      <c r="A15" s="2667"/>
      <c r="B15" s="2521"/>
      <c r="C15" s="3606" t="s">
        <v>2425</v>
      </c>
      <c r="D15" s="3606"/>
      <c r="E15" s="3606"/>
      <c r="F15" s="3606"/>
      <c r="G15" s="3606"/>
      <c r="H15" s="3606"/>
      <c r="I15" s="3606"/>
      <c r="J15" s="3606"/>
      <c r="K15" s="3606"/>
      <c r="L15" s="3606"/>
      <c r="M15" s="3606"/>
      <c r="N15" s="3606"/>
      <c r="O15" s="3606"/>
      <c r="P15" s="3606"/>
      <c r="Q15" s="2439"/>
      <c r="R15" s="2439"/>
      <c r="S15" s="2439"/>
      <c r="T15" s="2439"/>
      <c r="U15" s="2486">
        <f>U16-U6-U7-U8-U9-U10-U11-U12-U13-U14</f>
        <v>1053150</v>
      </c>
      <c r="V15" s="2486"/>
      <c r="W15" s="2486">
        <v>6064336</v>
      </c>
      <c r="X15" s="2439"/>
    </row>
    <row r="16" spans="1:27" s="1952" customFormat="1" ht="27" customHeight="1" thickBot="1">
      <c r="A16" s="2668">
        <v>10040</v>
      </c>
      <c r="B16" s="2521"/>
      <c r="C16" s="2439"/>
      <c r="D16" s="2525"/>
      <c r="E16" s="2525"/>
      <c r="F16" s="2525"/>
      <c r="G16" s="2578"/>
      <c r="H16" s="2578"/>
      <c r="I16" s="2439"/>
      <c r="J16" s="2439"/>
      <c r="K16" s="2439"/>
      <c r="L16" s="2439"/>
      <c r="M16" s="2508"/>
      <c r="N16" s="2481"/>
      <c r="O16" s="2508"/>
      <c r="P16" s="2439"/>
      <c r="Q16" s="2439"/>
      <c r="R16" s="2439"/>
      <c r="S16" s="2439"/>
      <c r="T16" s="2439"/>
      <c r="U16" s="2507">
        <f>-SUMIF('1402'!$B$6:$B$590,$A16,'1402'!$W$6:$W$590)</f>
        <v>753641</v>
      </c>
      <c r="V16" s="2508"/>
      <c r="W16" s="2507">
        <f>SUM(W6:W15)</f>
        <v>18103895</v>
      </c>
      <c r="X16" s="2439"/>
    </row>
    <row r="17" spans="1:27" s="1949" customFormat="1" ht="1.5" customHeight="1" thickTop="1">
      <c r="A17" s="2669"/>
      <c r="B17" s="2441"/>
      <c r="C17" s="2441"/>
      <c r="D17" s="2441"/>
      <c r="E17" s="2441"/>
      <c r="F17" s="2441"/>
      <c r="G17" s="2441"/>
      <c r="H17" s="2441"/>
      <c r="I17" s="2441"/>
      <c r="J17" s="2441"/>
      <c r="K17" s="2441"/>
      <c r="L17" s="2441"/>
      <c r="M17" s="2441"/>
      <c r="N17" s="2441"/>
      <c r="O17" s="2441"/>
      <c r="P17" s="2441"/>
      <c r="Q17" s="2441"/>
      <c r="R17" s="2441"/>
      <c r="S17" s="2441"/>
      <c r="T17" s="2441"/>
      <c r="U17" s="2441"/>
      <c r="V17" s="2441"/>
      <c r="W17" s="2441"/>
      <c r="X17" s="2441"/>
      <c r="Y17" s="2441"/>
      <c r="Z17" s="2441"/>
      <c r="AA17" s="2441"/>
    </row>
    <row r="18" spans="1:27" ht="16.5">
      <c r="B18" s="2526"/>
      <c r="C18" s="2526"/>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c r="AA18" s="2526"/>
    </row>
    <row r="19" spans="1:27" s="1952" customFormat="1" ht="30" customHeight="1">
      <c r="A19" s="2671"/>
      <c r="B19" s="2527"/>
      <c r="C19" s="3607" t="s">
        <v>2581</v>
      </c>
      <c r="D19" s="3607"/>
      <c r="E19" s="3607"/>
      <c r="F19" s="3607"/>
      <c r="G19" s="3607"/>
      <c r="H19" s="3607"/>
      <c r="I19" s="3607"/>
      <c r="J19" s="3607"/>
      <c r="K19" s="3607"/>
      <c r="L19" s="3607"/>
      <c r="M19" s="3607"/>
      <c r="N19" s="3607"/>
      <c r="O19" s="3607"/>
      <c r="P19" s="3607"/>
      <c r="Q19" s="3607"/>
      <c r="R19" s="3607"/>
      <c r="S19" s="3607"/>
      <c r="T19" s="3607"/>
      <c r="U19" s="3607"/>
      <c r="V19" s="3607"/>
      <c r="W19" s="3607"/>
      <c r="X19" s="3607"/>
      <c r="Y19" s="3607"/>
      <c r="Z19" s="3607"/>
      <c r="AA19" s="3607"/>
    </row>
    <row r="20" spans="1:27" s="2273" customFormat="1" ht="27.75" customHeight="1">
      <c r="A20" s="2672"/>
      <c r="B20" s="2444"/>
      <c r="C20" s="2504" t="s">
        <v>2377</v>
      </c>
      <c r="D20" s="2474" t="s">
        <v>2393</v>
      </c>
      <c r="E20" s="2468"/>
      <c r="F20" s="2468"/>
      <c r="G20" s="2468"/>
      <c r="H20" s="2468"/>
      <c r="I20" s="2475"/>
      <c r="J20" s="2475"/>
      <c r="K20" s="2475"/>
      <c r="L20" s="2475"/>
      <c r="M20" s="2476"/>
      <c r="N20" s="2476"/>
      <c r="O20" s="2510"/>
      <c r="P20" s="2476"/>
      <c r="Q20" s="2513"/>
      <c r="R20" s="2513"/>
      <c r="S20" s="2513"/>
      <c r="T20" s="2513"/>
      <c r="U20" s="2513"/>
      <c r="V20" s="2513"/>
      <c r="W20" s="2513"/>
      <c r="X20" s="2513"/>
      <c r="Y20" s="3585" t="s">
        <v>1879</v>
      </c>
      <c r="Z20" s="3585"/>
      <c r="AA20" s="3585"/>
    </row>
    <row r="21" spans="1:27" s="2273" customFormat="1" ht="29.25" customHeight="1">
      <c r="A21" s="2672"/>
      <c r="B21" s="2444"/>
      <c r="C21" s="2504"/>
      <c r="D21" s="2514"/>
      <c r="E21" s="3605">
        <v>1402</v>
      </c>
      <c r="F21" s="3605"/>
      <c r="G21" s="3605"/>
      <c r="H21" s="3605"/>
      <c r="I21" s="3605"/>
      <c r="J21" s="3605"/>
      <c r="K21" s="3605"/>
      <c r="L21" s="3605"/>
      <c r="M21" s="3605"/>
      <c r="N21" s="3605"/>
      <c r="O21" s="3605"/>
      <c r="P21" s="2476"/>
      <c r="Q21" s="3605">
        <v>1401</v>
      </c>
      <c r="R21" s="3605"/>
      <c r="S21" s="3605"/>
      <c r="T21" s="3605"/>
      <c r="U21" s="3605"/>
      <c r="V21" s="3605"/>
      <c r="W21" s="3605"/>
      <c r="X21" s="3605"/>
      <c r="Y21" s="3605"/>
      <c r="Z21" s="3605"/>
      <c r="AA21" s="3605"/>
    </row>
    <row r="22" spans="1:27" s="250" customFormat="1" ht="42" customHeight="1">
      <c r="A22" s="2672"/>
      <c r="B22" s="562"/>
      <c r="C22" s="2532"/>
      <c r="D22" s="2533"/>
      <c r="E22" s="2534" t="s">
        <v>2397</v>
      </c>
      <c r="F22" s="2535"/>
      <c r="G22" s="3608" t="s">
        <v>2399</v>
      </c>
      <c r="H22" s="3608"/>
      <c r="I22" s="3608"/>
      <c r="J22" s="2535"/>
      <c r="K22" s="3609" t="s">
        <v>2410</v>
      </c>
      <c r="L22" s="3609"/>
      <c r="M22" s="3609"/>
      <c r="N22" s="2536"/>
      <c r="O22" s="2537" t="s">
        <v>679</v>
      </c>
      <c r="P22" s="2538"/>
      <c r="Q22" s="2534" t="s">
        <v>1763</v>
      </c>
      <c r="R22" s="2540"/>
      <c r="S22" s="3608" t="s">
        <v>2399</v>
      </c>
      <c r="T22" s="3608"/>
      <c r="U22" s="3608"/>
      <c r="V22" s="2540"/>
      <c r="W22" s="3609" t="s">
        <v>2410</v>
      </c>
      <c r="X22" s="3609"/>
      <c r="Y22" s="3609"/>
      <c r="Z22" s="2539"/>
      <c r="AA22" s="2531" t="s">
        <v>679</v>
      </c>
    </row>
    <row r="23" spans="1:27" s="250" customFormat="1" ht="21">
      <c r="A23" s="2672"/>
      <c r="B23" s="562"/>
      <c r="C23" s="2532"/>
      <c r="D23" s="2533"/>
      <c r="E23" s="2535" t="s">
        <v>2186</v>
      </c>
      <c r="F23" s="2535"/>
      <c r="G23" s="2535" t="s">
        <v>2186</v>
      </c>
      <c r="H23" s="2535"/>
      <c r="I23" s="2579" t="s">
        <v>2185</v>
      </c>
      <c r="J23" s="2535"/>
      <c r="K23" s="2535" t="s">
        <v>2186</v>
      </c>
      <c r="L23" s="2535"/>
      <c r="M23" s="2580" t="s">
        <v>2185</v>
      </c>
      <c r="N23" s="2536"/>
      <c r="O23" s="2581"/>
      <c r="P23" s="2538"/>
      <c r="Q23" s="2535" t="s">
        <v>2186</v>
      </c>
      <c r="R23" s="2535"/>
      <c r="S23" s="2535" t="s">
        <v>2186</v>
      </c>
      <c r="T23" s="2535"/>
      <c r="U23" s="2579" t="s">
        <v>2185</v>
      </c>
      <c r="V23" s="2535"/>
      <c r="W23" s="2535" t="s">
        <v>2186</v>
      </c>
      <c r="X23" s="2535"/>
      <c r="Y23" s="2580" t="s">
        <v>2185</v>
      </c>
      <c r="Z23" s="2539"/>
      <c r="AA23" s="2539"/>
    </row>
    <row r="24" spans="1:27" s="2273" customFormat="1" ht="27.75" customHeight="1">
      <c r="A24" s="2673"/>
      <c r="B24" s="2482"/>
      <c r="C24" s="3603" t="s">
        <v>2183</v>
      </c>
      <c r="D24" s="3603"/>
      <c r="E24" s="3235">
        <v>0</v>
      </c>
      <c r="F24" s="2481"/>
      <c r="G24" s="2487">
        <v>0</v>
      </c>
      <c r="H24" s="2481"/>
      <c r="I24" s="2506">
        <v>222962</v>
      </c>
      <c r="J24" s="2481"/>
      <c r="K24" s="2481">
        <v>0</v>
      </c>
      <c r="L24" s="2481"/>
      <c r="M24" s="2506">
        <v>371604</v>
      </c>
      <c r="N24" s="2481"/>
      <c r="O24" s="2506">
        <f>M24+K24+I24+G24+E24</f>
        <v>594566</v>
      </c>
      <c r="P24" s="2484"/>
      <c r="Q24" s="2583">
        <v>0</v>
      </c>
      <c r="R24" s="2481"/>
      <c r="S24" s="2584">
        <v>0</v>
      </c>
      <c r="T24" s="2481"/>
      <c r="U24" s="2506">
        <v>203057</v>
      </c>
      <c r="V24" s="2481"/>
      <c r="W24" s="2481">
        <v>0</v>
      </c>
      <c r="X24" s="2481"/>
      <c r="Y24" s="2506">
        <v>338429</v>
      </c>
      <c r="Z24" s="2481"/>
      <c r="AA24" s="2506">
        <f>Y24+W24+U24</f>
        <v>541486</v>
      </c>
    </row>
    <row r="25" spans="1:27" s="2273" customFormat="1" ht="25.5" customHeight="1">
      <c r="A25" s="2673"/>
      <c r="B25" s="2482"/>
      <c r="C25" s="3603" t="s">
        <v>2184</v>
      </c>
      <c r="D25" s="3603"/>
      <c r="E25" s="3235">
        <v>1088</v>
      </c>
      <c r="F25" s="2481"/>
      <c r="G25" s="3237">
        <v>0</v>
      </c>
      <c r="H25" s="2481"/>
      <c r="I25" s="2506">
        <v>37860</v>
      </c>
      <c r="J25" s="2481"/>
      <c r="K25" s="2481">
        <v>0</v>
      </c>
      <c r="L25" s="2481"/>
      <c r="M25" s="2506">
        <f>94650+227881+256687</f>
        <v>579218</v>
      </c>
      <c r="N25" s="2481"/>
      <c r="O25" s="2506">
        <f>M25+K25+I25+G25+E25</f>
        <v>618166</v>
      </c>
      <c r="P25" s="2484"/>
      <c r="Q25" s="2583">
        <v>0</v>
      </c>
      <c r="R25" s="2481"/>
      <c r="S25" s="2481">
        <v>725</v>
      </c>
      <c r="T25" s="2481"/>
      <c r="U25" s="2506">
        <v>33913</v>
      </c>
      <c r="V25" s="2481"/>
      <c r="W25" s="2481"/>
      <c r="X25" s="2481"/>
      <c r="Y25" s="2506">
        <v>84782</v>
      </c>
      <c r="Z25" s="2481"/>
      <c r="AA25" s="2506">
        <f>Y25+W25+U25+S25</f>
        <v>119420</v>
      </c>
    </row>
    <row r="26" spans="1:27" s="2273" customFormat="1" ht="25.5" customHeight="1">
      <c r="A26" s="2673"/>
      <c r="B26" s="2482"/>
      <c r="C26" s="3603" t="s">
        <v>2245</v>
      </c>
      <c r="D26" s="3603"/>
      <c r="E26" s="3235">
        <v>16178</v>
      </c>
      <c r="F26" s="2481"/>
      <c r="G26" s="2487">
        <v>32357</v>
      </c>
      <c r="H26" s="2584"/>
      <c r="I26" s="2583">
        <v>0</v>
      </c>
      <c r="J26" s="2481"/>
      <c r="K26" s="2481">
        <f>9503</f>
        <v>9503</v>
      </c>
      <c r="L26" s="2481"/>
      <c r="M26" s="2506">
        <f>569997+338672</f>
        <v>908669</v>
      </c>
      <c r="N26" s="2481"/>
      <c r="O26" s="2506">
        <f>M26+K26+I26+G26+E26</f>
        <v>966707</v>
      </c>
      <c r="P26" s="2484"/>
      <c r="Q26" s="2583">
        <v>0</v>
      </c>
      <c r="R26" s="2481"/>
      <c r="S26" s="2584">
        <v>0</v>
      </c>
      <c r="T26" s="2584"/>
      <c r="U26" s="2583">
        <v>0</v>
      </c>
      <c r="V26" s="2481"/>
      <c r="W26" s="2481">
        <v>274972</v>
      </c>
      <c r="X26" s="2481"/>
      <c r="Y26" s="2506">
        <v>0</v>
      </c>
      <c r="Z26" s="2584"/>
      <c r="AA26" s="2506">
        <f>Y26+U26+Q26+W26</f>
        <v>274972</v>
      </c>
    </row>
    <row r="27" spans="1:27" s="2273" customFormat="1" ht="25.5" customHeight="1">
      <c r="A27" s="2673"/>
      <c r="B27" s="2482"/>
      <c r="C27" s="3262" t="s">
        <v>2714</v>
      </c>
      <c r="D27" s="3262"/>
      <c r="E27" s="3235">
        <v>0</v>
      </c>
      <c r="F27" s="2481"/>
      <c r="G27" s="2487">
        <v>0</v>
      </c>
      <c r="H27" s="2584"/>
      <c r="I27" s="2583">
        <v>0</v>
      </c>
      <c r="J27" s="2481"/>
      <c r="K27" s="2481">
        <v>100069</v>
      </c>
      <c r="L27" s="2481"/>
      <c r="M27" s="2506">
        <v>0</v>
      </c>
      <c r="N27" s="2481"/>
      <c r="O27" s="2506">
        <f>M27+K27+I27+G27+E27</f>
        <v>100069</v>
      </c>
      <c r="P27" s="2484"/>
      <c r="Q27" s="2583">
        <v>0</v>
      </c>
      <c r="R27" s="2481"/>
      <c r="S27" s="2584">
        <v>0</v>
      </c>
      <c r="T27" s="2584"/>
      <c r="U27" s="2583">
        <v>0</v>
      </c>
      <c r="V27" s="2481"/>
      <c r="W27" s="2481">
        <v>0</v>
      </c>
      <c r="X27" s="2481"/>
      <c r="Y27" s="2506">
        <v>0</v>
      </c>
      <c r="Z27" s="2584"/>
      <c r="AA27" s="2506">
        <v>0</v>
      </c>
    </row>
    <row r="28" spans="1:27" s="2273" customFormat="1" ht="25.5" customHeight="1">
      <c r="A28" s="2673"/>
      <c r="B28" s="2482"/>
      <c r="C28" s="3262" t="s">
        <v>2713</v>
      </c>
      <c r="D28" s="3262"/>
      <c r="E28" s="3235">
        <v>0</v>
      </c>
      <c r="F28" s="2481"/>
      <c r="G28" s="2487">
        <v>0</v>
      </c>
      <c r="H28" s="2584"/>
      <c r="I28" s="2583">
        <v>0</v>
      </c>
      <c r="J28" s="2481"/>
      <c r="K28" s="2481">
        <v>49885</v>
      </c>
      <c r="L28" s="2481"/>
      <c r="M28" s="2506">
        <v>0</v>
      </c>
      <c r="N28" s="2481"/>
      <c r="O28" s="2506">
        <f>M28+K28+I28+G28+E28</f>
        <v>49885</v>
      </c>
      <c r="P28" s="2484"/>
      <c r="Q28" s="2583">
        <v>0</v>
      </c>
      <c r="R28" s="2481"/>
      <c r="S28" s="2584">
        <v>0</v>
      </c>
      <c r="T28" s="2584"/>
      <c r="U28" s="2583">
        <v>0</v>
      </c>
      <c r="V28" s="2481"/>
      <c r="W28" s="2481">
        <v>0</v>
      </c>
      <c r="X28" s="2481"/>
      <c r="Y28" s="2506">
        <v>0</v>
      </c>
      <c r="Z28" s="2584"/>
      <c r="AA28" s="2506">
        <v>0</v>
      </c>
    </row>
    <row r="29" spans="1:27" s="2273" customFormat="1" ht="25.5" customHeight="1">
      <c r="A29" s="2673"/>
      <c r="B29" s="2482"/>
      <c r="C29" s="3262" t="s">
        <v>2715</v>
      </c>
      <c r="D29" s="3262"/>
      <c r="E29" s="3235">
        <v>0</v>
      </c>
      <c r="F29" s="2481"/>
      <c r="G29" s="2487">
        <v>0</v>
      </c>
      <c r="H29" s="2584"/>
      <c r="I29" s="2583">
        <v>0</v>
      </c>
      <c r="J29" s="2481"/>
      <c r="K29" s="2481">
        <v>36900</v>
      </c>
      <c r="L29" s="2481"/>
      <c r="M29" s="2506">
        <v>0</v>
      </c>
      <c r="N29" s="2481"/>
      <c r="O29" s="2506">
        <f t="shared" ref="O29:O34" si="0">M29+K29+I29+G29+E29</f>
        <v>36900</v>
      </c>
      <c r="P29" s="2484"/>
      <c r="Q29" s="2583">
        <v>0</v>
      </c>
      <c r="R29" s="2481"/>
      <c r="S29" s="2584">
        <v>0</v>
      </c>
      <c r="T29" s="2584"/>
      <c r="U29" s="2583">
        <v>0</v>
      </c>
      <c r="V29" s="2481"/>
      <c r="W29" s="2481">
        <v>0</v>
      </c>
      <c r="X29" s="2481"/>
      <c r="Y29" s="2506">
        <v>0</v>
      </c>
      <c r="Z29" s="2584"/>
      <c r="AA29" s="2506">
        <v>0</v>
      </c>
    </row>
    <row r="30" spans="1:27" s="2273" customFormat="1" ht="25.5" customHeight="1">
      <c r="A30" s="2673"/>
      <c r="B30" s="2482"/>
      <c r="C30" s="3262" t="s">
        <v>2716</v>
      </c>
      <c r="D30" s="3262"/>
      <c r="E30" s="3235">
        <v>0</v>
      </c>
      <c r="F30" s="2481"/>
      <c r="G30" s="2487">
        <v>0</v>
      </c>
      <c r="H30" s="2584"/>
      <c r="I30" s="2583">
        <v>0</v>
      </c>
      <c r="J30" s="2481"/>
      <c r="K30" s="2481">
        <v>20355</v>
      </c>
      <c r="L30" s="2481"/>
      <c r="M30" s="2506">
        <v>0</v>
      </c>
      <c r="N30" s="2481"/>
      <c r="O30" s="2506">
        <f t="shared" si="0"/>
        <v>20355</v>
      </c>
      <c r="P30" s="2484"/>
      <c r="Q30" s="2583">
        <v>0</v>
      </c>
      <c r="R30" s="2481"/>
      <c r="S30" s="2584">
        <v>0</v>
      </c>
      <c r="T30" s="2584"/>
      <c r="U30" s="2583">
        <v>0</v>
      </c>
      <c r="V30" s="2481"/>
      <c r="W30" s="2481">
        <v>0</v>
      </c>
      <c r="X30" s="2481"/>
      <c r="Y30" s="2506">
        <v>0</v>
      </c>
      <c r="Z30" s="2584"/>
      <c r="AA30" s="2506">
        <v>0</v>
      </c>
    </row>
    <row r="31" spans="1:27" s="2273" customFormat="1" ht="25.5" customHeight="1">
      <c r="A31" s="2673"/>
      <c r="B31" s="2482"/>
      <c r="C31" s="3603" t="s">
        <v>2246</v>
      </c>
      <c r="D31" s="3603"/>
      <c r="E31" s="3235">
        <v>0</v>
      </c>
      <c r="F31" s="2481"/>
      <c r="G31" s="3237">
        <v>0</v>
      </c>
      <c r="H31" s="2481"/>
      <c r="I31" s="2506">
        <v>18956</v>
      </c>
      <c r="J31" s="2481"/>
      <c r="K31" s="2481">
        <v>0</v>
      </c>
      <c r="L31" s="2481"/>
      <c r="M31" s="2506">
        <v>0</v>
      </c>
      <c r="N31" s="2481"/>
      <c r="O31" s="2506">
        <f t="shared" si="0"/>
        <v>18956</v>
      </c>
      <c r="P31" s="2484"/>
      <c r="Q31" s="2583">
        <v>0</v>
      </c>
      <c r="R31" s="2481"/>
      <c r="S31" s="2481">
        <v>89</v>
      </c>
      <c r="T31" s="2481"/>
      <c r="U31" s="2506">
        <v>17264</v>
      </c>
      <c r="V31" s="2481"/>
      <c r="W31" s="2481">
        <v>158973</v>
      </c>
      <c r="X31" s="2481"/>
      <c r="Y31" s="2506">
        <v>0</v>
      </c>
      <c r="Z31" s="2584"/>
      <c r="AA31" s="2506">
        <f>Y31+U31+Q31+W31+S31</f>
        <v>176326</v>
      </c>
    </row>
    <row r="32" spans="1:27" s="2273" customFormat="1" ht="25.5" customHeight="1">
      <c r="A32" s="2673"/>
      <c r="B32" s="2482"/>
      <c r="C32" s="3262" t="s">
        <v>2717</v>
      </c>
      <c r="D32" s="3262"/>
      <c r="E32" s="3235">
        <v>0</v>
      </c>
      <c r="F32" s="2481"/>
      <c r="G32" s="2487">
        <v>0</v>
      </c>
      <c r="H32" s="2584"/>
      <c r="I32" s="2583">
        <v>0</v>
      </c>
      <c r="J32" s="2481"/>
      <c r="K32" s="2481">
        <v>30800</v>
      </c>
      <c r="L32" s="2481"/>
      <c r="M32" s="2506">
        <v>0</v>
      </c>
      <c r="N32" s="2481"/>
      <c r="O32" s="2506">
        <f t="shared" si="0"/>
        <v>30800</v>
      </c>
      <c r="P32" s="2484"/>
      <c r="Q32" s="2583">
        <v>0</v>
      </c>
      <c r="R32" s="2481"/>
      <c r="S32" s="2584">
        <v>0</v>
      </c>
      <c r="T32" s="2584"/>
      <c r="U32" s="2583">
        <v>0</v>
      </c>
      <c r="V32" s="2481"/>
      <c r="W32" s="2481">
        <v>0</v>
      </c>
      <c r="X32" s="2481"/>
      <c r="Y32" s="2506">
        <v>0</v>
      </c>
      <c r="Z32" s="2584"/>
      <c r="AA32" s="2506">
        <v>0</v>
      </c>
    </row>
    <row r="33" spans="1:28" s="2273" customFormat="1" ht="25.5" customHeight="1">
      <c r="A33" s="2673"/>
      <c r="B33" s="2482"/>
      <c r="C33" s="3295" t="s">
        <v>2764</v>
      </c>
      <c r="D33" s="3295"/>
      <c r="E33" s="3235">
        <v>0</v>
      </c>
      <c r="F33" s="2481"/>
      <c r="G33" s="2487">
        <v>0</v>
      </c>
      <c r="H33" s="2584"/>
      <c r="I33" s="2583">
        <v>0</v>
      </c>
      <c r="J33" s="2481"/>
      <c r="K33" s="2481">
        <v>0</v>
      </c>
      <c r="L33" s="2481"/>
      <c r="M33" s="2506">
        <f>185351+98698</f>
        <v>284049</v>
      </c>
      <c r="N33" s="2481"/>
      <c r="O33" s="2506">
        <f t="shared" si="0"/>
        <v>284049</v>
      </c>
      <c r="P33" s="2469"/>
      <c r="Q33" s="2583"/>
      <c r="R33" s="2481"/>
      <c r="S33" s="2584"/>
      <c r="T33" s="2584"/>
      <c r="U33" s="2583"/>
      <c r="V33" s="2481"/>
      <c r="W33" s="2481"/>
      <c r="X33" s="2481"/>
      <c r="Y33" s="2506"/>
      <c r="Z33" s="2585"/>
      <c r="AA33" s="2506"/>
    </row>
    <row r="34" spans="1:28" s="2273" customFormat="1" ht="25.5" customHeight="1">
      <c r="A34" s="2673"/>
      <c r="B34" s="2482"/>
      <c r="C34" s="3603" t="s">
        <v>1775</v>
      </c>
      <c r="D34" s="3603"/>
      <c r="E34" s="3236">
        <v>1141941</v>
      </c>
      <c r="F34" s="2481"/>
      <c r="G34" s="3237">
        <v>1396323</v>
      </c>
      <c r="H34" s="2481"/>
      <c r="I34" s="2583">
        <v>0</v>
      </c>
      <c r="J34" s="2481"/>
      <c r="K34" s="2515">
        <f>1390260+808569+253558</f>
        <v>2452387</v>
      </c>
      <c r="L34" s="2481"/>
      <c r="M34" s="2506">
        <v>0</v>
      </c>
      <c r="N34" s="2481"/>
      <c r="O34" s="2506">
        <f t="shared" si="0"/>
        <v>4990651</v>
      </c>
      <c r="P34" s="2484"/>
      <c r="Q34" s="2506">
        <v>901584</v>
      </c>
      <c r="R34" s="2481"/>
      <c r="S34" s="2481">
        <v>775358</v>
      </c>
      <c r="T34" s="2481"/>
      <c r="U34" s="2583">
        <v>0</v>
      </c>
      <c r="V34" s="2481"/>
      <c r="W34" s="2515">
        <v>1434951</v>
      </c>
      <c r="X34" s="2481"/>
      <c r="Y34" s="2506">
        <v>0</v>
      </c>
      <c r="Z34" s="2456"/>
      <c r="AA34" s="2506">
        <f>+W34+S34+Q34</f>
        <v>3111893</v>
      </c>
    </row>
    <row r="35" spans="1:28" s="2273" customFormat="1" ht="25.5" customHeight="1" thickBot="1">
      <c r="A35" s="2673">
        <v>1008</v>
      </c>
      <c r="B35" s="2444"/>
      <c r="C35" s="2443"/>
      <c r="D35" s="2514"/>
      <c r="E35" s="2528">
        <f>SUM(E24:E34)</f>
        <v>1159207</v>
      </c>
      <c r="F35" s="2481"/>
      <c r="G35" s="2528">
        <f>SUM(G24:G34)</f>
        <v>1428680</v>
      </c>
      <c r="H35" s="2481"/>
      <c r="I35" s="2528">
        <f>SUM(I24:I34)</f>
        <v>279778</v>
      </c>
      <c r="J35" s="2481"/>
      <c r="K35" s="2512">
        <f>SUM(K24:K34)</f>
        <v>2699899</v>
      </c>
      <c r="L35" s="2481"/>
      <c r="M35" s="2528">
        <f>SUM(M24:M34)</f>
        <v>2143540</v>
      </c>
      <c r="N35" s="2481"/>
      <c r="O35" s="2529">
        <f>-SUMIF('1402'!$B$4:$B$590,$A35,'1402'!$W$4:$W$590)</f>
        <v>7711104</v>
      </c>
      <c r="P35" s="2476"/>
      <c r="Q35" s="2516">
        <f>SUM(Q24:Q34)</f>
        <v>901584</v>
      </c>
      <c r="R35" s="2510"/>
      <c r="S35" s="2516">
        <f>SUM(S24:S34)</f>
        <v>776172</v>
      </c>
      <c r="T35" s="2510"/>
      <c r="U35" s="2582">
        <f>SUM(U24:U34)</f>
        <v>254234</v>
      </c>
      <c r="V35" s="2510"/>
      <c r="W35" s="2516">
        <f>SUM(W24:W34)</f>
        <v>1868896</v>
      </c>
      <c r="X35" s="2510"/>
      <c r="Y35" s="2512">
        <f>SUM(Y24:Y34)</f>
        <v>423211</v>
      </c>
      <c r="Z35" s="2481"/>
      <c r="AA35" s="2512">
        <f>SUM(AA24:AA34)</f>
        <v>4224097</v>
      </c>
      <c r="AB35" s="2586"/>
    </row>
    <row r="36" spans="1:28" s="2273" customFormat="1" ht="14.25" customHeight="1" thickTop="1">
      <c r="A36" s="2673"/>
      <c r="B36" s="2444"/>
      <c r="C36" s="2443"/>
      <c r="D36" s="2514"/>
      <c r="E36" s="2481"/>
      <c r="F36" s="2481"/>
      <c r="G36" s="2481"/>
      <c r="H36" s="2481"/>
      <c r="I36" s="2481"/>
      <c r="J36" s="2481"/>
      <c r="K36" s="2481"/>
      <c r="L36" s="2481"/>
      <c r="M36" s="2481"/>
      <c r="N36" s="2481"/>
      <c r="O36" s="2510"/>
      <c r="P36" s="2476"/>
      <c r="Q36" s="2510"/>
      <c r="R36" s="2510"/>
      <c r="S36" s="2510"/>
      <c r="T36" s="2510"/>
      <c r="U36" s="2510"/>
      <c r="V36" s="2510"/>
      <c r="W36" s="2510"/>
      <c r="X36" s="2510"/>
      <c r="Y36" s="2481"/>
      <c r="Z36" s="2481"/>
      <c r="AA36" s="2481"/>
    </row>
    <row r="37" spans="1:28" s="2273" customFormat="1" ht="49.5" customHeight="1">
      <c r="A37" s="2672"/>
      <c r="B37" s="2498"/>
      <c r="C37" s="3611" t="s">
        <v>2765</v>
      </c>
      <c r="D37" s="3611"/>
      <c r="E37" s="3611"/>
      <c r="F37" s="3611"/>
      <c r="G37" s="3611"/>
      <c r="H37" s="3611"/>
      <c r="I37" s="3611"/>
      <c r="J37" s="3611"/>
      <c r="K37" s="3611"/>
      <c r="L37" s="3611"/>
      <c r="M37" s="3611"/>
      <c r="N37" s="3611"/>
      <c r="O37" s="3611"/>
      <c r="P37" s="3611"/>
      <c r="Q37" s="3611"/>
      <c r="R37" s="3611"/>
      <c r="S37" s="3611"/>
      <c r="T37" s="3611"/>
      <c r="U37" s="3611"/>
      <c r="V37" s="3611"/>
      <c r="W37" s="3611"/>
      <c r="X37" s="3611"/>
      <c r="Y37" s="3611"/>
      <c r="Z37" s="3611"/>
      <c r="AA37" s="3611"/>
    </row>
    <row r="38" spans="1:28" s="2273" customFormat="1" ht="43.5">
      <c r="A38" s="2672"/>
      <c r="B38" s="2498"/>
      <c r="C38" s="3601"/>
      <c r="D38" s="3601"/>
      <c r="E38" s="3601"/>
      <c r="F38" s="3601"/>
      <c r="G38" s="3601"/>
      <c r="H38" s="3601"/>
      <c r="I38" s="3601"/>
      <c r="J38" s="3601"/>
      <c r="K38" s="3601"/>
      <c r="L38" s="3601"/>
      <c r="M38" s="3601"/>
      <c r="N38" s="3601"/>
      <c r="O38" s="3601"/>
      <c r="P38" s="3601"/>
      <c r="Q38" s="3601"/>
      <c r="R38" s="3601"/>
      <c r="S38" s="3601"/>
      <c r="T38" s="3601"/>
      <c r="U38" s="3601"/>
      <c r="V38" s="3601"/>
      <c r="W38" s="3601"/>
      <c r="X38" s="3601"/>
      <c r="Y38" s="3601"/>
      <c r="Z38" s="3601"/>
      <c r="AA38" s="3601"/>
    </row>
    <row r="39" spans="1:28" s="2161" customFormat="1" ht="8.25" customHeight="1">
      <c r="A39" s="2674"/>
      <c r="B39" s="2441"/>
      <c r="C39" s="2441"/>
      <c r="D39" s="2441"/>
      <c r="E39" s="2441"/>
      <c r="F39" s="2441"/>
      <c r="G39" s="2441"/>
      <c r="H39" s="2441"/>
      <c r="I39" s="2441"/>
      <c r="J39" s="2441"/>
      <c r="K39" s="2441"/>
      <c r="L39" s="2441"/>
      <c r="M39" s="2441"/>
      <c r="N39" s="2441"/>
      <c r="O39" s="2441"/>
      <c r="P39" s="2441"/>
      <c r="Q39" s="2441"/>
      <c r="R39" s="2441"/>
      <c r="S39" s="2441"/>
      <c r="T39" s="2441"/>
      <c r="U39" s="2441"/>
      <c r="V39" s="2441"/>
      <c r="W39" s="2441"/>
      <c r="X39" s="2441"/>
      <c r="Y39" s="2441"/>
      <c r="Z39" s="2441"/>
      <c r="AA39" s="2441"/>
    </row>
    <row r="40" spans="1:28" ht="28.5">
      <c r="A40" s="3610">
        <v>25</v>
      </c>
      <c r="B40" s="3610"/>
      <c r="C40" s="3610"/>
      <c r="D40" s="3610"/>
      <c r="E40" s="3610"/>
      <c r="F40" s="3610"/>
      <c r="G40" s="3610"/>
      <c r="H40" s="3610"/>
      <c r="I40" s="3610"/>
      <c r="J40" s="3610"/>
      <c r="K40" s="3610"/>
      <c r="L40" s="3610"/>
      <c r="M40" s="3610"/>
      <c r="N40" s="3610"/>
      <c r="O40" s="3610"/>
      <c r="P40" s="3610"/>
      <c r="Q40" s="3610"/>
      <c r="R40" s="3610"/>
      <c r="S40" s="3610"/>
      <c r="T40" s="3610"/>
      <c r="U40" s="3610"/>
      <c r="V40" s="3610"/>
      <c r="W40" s="3610"/>
      <c r="X40" s="3610"/>
      <c r="Y40" s="3610"/>
      <c r="Z40" s="3610"/>
      <c r="AA40" s="3610"/>
      <c r="AB40" s="2530"/>
    </row>
  </sheetData>
  <mergeCells count="30">
    <mergeCell ref="A40:AA40"/>
    <mergeCell ref="Y20:AA20"/>
    <mergeCell ref="C37:AA37"/>
    <mergeCell ref="S22:U22"/>
    <mergeCell ref="C38:AA38"/>
    <mergeCell ref="C24:D24"/>
    <mergeCell ref="C25:D25"/>
    <mergeCell ref="C26:D26"/>
    <mergeCell ref="C31:D31"/>
    <mergeCell ref="C19:AA19"/>
    <mergeCell ref="C6:P6"/>
    <mergeCell ref="G22:I22"/>
    <mergeCell ref="K22:M22"/>
    <mergeCell ref="W22:Y22"/>
    <mergeCell ref="C4:K4"/>
    <mergeCell ref="C34:D34"/>
    <mergeCell ref="A1:AA1"/>
    <mergeCell ref="A2:AA2"/>
    <mergeCell ref="A3:AA3"/>
    <mergeCell ref="E21:O21"/>
    <mergeCell ref="Q21:AA21"/>
    <mergeCell ref="C15:P15"/>
    <mergeCell ref="C13:P13"/>
    <mergeCell ref="C12:P12"/>
    <mergeCell ref="C11:P11"/>
    <mergeCell ref="C10:P10"/>
    <mergeCell ref="C9:P9"/>
    <mergeCell ref="C8:P8"/>
    <mergeCell ref="C7:P7"/>
    <mergeCell ref="U4:W4"/>
  </mergeCells>
  <printOptions horizontalCentered="1" verticalCentered="1"/>
  <pageMargins left="0.25" right="0.25" top="0.25" bottom="0.25" header="0" footer="0"/>
  <pageSetup paperSize="9" scale="53" fitToWidth="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EG136"/>
  <sheetViews>
    <sheetView rightToLeft="1" view="pageBreakPreview" zoomScale="60" zoomScaleNormal="50" workbookViewId="0">
      <selection activeCell="V24" sqref="V24"/>
    </sheetView>
  </sheetViews>
  <sheetFormatPr defaultColWidth="1.375" defaultRowHeight="32.25" customHeight="1"/>
  <cols>
    <col min="1" max="1" width="6.5" style="2241" customWidth="1"/>
    <col min="2" max="2" width="14.5" style="2241" bestFit="1" customWidth="1"/>
    <col min="3" max="3" width="2.25" style="2242" customWidth="1"/>
    <col min="4" max="4" width="35.25" style="2243" customWidth="1"/>
    <col min="5" max="5" width="4.5" style="2243" customWidth="1"/>
    <col min="6" max="6" width="4" style="2243" customWidth="1"/>
    <col min="7" max="7" width="5" style="2243" hidden="1" customWidth="1"/>
    <col min="8" max="9" width="5" style="2243" customWidth="1"/>
    <col min="10" max="10" width="14.75" style="2363" bestFit="1" customWidth="1"/>
    <col min="11" max="11" width="7" style="2363" customWidth="1"/>
    <col min="12" max="12" width="16.125" style="2363" bestFit="1" customWidth="1"/>
    <col min="13" max="13" width="2.5" style="2363" customWidth="1"/>
    <col min="14" max="14" width="16.375" style="2363" customWidth="1"/>
    <col min="15" max="15" width="4" style="2363" customWidth="1"/>
    <col min="16" max="16" width="17" style="2363" bestFit="1" customWidth="1"/>
    <col min="17" max="17" width="3.625" style="2363" customWidth="1"/>
    <col min="18" max="18" width="21.875" style="2363" customWidth="1"/>
    <col min="19" max="19" width="14.875" style="250" customWidth="1"/>
    <col min="20" max="16384" width="1.375" style="250"/>
  </cols>
  <sheetData>
    <row r="1" spans="1:19" s="1949" customFormat="1" ht="28.5" customHeight="1">
      <c r="A1" s="2308"/>
      <c r="B1" s="2284"/>
      <c r="C1" s="2284"/>
      <c r="D1" s="2284"/>
      <c r="E1" s="2284"/>
      <c r="F1" s="2284"/>
      <c r="G1" s="2284"/>
      <c r="H1" s="2284"/>
      <c r="I1" s="2284"/>
      <c r="J1" s="2381"/>
      <c r="K1" s="2381"/>
      <c r="L1" s="2381"/>
      <c r="M1" s="2381"/>
      <c r="N1" s="2381"/>
      <c r="O1" s="2381"/>
      <c r="P1" s="2381"/>
      <c r="Q1" s="2381"/>
      <c r="R1" s="2381"/>
      <c r="S1" s="250"/>
    </row>
    <row r="2" spans="1:19" s="1949" customFormat="1" ht="36" customHeight="1">
      <c r="A2" s="3615" t="s">
        <v>612</v>
      </c>
      <c r="B2" s="3615"/>
      <c r="C2" s="3615"/>
      <c r="D2" s="3615"/>
      <c r="E2" s="3615"/>
      <c r="F2" s="3615"/>
      <c r="G2" s="3615"/>
      <c r="H2" s="3615"/>
      <c r="I2" s="3615"/>
      <c r="J2" s="3615"/>
      <c r="K2" s="3615"/>
      <c r="L2" s="3615"/>
      <c r="M2" s="3615"/>
      <c r="N2" s="3615"/>
      <c r="O2" s="3615"/>
      <c r="P2" s="3615"/>
      <c r="Q2" s="3615"/>
      <c r="R2" s="3615"/>
      <c r="S2" s="250"/>
    </row>
    <row r="3" spans="1:19" s="1949" customFormat="1" ht="36" customHeight="1">
      <c r="A3" s="3615" t="s">
        <v>1489</v>
      </c>
      <c r="B3" s="3615"/>
      <c r="C3" s="3615"/>
      <c r="D3" s="3615"/>
      <c r="E3" s="3615"/>
      <c r="F3" s="3615"/>
      <c r="G3" s="3615"/>
      <c r="H3" s="3615"/>
      <c r="I3" s="3615"/>
      <c r="J3" s="3615"/>
      <c r="K3" s="3615"/>
      <c r="L3" s="3615"/>
      <c r="M3" s="3615"/>
      <c r="N3" s="3615"/>
      <c r="O3" s="3615"/>
      <c r="P3" s="3615"/>
      <c r="Q3" s="3615"/>
      <c r="R3" s="3615"/>
      <c r="S3" s="250"/>
    </row>
    <row r="4" spans="1:19" s="1949" customFormat="1" ht="36" customHeight="1">
      <c r="A4" s="3615" t="s">
        <v>2634</v>
      </c>
      <c r="B4" s="3615"/>
      <c r="C4" s="3615"/>
      <c r="D4" s="3615"/>
      <c r="E4" s="3615"/>
      <c r="F4" s="3615"/>
      <c r="G4" s="3615"/>
      <c r="H4" s="3615"/>
      <c r="I4" s="3615"/>
      <c r="J4" s="3615"/>
      <c r="K4" s="3615"/>
      <c r="L4" s="3615"/>
      <c r="M4" s="3615"/>
      <c r="N4" s="3615"/>
      <c r="O4" s="3615"/>
      <c r="P4" s="3615"/>
      <c r="Q4" s="3615"/>
      <c r="R4" s="3615"/>
      <c r="S4" s="250"/>
    </row>
    <row r="5" spans="1:19" s="1949" customFormat="1" ht="46.5" customHeight="1">
      <c r="A5" s="2308"/>
      <c r="B5" s="2284"/>
      <c r="C5" s="2284"/>
      <c r="D5" s="2284"/>
      <c r="E5" s="2284"/>
      <c r="F5" s="2284"/>
      <c r="G5" s="2284"/>
      <c r="H5" s="2284"/>
      <c r="I5" s="2284"/>
      <c r="J5" s="2381"/>
      <c r="K5" s="2381"/>
      <c r="L5" s="2381"/>
      <c r="M5" s="2381"/>
      <c r="N5" s="2381"/>
      <c r="O5" s="2381"/>
      <c r="P5" s="2381"/>
      <c r="Q5" s="2381"/>
      <c r="R5" s="2381"/>
      <c r="S5" s="250"/>
    </row>
    <row r="6" spans="1:19" s="1949" customFormat="1" ht="37.5">
      <c r="A6" s="2433"/>
      <c r="B6" s="3618" t="s">
        <v>2583</v>
      </c>
      <c r="C6" s="3618"/>
      <c r="D6" s="3618"/>
      <c r="E6" s="2800"/>
      <c r="F6" s="2800"/>
      <c r="G6" s="2800"/>
      <c r="H6" s="2800"/>
      <c r="I6" s="2800"/>
      <c r="J6" s="2800"/>
      <c r="K6" s="2800"/>
      <c r="L6" s="2800"/>
      <c r="M6" s="3254"/>
      <c r="N6" s="2800"/>
      <c r="O6" s="2800"/>
      <c r="P6" s="2800"/>
      <c r="Q6" s="2800"/>
      <c r="R6" s="2802" t="s">
        <v>1879</v>
      </c>
      <c r="S6" s="250"/>
    </row>
    <row r="7" spans="1:19" s="1949" customFormat="1" ht="37.5">
      <c r="A7" s="2434"/>
      <c r="B7" s="2803"/>
      <c r="C7" s="2803"/>
      <c r="D7" s="2803"/>
      <c r="E7" s="1624"/>
      <c r="F7" s="1624"/>
      <c r="G7" s="2804"/>
      <c r="H7" s="1624"/>
      <c r="I7" s="1624"/>
      <c r="J7" s="3613">
        <v>1402</v>
      </c>
      <c r="K7" s="3613"/>
      <c r="L7" s="3613"/>
      <c r="M7" s="3613"/>
      <c r="N7" s="3613"/>
      <c r="O7" s="3613"/>
      <c r="P7" s="3613"/>
      <c r="Q7" s="1624"/>
      <c r="R7" s="2806">
        <v>1401</v>
      </c>
      <c r="S7" s="250"/>
    </row>
    <row r="8" spans="1:19" s="1949" customFormat="1" ht="37.5">
      <c r="A8" s="2435"/>
      <c r="B8" s="2807"/>
      <c r="C8" s="2807"/>
      <c r="D8" s="2807"/>
      <c r="E8" s="2805"/>
      <c r="F8" s="2805"/>
      <c r="G8" s="2805"/>
      <c r="H8" s="2805"/>
      <c r="I8" s="2805"/>
      <c r="J8" s="2808" t="s">
        <v>1395</v>
      </c>
      <c r="K8" s="2808"/>
      <c r="L8" s="2809" t="s">
        <v>1271</v>
      </c>
      <c r="M8" s="2809"/>
      <c r="N8" s="2808" t="s">
        <v>1285</v>
      </c>
      <c r="O8" s="2808"/>
      <c r="P8" s="2809" t="s">
        <v>1287</v>
      </c>
      <c r="Q8" s="2810"/>
      <c r="R8" s="2811" t="s">
        <v>1724</v>
      </c>
      <c r="S8" s="250"/>
    </row>
    <row r="9" spans="1:19" s="1949" customFormat="1" ht="37.5" hidden="1">
      <c r="A9" s="2435"/>
      <c r="B9" s="2812"/>
      <c r="C9" s="2813" t="s">
        <v>1429</v>
      </c>
      <c r="D9" s="2813"/>
      <c r="E9" s="2814"/>
      <c r="F9" s="2814"/>
      <c r="G9" s="2815"/>
      <c r="H9" s="2815"/>
      <c r="I9" s="2815"/>
      <c r="J9" s="2815"/>
      <c r="K9" s="2815"/>
      <c r="L9" s="2815"/>
      <c r="M9" s="2815"/>
      <c r="N9" s="2815"/>
      <c r="O9" s="2815"/>
      <c r="P9" s="2815" t="e">
        <f>#REF!+#REF!+J9</f>
        <v>#REF!</v>
      </c>
      <c r="Q9" s="2815"/>
      <c r="R9" s="2815">
        <v>0</v>
      </c>
      <c r="S9" s="250"/>
    </row>
    <row r="10" spans="1:19" s="1949" customFormat="1" ht="37.5" hidden="1">
      <c r="A10" s="2435"/>
      <c r="B10" s="2812"/>
      <c r="C10" s="2813" t="s">
        <v>1430</v>
      </c>
      <c r="D10" s="2813"/>
      <c r="E10" s="2814"/>
      <c r="F10" s="2814"/>
      <c r="G10" s="2815"/>
      <c r="H10" s="2815"/>
      <c r="I10" s="2815"/>
      <c r="J10" s="2815"/>
      <c r="K10" s="2815"/>
      <c r="L10" s="2815"/>
      <c r="M10" s="2815"/>
      <c r="N10" s="2815"/>
      <c r="O10" s="2815"/>
      <c r="P10" s="2815" t="e">
        <f>#REF!+#REF!+J10</f>
        <v>#REF!</v>
      </c>
      <c r="Q10" s="2815"/>
      <c r="R10" s="2815">
        <v>0</v>
      </c>
      <c r="S10" s="250"/>
    </row>
    <row r="11" spans="1:19" s="1949" customFormat="1" ht="37.5" hidden="1">
      <c r="A11" s="2435"/>
      <c r="B11" s="2812"/>
      <c r="C11" s="2813" t="s">
        <v>1431</v>
      </c>
      <c r="D11" s="2813"/>
      <c r="E11" s="2814"/>
      <c r="F11" s="2814"/>
      <c r="G11" s="2815"/>
      <c r="H11" s="2815"/>
      <c r="I11" s="2815"/>
      <c r="J11" s="2815"/>
      <c r="K11" s="2815"/>
      <c r="L11" s="2815"/>
      <c r="M11" s="2815"/>
      <c r="N11" s="2815"/>
      <c r="O11" s="2815"/>
      <c r="P11" s="2815" t="e">
        <f>#REF!+#REF!+J11</f>
        <v>#REF!</v>
      </c>
      <c r="Q11" s="2815"/>
      <c r="R11" s="2815">
        <v>0</v>
      </c>
      <c r="S11" s="250"/>
    </row>
    <row r="12" spans="1:19" s="1949" customFormat="1" ht="37.5">
      <c r="A12" s="2435"/>
      <c r="B12" s="2812"/>
      <c r="C12" s="2816" t="s">
        <v>2450</v>
      </c>
      <c r="D12" s="2816"/>
      <c r="E12" s="2816"/>
      <c r="F12" s="2816"/>
      <c r="G12" s="2816"/>
      <c r="H12" s="2816"/>
      <c r="I12" s="2816"/>
      <c r="J12" s="2815">
        <v>1239811</v>
      </c>
      <c r="K12" s="2815"/>
      <c r="L12" s="2815">
        <v>0</v>
      </c>
      <c r="M12" s="2815"/>
      <c r="N12" s="2815">
        <v>0</v>
      </c>
      <c r="O12" s="2815"/>
      <c r="P12" s="2815">
        <f>N12+L12+J12</f>
        <v>1239811</v>
      </c>
      <c r="Q12" s="2815"/>
      <c r="R12" s="2815">
        <v>1239811</v>
      </c>
      <c r="S12" s="250"/>
    </row>
    <row r="13" spans="1:19" s="1949" customFormat="1" ht="37.5">
      <c r="A13" s="2435"/>
      <c r="B13" s="2812"/>
      <c r="C13" s="3619" t="s">
        <v>2313</v>
      </c>
      <c r="D13" s="3619"/>
      <c r="E13" s="3619"/>
      <c r="F13" s="3619"/>
      <c r="G13" s="3619"/>
      <c r="H13" s="3619"/>
      <c r="I13" s="3619"/>
      <c r="J13" s="2815">
        <v>69756</v>
      </c>
      <c r="K13" s="2815"/>
      <c r="L13" s="2815">
        <v>67108</v>
      </c>
      <c r="M13" s="2815"/>
      <c r="N13" s="2815">
        <v>-69756</v>
      </c>
      <c r="O13" s="2815"/>
      <c r="P13" s="2815">
        <f>N13+L13+J13</f>
        <v>67108</v>
      </c>
      <c r="Q13" s="2815"/>
      <c r="R13" s="2815">
        <v>69756</v>
      </c>
      <c r="S13" s="250"/>
    </row>
    <row r="14" spans="1:19" s="1949" customFormat="1" ht="38.25" thickBot="1">
      <c r="A14" s="2435">
        <v>1012</v>
      </c>
      <c r="B14" s="2807"/>
      <c r="C14" s="2807"/>
      <c r="D14" s="2807"/>
      <c r="E14" s="2817"/>
      <c r="F14" s="2817"/>
      <c r="G14" s="2817"/>
      <c r="H14" s="2817"/>
      <c r="I14" s="2817"/>
      <c r="J14" s="2818">
        <f>SUM(J9:J13)</f>
        <v>1309567</v>
      </c>
      <c r="K14" s="2818"/>
      <c r="L14" s="2818">
        <f>SUM(L12:L13)</f>
        <v>67108</v>
      </c>
      <c r="M14" s="2818"/>
      <c r="N14" s="2818">
        <f>SUM(N12:N13)</f>
        <v>-69756</v>
      </c>
      <c r="O14" s="2818"/>
      <c r="P14" s="2818">
        <f>-SUMIF('1402'!$B$6:$B$590,$A14,'1402'!$W$6:$W$590)</f>
        <v>1306919</v>
      </c>
      <c r="Q14" s="2818"/>
      <c r="R14" s="2818">
        <f>SUM(R9:R13)</f>
        <v>1309567</v>
      </c>
      <c r="S14" s="250"/>
    </row>
    <row r="15" spans="1:19" s="1949" customFormat="1" ht="38.25" thickTop="1">
      <c r="A15" s="2435"/>
      <c r="B15" s="2807"/>
      <c r="C15" s="2807"/>
      <c r="D15" s="2807"/>
      <c r="E15" s="2817"/>
      <c r="F15" s="2817"/>
      <c r="G15" s="2817"/>
      <c r="H15" s="2817"/>
      <c r="I15" s="2817"/>
      <c r="J15" s="2817"/>
      <c r="K15" s="2817"/>
      <c r="L15" s="2817"/>
      <c r="M15" s="2817"/>
      <c r="N15" s="2817"/>
      <c r="O15" s="2817"/>
      <c r="P15" s="2817"/>
      <c r="Q15" s="2817"/>
      <c r="R15" s="2817"/>
      <c r="S15" s="250"/>
    </row>
    <row r="16" spans="1:19" s="1949" customFormat="1" ht="86.25" customHeight="1">
      <c r="A16" s="2438"/>
      <c r="B16" s="2819" t="s">
        <v>2584</v>
      </c>
      <c r="C16" s="2820"/>
      <c r="D16" s="3622" t="s">
        <v>2727</v>
      </c>
      <c r="E16" s="3622"/>
      <c r="F16" s="3622"/>
      <c r="G16" s="3622"/>
      <c r="H16" s="3622"/>
      <c r="I16" s="3622"/>
      <c r="J16" s="3622"/>
      <c r="K16" s="3622"/>
      <c r="L16" s="3622"/>
      <c r="M16" s="3622"/>
      <c r="N16" s="3622"/>
      <c r="O16" s="3622"/>
      <c r="P16" s="3622"/>
      <c r="Q16" s="3622"/>
      <c r="R16" s="3622"/>
      <c r="S16" s="250"/>
    </row>
    <row r="17" spans="1:19" s="1949" customFormat="1" ht="13.5" customHeight="1">
      <c r="A17" s="2438"/>
      <c r="B17" s="2821"/>
      <c r="C17" s="2822"/>
      <c r="D17" s="2822"/>
      <c r="E17" s="2822"/>
      <c r="F17" s="2822"/>
      <c r="G17" s="2822"/>
      <c r="H17" s="2822"/>
      <c r="I17" s="2822"/>
      <c r="J17" s="2822"/>
      <c r="K17" s="2822"/>
      <c r="L17" s="2822"/>
      <c r="M17" s="2822"/>
      <c r="N17" s="2822"/>
      <c r="O17" s="2822"/>
      <c r="P17" s="2822"/>
      <c r="Q17" s="2822"/>
      <c r="R17" s="2822"/>
      <c r="S17" s="250"/>
    </row>
    <row r="18" spans="1:19" s="1949" customFormat="1" ht="17.25" customHeight="1">
      <c r="A18" s="2438"/>
      <c r="B18" s="2821"/>
      <c r="C18" s="3616"/>
      <c r="D18" s="3616"/>
      <c r="E18" s="3616"/>
      <c r="F18" s="3616"/>
      <c r="G18" s="3616"/>
      <c r="H18" s="3616"/>
      <c r="I18" s="3616"/>
      <c r="J18" s="3616"/>
      <c r="K18" s="3616"/>
      <c r="L18" s="3616"/>
      <c r="M18" s="3616"/>
      <c r="N18" s="3616"/>
      <c r="O18" s="3616"/>
      <c r="P18" s="3616"/>
      <c r="Q18" s="3616"/>
      <c r="R18" s="3616"/>
      <c r="S18" s="250"/>
    </row>
    <row r="19" spans="1:19" s="1949" customFormat="1" ht="37.5">
      <c r="A19" s="2438"/>
      <c r="B19" s="3617" t="s">
        <v>2414</v>
      </c>
      <c r="C19" s="3617"/>
      <c r="D19" s="3620" t="s">
        <v>2053</v>
      </c>
      <c r="E19" s="3620"/>
      <c r="F19" s="3620"/>
      <c r="G19" s="3620"/>
      <c r="H19" s="3620"/>
      <c r="I19" s="3620"/>
      <c r="J19" s="3620"/>
      <c r="K19" s="2823"/>
      <c r="L19" s="2823"/>
      <c r="M19" s="2823"/>
      <c r="N19" s="2823"/>
      <c r="O19" s="2823"/>
      <c r="P19" s="2823"/>
      <c r="Q19" s="2823"/>
      <c r="R19" s="2823"/>
      <c r="S19" s="451"/>
    </row>
    <row r="20" spans="1:19" s="1949" customFormat="1" ht="37.5">
      <c r="A20" s="2438"/>
      <c r="B20" s="710"/>
      <c r="C20" s="2800"/>
      <c r="D20" s="2823"/>
      <c r="E20" s="2807"/>
      <c r="F20" s="2807"/>
      <c r="G20" s="2823"/>
      <c r="H20" s="2823"/>
      <c r="I20" s="2823"/>
      <c r="J20" s="2823"/>
      <c r="K20" s="2823"/>
      <c r="L20" s="2823"/>
      <c r="M20" s="2823"/>
      <c r="N20" s="2823"/>
      <c r="O20" s="2823"/>
      <c r="P20" s="2802"/>
      <c r="Q20" s="2802"/>
      <c r="R20" s="2802" t="s">
        <v>1879</v>
      </c>
      <c r="S20" s="250"/>
    </row>
    <row r="21" spans="1:19" s="1949" customFormat="1" ht="37.5">
      <c r="A21" s="2438"/>
      <c r="B21" s="710"/>
      <c r="C21" s="710"/>
      <c r="D21" s="2807"/>
      <c r="E21" s="2824"/>
      <c r="F21" s="2824"/>
      <c r="G21" s="2801"/>
      <c r="H21" s="2801"/>
      <c r="I21" s="2801"/>
      <c r="J21" s="2801"/>
      <c r="K21" s="2801"/>
      <c r="L21" s="3614">
        <v>1402</v>
      </c>
      <c r="M21" s="3614"/>
      <c r="N21" s="3614"/>
      <c r="O21" s="3614"/>
      <c r="P21" s="3614"/>
      <c r="Q21" s="2801"/>
      <c r="R21" s="2806">
        <v>1401</v>
      </c>
      <c r="S21" s="250"/>
    </row>
    <row r="22" spans="1:19" s="1949" customFormat="1" ht="37.5">
      <c r="A22" s="2438"/>
      <c r="B22" s="710"/>
      <c r="C22" s="710"/>
      <c r="D22" s="2825"/>
      <c r="E22" s="2823"/>
      <c r="F22" s="2823"/>
      <c r="G22" s="2826"/>
      <c r="H22" s="2845"/>
      <c r="I22" s="2845"/>
      <c r="J22" s="2827"/>
      <c r="K22" s="2827"/>
      <c r="L22" s="2828" t="s">
        <v>2106</v>
      </c>
      <c r="M22" s="2828"/>
      <c r="N22" s="2828" t="s">
        <v>2474</v>
      </c>
      <c r="O22" s="2828"/>
      <c r="P22" s="2829" t="s">
        <v>2109</v>
      </c>
      <c r="Q22" s="2830"/>
      <c r="R22" s="2829" t="s">
        <v>2109</v>
      </c>
      <c r="S22" s="1277" t="e">
        <f>#REF!-#REF!</f>
        <v>#REF!</v>
      </c>
    </row>
    <row r="23" spans="1:19" s="1949" customFormat="1" ht="37.5">
      <c r="A23" s="2438"/>
      <c r="B23" s="710"/>
      <c r="C23" s="710"/>
      <c r="D23" s="2831" t="s">
        <v>1725</v>
      </c>
      <c r="E23" s="2832"/>
      <c r="F23" s="2832"/>
      <c r="G23" s="2832"/>
      <c r="H23" s="2832"/>
      <c r="I23" s="2832"/>
      <c r="J23" s="2833"/>
      <c r="K23" s="2833"/>
      <c r="L23" s="2833">
        <v>1260626</v>
      </c>
      <c r="M23" s="2833"/>
      <c r="N23" s="2833">
        <v>8266777</v>
      </c>
      <c r="O23" s="2833"/>
      <c r="P23" s="2833">
        <f>R26</f>
        <v>9527403</v>
      </c>
      <c r="Q23" s="2833"/>
      <c r="R23" s="2833">
        <v>1077978</v>
      </c>
      <c r="S23" s="250" t="s">
        <v>1946</v>
      </c>
    </row>
    <row r="24" spans="1:19" s="1949" customFormat="1" ht="37.5">
      <c r="A24" s="2438"/>
      <c r="B24" s="710"/>
      <c r="C24" s="710"/>
      <c r="D24" s="2831" t="s">
        <v>2108</v>
      </c>
      <c r="E24" s="2832"/>
      <c r="F24" s="2832"/>
      <c r="G24" s="2832"/>
      <c r="H24" s="2832"/>
      <c r="I24" s="2832"/>
      <c r="J24" s="2833"/>
      <c r="K24" s="2833"/>
      <c r="L24" s="2833">
        <v>-7567578</v>
      </c>
      <c r="M24" s="2833"/>
      <c r="N24" s="2833">
        <v>0</v>
      </c>
      <c r="O24" s="2833"/>
      <c r="P24" s="2833">
        <f>L24</f>
        <v>-7567578</v>
      </c>
      <c r="Q24" s="2833"/>
      <c r="R24" s="2833">
        <v>-4848887</v>
      </c>
      <c r="S24" s="1277" t="e">
        <f>#REF!+#REF!+#REF!</f>
        <v>#REF!</v>
      </c>
    </row>
    <row r="25" spans="1:19" s="1949" customFormat="1" ht="37.5">
      <c r="A25" s="2438"/>
      <c r="B25" s="710"/>
      <c r="C25" s="710"/>
      <c r="D25" s="2831" t="s">
        <v>1161</v>
      </c>
      <c r="E25" s="2832"/>
      <c r="F25" s="2832"/>
      <c r="G25" s="2834"/>
      <c r="H25" s="2846"/>
      <c r="I25" s="2846"/>
      <c r="J25" s="2833"/>
      <c r="K25" s="2833"/>
      <c r="L25" s="2835">
        <v>7555429</v>
      </c>
      <c r="M25" s="2835"/>
      <c r="N25" s="2835">
        <v>25662158</v>
      </c>
      <c r="O25" s="2835"/>
      <c r="P25" s="2835">
        <f>SUM(L25:N25)</f>
        <v>33217587</v>
      </c>
      <c r="Q25" s="2833"/>
      <c r="R25" s="2833">
        <v>13298312</v>
      </c>
      <c r="S25" s="482"/>
    </row>
    <row r="26" spans="1:19" s="1949" customFormat="1" ht="37.5">
      <c r="A26" s="2438">
        <v>1004</v>
      </c>
      <c r="B26" s="710"/>
      <c r="C26" s="710"/>
      <c r="D26" s="2831"/>
      <c r="E26" s="2832"/>
      <c r="F26" s="2832"/>
      <c r="G26" s="2832"/>
      <c r="H26" s="2832"/>
      <c r="I26" s="2832"/>
      <c r="J26" s="2833"/>
      <c r="K26" s="2833"/>
      <c r="L26" s="2833">
        <f>SUM(L23:L25)</f>
        <v>1248477</v>
      </c>
      <c r="M26" s="2833"/>
      <c r="N26" s="2833">
        <f>-'1402'!W454</f>
        <v>33928935</v>
      </c>
      <c r="O26" s="2833"/>
      <c r="P26" s="2836">
        <f>SUM(P23:P25)</f>
        <v>35177412</v>
      </c>
      <c r="Q26" s="2836"/>
      <c r="R26" s="2837">
        <f>SUM(R23:R25)</f>
        <v>9527403</v>
      </c>
      <c r="S26" s="250"/>
    </row>
    <row r="27" spans="1:19" s="1949" customFormat="1" ht="37.5">
      <c r="A27" s="2438"/>
      <c r="B27" s="2821">
        <v>1004</v>
      </c>
      <c r="C27" s="710"/>
      <c r="D27" s="2831" t="s">
        <v>1926</v>
      </c>
      <c r="E27" s="2832"/>
      <c r="F27" s="2832"/>
      <c r="G27" s="2834"/>
      <c r="H27" s="2846"/>
      <c r="I27" s="2846"/>
      <c r="J27" s="2838"/>
      <c r="K27" s="2838"/>
      <c r="L27" s="2838">
        <f>'1402'!W455</f>
        <v>-777615</v>
      </c>
      <c r="M27" s="2838"/>
      <c r="N27" s="2839">
        <v>-33928935</v>
      </c>
      <c r="O27" s="2838"/>
      <c r="P27" s="2836">
        <f>SUM(L27:N27)</f>
        <v>-34706550</v>
      </c>
      <c r="Q27" s="2836"/>
      <c r="R27" s="2836">
        <v>-9113912</v>
      </c>
      <c r="S27" s="250"/>
    </row>
    <row r="28" spans="1:19" s="1949" customFormat="1" ht="38.25" thickBot="1">
      <c r="A28" s="2438"/>
      <c r="B28" s="2821">
        <v>1020</v>
      </c>
      <c r="C28" s="710"/>
      <c r="D28" s="2831"/>
      <c r="E28" s="2832"/>
      <c r="F28" s="2832"/>
      <c r="G28" s="2840"/>
      <c r="H28" s="2846"/>
      <c r="I28" s="2846"/>
      <c r="J28" s="2838"/>
      <c r="K28" s="2838"/>
      <c r="L28" s="2841">
        <f>SUM(L26:L27)</f>
        <v>470862</v>
      </c>
      <c r="M28" s="2838">
        <f t="shared" ref="M28" si="0">SUM(M26:M27)</f>
        <v>0</v>
      </c>
      <c r="N28" s="2841">
        <f>SUM(N26:N27)</f>
        <v>0</v>
      </c>
      <c r="O28" s="2838"/>
      <c r="P28" s="2842">
        <f>P26+P27</f>
        <v>470862</v>
      </c>
      <c r="Q28" s="2836"/>
      <c r="R28" s="2842">
        <f>SUM(R26:R27)</f>
        <v>413491</v>
      </c>
      <c r="S28" s="250"/>
    </row>
    <row r="29" spans="1:19" s="1949" customFormat="1" ht="38.25" thickTop="1">
      <c r="A29" s="2438"/>
      <c r="B29" s="2821"/>
      <c r="C29" s="710"/>
      <c r="D29" s="2831"/>
      <c r="E29" s="2832"/>
      <c r="F29" s="2832"/>
      <c r="G29" s="2832"/>
      <c r="H29" s="2832"/>
      <c r="I29" s="2832"/>
      <c r="J29" s="2832"/>
      <c r="K29" s="2832"/>
      <c r="L29" s="2832"/>
      <c r="M29" s="2832"/>
      <c r="N29" s="2832"/>
      <c r="O29" s="2832"/>
      <c r="P29" s="2836"/>
      <c r="Q29" s="2836"/>
      <c r="R29" s="2836"/>
      <c r="S29" s="250"/>
    </row>
    <row r="30" spans="1:19" s="1949" customFormat="1" ht="55.5" customHeight="1">
      <c r="A30" s="2438"/>
      <c r="B30" s="3623" t="s">
        <v>2585</v>
      </c>
      <c r="C30" s="3623"/>
      <c r="D30" s="3621" t="s">
        <v>2837</v>
      </c>
      <c r="E30" s="3621"/>
      <c r="F30" s="3621"/>
      <c r="G30" s="3621"/>
      <c r="H30" s="3621"/>
      <c r="I30" s="3621"/>
      <c r="J30" s="3621"/>
      <c r="K30" s="3621"/>
      <c r="L30" s="3621"/>
      <c r="M30" s="3621"/>
      <c r="N30" s="3621"/>
      <c r="O30" s="3621"/>
      <c r="P30" s="3621"/>
      <c r="Q30" s="3621"/>
      <c r="R30" s="3621"/>
      <c r="S30" s="250"/>
    </row>
    <row r="31" spans="1:19" s="1949" customFormat="1" ht="55.5" customHeight="1">
      <c r="A31" s="2438"/>
      <c r="B31" s="2843"/>
      <c r="C31" s="2843"/>
      <c r="D31" s="3621"/>
      <c r="E31" s="3621"/>
      <c r="F31" s="3621"/>
      <c r="G31" s="3621"/>
      <c r="H31" s="3621"/>
      <c r="I31" s="3621"/>
      <c r="J31" s="3621"/>
      <c r="K31" s="3621"/>
      <c r="L31" s="3621"/>
      <c r="M31" s="3621"/>
      <c r="N31" s="3621"/>
      <c r="O31" s="3621"/>
      <c r="P31" s="3621"/>
      <c r="Q31" s="3621"/>
      <c r="R31" s="3621"/>
      <c r="S31" s="250"/>
    </row>
    <row r="32" spans="1:19" s="1949" customFormat="1" ht="39" customHeight="1">
      <c r="A32" s="2438"/>
      <c r="B32" s="2821"/>
      <c r="C32" s="2844"/>
      <c r="D32" s="3621"/>
      <c r="E32" s="3621"/>
      <c r="F32" s="3621"/>
      <c r="G32" s="3621"/>
      <c r="H32" s="3621"/>
      <c r="I32" s="3621"/>
      <c r="J32" s="3621"/>
      <c r="K32" s="3621"/>
      <c r="L32" s="3621"/>
      <c r="M32" s="3621"/>
      <c r="N32" s="3621"/>
      <c r="O32" s="3621"/>
      <c r="P32" s="3621"/>
      <c r="Q32" s="3621"/>
      <c r="R32" s="3621"/>
      <c r="S32" s="250"/>
    </row>
    <row r="33" spans="1:25" s="1949" customFormat="1" ht="39" customHeight="1">
      <c r="A33" s="2438"/>
      <c r="B33" s="3623" t="s">
        <v>2752</v>
      </c>
      <c r="C33" s="3623"/>
      <c r="D33" s="3287" t="s">
        <v>2753</v>
      </c>
      <c r="E33" s="3287"/>
      <c r="F33" s="3287"/>
      <c r="G33" s="3287"/>
      <c r="H33" s="3287"/>
      <c r="I33" s="3287"/>
      <c r="J33" s="3287"/>
      <c r="K33" s="3287"/>
      <c r="L33" s="3287"/>
      <c r="M33" s="3287"/>
      <c r="N33" s="3287"/>
      <c r="O33" s="3287"/>
      <c r="P33" s="3287"/>
      <c r="Q33" s="3287"/>
      <c r="R33" s="3287"/>
      <c r="S33" s="250"/>
    </row>
    <row r="34" spans="1:25" s="1949" customFormat="1" ht="24.75" customHeight="1">
      <c r="A34" s="2438"/>
      <c r="B34" s="3623"/>
      <c r="C34" s="3623"/>
      <c r="D34" s="2440"/>
      <c r="E34" s="2440"/>
      <c r="F34" s="2440"/>
      <c r="G34" s="2648"/>
      <c r="H34" s="2648"/>
      <c r="I34" s="2648"/>
      <c r="J34" s="2648"/>
      <c r="K34" s="2648"/>
      <c r="L34" s="2648"/>
      <c r="M34" s="2648"/>
      <c r="N34" s="2648"/>
      <c r="O34" s="2648"/>
      <c r="P34" s="3624" t="s">
        <v>2754</v>
      </c>
      <c r="Q34" s="3624"/>
      <c r="R34" s="3624"/>
      <c r="S34" s="250"/>
    </row>
    <row r="35" spans="1:25" s="3286" customFormat="1" ht="28.5">
      <c r="A35" s="2838"/>
      <c r="B35" s="2838"/>
      <c r="C35" s="2838"/>
      <c r="D35" s="2838"/>
      <c r="E35" s="2838"/>
      <c r="F35" s="2838"/>
      <c r="G35" s="2199"/>
      <c r="H35" s="2199"/>
      <c r="I35" s="2199"/>
      <c r="J35" s="2839"/>
      <c r="K35" s="2838"/>
      <c r="L35" s="2838"/>
      <c r="M35" s="2838"/>
      <c r="N35" s="2838"/>
      <c r="O35" s="2838"/>
      <c r="P35" s="2839">
        <v>1402</v>
      </c>
      <c r="Q35" s="2838"/>
      <c r="R35" s="2839">
        <v>1401</v>
      </c>
      <c r="S35" s="396"/>
      <c r="T35" s="396"/>
      <c r="U35" s="396"/>
      <c r="V35" s="396"/>
      <c r="W35" s="396"/>
      <c r="X35" s="396"/>
      <c r="Y35" s="396"/>
    </row>
    <row r="36" spans="1:25" s="3286" customFormat="1" ht="22.5" customHeight="1">
      <c r="A36" s="2838"/>
      <c r="B36" s="2838"/>
      <c r="C36" s="2838"/>
      <c r="D36" s="2838"/>
      <c r="E36" s="2838"/>
      <c r="F36" s="2838"/>
      <c r="G36" s="2199"/>
      <c r="H36" s="2199"/>
      <c r="I36" s="2199"/>
      <c r="J36" s="3306" t="s">
        <v>2187</v>
      </c>
      <c r="K36" s="2838"/>
      <c r="L36" s="2838"/>
      <c r="M36" s="2838"/>
      <c r="N36" s="2838"/>
      <c r="O36" s="2838"/>
      <c r="P36" s="2838"/>
      <c r="Q36" s="2838"/>
      <c r="R36" s="2838"/>
      <c r="S36" s="396"/>
      <c r="T36" s="396"/>
      <c r="U36" s="396"/>
      <c r="V36" s="396"/>
      <c r="W36" s="396"/>
      <c r="X36" s="396"/>
    </row>
    <row r="37" spans="1:25" s="3286" customFormat="1" ht="28.5">
      <c r="A37" s="2838"/>
      <c r="B37" s="2838"/>
      <c r="C37" s="2838"/>
      <c r="D37" s="2838" t="s">
        <v>1207</v>
      </c>
      <c r="E37" s="2838"/>
      <c r="F37" s="2838"/>
      <c r="G37" s="2199"/>
      <c r="H37" s="2199"/>
      <c r="I37" s="2199"/>
      <c r="J37" s="3293" t="s">
        <v>2436</v>
      </c>
      <c r="K37" s="2199"/>
      <c r="L37" s="2838"/>
      <c r="M37" s="2838"/>
      <c r="N37" s="2838"/>
      <c r="O37" s="2199"/>
      <c r="P37" s="2838">
        <v>-158124</v>
      </c>
      <c r="Q37" s="2838"/>
      <c r="R37" s="2838">
        <v>0</v>
      </c>
      <c r="S37" s="396"/>
      <c r="T37" s="396"/>
      <c r="U37" s="396"/>
      <c r="V37" s="396"/>
      <c r="W37" s="396"/>
      <c r="X37" s="396"/>
    </row>
    <row r="38" spans="1:25" s="3286" customFormat="1" ht="39.75" hidden="1" customHeight="1">
      <c r="A38" s="2838"/>
      <c r="B38" s="2838"/>
      <c r="C38" s="2838"/>
      <c r="D38" s="2838" t="s">
        <v>1399</v>
      </c>
      <c r="E38" s="2838"/>
      <c r="F38" s="2838"/>
      <c r="G38" s="2199"/>
      <c r="H38" s="2199"/>
      <c r="I38" s="2199"/>
      <c r="J38" s="2838"/>
      <c r="K38" s="2199"/>
      <c r="L38" s="2838"/>
      <c r="M38" s="2838"/>
      <c r="N38" s="2838"/>
      <c r="O38" s="2199"/>
      <c r="P38" s="2838"/>
      <c r="Q38" s="2838"/>
      <c r="R38" s="2838"/>
      <c r="S38" s="396"/>
      <c r="T38" s="396"/>
      <c r="U38" s="396"/>
      <c r="V38" s="396"/>
      <c r="W38" s="396"/>
      <c r="X38" s="396"/>
    </row>
    <row r="39" spans="1:25" s="3286" customFormat="1" ht="28.5" hidden="1" customHeight="1">
      <c r="A39" s="2838"/>
      <c r="B39" s="2838"/>
      <c r="C39" s="2838"/>
      <c r="D39" s="2838" t="s">
        <v>2518</v>
      </c>
      <c r="E39" s="2838"/>
      <c r="F39" s="2838"/>
      <c r="G39" s="2199"/>
      <c r="H39" s="2199"/>
      <c r="I39" s="2199"/>
      <c r="J39" s="2838"/>
      <c r="K39" s="2199"/>
      <c r="L39" s="2838"/>
      <c r="M39" s="2838"/>
      <c r="N39" s="2838"/>
      <c r="O39" s="2199"/>
      <c r="P39" s="2838"/>
      <c r="Q39" s="2838"/>
      <c r="R39" s="2838"/>
      <c r="S39" s="396"/>
      <c r="T39" s="396"/>
      <c r="U39" s="396"/>
      <c r="V39" s="396"/>
      <c r="W39" s="396"/>
      <c r="X39" s="396"/>
    </row>
    <row r="40" spans="1:25" s="3286" customFormat="1" ht="28.5" hidden="1" customHeight="1">
      <c r="A40" s="2838"/>
      <c r="B40" s="2838"/>
      <c r="C40" s="2838"/>
      <c r="D40" s="2838" t="s">
        <v>2519</v>
      </c>
      <c r="E40" s="2838"/>
      <c r="F40" s="2838"/>
      <c r="G40" s="2199"/>
      <c r="H40" s="2199"/>
      <c r="I40" s="2199"/>
      <c r="J40" s="2838"/>
      <c r="K40" s="2199"/>
      <c r="L40" s="2838"/>
      <c r="M40" s="2838"/>
      <c r="N40" s="2838"/>
      <c r="O40" s="2199"/>
      <c r="P40" s="2838"/>
      <c r="Q40" s="2838"/>
      <c r="R40" s="2838"/>
      <c r="S40" s="396"/>
      <c r="T40" s="396"/>
      <c r="U40" s="396"/>
      <c r="V40" s="396"/>
      <c r="W40" s="396"/>
      <c r="X40" s="396"/>
    </row>
    <row r="41" spans="1:25" s="3286" customFormat="1" ht="28.5">
      <c r="A41" s="2838"/>
      <c r="B41" s="2838"/>
      <c r="C41" s="2838"/>
      <c r="D41" s="2838" t="s">
        <v>2805</v>
      </c>
      <c r="E41" s="2838"/>
      <c r="F41" s="2838"/>
      <c r="G41" s="2199"/>
      <c r="H41" s="2199"/>
      <c r="I41" s="2199"/>
      <c r="J41" s="2838"/>
      <c r="K41" s="2199"/>
      <c r="L41" s="2838"/>
      <c r="M41" s="2838"/>
      <c r="N41" s="2838"/>
      <c r="O41" s="2199"/>
      <c r="P41" s="2838">
        <v>3533540</v>
      </c>
      <c r="Q41" s="2838"/>
      <c r="R41" s="2838">
        <v>0</v>
      </c>
      <c r="S41" s="396"/>
      <c r="T41" s="396"/>
      <c r="U41" s="396"/>
      <c r="V41" s="396"/>
      <c r="W41" s="396"/>
      <c r="X41" s="396"/>
    </row>
    <row r="42" spans="1:25" s="3286" customFormat="1" ht="28.5">
      <c r="A42" s="2838"/>
      <c r="B42" s="2838"/>
      <c r="C42" s="2838"/>
      <c r="D42" s="2838" t="s">
        <v>2664</v>
      </c>
      <c r="E42" s="2838"/>
      <c r="F42" s="2838"/>
      <c r="G42" s="2199"/>
      <c r="H42" s="2199"/>
      <c r="I42" s="2199"/>
      <c r="J42" s="2838"/>
      <c r="K42" s="2199"/>
      <c r="L42" s="2838"/>
      <c r="M42" s="2838"/>
      <c r="N42" s="2838"/>
      <c r="O42" s="2199"/>
      <c r="P42" s="2839">
        <v>-37629</v>
      </c>
      <c r="Q42" s="2838"/>
      <c r="R42" s="2839">
        <v>0</v>
      </c>
      <c r="S42" s="396"/>
      <c r="T42" s="396"/>
      <c r="U42" s="396"/>
      <c r="V42" s="396"/>
      <c r="W42" s="396"/>
      <c r="X42" s="396"/>
    </row>
    <row r="43" spans="1:25" s="3286" customFormat="1" ht="29.25" thickBot="1">
      <c r="A43" s="2838"/>
      <c r="B43" s="2838"/>
      <c r="C43" s="2838"/>
      <c r="D43" s="2838"/>
      <c r="E43" s="2838"/>
      <c r="F43" s="2838"/>
      <c r="G43" s="2199"/>
      <c r="H43" s="2199"/>
      <c r="I43" s="2199"/>
      <c r="K43" s="2447"/>
      <c r="L43" s="2838"/>
      <c r="M43" s="2838"/>
      <c r="N43" s="2838"/>
      <c r="O43" s="396"/>
      <c r="P43" s="2841">
        <f>SUM(P37:P42)</f>
        <v>3337787</v>
      </c>
      <c r="Q43" s="2838"/>
      <c r="R43" s="2841">
        <v>0</v>
      </c>
      <c r="S43" s="396"/>
      <c r="T43" s="396"/>
      <c r="U43" s="396"/>
      <c r="V43" s="396"/>
      <c r="W43" s="396"/>
      <c r="X43" s="396"/>
      <c r="Y43" s="396"/>
    </row>
    <row r="44" spans="1:25" s="1949" customFormat="1" ht="37.5" hidden="1">
      <c r="A44" s="2438"/>
      <c r="B44" s="2436"/>
      <c r="C44" s="2447"/>
      <c r="D44" s="2448" t="s">
        <v>156</v>
      </c>
      <c r="E44" s="2449"/>
      <c r="F44" s="2449"/>
      <c r="G44" s="2447"/>
      <c r="H44" s="2447"/>
      <c r="I44" s="2447"/>
      <c r="J44" s="2447"/>
      <c r="K44" s="2447"/>
      <c r="L44" s="2447"/>
      <c r="M44" s="2447"/>
      <c r="N44" s="2447"/>
      <c r="O44" s="2447"/>
      <c r="P44" s="2450"/>
      <c r="Q44" s="2450"/>
      <c r="R44" s="2450"/>
      <c r="S44" s="250"/>
    </row>
    <row r="45" spans="1:25" s="1949" customFormat="1" ht="37.5" hidden="1">
      <c r="A45" s="2438"/>
      <c r="B45" s="2436"/>
      <c r="C45" s="2447"/>
      <c r="D45" s="2448" t="s">
        <v>1633</v>
      </c>
      <c r="E45" s="2449"/>
      <c r="F45" s="2449"/>
      <c r="G45" s="2447"/>
      <c r="H45" s="2447"/>
      <c r="I45" s="2447"/>
      <c r="J45" s="2447"/>
      <c r="K45" s="2447"/>
      <c r="L45" s="2447"/>
      <c r="M45" s="2447"/>
      <c r="N45" s="2447"/>
      <c r="O45" s="2447"/>
      <c r="P45" s="2450"/>
      <c r="Q45" s="2450"/>
      <c r="R45" s="2450"/>
      <c r="S45" s="250"/>
    </row>
    <row r="46" spans="1:25" s="1949" customFormat="1" ht="37.5" hidden="1">
      <c r="A46" s="2438"/>
      <c r="B46" s="2436"/>
      <c r="C46" s="2447"/>
      <c r="D46" s="2448" t="s">
        <v>1930</v>
      </c>
      <c r="E46" s="2449"/>
      <c r="F46" s="2449"/>
      <c r="G46" s="2447"/>
      <c r="H46" s="2447"/>
      <c r="I46" s="2447"/>
      <c r="J46" s="2447"/>
      <c r="K46" s="2447"/>
      <c r="L46" s="2447"/>
      <c r="M46" s="2447"/>
      <c r="N46" s="2447"/>
      <c r="O46" s="2447"/>
      <c r="P46" s="2450"/>
      <c r="Q46" s="2450"/>
      <c r="R46" s="2450"/>
      <c r="S46" s="250"/>
    </row>
    <row r="47" spans="1:25" s="1949" customFormat="1" ht="37.5" hidden="1">
      <c r="A47" s="2438"/>
      <c r="B47" s="2436"/>
      <c r="C47" s="2447"/>
      <c r="D47" s="2448" t="s">
        <v>1594</v>
      </c>
      <c r="E47" s="2449"/>
      <c r="F47" s="2449"/>
      <c r="G47" s="2447"/>
      <c r="H47" s="2447"/>
      <c r="I47" s="2447"/>
      <c r="J47" s="2447"/>
      <c r="K47" s="2447"/>
      <c r="L47" s="2447"/>
      <c r="M47" s="2447"/>
      <c r="N47" s="2447"/>
      <c r="O47" s="2447"/>
      <c r="P47" s="2450"/>
      <c r="Q47" s="2450"/>
      <c r="R47" s="2450"/>
      <c r="S47" s="250"/>
    </row>
    <row r="48" spans="1:25" s="1949" customFormat="1" ht="37.5" hidden="1">
      <c r="A48" s="2438"/>
      <c r="B48" s="2436"/>
      <c r="C48" s="2447"/>
      <c r="D48" s="2448" t="s">
        <v>1635</v>
      </c>
      <c r="E48" s="2449"/>
      <c r="F48" s="2449"/>
      <c r="G48" s="2447"/>
      <c r="H48" s="2447"/>
      <c r="I48" s="2447"/>
      <c r="J48" s="2447"/>
      <c r="K48" s="2447"/>
      <c r="L48" s="2447"/>
      <c r="M48" s="2447"/>
      <c r="N48" s="2447"/>
      <c r="O48" s="2447"/>
      <c r="P48" s="2450"/>
      <c r="Q48" s="2450"/>
      <c r="R48" s="2450"/>
      <c r="S48" s="250"/>
    </row>
    <row r="49" spans="1:16361" s="1949" customFormat="1" ht="37.5" hidden="1">
      <c r="A49" s="2438"/>
      <c r="B49" s="2436"/>
      <c r="C49" s="2447"/>
      <c r="D49" s="2448" t="s">
        <v>1875</v>
      </c>
      <c r="E49" s="2449"/>
      <c r="F49" s="2449"/>
      <c r="G49" s="2447"/>
      <c r="H49" s="2447"/>
      <c r="I49" s="2447"/>
      <c r="J49" s="2447"/>
      <c r="K49" s="2447"/>
      <c r="L49" s="2447"/>
      <c r="M49" s="2447"/>
      <c r="N49" s="2447"/>
      <c r="O49" s="2447"/>
      <c r="P49" s="2450"/>
      <c r="Q49" s="2450"/>
      <c r="R49" s="2450"/>
      <c r="S49" s="250"/>
    </row>
    <row r="50" spans="1:16361" s="1949" customFormat="1" ht="37.5" hidden="1">
      <c r="A50" s="2438"/>
      <c r="B50" s="2436"/>
      <c r="C50" s="2447"/>
      <c r="D50" s="2448" t="s">
        <v>1776</v>
      </c>
      <c r="E50" s="2449"/>
      <c r="F50" s="2449"/>
      <c r="G50" s="2447"/>
      <c r="H50" s="2447"/>
      <c r="I50" s="2447"/>
      <c r="J50" s="2447"/>
      <c r="K50" s="2447"/>
      <c r="L50" s="2447"/>
      <c r="M50" s="2447"/>
      <c r="N50" s="2447"/>
      <c r="O50" s="2447"/>
      <c r="P50" s="2450"/>
      <c r="Q50" s="2450"/>
      <c r="R50" s="2450"/>
      <c r="S50" s="250"/>
    </row>
    <row r="51" spans="1:16361" s="1949" customFormat="1" ht="37.5" hidden="1">
      <c r="A51" s="2438"/>
      <c r="B51" s="2438"/>
      <c r="C51" s="2448"/>
      <c r="D51" s="2448" t="s">
        <v>528</v>
      </c>
      <c r="E51" s="2451"/>
      <c r="F51" s="2451"/>
      <c r="G51" s="2452"/>
      <c r="H51" s="2452"/>
      <c r="I51" s="2452"/>
      <c r="J51" s="2452"/>
      <c r="K51" s="2452"/>
      <c r="L51" s="2452"/>
      <c r="M51" s="2452"/>
      <c r="N51" s="2452"/>
      <c r="O51" s="2452"/>
      <c r="P51" s="2450"/>
      <c r="Q51" s="2450"/>
      <c r="R51" s="2453">
        <v>0</v>
      </c>
      <c r="S51" s="250"/>
    </row>
    <row r="52" spans="1:16361" s="1949" customFormat="1" ht="38.25" hidden="1" thickBot="1">
      <c r="A52" s="2438"/>
      <c r="B52" s="2437"/>
      <c r="C52" s="2437"/>
      <c r="D52" s="2437"/>
      <c r="E52" s="2446"/>
      <c r="F52" s="2446"/>
      <c r="G52" s="2437"/>
      <c r="H52" s="2648"/>
      <c r="I52" s="2648"/>
      <c r="J52" s="2437"/>
      <c r="K52" s="2437"/>
      <c r="L52" s="2437"/>
      <c r="M52" s="2648"/>
      <c r="N52" s="2437"/>
      <c r="O52" s="2437"/>
      <c r="P52" s="2454">
        <f>SUM(P42:P51)</f>
        <v>3300158</v>
      </c>
      <c r="Q52" s="2455"/>
      <c r="R52" s="2454">
        <f>SUM(R42:R51)</f>
        <v>0</v>
      </c>
      <c r="S52" s="250"/>
    </row>
    <row r="53" spans="1:16361" s="1949" customFormat="1" ht="37.5" hidden="1">
      <c r="A53" s="2438"/>
      <c r="B53" s="2437"/>
      <c r="C53" s="2437"/>
      <c r="D53" s="2437"/>
      <c r="E53" s="2446"/>
      <c r="F53" s="2446"/>
      <c r="G53" s="2437"/>
      <c r="H53" s="2648"/>
      <c r="I53" s="2648"/>
      <c r="J53" s="2437"/>
      <c r="K53" s="2437"/>
      <c r="L53" s="2437"/>
      <c r="M53" s="2648"/>
      <c r="N53" s="2437"/>
      <c r="O53" s="2437"/>
      <c r="P53" s="2456"/>
      <c r="Q53" s="2456"/>
      <c r="R53" s="2456"/>
      <c r="S53" s="250"/>
    </row>
    <row r="54" spans="1:16361" s="1949" customFormat="1" ht="38.25" thickTop="1">
      <c r="A54" s="3612">
        <v>26</v>
      </c>
      <c r="B54" s="3612"/>
      <c r="C54" s="3612"/>
      <c r="D54" s="3612"/>
      <c r="E54" s="3612"/>
      <c r="F54" s="3612"/>
      <c r="G54" s="3612"/>
      <c r="H54" s="3612"/>
      <c r="I54" s="3612"/>
      <c r="J54" s="3612"/>
      <c r="K54" s="3612"/>
      <c r="L54" s="3612"/>
      <c r="M54" s="3612"/>
      <c r="N54" s="3612"/>
      <c r="O54" s="3612"/>
      <c r="P54" s="3612"/>
      <c r="Q54" s="3612"/>
      <c r="R54" s="3612"/>
      <c r="S54" s="250"/>
      <c r="T54" s="3579"/>
      <c r="U54" s="3579"/>
      <c r="V54" s="3579"/>
      <c r="W54" s="3579"/>
      <c r="X54" s="3579"/>
      <c r="Y54" s="3579"/>
      <c r="Z54" s="3579"/>
      <c r="AA54" s="3579"/>
      <c r="AB54" s="3579"/>
      <c r="AC54" s="3579"/>
      <c r="AD54" s="3579"/>
      <c r="AE54" s="3579"/>
      <c r="AF54" s="3579"/>
      <c r="AG54" s="3579"/>
      <c r="AH54" s="3579"/>
      <c r="AI54" s="3579"/>
      <c r="AJ54" s="3579"/>
      <c r="AK54" s="3579"/>
      <c r="AL54" s="3579"/>
      <c r="AM54" s="3579"/>
      <c r="AN54" s="3579"/>
      <c r="AO54" s="3579"/>
      <c r="AP54" s="3579"/>
      <c r="AQ54" s="3579"/>
      <c r="AR54" s="3579"/>
      <c r="AS54" s="3579"/>
      <c r="AT54" s="3579"/>
      <c r="AU54" s="3579"/>
      <c r="AV54" s="3579"/>
      <c r="AW54" s="3579"/>
      <c r="AX54" s="3579"/>
      <c r="AY54" s="3579"/>
      <c r="AZ54" s="3579"/>
      <c r="BA54" s="3579"/>
      <c r="BB54" s="3579"/>
      <c r="BC54" s="3579"/>
      <c r="BD54" s="3579"/>
      <c r="BE54" s="3579"/>
      <c r="BF54" s="3579"/>
      <c r="BG54" s="3579"/>
      <c r="BH54" s="3579"/>
      <c r="BI54" s="3579"/>
      <c r="BJ54" s="3579"/>
      <c r="BK54" s="3579"/>
      <c r="BL54" s="3579"/>
      <c r="BM54" s="3579"/>
      <c r="BN54" s="3579"/>
      <c r="BO54" s="3579"/>
      <c r="BP54" s="3579"/>
      <c r="BQ54" s="3579"/>
      <c r="BR54" s="3579"/>
      <c r="BS54" s="3579"/>
      <c r="BT54" s="3579"/>
      <c r="BU54" s="3579"/>
      <c r="BV54" s="3579"/>
      <c r="BW54" s="3579"/>
      <c r="BX54" s="3579"/>
      <c r="BY54" s="3579"/>
      <c r="BZ54" s="3579"/>
      <c r="CA54" s="3579"/>
      <c r="CB54" s="3579"/>
      <c r="CC54" s="3579"/>
      <c r="CD54" s="3579"/>
      <c r="CE54" s="3579"/>
      <c r="CF54" s="3579"/>
      <c r="CG54" s="3579"/>
      <c r="CH54" s="3579"/>
      <c r="CI54" s="3579"/>
      <c r="CJ54" s="3579"/>
      <c r="CK54" s="3579"/>
      <c r="CL54" s="3579"/>
      <c r="CM54" s="3579"/>
      <c r="CN54" s="3579"/>
      <c r="CO54" s="3579"/>
      <c r="CP54" s="3579"/>
      <c r="CQ54" s="3579"/>
      <c r="CR54" s="3579"/>
      <c r="CS54" s="3579"/>
      <c r="CT54" s="3579"/>
      <c r="CU54" s="3579"/>
      <c r="CV54" s="3579"/>
      <c r="CW54" s="3579"/>
      <c r="CX54" s="3579"/>
      <c r="CY54" s="3579"/>
      <c r="CZ54" s="3579"/>
      <c r="DA54" s="3579"/>
      <c r="DB54" s="3579"/>
      <c r="DC54" s="3579"/>
      <c r="DD54" s="3579"/>
      <c r="DE54" s="3579"/>
      <c r="DF54" s="3579"/>
      <c r="DG54" s="3579"/>
      <c r="DH54" s="3579"/>
      <c r="DI54" s="3579"/>
      <c r="DJ54" s="3579"/>
      <c r="DK54" s="3579"/>
      <c r="DL54" s="3579"/>
      <c r="DM54" s="3579"/>
      <c r="DN54" s="3579"/>
      <c r="DO54" s="3579"/>
      <c r="DP54" s="3579"/>
      <c r="DQ54" s="3579"/>
      <c r="DR54" s="3579"/>
      <c r="DS54" s="3579"/>
      <c r="DT54" s="3579"/>
      <c r="DU54" s="3579"/>
      <c r="DV54" s="3579"/>
      <c r="DW54" s="3579"/>
      <c r="DX54" s="3579"/>
      <c r="DY54" s="3579"/>
      <c r="DZ54" s="3579"/>
      <c r="EA54" s="3579"/>
      <c r="EB54" s="3579"/>
      <c r="EC54" s="3579"/>
      <c r="ED54" s="3579"/>
      <c r="EE54" s="3579"/>
      <c r="EF54" s="3579"/>
      <c r="EG54" s="3579"/>
      <c r="EH54" s="3579"/>
      <c r="EI54" s="3579"/>
      <c r="EJ54" s="3579"/>
      <c r="EK54" s="3579"/>
      <c r="EL54" s="3579"/>
      <c r="EM54" s="3579"/>
      <c r="EN54" s="3579"/>
      <c r="EO54" s="3579"/>
      <c r="EP54" s="3579"/>
      <c r="EQ54" s="3579"/>
      <c r="ER54" s="3579"/>
      <c r="ES54" s="3579"/>
      <c r="ET54" s="3579"/>
      <c r="EU54" s="3579"/>
      <c r="EV54" s="3579"/>
      <c r="EW54" s="3579"/>
      <c r="EX54" s="3579"/>
      <c r="EY54" s="3579"/>
      <c r="EZ54" s="3579"/>
      <c r="FA54" s="3579"/>
      <c r="FB54" s="3579"/>
      <c r="FC54" s="3579"/>
      <c r="FD54" s="3579"/>
      <c r="FE54" s="3579"/>
      <c r="FF54" s="3579"/>
      <c r="FG54" s="3579"/>
      <c r="FH54" s="3579"/>
      <c r="FI54" s="3579"/>
      <c r="FJ54" s="3579"/>
      <c r="FK54" s="3579"/>
      <c r="FL54" s="3579"/>
      <c r="FM54" s="3579"/>
      <c r="FN54" s="3579"/>
      <c r="FO54" s="3579"/>
      <c r="FP54" s="3579"/>
      <c r="FQ54" s="3579"/>
      <c r="FR54" s="3579"/>
      <c r="FS54" s="3579"/>
      <c r="FT54" s="3579"/>
      <c r="FU54" s="3579"/>
      <c r="FV54" s="3579"/>
      <c r="FW54" s="3579"/>
      <c r="FX54" s="3579"/>
      <c r="FY54" s="3579"/>
      <c r="FZ54" s="3579"/>
      <c r="GA54" s="3579"/>
      <c r="GB54" s="3579"/>
      <c r="GC54" s="3579"/>
      <c r="GD54" s="3579"/>
      <c r="GE54" s="3579"/>
      <c r="GF54" s="3579"/>
      <c r="GG54" s="3579"/>
      <c r="GH54" s="3579"/>
      <c r="GI54" s="3579"/>
      <c r="GJ54" s="3579"/>
      <c r="GK54" s="3579"/>
      <c r="GL54" s="3579"/>
      <c r="GM54" s="3579"/>
      <c r="GN54" s="3579"/>
      <c r="GO54" s="3579"/>
      <c r="GP54" s="3579"/>
      <c r="GQ54" s="3579"/>
      <c r="GR54" s="3579"/>
      <c r="GS54" s="3579"/>
      <c r="GT54" s="3579"/>
      <c r="GU54" s="3579"/>
      <c r="GV54" s="3579"/>
      <c r="GW54" s="3579"/>
      <c r="GX54" s="3579"/>
      <c r="GY54" s="3579"/>
      <c r="GZ54" s="3579"/>
      <c r="HA54" s="3579"/>
      <c r="HB54" s="3579"/>
      <c r="HC54" s="3579"/>
      <c r="HD54" s="3579"/>
      <c r="HE54" s="3579"/>
      <c r="HF54" s="3579"/>
      <c r="HG54" s="3579"/>
      <c r="HH54" s="3579"/>
      <c r="HI54" s="3579"/>
      <c r="HJ54" s="3579"/>
      <c r="HK54" s="3579"/>
      <c r="HL54" s="3579"/>
      <c r="HM54" s="3579"/>
      <c r="HN54" s="3579"/>
      <c r="HO54" s="3579"/>
      <c r="HP54" s="3579"/>
      <c r="HQ54" s="3579"/>
      <c r="HR54" s="3579"/>
      <c r="HS54" s="3579"/>
      <c r="HT54" s="3579"/>
      <c r="HU54" s="3579"/>
      <c r="HV54" s="3579"/>
      <c r="HW54" s="3579"/>
      <c r="HX54" s="3579"/>
      <c r="HY54" s="3579"/>
      <c r="HZ54" s="3579"/>
      <c r="IA54" s="3579"/>
      <c r="IB54" s="3579"/>
      <c r="IC54" s="3579"/>
      <c r="ID54" s="3579"/>
      <c r="IE54" s="3579"/>
      <c r="IF54" s="3579"/>
      <c r="IG54" s="3579"/>
      <c r="IH54" s="3579"/>
      <c r="II54" s="3579"/>
      <c r="IJ54" s="3579"/>
      <c r="IK54" s="3579"/>
      <c r="IL54" s="3579"/>
      <c r="IM54" s="3579"/>
      <c r="IN54" s="3579"/>
      <c r="IO54" s="3579"/>
      <c r="IP54" s="3579"/>
      <c r="IQ54" s="3579"/>
      <c r="IR54" s="3579"/>
      <c r="IS54" s="3579"/>
      <c r="IT54" s="3579"/>
      <c r="IU54" s="3579"/>
      <c r="IV54" s="3579"/>
      <c r="IW54" s="3579"/>
      <c r="IX54" s="3579"/>
      <c r="IY54" s="3579"/>
      <c r="IZ54" s="3579"/>
      <c r="JA54" s="3579"/>
      <c r="JB54" s="3579"/>
      <c r="JC54" s="3579"/>
      <c r="JD54" s="3579"/>
      <c r="JE54" s="3579"/>
      <c r="JF54" s="3579"/>
      <c r="JG54" s="3579"/>
      <c r="JH54" s="3579"/>
      <c r="JI54" s="3579"/>
      <c r="JJ54" s="3579"/>
      <c r="JK54" s="3579"/>
      <c r="JL54" s="3579"/>
      <c r="JM54" s="3579"/>
      <c r="JN54" s="3579"/>
      <c r="JO54" s="3579"/>
      <c r="JP54" s="3579"/>
      <c r="JQ54" s="3579"/>
      <c r="JR54" s="3579"/>
      <c r="JS54" s="3579"/>
      <c r="JT54" s="3579"/>
      <c r="JU54" s="3579"/>
      <c r="JV54" s="3579"/>
      <c r="JW54" s="3579"/>
      <c r="JX54" s="3579"/>
      <c r="JY54" s="3579"/>
      <c r="JZ54" s="3579"/>
      <c r="KA54" s="3579"/>
      <c r="KB54" s="3579"/>
      <c r="KC54" s="3579"/>
      <c r="KD54" s="3579"/>
      <c r="KE54" s="3579"/>
      <c r="KF54" s="3579"/>
      <c r="KG54" s="3579"/>
      <c r="KH54" s="3579"/>
      <c r="KI54" s="3579"/>
      <c r="KJ54" s="3579"/>
      <c r="KK54" s="3579"/>
      <c r="KL54" s="3579"/>
      <c r="KM54" s="3579"/>
      <c r="KN54" s="3579"/>
      <c r="KO54" s="3579"/>
      <c r="KP54" s="3579"/>
      <c r="KQ54" s="3579"/>
      <c r="KR54" s="3579"/>
      <c r="KS54" s="3579"/>
      <c r="KT54" s="3579"/>
      <c r="KU54" s="3579"/>
      <c r="KV54" s="3579"/>
      <c r="KW54" s="3579"/>
      <c r="KX54" s="3579"/>
      <c r="KY54" s="3579"/>
      <c r="KZ54" s="3579"/>
      <c r="LA54" s="3579"/>
      <c r="LB54" s="3579"/>
      <c r="LC54" s="3579"/>
      <c r="LD54" s="3579"/>
      <c r="LE54" s="3579"/>
      <c r="LF54" s="3579"/>
      <c r="LG54" s="3579"/>
      <c r="LH54" s="3579"/>
      <c r="LI54" s="3579"/>
      <c r="LJ54" s="3579"/>
      <c r="LK54" s="3579"/>
      <c r="LL54" s="3579"/>
      <c r="LM54" s="3579"/>
      <c r="LN54" s="3579"/>
      <c r="LO54" s="3579"/>
      <c r="LP54" s="3579"/>
      <c r="LQ54" s="3579"/>
      <c r="LR54" s="3579"/>
      <c r="LS54" s="3579"/>
      <c r="LT54" s="3579"/>
      <c r="LU54" s="3579"/>
      <c r="LV54" s="3579"/>
      <c r="LW54" s="3579"/>
      <c r="LX54" s="3579"/>
      <c r="LY54" s="3579"/>
      <c r="LZ54" s="3579"/>
      <c r="MA54" s="3579"/>
      <c r="MB54" s="3579"/>
      <c r="MC54" s="3579"/>
      <c r="MD54" s="3579"/>
      <c r="ME54" s="3579"/>
      <c r="MF54" s="3579"/>
      <c r="MG54" s="3579"/>
      <c r="MH54" s="3579"/>
      <c r="MI54" s="3579"/>
      <c r="MJ54" s="3579"/>
      <c r="MK54" s="3579"/>
      <c r="ML54" s="3579"/>
      <c r="MM54" s="3579"/>
      <c r="MN54" s="3579"/>
      <c r="MO54" s="3579"/>
      <c r="MP54" s="3579"/>
      <c r="MQ54" s="3579"/>
      <c r="MR54" s="3579"/>
      <c r="MS54" s="3579"/>
      <c r="MT54" s="3579"/>
      <c r="MU54" s="3579"/>
      <c r="MV54" s="3579"/>
      <c r="MW54" s="3579"/>
      <c r="MX54" s="3579"/>
      <c r="MY54" s="3579"/>
      <c r="MZ54" s="3579"/>
      <c r="NA54" s="3579"/>
      <c r="NB54" s="3579"/>
      <c r="NC54" s="3579"/>
      <c r="ND54" s="3579"/>
      <c r="NE54" s="3579"/>
      <c r="NF54" s="3579"/>
      <c r="NG54" s="3579"/>
      <c r="NH54" s="3579"/>
      <c r="NI54" s="3579"/>
      <c r="NJ54" s="3579"/>
      <c r="NK54" s="3579"/>
      <c r="NL54" s="3579"/>
      <c r="NM54" s="3579"/>
      <c r="NN54" s="3579"/>
      <c r="NO54" s="3579"/>
      <c r="NP54" s="3579"/>
      <c r="NQ54" s="3579"/>
      <c r="NR54" s="3579"/>
      <c r="NS54" s="3579"/>
      <c r="NT54" s="3579"/>
      <c r="NU54" s="3579"/>
      <c r="NV54" s="3579"/>
      <c r="NW54" s="3579"/>
      <c r="NX54" s="3579"/>
      <c r="NY54" s="3579"/>
      <c r="NZ54" s="3579"/>
      <c r="OA54" s="3579"/>
      <c r="OB54" s="3579"/>
      <c r="OC54" s="3579"/>
      <c r="OD54" s="3579"/>
      <c r="OE54" s="3579"/>
      <c r="OF54" s="3579"/>
      <c r="OG54" s="3579"/>
      <c r="OH54" s="3579"/>
      <c r="OI54" s="3579"/>
      <c r="OJ54" s="3579"/>
      <c r="OK54" s="3579"/>
      <c r="OL54" s="3579"/>
      <c r="OM54" s="3579"/>
      <c r="ON54" s="3579"/>
      <c r="OO54" s="3579"/>
      <c r="OP54" s="3579"/>
      <c r="OQ54" s="3579"/>
      <c r="OR54" s="3579"/>
      <c r="OS54" s="3579"/>
      <c r="OT54" s="3579"/>
      <c r="OU54" s="3579"/>
      <c r="OV54" s="3579"/>
      <c r="OW54" s="3579"/>
      <c r="OX54" s="3579"/>
      <c r="OY54" s="3579"/>
      <c r="OZ54" s="3579"/>
      <c r="PA54" s="3579"/>
      <c r="PB54" s="3579"/>
      <c r="PC54" s="3579"/>
      <c r="PD54" s="3579"/>
      <c r="PE54" s="3579"/>
      <c r="PF54" s="3579"/>
      <c r="PG54" s="3579"/>
      <c r="PH54" s="3579"/>
      <c r="PI54" s="3579"/>
      <c r="PJ54" s="3579"/>
      <c r="PK54" s="3579"/>
      <c r="PL54" s="3579"/>
      <c r="PM54" s="3579"/>
      <c r="PN54" s="3579"/>
      <c r="PO54" s="3579"/>
      <c r="PP54" s="3579"/>
      <c r="PQ54" s="3579"/>
      <c r="PR54" s="3579"/>
      <c r="PS54" s="3579"/>
      <c r="PT54" s="3579"/>
      <c r="PU54" s="3579"/>
      <c r="PV54" s="3579"/>
      <c r="PW54" s="3579"/>
      <c r="PX54" s="3579"/>
      <c r="PY54" s="3579"/>
      <c r="PZ54" s="3579"/>
      <c r="QA54" s="3579"/>
      <c r="QB54" s="3579"/>
      <c r="QC54" s="3579"/>
      <c r="QD54" s="3579"/>
      <c r="QE54" s="3579"/>
      <c r="QF54" s="3579"/>
      <c r="QG54" s="3579"/>
      <c r="QH54" s="3579"/>
      <c r="QI54" s="3579"/>
      <c r="QJ54" s="3579"/>
      <c r="QK54" s="3579"/>
      <c r="QL54" s="3579"/>
      <c r="QM54" s="3579"/>
      <c r="QN54" s="3579"/>
      <c r="QO54" s="3579"/>
      <c r="QP54" s="3579"/>
      <c r="QQ54" s="3579"/>
      <c r="QR54" s="3579"/>
      <c r="QS54" s="3579"/>
      <c r="QT54" s="3579"/>
      <c r="QU54" s="3579"/>
      <c r="QV54" s="3579"/>
      <c r="QW54" s="3579"/>
      <c r="QX54" s="3579"/>
      <c r="QY54" s="3579"/>
      <c r="QZ54" s="3579"/>
      <c r="RA54" s="3579"/>
      <c r="RB54" s="3579"/>
      <c r="RC54" s="3579"/>
      <c r="RD54" s="3579"/>
      <c r="RE54" s="3579"/>
      <c r="RF54" s="3579"/>
      <c r="RG54" s="3579"/>
      <c r="RH54" s="3579"/>
      <c r="RI54" s="3579"/>
      <c r="RJ54" s="3579"/>
      <c r="RK54" s="3579"/>
      <c r="RL54" s="3579"/>
      <c r="RM54" s="3579"/>
      <c r="RN54" s="3579"/>
      <c r="RO54" s="3579"/>
      <c r="RP54" s="3579"/>
      <c r="RQ54" s="3579"/>
      <c r="RR54" s="3579"/>
      <c r="RS54" s="3579"/>
      <c r="RT54" s="3579"/>
      <c r="RU54" s="3579"/>
      <c r="RV54" s="3579"/>
      <c r="RW54" s="3579"/>
      <c r="RX54" s="3579"/>
      <c r="RY54" s="3579"/>
      <c r="RZ54" s="3579"/>
      <c r="SA54" s="3579"/>
      <c r="SB54" s="3579"/>
      <c r="SC54" s="3579"/>
      <c r="SD54" s="3579"/>
      <c r="SE54" s="3579"/>
      <c r="SF54" s="3579"/>
      <c r="SG54" s="3579"/>
      <c r="SH54" s="3579"/>
      <c r="SI54" s="3579"/>
      <c r="SJ54" s="3579"/>
      <c r="SK54" s="3579"/>
      <c r="SL54" s="3579"/>
      <c r="SM54" s="3579"/>
      <c r="SN54" s="3579"/>
      <c r="SO54" s="3579"/>
      <c r="SP54" s="3579"/>
      <c r="SQ54" s="3579"/>
      <c r="SR54" s="3579"/>
      <c r="SS54" s="3579"/>
      <c r="ST54" s="3579"/>
      <c r="SU54" s="3579"/>
      <c r="SV54" s="3579"/>
      <c r="SW54" s="3579"/>
      <c r="SX54" s="3579"/>
      <c r="SY54" s="3579"/>
      <c r="SZ54" s="3579"/>
      <c r="TA54" s="3579"/>
      <c r="TB54" s="3579"/>
      <c r="TC54" s="3579"/>
      <c r="TD54" s="3579"/>
      <c r="TE54" s="3579"/>
      <c r="TF54" s="3579"/>
      <c r="TG54" s="3579"/>
      <c r="TH54" s="3579"/>
      <c r="TI54" s="3579"/>
      <c r="TJ54" s="3579"/>
      <c r="TK54" s="3579"/>
      <c r="TL54" s="3579"/>
      <c r="TM54" s="3579"/>
      <c r="TN54" s="3579"/>
      <c r="TO54" s="3579"/>
      <c r="TP54" s="3579"/>
      <c r="TQ54" s="3579"/>
      <c r="TR54" s="3579"/>
      <c r="TS54" s="3579"/>
      <c r="TT54" s="3579"/>
      <c r="TU54" s="3579"/>
      <c r="TV54" s="3579"/>
      <c r="TW54" s="3579"/>
      <c r="TX54" s="3579"/>
      <c r="TY54" s="3579"/>
      <c r="TZ54" s="3579"/>
      <c r="UA54" s="3579"/>
      <c r="UB54" s="3579"/>
      <c r="UC54" s="3579"/>
      <c r="UD54" s="3579"/>
      <c r="UE54" s="3579"/>
      <c r="UF54" s="3579"/>
      <c r="UG54" s="3579"/>
      <c r="UH54" s="3579"/>
      <c r="UI54" s="3579"/>
      <c r="UJ54" s="3579"/>
      <c r="UK54" s="3579"/>
      <c r="UL54" s="3579"/>
      <c r="UM54" s="3579"/>
      <c r="UN54" s="3579"/>
      <c r="UO54" s="3579"/>
      <c r="UP54" s="3579"/>
      <c r="UQ54" s="3579"/>
      <c r="UR54" s="3579"/>
      <c r="US54" s="3579"/>
      <c r="UT54" s="3579"/>
      <c r="UU54" s="3579"/>
      <c r="UV54" s="3579"/>
      <c r="UW54" s="3579"/>
      <c r="UX54" s="3579"/>
      <c r="UY54" s="3579"/>
      <c r="UZ54" s="3579"/>
      <c r="VA54" s="3579"/>
      <c r="VB54" s="3579"/>
      <c r="VC54" s="3579"/>
      <c r="VD54" s="3579"/>
      <c r="VE54" s="3579"/>
      <c r="VF54" s="3579"/>
      <c r="VG54" s="3579"/>
      <c r="VH54" s="3579"/>
      <c r="VI54" s="3579"/>
      <c r="VJ54" s="3579"/>
      <c r="VK54" s="3579"/>
      <c r="VL54" s="3579"/>
      <c r="VM54" s="3579"/>
      <c r="VN54" s="3579"/>
      <c r="VO54" s="3579"/>
      <c r="VP54" s="3579"/>
      <c r="VQ54" s="3579"/>
      <c r="VR54" s="3579"/>
      <c r="VS54" s="3579"/>
      <c r="VT54" s="3579"/>
      <c r="VU54" s="3579"/>
      <c r="VV54" s="3579"/>
      <c r="VW54" s="3579"/>
      <c r="VX54" s="3579"/>
      <c r="VY54" s="3579"/>
      <c r="VZ54" s="3579"/>
      <c r="WA54" s="3579"/>
      <c r="WB54" s="3579"/>
      <c r="WC54" s="3579"/>
      <c r="WD54" s="3579"/>
      <c r="WE54" s="3579"/>
      <c r="WF54" s="3579"/>
      <c r="WG54" s="3579"/>
      <c r="WH54" s="3579"/>
      <c r="WI54" s="3579"/>
      <c r="WJ54" s="3579"/>
      <c r="WK54" s="3579"/>
      <c r="WL54" s="3579"/>
      <c r="WM54" s="3579"/>
      <c r="WN54" s="3579"/>
      <c r="WO54" s="3579"/>
      <c r="WP54" s="3579"/>
      <c r="WQ54" s="3579"/>
      <c r="WR54" s="3579"/>
      <c r="WS54" s="3579"/>
      <c r="WT54" s="3579"/>
      <c r="WU54" s="3579"/>
      <c r="WV54" s="3579"/>
      <c r="WW54" s="3579"/>
      <c r="WX54" s="3579"/>
      <c r="WY54" s="3579"/>
      <c r="WZ54" s="3579"/>
      <c r="XA54" s="3579"/>
      <c r="XB54" s="3579"/>
      <c r="XC54" s="3579"/>
      <c r="XD54" s="3579"/>
      <c r="XE54" s="3579"/>
      <c r="XF54" s="3579"/>
      <c r="XG54" s="3579"/>
      <c r="XH54" s="3579"/>
      <c r="XI54" s="3579"/>
      <c r="XJ54" s="3579"/>
      <c r="XK54" s="3579"/>
      <c r="XL54" s="3579"/>
      <c r="XM54" s="3579"/>
      <c r="XN54" s="3579"/>
      <c r="XO54" s="3579"/>
      <c r="XP54" s="3579"/>
      <c r="XQ54" s="3579"/>
      <c r="XR54" s="3579"/>
      <c r="XS54" s="3579"/>
      <c r="XT54" s="3579"/>
      <c r="XU54" s="3579"/>
      <c r="XV54" s="3579"/>
      <c r="XW54" s="3579"/>
      <c r="XX54" s="3579"/>
      <c r="XY54" s="3579"/>
      <c r="XZ54" s="3579"/>
      <c r="YA54" s="3579"/>
      <c r="YB54" s="3579"/>
      <c r="YC54" s="3579"/>
      <c r="YD54" s="3579"/>
      <c r="YE54" s="3579"/>
      <c r="YF54" s="3579"/>
      <c r="YG54" s="3579"/>
      <c r="YH54" s="3579"/>
      <c r="YI54" s="3579"/>
      <c r="YJ54" s="3579"/>
      <c r="YK54" s="3579"/>
      <c r="YL54" s="3579"/>
      <c r="YM54" s="3579"/>
      <c r="YN54" s="3579"/>
      <c r="YO54" s="3579"/>
      <c r="YP54" s="3579"/>
      <c r="YQ54" s="3579"/>
      <c r="YR54" s="3579"/>
      <c r="YS54" s="3579"/>
      <c r="YT54" s="3579"/>
      <c r="YU54" s="3579"/>
      <c r="YV54" s="3579"/>
      <c r="YW54" s="3579"/>
      <c r="YX54" s="3579"/>
      <c r="YY54" s="3579"/>
      <c r="YZ54" s="3579"/>
      <c r="ZA54" s="3579"/>
      <c r="ZB54" s="3579"/>
      <c r="ZC54" s="3579"/>
      <c r="ZD54" s="3579"/>
      <c r="ZE54" s="3579"/>
      <c r="ZF54" s="3579"/>
      <c r="ZG54" s="3579"/>
      <c r="ZH54" s="3579"/>
      <c r="ZI54" s="3579"/>
      <c r="ZJ54" s="3579"/>
      <c r="ZK54" s="3579"/>
      <c r="ZL54" s="3579"/>
      <c r="ZM54" s="3579"/>
      <c r="ZN54" s="3579"/>
      <c r="ZO54" s="3579"/>
      <c r="ZP54" s="3579"/>
      <c r="ZQ54" s="3579"/>
      <c r="ZR54" s="3579"/>
      <c r="ZS54" s="3579"/>
      <c r="ZT54" s="3579"/>
      <c r="ZU54" s="3579"/>
      <c r="ZV54" s="3579"/>
      <c r="ZW54" s="3579"/>
      <c r="ZX54" s="3579"/>
      <c r="ZY54" s="3579"/>
      <c r="ZZ54" s="3579"/>
      <c r="AAA54" s="3579"/>
      <c r="AAB54" s="3579"/>
      <c r="AAC54" s="3579"/>
      <c r="AAD54" s="3579"/>
      <c r="AAE54" s="3579"/>
      <c r="AAF54" s="3579"/>
      <c r="AAG54" s="3579"/>
      <c r="AAH54" s="3579"/>
      <c r="AAI54" s="3579"/>
      <c r="AAJ54" s="3579"/>
      <c r="AAK54" s="3579"/>
      <c r="AAL54" s="3579"/>
      <c r="AAM54" s="3579"/>
      <c r="AAN54" s="3579"/>
      <c r="AAO54" s="3579"/>
      <c r="AAP54" s="3579"/>
      <c r="AAQ54" s="3579"/>
      <c r="AAR54" s="3579"/>
      <c r="AAS54" s="3579"/>
      <c r="AAT54" s="3579"/>
      <c r="AAU54" s="3579"/>
      <c r="AAV54" s="3579"/>
      <c r="AAW54" s="3579"/>
      <c r="AAX54" s="3579"/>
      <c r="AAY54" s="3579"/>
      <c r="AAZ54" s="3579"/>
      <c r="ABA54" s="3579"/>
      <c r="ABB54" s="3579"/>
      <c r="ABC54" s="3579"/>
      <c r="ABD54" s="3579"/>
      <c r="ABE54" s="3579"/>
      <c r="ABF54" s="3579"/>
      <c r="ABG54" s="3579"/>
      <c r="ABH54" s="3579"/>
      <c r="ABI54" s="3579"/>
      <c r="ABJ54" s="3579"/>
      <c r="ABK54" s="3579"/>
      <c r="ABL54" s="3579"/>
      <c r="ABM54" s="3579"/>
      <c r="ABN54" s="3579"/>
      <c r="ABO54" s="3579"/>
      <c r="ABP54" s="3579"/>
      <c r="ABQ54" s="3579"/>
      <c r="ABR54" s="3579"/>
      <c r="ABS54" s="3579"/>
      <c r="ABT54" s="3579"/>
      <c r="ABU54" s="3579"/>
      <c r="ABV54" s="3579"/>
      <c r="ABW54" s="3579"/>
      <c r="ABX54" s="3579"/>
      <c r="ABY54" s="3579"/>
      <c r="ABZ54" s="3579"/>
      <c r="ACA54" s="3579"/>
      <c r="ACB54" s="3579"/>
      <c r="ACC54" s="3579"/>
      <c r="ACD54" s="3579"/>
      <c r="ACE54" s="3579"/>
      <c r="ACF54" s="3579"/>
      <c r="ACG54" s="3579"/>
      <c r="ACH54" s="3579"/>
      <c r="ACI54" s="3579"/>
      <c r="ACJ54" s="3579"/>
      <c r="ACK54" s="3579"/>
      <c r="ACL54" s="3579"/>
      <c r="ACM54" s="3579"/>
      <c r="ACN54" s="3579"/>
      <c r="ACO54" s="3579"/>
      <c r="ACP54" s="3579"/>
      <c r="ACQ54" s="3579"/>
      <c r="ACR54" s="3579"/>
      <c r="ACS54" s="3579"/>
      <c r="ACT54" s="3579"/>
      <c r="ACU54" s="3579"/>
      <c r="ACV54" s="3579"/>
      <c r="ACW54" s="3579"/>
      <c r="ACX54" s="3579"/>
      <c r="ACY54" s="3579"/>
      <c r="ACZ54" s="3579"/>
      <c r="ADA54" s="3579"/>
      <c r="ADB54" s="3579"/>
      <c r="ADC54" s="3579"/>
      <c r="ADD54" s="3579"/>
      <c r="ADE54" s="3579"/>
      <c r="ADF54" s="3579"/>
      <c r="ADG54" s="3579"/>
      <c r="ADH54" s="3579"/>
      <c r="ADI54" s="3579"/>
      <c r="ADJ54" s="3579"/>
      <c r="ADK54" s="3579"/>
      <c r="ADL54" s="3579"/>
      <c r="ADM54" s="3579"/>
      <c r="ADN54" s="3579"/>
      <c r="ADO54" s="3579"/>
      <c r="ADP54" s="3579"/>
      <c r="ADQ54" s="3579"/>
      <c r="ADR54" s="3579"/>
      <c r="ADS54" s="3579"/>
      <c r="ADT54" s="3579"/>
      <c r="ADU54" s="3579"/>
      <c r="ADV54" s="3579"/>
      <c r="ADW54" s="3579"/>
      <c r="ADX54" s="3579"/>
      <c r="ADY54" s="3579"/>
      <c r="ADZ54" s="3579"/>
      <c r="AEA54" s="3579"/>
      <c r="AEB54" s="3579"/>
      <c r="AEC54" s="3579"/>
      <c r="AED54" s="3579"/>
      <c r="AEE54" s="3579"/>
      <c r="AEF54" s="3579"/>
      <c r="AEG54" s="3579"/>
      <c r="AEH54" s="3579"/>
      <c r="AEI54" s="3579"/>
      <c r="AEJ54" s="3579"/>
      <c r="AEK54" s="3579"/>
      <c r="AEL54" s="3579"/>
      <c r="AEM54" s="3579"/>
      <c r="AEN54" s="3579"/>
      <c r="AEO54" s="3579"/>
      <c r="AEP54" s="3579"/>
      <c r="AEQ54" s="3579"/>
      <c r="AER54" s="3579"/>
      <c r="AES54" s="3579"/>
      <c r="AET54" s="3579"/>
      <c r="AEU54" s="3579"/>
      <c r="AEV54" s="3579"/>
      <c r="AEW54" s="3579"/>
      <c r="AEX54" s="3579"/>
      <c r="AEY54" s="3579"/>
      <c r="AEZ54" s="3579"/>
      <c r="AFA54" s="3579"/>
      <c r="AFB54" s="3579"/>
      <c r="AFC54" s="3579"/>
      <c r="AFD54" s="3579"/>
      <c r="AFE54" s="3579"/>
      <c r="AFF54" s="3579"/>
      <c r="AFG54" s="3579"/>
      <c r="AFH54" s="3579"/>
      <c r="AFI54" s="3579"/>
      <c r="AFJ54" s="3579"/>
      <c r="AFK54" s="3579"/>
      <c r="AFL54" s="3579"/>
      <c r="AFM54" s="3579"/>
      <c r="AFN54" s="3579"/>
      <c r="AFO54" s="3579"/>
      <c r="AFP54" s="3579"/>
      <c r="AFQ54" s="3579"/>
      <c r="AFR54" s="3579"/>
      <c r="AFS54" s="3579"/>
      <c r="AFT54" s="3579"/>
      <c r="AFU54" s="3579"/>
      <c r="AFV54" s="3579"/>
      <c r="AFW54" s="3579"/>
      <c r="AFX54" s="3579"/>
      <c r="AFY54" s="3579"/>
      <c r="AFZ54" s="3579"/>
      <c r="AGA54" s="3579"/>
      <c r="AGB54" s="3579"/>
      <c r="AGC54" s="3579"/>
      <c r="AGD54" s="3579"/>
      <c r="AGE54" s="3579"/>
      <c r="AGF54" s="3579"/>
      <c r="AGG54" s="3579"/>
      <c r="AGH54" s="3579"/>
      <c r="AGI54" s="3579"/>
      <c r="AGJ54" s="3579"/>
      <c r="AGK54" s="3579"/>
      <c r="AGL54" s="3579"/>
      <c r="AGM54" s="3579"/>
      <c r="AGN54" s="3579"/>
      <c r="AGO54" s="3579"/>
      <c r="AGP54" s="3579"/>
      <c r="AGQ54" s="3579"/>
      <c r="AGR54" s="3579"/>
      <c r="AGS54" s="3579"/>
      <c r="AGT54" s="3579"/>
      <c r="AGU54" s="3579"/>
      <c r="AGV54" s="3579"/>
      <c r="AGW54" s="3579"/>
      <c r="AGX54" s="3579"/>
      <c r="AGY54" s="3579"/>
      <c r="AGZ54" s="3579"/>
      <c r="AHA54" s="3579"/>
      <c r="AHB54" s="3579"/>
      <c r="AHC54" s="3579"/>
      <c r="AHD54" s="3579"/>
      <c r="AHE54" s="3579"/>
      <c r="AHF54" s="3579"/>
      <c r="AHG54" s="3579"/>
      <c r="AHH54" s="3579"/>
      <c r="AHI54" s="3579"/>
      <c r="AHJ54" s="3579"/>
      <c r="AHK54" s="3579"/>
      <c r="AHL54" s="3579"/>
      <c r="AHM54" s="3579"/>
      <c r="AHN54" s="3579"/>
      <c r="AHO54" s="3579"/>
      <c r="AHP54" s="3579"/>
      <c r="AHQ54" s="3579"/>
      <c r="AHR54" s="3579"/>
      <c r="AHS54" s="3579"/>
      <c r="AHT54" s="3579"/>
      <c r="AHU54" s="3579"/>
      <c r="AHV54" s="3579"/>
      <c r="AHW54" s="3579"/>
      <c r="AHX54" s="3579"/>
      <c r="AHY54" s="3579"/>
      <c r="AHZ54" s="3579"/>
      <c r="AIA54" s="3579"/>
      <c r="AIB54" s="3579"/>
      <c r="AIC54" s="3579"/>
      <c r="AID54" s="3579"/>
      <c r="AIE54" s="3579"/>
      <c r="AIF54" s="3579"/>
      <c r="AIG54" s="3579"/>
      <c r="AIH54" s="3579"/>
      <c r="AII54" s="3579"/>
      <c r="AIJ54" s="3579"/>
      <c r="AIK54" s="3579"/>
      <c r="AIL54" s="3579"/>
      <c r="AIM54" s="3579"/>
      <c r="AIN54" s="3579"/>
      <c r="AIO54" s="3579"/>
      <c r="AIP54" s="3579"/>
      <c r="AIQ54" s="3579"/>
      <c r="AIR54" s="3579"/>
      <c r="AIS54" s="3579"/>
      <c r="AIT54" s="3579"/>
      <c r="AIU54" s="3579"/>
      <c r="AIV54" s="3579"/>
      <c r="AIW54" s="3579"/>
      <c r="AIX54" s="3579"/>
      <c r="AIY54" s="3579"/>
      <c r="AIZ54" s="3579"/>
      <c r="AJA54" s="3579"/>
      <c r="AJB54" s="3579"/>
      <c r="AJC54" s="3579"/>
      <c r="AJD54" s="3579"/>
      <c r="AJE54" s="3579"/>
      <c r="AJF54" s="3579"/>
      <c r="AJG54" s="3579"/>
      <c r="AJH54" s="3579"/>
      <c r="AJI54" s="3579"/>
      <c r="AJJ54" s="3579"/>
      <c r="AJK54" s="3579"/>
      <c r="AJL54" s="3579"/>
      <c r="AJM54" s="3579"/>
      <c r="AJN54" s="3579"/>
      <c r="AJO54" s="3579"/>
      <c r="AJP54" s="3579"/>
      <c r="AJQ54" s="3579"/>
      <c r="AJR54" s="3579"/>
      <c r="AJS54" s="3579"/>
      <c r="AJT54" s="3579"/>
      <c r="AJU54" s="3579"/>
      <c r="AJV54" s="3579"/>
      <c r="AJW54" s="3579"/>
      <c r="AJX54" s="3579"/>
      <c r="AJY54" s="3579"/>
      <c r="AJZ54" s="3579"/>
      <c r="AKA54" s="3579"/>
      <c r="AKB54" s="3579"/>
      <c r="AKC54" s="3579"/>
      <c r="AKD54" s="3579"/>
      <c r="AKE54" s="3579"/>
      <c r="AKF54" s="3579"/>
      <c r="AKG54" s="3579"/>
      <c r="AKH54" s="3579"/>
      <c r="AKI54" s="3579"/>
      <c r="AKJ54" s="3579"/>
      <c r="AKK54" s="3579"/>
      <c r="AKL54" s="3579"/>
      <c r="AKM54" s="3579"/>
      <c r="AKN54" s="3579"/>
      <c r="AKO54" s="3579"/>
      <c r="AKP54" s="3579"/>
      <c r="AKQ54" s="3579"/>
      <c r="AKR54" s="3579"/>
      <c r="AKS54" s="3579"/>
      <c r="AKT54" s="3579"/>
      <c r="AKU54" s="3579"/>
      <c r="AKV54" s="3579"/>
      <c r="AKW54" s="3579"/>
      <c r="AKX54" s="3579"/>
      <c r="AKY54" s="3579"/>
      <c r="AKZ54" s="3579"/>
      <c r="ALA54" s="3579"/>
      <c r="ALB54" s="3579"/>
      <c r="ALC54" s="3579"/>
      <c r="ALD54" s="3579"/>
      <c r="ALE54" s="3579"/>
      <c r="ALF54" s="3579"/>
      <c r="ALG54" s="3579"/>
      <c r="ALH54" s="3579"/>
      <c r="ALI54" s="3579"/>
      <c r="ALJ54" s="3579"/>
      <c r="ALK54" s="3579"/>
      <c r="ALL54" s="3579"/>
      <c r="ALM54" s="3579"/>
      <c r="ALN54" s="3579"/>
      <c r="ALO54" s="3579"/>
      <c r="ALP54" s="3579"/>
      <c r="ALQ54" s="3579"/>
      <c r="ALR54" s="3579"/>
      <c r="ALS54" s="3579"/>
      <c r="ALT54" s="3579"/>
      <c r="ALU54" s="3579"/>
      <c r="ALV54" s="3579"/>
      <c r="ALW54" s="3579"/>
      <c r="ALX54" s="3579"/>
      <c r="ALY54" s="3579"/>
      <c r="ALZ54" s="3579"/>
      <c r="AMA54" s="3579"/>
      <c r="AMB54" s="3579"/>
      <c r="AMC54" s="3579"/>
      <c r="AMD54" s="3579"/>
      <c r="AME54" s="3579"/>
      <c r="AMF54" s="3579"/>
      <c r="AMG54" s="3579"/>
      <c r="AMH54" s="3579"/>
      <c r="AMI54" s="3579"/>
      <c r="AMJ54" s="3579"/>
      <c r="AMK54" s="3579"/>
      <c r="AML54" s="3579"/>
      <c r="AMM54" s="3579"/>
      <c r="AMN54" s="3579"/>
      <c r="AMO54" s="3579"/>
      <c r="AMP54" s="3579"/>
      <c r="AMQ54" s="3579"/>
      <c r="AMR54" s="3579"/>
      <c r="AMS54" s="3579"/>
      <c r="AMT54" s="3579"/>
      <c r="AMU54" s="3579"/>
      <c r="AMV54" s="3579"/>
      <c r="AMW54" s="3579"/>
      <c r="AMX54" s="3579"/>
      <c r="AMY54" s="3579"/>
      <c r="AMZ54" s="3579"/>
      <c r="ANA54" s="3579"/>
      <c r="ANB54" s="3579"/>
      <c r="ANC54" s="3579"/>
      <c r="AND54" s="3579"/>
      <c r="ANE54" s="3579"/>
      <c r="ANF54" s="3579"/>
      <c r="ANG54" s="3579"/>
      <c r="ANH54" s="3579"/>
      <c r="ANI54" s="3579"/>
      <c r="ANJ54" s="3579"/>
      <c r="ANK54" s="3579"/>
      <c r="ANL54" s="3579"/>
      <c r="ANM54" s="3579"/>
      <c r="ANN54" s="3579"/>
      <c r="ANO54" s="3579"/>
      <c r="ANP54" s="3579"/>
      <c r="ANQ54" s="3579"/>
      <c r="ANR54" s="3579"/>
      <c r="ANS54" s="3579"/>
      <c r="ANT54" s="3579"/>
      <c r="ANU54" s="3579"/>
      <c r="ANV54" s="3579"/>
      <c r="ANW54" s="3579"/>
      <c r="ANX54" s="3579"/>
      <c r="ANY54" s="3579"/>
      <c r="ANZ54" s="3579"/>
      <c r="AOA54" s="3579"/>
      <c r="AOB54" s="3579"/>
      <c r="AOC54" s="3579"/>
      <c r="AOD54" s="3579"/>
      <c r="AOE54" s="3579"/>
      <c r="AOF54" s="3579"/>
      <c r="AOG54" s="3579"/>
      <c r="AOH54" s="3579"/>
      <c r="AOI54" s="3579"/>
      <c r="AOJ54" s="3579"/>
      <c r="AOK54" s="3579"/>
      <c r="AOL54" s="3579"/>
      <c r="AOM54" s="3579"/>
      <c r="AON54" s="3579"/>
      <c r="AOO54" s="3579"/>
      <c r="AOP54" s="3579"/>
      <c r="AOQ54" s="3579"/>
      <c r="AOR54" s="3579"/>
      <c r="AOS54" s="3579"/>
      <c r="AOT54" s="3579"/>
      <c r="AOU54" s="3579"/>
      <c r="AOV54" s="3579"/>
      <c r="AOW54" s="3579"/>
      <c r="AOX54" s="3579"/>
      <c r="AOY54" s="3579"/>
      <c r="AOZ54" s="3579"/>
      <c r="APA54" s="3579"/>
      <c r="APB54" s="3579"/>
      <c r="APC54" s="3579"/>
      <c r="APD54" s="3579"/>
      <c r="APE54" s="3579"/>
      <c r="APF54" s="3579"/>
      <c r="APG54" s="3579"/>
      <c r="APH54" s="3579"/>
      <c r="API54" s="3579"/>
      <c r="APJ54" s="3579"/>
      <c r="APK54" s="3579"/>
      <c r="APL54" s="3579"/>
      <c r="APM54" s="3579"/>
      <c r="APN54" s="3579"/>
      <c r="APO54" s="3579"/>
      <c r="APP54" s="3579"/>
      <c r="APQ54" s="3579"/>
      <c r="APR54" s="3579"/>
      <c r="APS54" s="3579"/>
      <c r="APT54" s="3579"/>
      <c r="APU54" s="3579"/>
      <c r="APV54" s="3579"/>
      <c r="APW54" s="3579"/>
      <c r="APX54" s="3579"/>
      <c r="APY54" s="3579"/>
      <c r="APZ54" s="3579"/>
      <c r="AQA54" s="3579"/>
      <c r="AQB54" s="3579"/>
      <c r="AQC54" s="3579"/>
      <c r="AQD54" s="3579"/>
      <c r="AQE54" s="3579"/>
      <c r="AQF54" s="3579"/>
      <c r="AQG54" s="3579"/>
      <c r="AQH54" s="3579"/>
      <c r="AQI54" s="3579"/>
      <c r="AQJ54" s="3579"/>
      <c r="AQK54" s="3579"/>
      <c r="AQL54" s="3579"/>
      <c r="AQM54" s="3579"/>
      <c r="AQN54" s="3579"/>
      <c r="AQO54" s="3579"/>
      <c r="AQP54" s="3579"/>
      <c r="AQQ54" s="3579"/>
      <c r="AQR54" s="3579"/>
      <c r="AQS54" s="3579"/>
      <c r="AQT54" s="3579"/>
      <c r="AQU54" s="3579"/>
      <c r="AQV54" s="3579"/>
      <c r="AQW54" s="3579"/>
      <c r="AQX54" s="3579"/>
      <c r="AQY54" s="3579"/>
      <c r="AQZ54" s="3579"/>
      <c r="ARA54" s="3579"/>
      <c r="ARB54" s="3579"/>
      <c r="ARC54" s="3579"/>
      <c r="ARD54" s="3579"/>
      <c r="ARE54" s="3579"/>
      <c r="ARF54" s="3579"/>
      <c r="ARG54" s="3579"/>
      <c r="ARH54" s="3579"/>
      <c r="ARI54" s="3579"/>
      <c r="ARJ54" s="3579"/>
      <c r="ARK54" s="3579"/>
      <c r="ARL54" s="3579"/>
      <c r="ARM54" s="3579"/>
      <c r="ARN54" s="3579"/>
      <c r="ARO54" s="3579"/>
      <c r="ARP54" s="3579"/>
      <c r="ARQ54" s="3579"/>
      <c r="ARR54" s="3579"/>
      <c r="ARS54" s="3579"/>
      <c r="ART54" s="3579"/>
      <c r="ARU54" s="3579"/>
      <c r="ARV54" s="3579"/>
      <c r="ARW54" s="3579"/>
      <c r="ARX54" s="3579"/>
      <c r="ARY54" s="3579"/>
      <c r="ARZ54" s="3579"/>
      <c r="ASA54" s="3579"/>
      <c r="ASB54" s="3579"/>
      <c r="ASC54" s="3579"/>
      <c r="ASD54" s="3579"/>
      <c r="ASE54" s="3579"/>
      <c r="ASF54" s="3579"/>
      <c r="ASG54" s="3579"/>
      <c r="ASH54" s="3579"/>
      <c r="ASI54" s="3579"/>
      <c r="ASJ54" s="3579"/>
      <c r="ASK54" s="3579"/>
      <c r="ASL54" s="3579"/>
      <c r="ASM54" s="3579"/>
      <c r="ASN54" s="3579"/>
      <c r="ASO54" s="3579"/>
      <c r="ASP54" s="3579"/>
      <c r="ASQ54" s="3579"/>
      <c r="ASR54" s="3579"/>
      <c r="ASS54" s="3579"/>
      <c r="AST54" s="3579"/>
      <c r="ASU54" s="3579"/>
      <c r="ASV54" s="3579"/>
      <c r="ASW54" s="3579"/>
      <c r="ASX54" s="3579"/>
      <c r="ASY54" s="3579"/>
      <c r="ASZ54" s="3579"/>
      <c r="ATA54" s="3579"/>
      <c r="ATB54" s="3579"/>
      <c r="ATC54" s="3579"/>
      <c r="ATD54" s="3579"/>
      <c r="ATE54" s="3579"/>
      <c r="ATF54" s="3579"/>
      <c r="ATG54" s="3579"/>
      <c r="ATH54" s="3579"/>
      <c r="ATI54" s="3579"/>
      <c r="ATJ54" s="3579"/>
      <c r="ATK54" s="3579"/>
      <c r="ATL54" s="3579"/>
      <c r="ATM54" s="3579"/>
      <c r="ATN54" s="3579"/>
      <c r="ATO54" s="3579"/>
      <c r="ATP54" s="3579"/>
      <c r="ATQ54" s="3579"/>
      <c r="ATR54" s="3579"/>
      <c r="ATS54" s="3579"/>
      <c r="ATT54" s="3579"/>
      <c r="ATU54" s="3579"/>
      <c r="ATV54" s="3579"/>
      <c r="ATW54" s="3579"/>
      <c r="ATX54" s="3579"/>
      <c r="ATY54" s="3579"/>
      <c r="ATZ54" s="3579"/>
      <c r="AUA54" s="3579"/>
      <c r="AUB54" s="3579"/>
      <c r="AUC54" s="3579"/>
      <c r="AUD54" s="3579"/>
      <c r="AUE54" s="3579"/>
      <c r="AUF54" s="3579"/>
      <c r="AUG54" s="3579"/>
      <c r="AUH54" s="3579"/>
      <c r="AUI54" s="3579"/>
      <c r="AUJ54" s="3579"/>
      <c r="AUK54" s="3579"/>
      <c r="AUL54" s="3579"/>
      <c r="AUM54" s="3579"/>
      <c r="AUN54" s="3579"/>
      <c r="AUO54" s="3579"/>
      <c r="AUP54" s="3579"/>
      <c r="AUQ54" s="3579"/>
      <c r="AUR54" s="3579"/>
      <c r="AUS54" s="3579"/>
      <c r="AUT54" s="3579"/>
      <c r="AUU54" s="3579"/>
      <c r="AUV54" s="3579"/>
      <c r="AUW54" s="3579"/>
      <c r="AUX54" s="3579"/>
      <c r="AUY54" s="3579"/>
      <c r="AUZ54" s="3579"/>
      <c r="AVA54" s="3579"/>
      <c r="AVB54" s="3579"/>
      <c r="AVC54" s="3579"/>
      <c r="AVD54" s="3579"/>
      <c r="AVE54" s="3579"/>
      <c r="AVF54" s="3579"/>
      <c r="AVG54" s="3579"/>
      <c r="AVH54" s="3579"/>
      <c r="AVI54" s="3579"/>
      <c r="AVJ54" s="3579"/>
      <c r="AVK54" s="3579"/>
      <c r="AVL54" s="3579"/>
      <c r="AVM54" s="3579"/>
      <c r="AVN54" s="3579"/>
      <c r="AVO54" s="3579"/>
      <c r="AVP54" s="3579"/>
      <c r="AVQ54" s="3579"/>
      <c r="AVR54" s="3579"/>
      <c r="AVS54" s="3579"/>
      <c r="AVT54" s="3579"/>
      <c r="AVU54" s="3579"/>
      <c r="AVV54" s="3579"/>
      <c r="AVW54" s="3579"/>
      <c r="AVX54" s="3579"/>
      <c r="AVY54" s="3579"/>
      <c r="AVZ54" s="3579"/>
      <c r="AWA54" s="3579"/>
      <c r="AWB54" s="3579"/>
      <c r="AWC54" s="3579"/>
      <c r="AWD54" s="3579"/>
      <c r="AWE54" s="3579"/>
      <c r="AWF54" s="3579"/>
      <c r="AWG54" s="3579"/>
      <c r="AWH54" s="3579"/>
      <c r="AWI54" s="3579"/>
      <c r="AWJ54" s="3579"/>
      <c r="AWK54" s="3579"/>
      <c r="AWL54" s="3579"/>
      <c r="AWM54" s="3579"/>
      <c r="AWN54" s="3579"/>
      <c r="AWO54" s="3579"/>
      <c r="AWP54" s="3579"/>
      <c r="AWQ54" s="3579"/>
      <c r="AWR54" s="3579"/>
      <c r="AWS54" s="3579"/>
      <c r="AWT54" s="3579"/>
      <c r="AWU54" s="3579"/>
      <c r="AWV54" s="3579"/>
      <c r="AWW54" s="3579"/>
      <c r="AWX54" s="3579"/>
      <c r="AWY54" s="3579"/>
      <c r="AWZ54" s="3579"/>
      <c r="AXA54" s="3579"/>
      <c r="AXB54" s="3579"/>
      <c r="AXC54" s="3579"/>
      <c r="AXD54" s="3579"/>
      <c r="AXE54" s="3579"/>
      <c r="AXF54" s="3579"/>
      <c r="AXG54" s="3579"/>
      <c r="AXH54" s="3579"/>
      <c r="AXI54" s="3579"/>
      <c r="AXJ54" s="3579"/>
      <c r="AXK54" s="3579"/>
      <c r="AXL54" s="3579"/>
      <c r="AXM54" s="3579"/>
      <c r="AXN54" s="3579"/>
      <c r="AXO54" s="3579"/>
      <c r="AXP54" s="3579"/>
      <c r="AXQ54" s="3579"/>
      <c r="AXR54" s="3579"/>
      <c r="AXS54" s="3579"/>
      <c r="AXT54" s="3579"/>
      <c r="AXU54" s="3579"/>
      <c r="AXV54" s="3579"/>
      <c r="AXW54" s="3579"/>
      <c r="AXX54" s="3579"/>
      <c r="AXY54" s="3579"/>
      <c r="AXZ54" s="3579"/>
      <c r="AYA54" s="3579"/>
      <c r="AYB54" s="3579"/>
      <c r="AYC54" s="3579"/>
      <c r="AYD54" s="3579"/>
      <c r="AYE54" s="3579"/>
      <c r="AYF54" s="3579"/>
      <c r="AYG54" s="3579"/>
      <c r="AYH54" s="3579"/>
      <c r="AYI54" s="3579"/>
      <c r="AYJ54" s="3579"/>
      <c r="AYK54" s="3579"/>
      <c r="AYL54" s="3579"/>
      <c r="AYM54" s="3579"/>
      <c r="AYN54" s="3579"/>
      <c r="AYO54" s="3579"/>
      <c r="AYP54" s="3579"/>
      <c r="AYQ54" s="3579"/>
      <c r="AYR54" s="3579"/>
      <c r="AYS54" s="3579"/>
      <c r="AYT54" s="3579"/>
      <c r="AYU54" s="3579"/>
      <c r="AYV54" s="3579"/>
      <c r="AYW54" s="3579"/>
      <c r="AYX54" s="3579"/>
      <c r="AYY54" s="3579"/>
      <c r="AYZ54" s="3579"/>
      <c r="AZA54" s="3579"/>
      <c r="AZB54" s="3579"/>
      <c r="AZC54" s="3579"/>
      <c r="AZD54" s="3579"/>
      <c r="AZE54" s="3579"/>
      <c r="AZF54" s="3579"/>
      <c r="AZG54" s="3579"/>
      <c r="AZH54" s="3579"/>
      <c r="AZI54" s="3579"/>
      <c r="AZJ54" s="3579"/>
      <c r="AZK54" s="3579"/>
      <c r="AZL54" s="3579"/>
      <c r="AZM54" s="3579"/>
      <c r="AZN54" s="3579"/>
      <c r="AZO54" s="3579"/>
      <c r="AZP54" s="3579"/>
      <c r="AZQ54" s="3579"/>
      <c r="AZR54" s="3579"/>
      <c r="AZS54" s="3579"/>
      <c r="AZT54" s="3579"/>
      <c r="AZU54" s="3579"/>
      <c r="AZV54" s="3579"/>
      <c r="AZW54" s="3579"/>
      <c r="AZX54" s="3579"/>
      <c r="AZY54" s="3579"/>
      <c r="AZZ54" s="3579"/>
      <c r="BAA54" s="3579"/>
      <c r="BAB54" s="3579"/>
      <c r="BAC54" s="3579"/>
      <c r="BAD54" s="3579"/>
      <c r="BAE54" s="3579"/>
      <c r="BAF54" s="3579"/>
      <c r="BAG54" s="3579"/>
      <c r="BAH54" s="3579"/>
      <c r="BAI54" s="3579"/>
      <c r="BAJ54" s="3579"/>
      <c r="BAK54" s="3579"/>
      <c r="BAL54" s="3579"/>
      <c r="BAM54" s="3579"/>
      <c r="BAN54" s="3579"/>
      <c r="BAO54" s="3579"/>
      <c r="BAP54" s="3579"/>
      <c r="BAQ54" s="3579"/>
      <c r="BAR54" s="3579"/>
      <c r="BAS54" s="3579"/>
      <c r="BAT54" s="3579"/>
      <c r="BAU54" s="3579"/>
      <c r="BAV54" s="3579"/>
      <c r="BAW54" s="3579"/>
      <c r="BAX54" s="3579"/>
      <c r="BAY54" s="3579"/>
      <c r="BAZ54" s="3579"/>
      <c r="BBA54" s="3579"/>
      <c r="BBB54" s="3579"/>
      <c r="BBC54" s="3579"/>
      <c r="BBD54" s="3579"/>
      <c r="BBE54" s="3579"/>
      <c r="BBF54" s="3579"/>
      <c r="BBG54" s="3579"/>
      <c r="BBH54" s="3579"/>
      <c r="BBI54" s="3579"/>
      <c r="BBJ54" s="3579"/>
      <c r="BBK54" s="3579"/>
      <c r="BBL54" s="3579"/>
      <c r="BBM54" s="3579"/>
      <c r="BBN54" s="3579"/>
      <c r="BBO54" s="3579"/>
      <c r="BBP54" s="3579"/>
      <c r="BBQ54" s="3579"/>
      <c r="BBR54" s="3579"/>
      <c r="BBS54" s="3579"/>
      <c r="BBT54" s="3579"/>
      <c r="BBU54" s="3579"/>
      <c r="BBV54" s="3579"/>
      <c r="BBW54" s="3579"/>
      <c r="BBX54" s="3579"/>
      <c r="BBY54" s="3579"/>
      <c r="BBZ54" s="3579"/>
      <c r="BCA54" s="3579"/>
      <c r="BCB54" s="3579"/>
      <c r="BCC54" s="3579"/>
      <c r="BCD54" s="3579"/>
      <c r="BCE54" s="3579"/>
      <c r="BCF54" s="3579"/>
      <c r="BCG54" s="3579"/>
      <c r="BCH54" s="3579"/>
      <c r="BCI54" s="3579"/>
      <c r="BCJ54" s="3579"/>
      <c r="BCK54" s="3579"/>
      <c r="BCL54" s="3579"/>
      <c r="BCM54" s="3579"/>
      <c r="BCN54" s="3579"/>
      <c r="BCO54" s="3579"/>
      <c r="BCP54" s="3579"/>
      <c r="BCQ54" s="3579"/>
      <c r="BCR54" s="3579"/>
      <c r="BCS54" s="3579"/>
      <c r="BCT54" s="3579"/>
      <c r="BCU54" s="3579"/>
      <c r="BCV54" s="3579"/>
      <c r="BCW54" s="3579"/>
      <c r="BCX54" s="3579"/>
      <c r="BCY54" s="3579"/>
      <c r="BCZ54" s="3579"/>
      <c r="BDA54" s="3579"/>
      <c r="BDB54" s="3579"/>
      <c r="BDC54" s="3579"/>
      <c r="BDD54" s="3579"/>
      <c r="BDE54" s="3579"/>
      <c r="BDF54" s="3579"/>
      <c r="BDG54" s="3579"/>
      <c r="BDH54" s="3579"/>
      <c r="BDI54" s="3579"/>
      <c r="BDJ54" s="3579"/>
      <c r="BDK54" s="3579"/>
      <c r="BDL54" s="3579"/>
      <c r="BDM54" s="3579"/>
      <c r="BDN54" s="3579"/>
      <c r="BDO54" s="3579"/>
      <c r="BDP54" s="3579"/>
      <c r="BDQ54" s="3579"/>
      <c r="BDR54" s="3579"/>
      <c r="BDS54" s="3579"/>
      <c r="BDT54" s="3579"/>
      <c r="BDU54" s="3579"/>
      <c r="BDV54" s="3579"/>
      <c r="BDW54" s="3579"/>
      <c r="BDX54" s="3579"/>
      <c r="BDY54" s="3579"/>
      <c r="BDZ54" s="3579"/>
      <c r="BEA54" s="3579"/>
      <c r="BEB54" s="3579"/>
      <c r="BEC54" s="3579"/>
      <c r="BED54" s="3579"/>
      <c r="BEE54" s="3579"/>
      <c r="BEF54" s="3579"/>
      <c r="BEG54" s="3579"/>
      <c r="BEH54" s="3579"/>
      <c r="BEI54" s="3579"/>
      <c r="BEJ54" s="3579"/>
      <c r="BEK54" s="3579"/>
      <c r="BEL54" s="3579"/>
      <c r="BEM54" s="3579"/>
      <c r="BEN54" s="3579"/>
      <c r="BEO54" s="3579"/>
      <c r="BEP54" s="3579"/>
      <c r="BEQ54" s="3579"/>
      <c r="BER54" s="3579"/>
      <c r="BES54" s="3579"/>
      <c r="BET54" s="3579"/>
      <c r="BEU54" s="3579"/>
      <c r="BEV54" s="3579"/>
      <c r="BEW54" s="3579"/>
      <c r="BEX54" s="3579"/>
      <c r="BEY54" s="3579"/>
      <c r="BEZ54" s="3579"/>
      <c r="BFA54" s="3579"/>
      <c r="BFB54" s="3579"/>
      <c r="BFC54" s="3579"/>
      <c r="BFD54" s="3579"/>
      <c r="BFE54" s="3579"/>
      <c r="BFF54" s="3579"/>
      <c r="BFG54" s="3579"/>
      <c r="BFH54" s="3579"/>
      <c r="BFI54" s="3579"/>
      <c r="BFJ54" s="3579"/>
      <c r="BFK54" s="3579"/>
      <c r="BFL54" s="3579"/>
      <c r="BFM54" s="3579"/>
      <c r="BFN54" s="3579"/>
      <c r="BFO54" s="3579"/>
      <c r="BFP54" s="3579"/>
      <c r="BFQ54" s="3579"/>
      <c r="BFR54" s="3579"/>
      <c r="BFS54" s="3579"/>
      <c r="BFT54" s="3579"/>
      <c r="BFU54" s="3579"/>
      <c r="BFV54" s="3579"/>
      <c r="BFW54" s="3579"/>
      <c r="BFX54" s="3579"/>
      <c r="BFY54" s="3579"/>
      <c r="BFZ54" s="3579"/>
      <c r="BGA54" s="3579"/>
      <c r="BGB54" s="3579"/>
      <c r="BGC54" s="3579"/>
      <c r="BGD54" s="3579"/>
      <c r="BGE54" s="3579"/>
      <c r="BGF54" s="3579"/>
      <c r="BGG54" s="3579"/>
      <c r="BGH54" s="3579"/>
      <c r="BGI54" s="3579"/>
      <c r="BGJ54" s="3579"/>
      <c r="BGK54" s="3579"/>
      <c r="BGL54" s="3579"/>
      <c r="BGM54" s="3579"/>
      <c r="BGN54" s="3579"/>
      <c r="BGO54" s="3579"/>
      <c r="BGP54" s="3579"/>
      <c r="BGQ54" s="3579"/>
      <c r="BGR54" s="3579"/>
      <c r="BGS54" s="3579"/>
      <c r="BGT54" s="3579"/>
      <c r="BGU54" s="3579"/>
      <c r="BGV54" s="3579"/>
      <c r="BGW54" s="3579"/>
      <c r="BGX54" s="3579"/>
      <c r="BGY54" s="3579"/>
      <c r="BGZ54" s="3579"/>
      <c r="BHA54" s="3579"/>
      <c r="BHB54" s="3579"/>
      <c r="BHC54" s="3579"/>
      <c r="BHD54" s="3579"/>
      <c r="BHE54" s="3579"/>
      <c r="BHF54" s="3579"/>
      <c r="BHG54" s="3579"/>
      <c r="BHH54" s="3579"/>
      <c r="BHI54" s="3579"/>
      <c r="BHJ54" s="3579"/>
      <c r="BHK54" s="3579"/>
      <c r="BHL54" s="3579"/>
      <c r="BHM54" s="3579"/>
      <c r="BHN54" s="3579"/>
      <c r="BHO54" s="3579"/>
      <c r="BHP54" s="3579"/>
      <c r="BHQ54" s="3579"/>
      <c r="BHR54" s="3579"/>
      <c r="BHS54" s="3579"/>
      <c r="BHT54" s="3579"/>
      <c r="BHU54" s="3579"/>
      <c r="BHV54" s="3579"/>
      <c r="BHW54" s="3579"/>
      <c r="BHX54" s="3579"/>
      <c r="BHY54" s="3579"/>
      <c r="BHZ54" s="3579"/>
      <c r="BIA54" s="3579"/>
      <c r="BIB54" s="3579"/>
      <c r="BIC54" s="3579"/>
      <c r="BID54" s="3579"/>
      <c r="BIE54" s="3579"/>
      <c r="BIF54" s="3579"/>
      <c r="BIG54" s="3579"/>
      <c r="BIH54" s="3579"/>
      <c r="BII54" s="3579"/>
      <c r="BIJ54" s="3579"/>
      <c r="BIK54" s="3579"/>
      <c r="BIL54" s="3579"/>
      <c r="BIM54" s="3579"/>
      <c r="BIN54" s="3579"/>
      <c r="BIO54" s="3579"/>
      <c r="BIP54" s="3579"/>
      <c r="BIQ54" s="3579"/>
      <c r="BIR54" s="3579"/>
      <c r="BIS54" s="3579"/>
      <c r="BIT54" s="3579"/>
      <c r="BIU54" s="3579"/>
      <c r="BIV54" s="3579"/>
      <c r="BIW54" s="3579"/>
      <c r="BIX54" s="3579"/>
      <c r="BIY54" s="3579"/>
      <c r="BIZ54" s="3579"/>
      <c r="BJA54" s="3579"/>
      <c r="BJB54" s="3579"/>
      <c r="BJC54" s="3579"/>
      <c r="BJD54" s="3579"/>
      <c r="BJE54" s="3579"/>
      <c r="BJF54" s="3579"/>
      <c r="BJG54" s="3579"/>
      <c r="BJH54" s="3579"/>
      <c r="BJI54" s="3579"/>
      <c r="BJJ54" s="3579"/>
      <c r="BJK54" s="3579"/>
      <c r="BJL54" s="3579"/>
      <c r="BJM54" s="3579"/>
      <c r="BJN54" s="3579"/>
      <c r="BJO54" s="3579"/>
      <c r="BJP54" s="3579"/>
      <c r="BJQ54" s="3579"/>
      <c r="BJR54" s="3579"/>
      <c r="BJS54" s="3579"/>
      <c r="BJT54" s="3579"/>
      <c r="BJU54" s="3579"/>
      <c r="BJV54" s="3579"/>
      <c r="BJW54" s="3579"/>
      <c r="BJX54" s="3579"/>
      <c r="BJY54" s="3579"/>
      <c r="BJZ54" s="3579"/>
      <c r="BKA54" s="3579"/>
      <c r="BKB54" s="3579"/>
      <c r="BKC54" s="3579"/>
      <c r="BKD54" s="3579"/>
      <c r="BKE54" s="3579"/>
      <c r="BKF54" s="3579"/>
      <c r="BKG54" s="3579"/>
      <c r="BKH54" s="3579"/>
      <c r="BKI54" s="3579"/>
      <c r="BKJ54" s="3579"/>
      <c r="BKK54" s="3579"/>
      <c r="BKL54" s="3579"/>
      <c r="BKM54" s="3579"/>
      <c r="BKN54" s="3579"/>
      <c r="BKO54" s="3579"/>
      <c r="BKP54" s="3579"/>
      <c r="BKQ54" s="3579"/>
      <c r="BKR54" s="3579"/>
      <c r="BKS54" s="3579"/>
      <c r="BKT54" s="3579"/>
      <c r="BKU54" s="3579"/>
      <c r="BKV54" s="3579"/>
      <c r="BKW54" s="3579"/>
      <c r="BKX54" s="3579"/>
      <c r="BKY54" s="3579"/>
      <c r="BKZ54" s="3579"/>
      <c r="BLA54" s="3579"/>
      <c r="BLB54" s="3579"/>
      <c r="BLC54" s="3579"/>
      <c r="BLD54" s="3579"/>
      <c r="BLE54" s="3579"/>
      <c r="BLF54" s="3579"/>
      <c r="BLG54" s="3579"/>
      <c r="BLH54" s="3579"/>
      <c r="BLI54" s="3579"/>
      <c r="BLJ54" s="3579"/>
      <c r="BLK54" s="3579"/>
      <c r="BLL54" s="3579"/>
      <c r="BLM54" s="3579"/>
      <c r="BLN54" s="3579"/>
      <c r="BLO54" s="3579"/>
      <c r="BLP54" s="3579"/>
      <c r="BLQ54" s="3579"/>
      <c r="BLR54" s="3579"/>
      <c r="BLS54" s="3579"/>
      <c r="BLT54" s="3579"/>
      <c r="BLU54" s="3579"/>
      <c r="BLV54" s="3579"/>
      <c r="BLW54" s="3579"/>
      <c r="BLX54" s="3579"/>
      <c r="BLY54" s="3579"/>
      <c r="BLZ54" s="3579"/>
      <c r="BMA54" s="3579"/>
      <c r="BMB54" s="3579"/>
      <c r="BMC54" s="3579"/>
      <c r="BMD54" s="3579"/>
      <c r="BME54" s="3579"/>
      <c r="BMF54" s="3579"/>
      <c r="BMG54" s="3579"/>
      <c r="BMH54" s="3579"/>
      <c r="BMI54" s="3579"/>
      <c r="BMJ54" s="3579"/>
      <c r="BMK54" s="3579"/>
      <c r="BML54" s="3579"/>
      <c r="BMM54" s="3579"/>
      <c r="BMN54" s="3579"/>
      <c r="BMO54" s="3579"/>
      <c r="BMP54" s="3579"/>
      <c r="BMQ54" s="3579"/>
      <c r="BMR54" s="3579"/>
      <c r="BMS54" s="3579"/>
      <c r="BMT54" s="3579"/>
      <c r="BMU54" s="3579"/>
      <c r="BMV54" s="3579"/>
      <c r="BMW54" s="3579"/>
      <c r="BMX54" s="3579"/>
      <c r="BMY54" s="3579"/>
      <c r="BMZ54" s="3579"/>
      <c r="BNA54" s="3579"/>
      <c r="BNB54" s="3579"/>
      <c r="BNC54" s="3579"/>
      <c r="BND54" s="3579"/>
      <c r="BNE54" s="3579"/>
      <c r="BNF54" s="3579"/>
      <c r="BNG54" s="3579"/>
      <c r="BNH54" s="3579"/>
      <c r="BNI54" s="3579"/>
      <c r="BNJ54" s="3579"/>
      <c r="BNK54" s="3579"/>
      <c r="BNL54" s="3579"/>
      <c r="BNM54" s="3579"/>
      <c r="BNN54" s="3579"/>
      <c r="BNO54" s="3579"/>
      <c r="BNP54" s="3579"/>
      <c r="BNQ54" s="3579"/>
      <c r="BNR54" s="3579"/>
      <c r="BNS54" s="3579"/>
      <c r="BNT54" s="3579"/>
      <c r="BNU54" s="3579"/>
      <c r="BNV54" s="3579"/>
      <c r="BNW54" s="3579"/>
      <c r="BNX54" s="3579"/>
      <c r="BNY54" s="3579"/>
      <c r="BNZ54" s="3579"/>
      <c r="BOA54" s="3579"/>
      <c r="BOB54" s="3579"/>
      <c r="BOC54" s="3579"/>
      <c r="BOD54" s="3579"/>
      <c r="BOE54" s="3579"/>
      <c r="BOF54" s="3579"/>
      <c r="BOG54" s="3579"/>
      <c r="BOH54" s="3579"/>
      <c r="BOI54" s="3579"/>
      <c r="BOJ54" s="3579"/>
      <c r="BOK54" s="3579"/>
      <c r="BOL54" s="3579"/>
      <c r="BOM54" s="3579"/>
      <c r="BON54" s="3579"/>
      <c r="BOO54" s="3579"/>
      <c r="BOP54" s="3579"/>
      <c r="BOQ54" s="3579"/>
      <c r="BOR54" s="3579"/>
      <c r="BOS54" s="3579"/>
      <c r="BOT54" s="3579"/>
      <c r="BOU54" s="3579"/>
      <c r="BOV54" s="3579"/>
      <c r="BOW54" s="3579"/>
      <c r="BOX54" s="3579"/>
      <c r="BOY54" s="3579"/>
      <c r="BOZ54" s="3579"/>
      <c r="BPA54" s="3579"/>
      <c r="BPB54" s="3579"/>
      <c r="BPC54" s="3579"/>
      <c r="BPD54" s="3579"/>
      <c r="BPE54" s="3579"/>
      <c r="BPF54" s="3579"/>
      <c r="BPG54" s="3579"/>
      <c r="BPH54" s="3579"/>
      <c r="BPI54" s="3579"/>
      <c r="BPJ54" s="3579"/>
      <c r="BPK54" s="3579"/>
      <c r="BPL54" s="3579"/>
      <c r="BPM54" s="3579"/>
      <c r="BPN54" s="3579"/>
      <c r="BPO54" s="3579"/>
      <c r="BPP54" s="3579"/>
      <c r="BPQ54" s="3579"/>
      <c r="BPR54" s="3579"/>
      <c r="BPS54" s="3579"/>
      <c r="BPT54" s="3579"/>
      <c r="BPU54" s="3579"/>
      <c r="BPV54" s="3579"/>
      <c r="BPW54" s="3579"/>
      <c r="BPX54" s="3579"/>
      <c r="BPY54" s="3579"/>
      <c r="BPZ54" s="3579"/>
      <c r="BQA54" s="3579"/>
      <c r="BQB54" s="3579"/>
      <c r="BQC54" s="3579"/>
      <c r="BQD54" s="3579"/>
      <c r="BQE54" s="3579"/>
      <c r="BQF54" s="3579"/>
      <c r="BQG54" s="3579"/>
      <c r="BQH54" s="3579"/>
      <c r="BQI54" s="3579"/>
      <c r="BQJ54" s="3579"/>
      <c r="BQK54" s="3579"/>
      <c r="BQL54" s="3579"/>
      <c r="BQM54" s="3579"/>
      <c r="BQN54" s="3579"/>
      <c r="BQO54" s="3579"/>
      <c r="BQP54" s="3579"/>
      <c r="BQQ54" s="3579"/>
      <c r="BQR54" s="3579"/>
      <c r="BQS54" s="3579"/>
      <c r="BQT54" s="3579"/>
      <c r="BQU54" s="3579"/>
      <c r="BQV54" s="3579"/>
      <c r="BQW54" s="3579"/>
      <c r="BQX54" s="3579"/>
      <c r="BQY54" s="3579"/>
      <c r="BQZ54" s="3579"/>
      <c r="BRA54" s="3579"/>
      <c r="BRB54" s="3579"/>
      <c r="BRC54" s="3579"/>
      <c r="BRD54" s="3579"/>
      <c r="BRE54" s="3579"/>
      <c r="BRF54" s="3579"/>
      <c r="BRG54" s="3579"/>
      <c r="BRH54" s="3579"/>
      <c r="BRI54" s="3579"/>
      <c r="BRJ54" s="3579"/>
      <c r="BRK54" s="3579"/>
      <c r="BRL54" s="3579"/>
      <c r="BRM54" s="3579"/>
      <c r="BRN54" s="3579"/>
      <c r="BRO54" s="3579"/>
      <c r="BRP54" s="3579"/>
      <c r="BRQ54" s="3579"/>
      <c r="BRR54" s="3579"/>
      <c r="BRS54" s="3579"/>
      <c r="BRT54" s="3579"/>
      <c r="BRU54" s="3579"/>
      <c r="BRV54" s="3579"/>
      <c r="BRW54" s="3579"/>
      <c r="BRX54" s="3579"/>
      <c r="BRY54" s="3579"/>
      <c r="BRZ54" s="3579"/>
      <c r="BSA54" s="3579"/>
      <c r="BSB54" s="3579"/>
      <c r="BSC54" s="3579"/>
      <c r="BSD54" s="3579"/>
      <c r="BSE54" s="3579"/>
      <c r="BSF54" s="3579"/>
      <c r="BSG54" s="3579"/>
      <c r="BSH54" s="3579"/>
      <c r="BSI54" s="3579"/>
      <c r="BSJ54" s="3579"/>
      <c r="BSK54" s="3579"/>
      <c r="BSL54" s="3579"/>
      <c r="BSM54" s="3579"/>
      <c r="BSN54" s="3579"/>
      <c r="BSO54" s="3579"/>
      <c r="BSP54" s="3579"/>
      <c r="BSQ54" s="3579"/>
      <c r="BSR54" s="3579"/>
      <c r="BSS54" s="3579"/>
      <c r="BST54" s="3579"/>
      <c r="BSU54" s="3579"/>
      <c r="BSV54" s="3579"/>
      <c r="BSW54" s="3579"/>
      <c r="BSX54" s="3579"/>
      <c r="BSY54" s="3579"/>
      <c r="BSZ54" s="3579"/>
      <c r="BTA54" s="3579"/>
      <c r="BTB54" s="3579"/>
      <c r="BTC54" s="3579"/>
      <c r="BTD54" s="3579"/>
      <c r="BTE54" s="3579"/>
      <c r="BTF54" s="3579"/>
      <c r="BTG54" s="3579"/>
      <c r="BTH54" s="3579"/>
      <c r="BTI54" s="3579"/>
      <c r="BTJ54" s="3579"/>
      <c r="BTK54" s="3579"/>
      <c r="BTL54" s="3579"/>
      <c r="BTM54" s="3579"/>
      <c r="BTN54" s="3579"/>
      <c r="BTO54" s="3579"/>
      <c r="BTP54" s="3579"/>
      <c r="BTQ54" s="3579"/>
      <c r="BTR54" s="3579"/>
      <c r="BTS54" s="3579"/>
      <c r="BTT54" s="3579"/>
      <c r="BTU54" s="3579"/>
      <c r="BTV54" s="3579"/>
      <c r="BTW54" s="3579"/>
      <c r="BTX54" s="3579"/>
      <c r="BTY54" s="3579"/>
      <c r="BTZ54" s="3579"/>
      <c r="BUA54" s="3579"/>
      <c r="BUB54" s="3579"/>
      <c r="BUC54" s="3579"/>
      <c r="BUD54" s="3579"/>
      <c r="BUE54" s="3579"/>
      <c r="BUF54" s="3579"/>
      <c r="BUG54" s="3579"/>
      <c r="BUH54" s="3579"/>
      <c r="BUI54" s="3579"/>
      <c r="BUJ54" s="3579"/>
      <c r="BUK54" s="3579"/>
      <c r="BUL54" s="3579"/>
      <c r="BUM54" s="3579"/>
      <c r="BUN54" s="3579"/>
      <c r="BUO54" s="3579"/>
      <c r="BUP54" s="3579"/>
      <c r="BUQ54" s="3579"/>
      <c r="BUR54" s="3579"/>
      <c r="BUS54" s="3579"/>
      <c r="BUT54" s="3579"/>
      <c r="BUU54" s="3579"/>
      <c r="BUV54" s="3579"/>
      <c r="BUW54" s="3579"/>
      <c r="BUX54" s="3579"/>
      <c r="BUY54" s="3579"/>
      <c r="BUZ54" s="3579"/>
      <c r="BVA54" s="3579"/>
      <c r="BVB54" s="3579"/>
      <c r="BVC54" s="3579"/>
      <c r="BVD54" s="3579"/>
      <c r="BVE54" s="3579"/>
      <c r="BVF54" s="3579"/>
      <c r="BVG54" s="3579"/>
      <c r="BVH54" s="3579"/>
      <c r="BVI54" s="3579"/>
      <c r="BVJ54" s="3579"/>
      <c r="BVK54" s="3579"/>
      <c r="BVL54" s="3579"/>
      <c r="BVM54" s="3579"/>
      <c r="BVN54" s="3579"/>
      <c r="BVO54" s="3579"/>
      <c r="BVP54" s="3579"/>
      <c r="BVQ54" s="3579"/>
      <c r="BVR54" s="3579"/>
      <c r="BVS54" s="3579"/>
      <c r="BVT54" s="3579"/>
      <c r="BVU54" s="3579"/>
      <c r="BVV54" s="3579"/>
      <c r="BVW54" s="3579"/>
      <c r="BVX54" s="3579"/>
      <c r="BVY54" s="3579"/>
      <c r="BVZ54" s="3579"/>
      <c r="BWA54" s="3579"/>
      <c r="BWB54" s="3579"/>
      <c r="BWC54" s="3579"/>
      <c r="BWD54" s="3579"/>
      <c r="BWE54" s="3579"/>
      <c r="BWF54" s="3579"/>
      <c r="BWG54" s="3579"/>
      <c r="BWH54" s="3579"/>
      <c r="BWI54" s="3579"/>
      <c r="BWJ54" s="3579"/>
      <c r="BWK54" s="3579"/>
      <c r="BWL54" s="3579"/>
      <c r="BWM54" s="3579"/>
      <c r="BWN54" s="3579"/>
      <c r="BWO54" s="3579"/>
      <c r="BWP54" s="3579"/>
      <c r="BWQ54" s="3579"/>
      <c r="BWR54" s="3579"/>
      <c r="BWS54" s="3579"/>
      <c r="BWT54" s="3579"/>
      <c r="BWU54" s="3579"/>
      <c r="BWV54" s="3579"/>
      <c r="BWW54" s="3579"/>
      <c r="BWX54" s="3579"/>
      <c r="BWY54" s="3579"/>
      <c r="BWZ54" s="3579"/>
      <c r="BXA54" s="3579"/>
      <c r="BXB54" s="3579"/>
      <c r="BXC54" s="3579"/>
      <c r="BXD54" s="3579"/>
      <c r="BXE54" s="3579"/>
      <c r="BXF54" s="3579"/>
      <c r="BXG54" s="3579"/>
      <c r="BXH54" s="3579"/>
      <c r="BXI54" s="3579"/>
      <c r="BXJ54" s="3579"/>
      <c r="BXK54" s="3579"/>
      <c r="BXL54" s="3579"/>
      <c r="BXM54" s="3579"/>
      <c r="BXN54" s="3579"/>
      <c r="BXO54" s="3579"/>
      <c r="BXP54" s="3579"/>
      <c r="BXQ54" s="3579"/>
      <c r="BXR54" s="3579"/>
      <c r="BXS54" s="3579"/>
      <c r="BXT54" s="3579"/>
      <c r="BXU54" s="3579"/>
      <c r="BXV54" s="3579"/>
      <c r="BXW54" s="3579"/>
      <c r="BXX54" s="3579"/>
      <c r="BXY54" s="3579"/>
      <c r="BXZ54" s="3579"/>
      <c r="BYA54" s="3579"/>
      <c r="BYB54" s="3579"/>
      <c r="BYC54" s="3579"/>
      <c r="BYD54" s="3579"/>
      <c r="BYE54" s="3579"/>
      <c r="BYF54" s="3579"/>
      <c r="BYG54" s="3579"/>
      <c r="BYH54" s="3579"/>
      <c r="BYI54" s="3579"/>
      <c r="BYJ54" s="3579"/>
      <c r="BYK54" s="3579"/>
      <c r="BYL54" s="3579"/>
      <c r="BYM54" s="3579"/>
      <c r="BYN54" s="3579"/>
      <c r="BYO54" s="3579"/>
      <c r="BYP54" s="3579"/>
      <c r="BYQ54" s="3579"/>
      <c r="BYR54" s="3579"/>
      <c r="BYS54" s="3579"/>
      <c r="BYT54" s="3579"/>
      <c r="BYU54" s="3579"/>
      <c r="BYV54" s="3579"/>
      <c r="BYW54" s="3579"/>
      <c r="BYX54" s="3579"/>
      <c r="BYY54" s="3579"/>
      <c r="BYZ54" s="3579"/>
      <c r="BZA54" s="3579"/>
      <c r="BZB54" s="3579"/>
      <c r="BZC54" s="3579"/>
      <c r="BZD54" s="3579"/>
      <c r="BZE54" s="3579"/>
      <c r="BZF54" s="3579"/>
      <c r="BZG54" s="3579"/>
      <c r="BZH54" s="3579"/>
      <c r="BZI54" s="3579"/>
      <c r="BZJ54" s="3579"/>
      <c r="BZK54" s="3579"/>
      <c r="BZL54" s="3579"/>
      <c r="BZM54" s="3579"/>
      <c r="BZN54" s="3579"/>
      <c r="BZO54" s="3579"/>
      <c r="BZP54" s="3579"/>
      <c r="BZQ54" s="3579"/>
      <c r="BZR54" s="3579"/>
      <c r="BZS54" s="3579"/>
      <c r="BZT54" s="3579"/>
      <c r="BZU54" s="3579"/>
      <c r="BZV54" s="3579"/>
      <c r="BZW54" s="3579"/>
      <c r="BZX54" s="3579"/>
      <c r="BZY54" s="3579"/>
      <c r="BZZ54" s="3579"/>
      <c r="CAA54" s="3579"/>
      <c r="CAB54" s="3579"/>
      <c r="CAC54" s="3579"/>
      <c r="CAD54" s="3579"/>
      <c r="CAE54" s="3579"/>
      <c r="CAF54" s="3579"/>
      <c r="CAG54" s="3579"/>
      <c r="CAH54" s="3579"/>
      <c r="CAI54" s="3579"/>
      <c r="CAJ54" s="3579"/>
      <c r="CAK54" s="3579"/>
      <c r="CAL54" s="3579"/>
      <c r="CAM54" s="3579"/>
      <c r="CAN54" s="3579"/>
      <c r="CAO54" s="3579"/>
      <c r="CAP54" s="3579"/>
      <c r="CAQ54" s="3579"/>
      <c r="CAR54" s="3579"/>
      <c r="CAS54" s="3579"/>
      <c r="CAT54" s="3579"/>
      <c r="CAU54" s="3579"/>
      <c r="CAV54" s="3579"/>
      <c r="CAW54" s="3579"/>
      <c r="CAX54" s="3579"/>
      <c r="CAY54" s="3579"/>
      <c r="CAZ54" s="3579"/>
      <c r="CBA54" s="3579"/>
      <c r="CBB54" s="3579"/>
      <c r="CBC54" s="3579"/>
      <c r="CBD54" s="3579"/>
      <c r="CBE54" s="3579"/>
      <c r="CBF54" s="3579"/>
      <c r="CBG54" s="3579"/>
      <c r="CBH54" s="3579"/>
      <c r="CBI54" s="3579"/>
      <c r="CBJ54" s="3579"/>
      <c r="CBK54" s="3579"/>
      <c r="CBL54" s="3579"/>
      <c r="CBM54" s="3579"/>
      <c r="CBN54" s="3579"/>
      <c r="CBO54" s="3579"/>
      <c r="CBP54" s="3579"/>
      <c r="CBQ54" s="3579"/>
      <c r="CBR54" s="3579"/>
      <c r="CBS54" s="3579"/>
      <c r="CBT54" s="3579"/>
      <c r="CBU54" s="3579"/>
      <c r="CBV54" s="3579"/>
      <c r="CBW54" s="3579"/>
      <c r="CBX54" s="3579"/>
      <c r="CBY54" s="3579"/>
      <c r="CBZ54" s="3579"/>
      <c r="CCA54" s="3579"/>
      <c r="CCB54" s="3579"/>
      <c r="CCC54" s="3579"/>
      <c r="CCD54" s="3579"/>
      <c r="CCE54" s="3579"/>
      <c r="CCF54" s="3579"/>
      <c r="CCG54" s="3579"/>
      <c r="CCH54" s="3579"/>
      <c r="CCI54" s="3579"/>
      <c r="CCJ54" s="3579"/>
      <c r="CCK54" s="3579"/>
      <c r="CCL54" s="3579"/>
      <c r="CCM54" s="3579"/>
      <c r="CCN54" s="3579"/>
      <c r="CCO54" s="3579"/>
      <c r="CCP54" s="3579"/>
      <c r="CCQ54" s="3579"/>
      <c r="CCR54" s="3579"/>
      <c r="CCS54" s="3579"/>
      <c r="CCT54" s="3579"/>
      <c r="CCU54" s="3579"/>
      <c r="CCV54" s="3579"/>
      <c r="CCW54" s="3579"/>
      <c r="CCX54" s="3579"/>
      <c r="CCY54" s="3579"/>
      <c r="CCZ54" s="3579"/>
      <c r="CDA54" s="3579"/>
      <c r="CDB54" s="3579"/>
      <c r="CDC54" s="3579"/>
      <c r="CDD54" s="3579"/>
      <c r="CDE54" s="3579"/>
      <c r="CDF54" s="3579"/>
      <c r="CDG54" s="3579"/>
      <c r="CDH54" s="3579"/>
      <c r="CDI54" s="3579"/>
      <c r="CDJ54" s="3579"/>
      <c r="CDK54" s="3579"/>
      <c r="CDL54" s="3579"/>
      <c r="CDM54" s="3579"/>
      <c r="CDN54" s="3579"/>
      <c r="CDO54" s="3579"/>
      <c r="CDP54" s="3579"/>
      <c r="CDQ54" s="3579"/>
      <c r="CDR54" s="3579"/>
      <c r="CDS54" s="3579"/>
      <c r="CDT54" s="3579"/>
      <c r="CDU54" s="3579"/>
      <c r="CDV54" s="3579"/>
      <c r="CDW54" s="3579"/>
      <c r="CDX54" s="3579"/>
      <c r="CDY54" s="3579"/>
      <c r="CDZ54" s="3579"/>
      <c r="CEA54" s="3579"/>
      <c r="CEB54" s="3579"/>
      <c r="CEC54" s="3579"/>
      <c r="CED54" s="3579"/>
      <c r="CEE54" s="3579"/>
      <c r="CEF54" s="3579"/>
      <c r="CEG54" s="3579"/>
      <c r="CEH54" s="3579"/>
      <c r="CEI54" s="3579"/>
      <c r="CEJ54" s="3579"/>
      <c r="CEK54" s="3579"/>
      <c r="CEL54" s="3579"/>
      <c r="CEM54" s="3579"/>
      <c r="CEN54" s="3579"/>
      <c r="CEO54" s="3579"/>
      <c r="CEP54" s="3579"/>
      <c r="CEQ54" s="3579"/>
      <c r="CER54" s="3579"/>
      <c r="CES54" s="3579"/>
      <c r="CET54" s="3579"/>
      <c r="CEU54" s="3579"/>
      <c r="CEV54" s="3579"/>
      <c r="CEW54" s="3579"/>
      <c r="CEX54" s="3579"/>
      <c r="CEY54" s="3579"/>
      <c r="CEZ54" s="3579"/>
      <c r="CFA54" s="3579"/>
      <c r="CFB54" s="3579"/>
      <c r="CFC54" s="3579"/>
      <c r="CFD54" s="3579"/>
      <c r="CFE54" s="3579"/>
      <c r="CFF54" s="3579"/>
      <c r="CFG54" s="3579"/>
      <c r="CFH54" s="3579"/>
      <c r="CFI54" s="3579"/>
      <c r="CFJ54" s="3579"/>
      <c r="CFK54" s="3579"/>
      <c r="CFL54" s="3579"/>
      <c r="CFM54" s="3579"/>
      <c r="CFN54" s="3579"/>
      <c r="CFO54" s="3579"/>
      <c r="CFP54" s="3579"/>
      <c r="CFQ54" s="3579"/>
      <c r="CFR54" s="3579"/>
      <c r="CFS54" s="3579"/>
      <c r="CFT54" s="3579"/>
      <c r="CFU54" s="3579"/>
      <c r="CFV54" s="3579"/>
      <c r="CFW54" s="3579"/>
      <c r="CFX54" s="3579"/>
      <c r="CFY54" s="3579"/>
      <c r="CFZ54" s="3579"/>
      <c r="CGA54" s="3579"/>
      <c r="CGB54" s="3579"/>
      <c r="CGC54" s="3579"/>
      <c r="CGD54" s="3579"/>
      <c r="CGE54" s="3579"/>
      <c r="CGF54" s="3579"/>
      <c r="CGG54" s="3579"/>
      <c r="CGH54" s="3579"/>
      <c r="CGI54" s="3579"/>
      <c r="CGJ54" s="3579"/>
      <c r="CGK54" s="3579"/>
      <c r="CGL54" s="3579"/>
      <c r="CGM54" s="3579"/>
      <c r="CGN54" s="3579"/>
      <c r="CGO54" s="3579"/>
      <c r="CGP54" s="3579"/>
      <c r="CGQ54" s="3579"/>
      <c r="CGR54" s="3579"/>
      <c r="CGS54" s="3579"/>
      <c r="CGT54" s="3579"/>
      <c r="CGU54" s="3579"/>
      <c r="CGV54" s="3579"/>
      <c r="CGW54" s="3579"/>
      <c r="CGX54" s="3579"/>
      <c r="CGY54" s="3579"/>
      <c r="CGZ54" s="3579"/>
      <c r="CHA54" s="3579"/>
      <c r="CHB54" s="3579"/>
      <c r="CHC54" s="3579"/>
      <c r="CHD54" s="3579"/>
      <c r="CHE54" s="3579"/>
      <c r="CHF54" s="3579"/>
      <c r="CHG54" s="3579"/>
      <c r="CHH54" s="3579"/>
      <c r="CHI54" s="3579"/>
      <c r="CHJ54" s="3579"/>
      <c r="CHK54" s="3579"/>
      <c r="CHL54" s="3579"/>
      <c r="CHM54" s="3579"/>
      <c r="CHN54" s="3579"/>
      <c r="CHO54" s="3579"/>
      <c r="CHP54" s="3579"/>
      <c r="CHQ54" s="3579"/>
      <c r="CHR54" s="3579"/>
      <c r="CHS54" s="3579"/>
      <c r="CHT54" s="3579"/>
      <c r="CHU54" s="3579"/>
      <c r="CHV54" s="3579"/>
      <c r="CHW54" s="3579"/>
      <c r="CHX54" s="3579"/>
      <c r="CHY54" s="3579"/>
      <c r="CHZ54" s="3579"/>
      <c r="CIA54" s="3579"/>
      <c r="CIB54" s="3579"/>
      <c r="CIC54" s="3579"/>
      <c r="CID54" s="3579"/>
      <c r="CIE54" s="3579"/>
      <c r="CIF54" s="3579"/>
      <c r="CIG54" s="3579"/>
      <c r="CIH54" s="3579"/>
      <c r="CII54" s="3579"/>
      <c r="CIJ54" s="3579"/>
      <c r="CIK54" s="3579"/>
      <c r="CIL54" s="3579"/>
      <c r="CIM54" s="3579"/>
      <c r="CIN54" s="3579"/>
      <c r="CIO54" s="3579"/>
      <c r="CIP54" s="3579"/>
      <c r="CIQ54" s="3579"/>
      <c r="CIR54" s="3579"/>
      <c r="CIS54" s="3579"/>
      <c r="CIT54" s="3579"/>
      <c r="CIU54" s="3579"/>
      <c r="CIV54" s="3579"/>
      <c r="CIW54" s="3579"/>
      <c r="CIX54" s="3579"/>
      <c r="CIY54" s="3579"/>
      <c r="CIZ54" s="3579"/>
      <c r="CJA54" s="3579"/>
      <c r="CJB54" s="3579"/>
      <c r="CJC54" s="3579"/>
      <c r="CJD54" s="3579"/>
      <c r="CJE54" s="3579"/>
      <c r="CJF54" s="3579"/>
      <c r="CJG54" s="3579"/>
      <c r="CJH54" s="3579"/>
      <c r="CJI54" s="3579"/>
      <c r="CJJ54" s="3579"/>
      <c r="CJK54" s="3579"/>
      <c r="CJL54" s="3579"/>
      <c r="CJM54" s="3579"/>
      <c r="CJN54" s="3579"/>
      <c r="CJO54" s="3579"/>
      <c r="CJP54" s="3579"/>
      <c r="CJQ54" s="3579"/>
      <c r="CJR54" s="3579"/>
      <c r="CJS54" s="3579"/>
      <c r="CJT54" s="3579"/>
      <c r="CJU54" s="3579"/>
      <c r="CJV54" s="3579"/>
      <c r="CJW54" s="3579"/>
      <c r="CJX54" s="3579"/>
      <c r="CJY54" s="3579"/>
      <c r="CJZ54" s="3579"/>
      <c r="CKA54" s="3579"/>
      <c r="CKB54" s="3579"/>
      <c r="CKC54" s="3579"/>
      <c r="CKD54" s="3579"/>
      <c r="CKE54" s="3579"/>
      <c r="CKF54" s="3579"/>
      <c r="CKG54" s="3579"/>
      <c r="CKH54" s="3579"/>
      <c r="CKI54" s="3579"/>
      <c r="CKJ54" s="3579"/>
      <c r="CKK54" s="3579"/>
      <c r="CKL54" s="3579"/>
      <c r="CKM54" s="3579"/>
      <c r="CKN54" s="3579"/>
      <c r="CKO54" s="3579"/>
      <c r="CKP54" s="3579"/>
      <c r="CKQ54" s="3579"/>
      <c r="CKR54" s="3579"/>
      <c r="CKS54" s="3579"/>
      <c r="CKT54" s="3579"/>
      <c r="CKU54" s="3579"/>
      <c r="CKV54" s="3579"/>
      <c r="CKW54" s="3579"/>
      <c r="CKX54" s="3579"/>
      <c r="CKY54" s="3579"/>
      <c r="CKZ54" s="3579"/>
      <c r="CLA54" s="3579"/>
      <c r="CLB54" s="3579"/>
      <c r="CLC54" s="3579"/>
      <c r="CLD54" s="3579"/>
      <c r="CLE54" s="3579"/>
      <c r="CLF54" s="3579"/>
      <c r="CLG54" s="3579"/>
      <c r="CLH54" s="3579"/>
      <c r="CLI54" s="3579"/>
      <c r="CLJ54" s="3579"/>
      <c r="CLK54" s="3579"/>
      <c r="CLL54" s="3579"/>
      <c r="CLM54" s="3579"/>
      <c r="CLN54" s="3579"/>
      <c r="CLO54" s="3579"/>
      <c r="CLP54" s="3579"/>
      <c r="CLQ54" s="3579"/>
      <c r="CLR54" s="3579"/>
      <c r="CLS54" s="3579"/>
      <c r="CLT54" s="3579"/>
      <c r="CLU54" s="3579"/>
      <c r="CLV54" s="3579"/>
      <c r="CLW54" s="3579"/>
      <c r="CLX54" s="3579"/>
      <c r="CLY54" s="3579"/>
      <c r="CLZ54" s="3579"/>
      <c r="CMA54" s="3579"/>
      <c r="CMB54" s="3579"/>
      <c r="CMC54" s="3579"/>
      <c r="CMD54" s="3579"/>
      <c r="CME54" s="3579"/>
      <c r="CMF54" s="3579"/>
      <c r="CMG54" s="3579"/>
      <c r="CMH54" s="3579"/>
      <c r="CMI54" s="3579"/>
      <c r="CMJ54" s="3579"/>
      <c r="CMK54" s="3579"/>
      <c r="CML54" s="3579"/>
      <c r="CMM54" s="3579"/>
      <c r="CMN54" s="3579"/>
      <c r="CMO54" s="3579"/>
      <c r="CMP54" s="3579"/>
      <c r="CMQ54" s="3579"/>
      <c r="CMR54" s="3579"/>
      <c r="CMS54" s="3579"/>
      <c r="CMT54" s="3579"/>
      <c r="CMU54" s="3579"/>
      <c r="CMV54" s="3579"/>
      <c r="CMW54" s="3579"/>
      <c r="CMX54" s="3579"/>
      <c r="CMY54" s="3579"/>
      <c r="CMZ54" s="3579"/>
      <c r="CNA54" s="3579"/>
      <c r="CNB54" s="3579"/>
      <c r="CNC54" s="3579"/>
      <c r="CND54" s="3579"/>
      <c r="CNE54" s="3579"/>
      <c r="CNF54" s="3579"/>
      <c r="CNG54" s="3579"/>
      <c r="CNH54" s="3579"/>
      <c r="CNI54" s="3579"/>
      <c r="CNJ54" s="3579"/>
      <c r="CNK54" s="3579"/>
      <c r="CNL54" s="3579"/>
      <c r="CNM54" s="3579"/>
      <c r="CNN54" s="3579"/>
      <c r="CNO54" s="3579"/>
      <c r="CNP54" s="3579"/>
      <c r="CNQ54" s="3579"/>
      <c r="CNR54" s="3579"/>
      <c r="CNS54" s="3579"/>
      <c r="CNT54" s="3579"/>
      <c r="CNU54" s="3579"/>
      <c r="CNV54" s="3579"/>
      <c r="CNW54" s="3579"/>
      <c r="CNX54" s="3579"/>
      <c r="CNY54" s="3579"/>
      <c r="CNZ54" s="3579"/>
      <c r="COA54" s="3579"/>
      <c r="COB54" s="3579"/>
      <c r="COC54" s="3579"/>
      <c r="COD54" s="3579"/>
      <c r="COE54" s="3579"/>
      <c r="COF54" s="3579"/>
      <c r="COG54" s="3579"/>
      <c r="COH54" s="3579"/>
      <c r="COI54" s="3579"/>
      <c r="COJ54" s="3579"/>
      <c r="COK54" s="3579"/>
      <c r="COL54" s="3579"/>
      <c r="COM54" s="3579"/>
      <c r="CON54" s="3579"/>
      <c r="COO54" s="3579"/>
      <c r="COP54" s="3579"/>
      <c r="COQ54" s="3579"/>
      <c r="COR54" s="3579"/>
      <c r="COS54" s="3579"/>
      <c r="COT54" s="3579"/>
      <c r="COU54" s="3579"/>
      <c r="COV54" s="3579"/>
      <c r="COW54" s="3579"/>
      <c r="COX54" s="3579"/>
      <c r="COY54" s="3579"/>
      <c r="COZ54" s="3579"/>
      <c r="CPA54" s="3579"/>
      <c r="CPB54" s="3579"/>
      <c r="CPC54" s="3579"/>
      <c r="CPD54" s="3579"/>
      <c r="CPE54" s="3579"/>
      <c r="CPF54" s="3579"/>
      <c r="CPG54" s="3579"/>
      <c r="CPH54" s="3579"/>
      <c r="CPI54" s="3579"/>
      <c r="CPJ54" s="3579"/>
      <c r="CPK54" s="3579"/>
      <c r="CPL54" s="3579"/>
      <c r="CPM54" s="3579"/>
      <c r="CPN54" s="3579"/>
      <c r="CPO54" s="3579"/>
      <c r="CPP54" s="3579"/>
      <c r="CPQ54" s="3579"/>
      <c r="CPR54" s="3579"/>
      <c r="CPS54" s="3579"/>
      <c r="CPT54" s="3579"/>
      <c r="CPU54" s="3579"/>
      <c r="CPV54" s="3579"/>
      <c r="CPW54" s="3579"/>
      <c r="CPX54" s="3579"/>
      <c r="CPY54" s="3579"/>
      <c r="CPZ54" s="3579"/>
      <c r="CQA54" s="3579"/>
      <c r="CQB54" s="3579"/>
      <c r="CQC54" s="3579"/>
      <c r="CQD54" s="3579"/>
      <c r="CQE54" s="3579"/>
      <c r="CQF54" s="3579"/>
      <c r="CQG54" s="3579"/>
      <c r="CQH54" s="3579"/>
      <c r="CQI54" s="3579"/>
      <c r="CQJ54" s="3579"/>
      <c r="CQK54" s="3579"/>
      <c r="CQL54" s="3579"/>
      <c r="CQM54" s="3579"/>
      <c r="CQN54" s="3579"/>
      <c r="CQO54" s="3579"/>
      <c r="CQP54" s="3579"/>
      <c r="CQQ54" s="3579"/>
      <c r="CQR54" s="3579"/>
      <c r="CQS54" s="3579"/>
      <c r="CQT54" s="3579"/>
      <c r="CQU54" s="3579"/>
      <c r="CQV54" s="3579"/>
      <c r="CQW54" s="3579"/>
      <c r="CQX54" s="3579"/>
      <c r="CQY54" s="3579"/>
      <c r="CQZ54" s="3579"/>
      <c r="CRA54" s="3579"/>
      <c r="CRB54" s="3579"/>
      <c r="CRC54" s="3579"/>
      <c r="CRD54" s="3579"/>
      <c r="CRE54" s="3579"/>
      <c r="CRF54" s="3579"/>
      <c r="CRG54" s="3579"/>
      <c r="CRH54" s="3579"/>
      <c r="CRI54" s="3579"/>
      <c r="CRJ54" s="3579"/>
      <c r="CRK54" s="3579"/>
      <c r="CRL54" s="3579"/>
      <c r="CRM54" s="3579"/>
      <c r="CRN54" s="3579"/>
      <c r="CRO54" s="3579"/>
      <c r="CRP54" s="3579"/>
      <c r="CRQ54" s="3579"/>
      <c r="CRR54" s="3579"/>
      <c r="CRS54" s="3579"/>
      <c r="CRT54" s="3579"/>
      <c r="CRU54" s="3579"/>
      <c r="CRV54" s="3579"/>
      <c r="CRW54" s="3579"/>
      <c r="CRX54" s="3579"/>
      <c r="CRY54" s="3579"/>
      <c r="CRZ54" s="3579"/>
      <c r="CSA54" s="3579"/>
      <c r="CSB54" s="3579"/>
      <c r="CSC54" s="3579"/>
      <c r="CSD54" s="3579"/>
      <c r="CSE54" s="3579"/>
      <c r="CSF54" s="3579"/>
      <c r="CSG54" s="3579"/>
      <c r="CSH54" s="3579"/>
      <c r="CSI54" s="3579"/>
      <c r="CSJ54" s="3579"/>
      <c r="CSK54" s="3579"/>
      <c r="CSL54" s="3579"/>
      <c r="CSM54" s="3579"/>
      <c r="CSN54" s="3579"/>
      <c r="CSO54" s="3579"/>
      <c r="CSP54" s="3579"/>
      <c r="CSQ54" s="3579"/>
      <c r="CSR54" s="3579"/>
      <c r="CSS54" s="3579"/>
      <c r="CST54" s="3579"/>
      <c r="CSU54" s="3579"/>
      <c r="CSV54" s="3579"/>
      <c r="CSW54" s="3579"/>
      <c r="CSX54" s="3579"/>
      <c r="CSY54" s="3579"/>
      <c r="CSZ54" s="3579"/>
      <c r="CTA54" s="3579"/>
      <c r="CTB54" s="3579"/>
      <c r="CTC54" s="3579"/>
      <c r="CTD54" s="3579"/>
      <c r="CTE54" s="3579"/>
      <c r="CTF54" s="3579"/>
      <c r="CTG54" s="3579"/>
      <c r="CTH54" s="3579"/>
      <c r="CTI54" s="3579"/>
      <c r="CTJ54" s="3579"/>
      <c r="CTK54" s="3579"/>
      <c r="CTL54" s="3579"/>
      <c r="CTM54" s="3579"/>
      <c r="CTN54" s="3579"/>
      <c r="CTO54" s="3579"/>
      <c r="CTP54" s="3579"/>
      <c r="CTQ54" s="3579"/>
      <c r="CTR54" s="3579"/>
      <c r="CTS54" s="3579"/>
      <c r="CTT54" s="3579"/>
      <c r="CTU54" s="3579"/>
      <c r="CTV54" s="3579"/>
      <c r="CTW54" s="3579"/>
      <c r="CTX54" s="3579"/>
      <c r="CTY54" s="3579"/>
      <c r="CTZ54" s="3579"/>
      <c r="CUA54" s="3579"/>
      <c r="CUB54" s="3579"/>
      <c r="CUC54" s="3579"/>
      <c r="CUD54" s="3579"/>
      <c r="CUE54" s="3579"/>
      <c r="CUF54" s="3579"/>
      <c r="CUG54" s="3579"/>
      <c r="CUH54" s="3579"/>
      <c r="CUI54" s="3579"/>
      <c r="CUJ54" s="3579"/>
      <c r="CUK54" s="3579"/>
      <c r="CUL54" s="3579"/>
      <c r="CUM54" s="3579"/>
      <c r="CUN54" s="3579"/>
      <c r="CUO54" s="3579"/>
      <c r="CUP54" s="3579"/>
      <c r="CUQ54" s="3579"/>
      <c r="CUR54" s="3579"/>
      <c r="CUS54" s="3579"/>
      <c r="CUT54" s="3579"/>
      <c r="CUU54" s="3579"/>
      <c r="CUV54" s="3579"/>
      <c r="CUW54" s="3579"/>
      <c r="CUX54" s="3579"/>
      <c r="CUY54" s="3579"/>
      <c r="CUZ54" s="3579"/>
      <c r="CVA54" s="3579"/>
      <c r="CVB54" s="3579"/>
      <c r="CVC54" s="3579"/>
      <c r="CVD54" s="3579"/>
      <c r="CVE54" s="3579"/>
      <c r="CVF54" s="3579"/>
      <c r="CVG54" s="3579"/>
      <c r="CVH54" s="3579"/>
      <c r="CVI54" s="3579"/>
      <c r="CVJ54" s="3579"/>
      <c r="CVK54" s="3579"/>
      <c r="CVL54" s="3579"/>
      <c r="CVM54" s="3579"/>
      <c r="CVN54" s="3579"/>
      <c r="CVO54" s="3579"/>
      <c r="CVP54" s="3579"/>
      <c r="CVQ54" s="3579"/>
      <c r="CVR54" s="3579"/>
      <c r="CVS54" s="3579"/>
      <c r="CVT54" s="3579"/>
      <c r="CVU54" s="3579"/>
      <c r="CVV54" s="3579"/>
      <c r="CVW54" s="3579"/>
      <c r="CVX54" s="3579"/>
      <c r="CVY54" s="3579"/>
      <c r="CVZ54" s="3579"/>
      <c r="CWA54" s="3579"/>
      <c r="CWB54" s="3579"/>
      <c r="CWC54" s="3579"/>
      <c r="CWD54" s="3579"/>
      <c r="CWE54" s="3579"/>
      <c r="CWF54" s="3579"/>
      <c r="CWG54" s="3579"/>
      <c r="CWH54" s="3579"/>
      <c r="CWI54" s="3579"/>
      <c r="CWJ54" s="3579"/>
      <c r="CWK54" s="3579"/>
      <c r="CWL54" s="3579"/>
      <c r="CWM54" s="3579"/>
      <c r="CWN54" s="3579"/>
      <c r="CWO54" s="3579"/>
      <c r="CWP54" s="3579"/>
      <c r="CWQ54" s="3579"/>
      <c r="CWR54" s="3579"/>
      <c r="CWS54" s="3579"/>
      <c r="CWT54" s="3579"/>
      <c r="CWU54" s="3579"/>
      <c r="CWV54" s="3579"/>
      <c r="CWW54" s="3579"/>
      <c r="CWX54" s="3579"/>
      <c r="CWY54" s="3579"/>
      <c r="CWZ54" s="3579"/>
      <c r="CXA54" s="3579"/>
      <c r="CXB54" s="3579"/>
      <c r="CXC54" s="3579"/>
      <c r="CXD54" s="3579"/>
      <c r="CXE54" s="3579"/>
      <c r="CXF54" s="3579"/>
      <c r="CXG54" s="3579"/>
      <c r="CXH54" s="3579"/>
      <c r="CXI54" s="3579"/>
      <c r="CXJ54" s="3579"/>
      <c r="CXK54" s="3579"/>
      <c r="CXL54" s="3579"/>
      <c r="CXM54" s="3579"/>
      <c r="CXN54" s="3579"/>
      <c r="CXO54" s="3579"/>
      <c r="CXP54" s="3579"/>
      <c r="CXQ54" s="3579"/>
      <c r="CXR54" s="3579"/>
      <c r="CXS54" s="3579"/>
      <c r="CXT54" s="3579"/>
      <c r="CXU54" s="3579"/>
      <c r="CXV54" s="3579"/>
      <c r="CXW54" s="3579"/>
      <c r="CXX54" s="3579"/>
      <c r="CXY54" s="3579"/>
      <c r="CXZ54" s="3579"/>
      <c r="CYA54" s="3579"/>
      <c r="CYB54" s="3579"/>
      <c r="CYC54" s="3579"/>
      <c r="CYD54" s="3579"/>
      <c r="CYE54" s="3579"/>
      <c r="CYF54" s="3579"/>
      <c r="CYG54" s="3579"/>
      <c r="CYH54" s="3579"/>
      <c r="CYI54" s="3579"/>
      <c r="CYJ54" s="3579"/>
      <c r="CYK54" s="3579"/>
      <c r="CYL54" s="3579"/>
      <c r="CYM54" s="3579"/>
      <c r="CYN54" s="3579"/>
      <c r="CYO54" s="3579"/>
      <c r="CYP54" s="3579"/>
      <c r="CYQ54" s="3579"/>
      <c r="CYR54" s="3579"/>
      <c r="CYS54" s="3579"/>
      <c r="CYT54" s="3579"/>
      <c r="CYU54" s="3579"/>
      <c r="CYV54" s="3579"/>
      <c r="CYW54" s="3579"/>
      <c r="CYX54" s="3579"/>
      <c r="CYY54" s="3579"/>
      <c r="CYZ54" s="3579"/>
      <c r="CZA54" s="3579"/>
      <c r="CZB54" s="3579"/>
      <c r="CZC54" s="3579"/>
      <c r="CZD54" s="3579"/>
      <c r="CZE54" s="3579"/>
      <c r="CZF54" s="3579"/>
      <c r="CZG54" s="3579"/>
      <c r="CZH54" s="3579"/>
      <c r="CZI54" s="3579"/>
      <c r="CZJ54" s="3579"/>
      <c r="CZK54" s="3579"/>
      <c r="CZL54" s="3579"/>
      <c r="CZM54" s="3579"/>
      <c r="CZN54" s="3579"/>
      <c r="CZO54" s="3579"/>
      <c r="CZP54" s="3579"/>
      <c r="CZQ54" s="3579"/>
      <c r="CZR54" s="3579"/>
      <c r="CZS54" s="3579"/>
      <c r="CZT54" s="3579"/>
      <c r="CZU54" s="3579"/>
      <c r="CZV54" s="3579"/>
      <c r="CZW54" s="3579"/>
      <c r="CZX54" s="3579"/>
      <c r="CZY54" s="3579"/>
      <c r="CZZ54" s="3579"/>
      <c r="DAA54" s="3579"/>
      <c r="DAB54" s="3579"/>
      <c r="DAC54" s="3579"/>
      <c r="DAD54" s="3579"/>
      <c r="DAE54" s="3579"/>
      <c r="DAF54" s="3579"/>
      <c r="DAG54" s="3579"/>
      <c r="DAH54" s="3579"/>
      <c r="DAI54" s="3579"/>
      <c r="DAJ54" s="3579"/>
      <c r="DAK54" s="3579"/>
      <c r="DAL54" s="3579"/>
      <c r="DAM54" s="3579"/>
      <c r="DAN54" s="3579"/>
      <c r="DAO54" s="3579"/>
      <c r="DAP54" s="3579"/>
      <c r="DAQ54" s="3579"/>
      <c r="DAR54" s="3579"/>
      <c r="DAS54" s="3579"/>
      <c r="DAT54" s="3579"/>
      <c r="DAU54" s="3579"/>
      <c r="DAV54" s="3579"/>
      <c r="DAW54" s="3579"/>
      <c r="DAX54" s="3579"/>
      <c r="DAY54" s="3579"/>
      <c r="DAZ54" s="3579"/>
      <c r="DBA54" s="3579"/>
      <c r="DBB54" s="3579"/>
      <c r="DBC54" s="3579"/>
      <c r="DBD54" s="3579"/>
      <c r="DBE54" s="3579"/>
      <c r="DBF54" s="3579"/>
      <c r="DBG54" s="3579"/>
      <c r="DBH54" s="3579"/>
      <c r="DBI54" s="3579"/>
      <c r="DBJ54" s="3579"/>
      <c r="DBK54" s="3579"/>
      <c r="DBL54" s="3579"/>
      <c r="DBM54" s="3579"/>
      <c r="DBN54" s="3579"/>
      <c r="DBO54" s="3579"/>
      <c r="DBP54" s="3579"/>
      <c r="DBQ54" s="3579"/>
      <c r="DBR54" s="3579"/>
      <c r="DBS54" s="3579"/>
      <c r="DBT54" s="3579"/>
      <c r="DBU54" s="3579"/>
      <c r="DBV54" s="3579"/>
      <c r="DBW54" s="3579"/>
      <c r="DBX54" s="3579"/>
      <c r="DBY54" s="3579"/>
      <c r="DBZ54" s="3579"/>
      <c r="DCA54" s="3579"/>
      <c r="DCB54" s="3579"/>
      <c r="DCC54" s="3579"/>
      <c r="DCD54" s="3579"/>
      <c r="DCE54" s="3579"/>
      <c r="DCF54" s="3579"/>
      <c r="DCG54" s="3579"/>
      <c r="DCH54" s="3579"/>
      <c r="DCI54" s="3579"/>
      <c r="DCJ54" s="3579"/>
      <c r="DCK54" s="3579"/>
      <c r="DCL54" s="3579"/>
      <c r="DCM54" s="3579"/>
      <c r="DCN54" s="3579"/>
      <c r="DCO54" s="3579"/>
      <c r="DCP54" s="3579"/>
      <c r="DCQ54" s="3579"/>
      <c r="DCR54" s="3579"/>
      <c r="DCS54" s="3579"/>
      <c r="DCT54" s="3579"/>
      <c r="DCU54" s="3579"/>
      <c r="DCV54" s="3579"/>
      <c r="DCW54" s="3579"/>
      <c r="DCX54" s="3579"/>
      <c r="DCY54" s="3579"/>
      <c r="DCZ54" s="3579"/>
      <c r="DDA54" s="3579"/>
      <c r="DDB54" s="3579"/>
      <c r="DDC54" s="3579"/>
      <c r="DDD54" s="3579"/>
      <c r="DDE54" s="3579"/>
      <c r="DDF54" s="3579"/>
      <c r="DDG54" s="3579"/>
      <c r="DDH54" s="3579"/>
      <c r="DDI54" s="3579"/>
      <c r="DDJ54" s="3579"/>
      <c r="DDK54" s="3579"/>
      <c r="DDL54" s="3579"/>
      <c r="DDM54" s="3579"/>
      <c r="DDN54" s="3579"/>
      <c r="DDO54" s="3579"/>
      <c r="DDP54" s="3579"/>
      <c r="DDQ54" s="3579"/>
      <c r="DDR54" s="3579"/>
      <c r="DDS54" s="3579"/>
      <c r="DDT54" s="3579"/>
      <c r="DDU54" s="3579"/>
      <c r="DDV54" s="3579"/>
      <c r="DDW54" s="3579"/>
      <c r="DDX54" s="3579"/>
      <c r="DDY54" s="3579"/>
      <c r="DDZ54" s="3579"/>
      <c r="DEA54" s="3579"/>
      <c r="DEB54" s="3579"/>
      <c r="DEC54" s="3579"/>
      <c r="DED54" s="3579"/>
      <c r="DEE54" s="3579"/>
      <c r="DEF54" s="3579"/>
      <c r="DEG54" s="3579"/>
      <c r="DEH54" s="3579"/>
      <c r="DEI54" s="3579"/>
      <c r="DEJ54" s="3579"/>
      <c r="DEK54" s="3579"/>
      <c r="DEL54" s="3579"/>
      <c r="DEM54" s="3579"/>
      <c r="DEN54" s="3579"/>
      <c r="DEO54" s="3579"/>
      <c r="DEP54" s="3579"/>
      <c r="DEQ54" s="3579"/>
      <c r="DER54" s="3579"/>
      <c r="DES54" s="3579"/>
      <c r="DET54" s="3579"/>
      <c r="DEU54" s="3579"/>
      <c r="DEV54" s="3579"/>
      <c r="DEW54" s="3579"/>
      <c r="DEX54" s="3579"/>
      <c r="DEY54" s="3579"/>
      <c r="DEZ54" s="3579"/>
      <c r="DFA54" s="3579"/>
      <c r="DFB54" s="3579"/>
      <c r="DFC54" s="3579"/>
      <c r="DFD54" s="3579"/>
      <c r="DFE54" s="3579"/>
      <c r="DFF54" s="3579"/>
      <c r="DFG54" s="3579"/>
      <c r="DFH54" s="3579"/>
      <c r="DFI54" s="3579"/>
      <c r="DFJ54" s="3579"/>
      <c r="DFK54" s="3579"/>
      <c r="DFL54" s="3579"/>
      <c r="DFM54" s="3579"/>
      <c r="DFN54" s="3579"/>
      <c r="DFO54" s="3579"/>
      <c r="DFP54" s="3579"/>
      <c r="DFQ54" s="3579"/>
      <c r="DFR54" s="3579"/>
      <c r="DFS54" s="3579"/>
      <c r="DFT54" s="3579"/>
      <c r="DFU54" s="3579"/>
      <c r="DFV54" s="3579"/>
      <c r="DFW54" s="3579"/>
      <c r="DFX54" s="3579"/>
      <c r="DFY54" s="3579"/>
      <c r="DFZ54" s="3579"/>
      <c r="DGA54" s="3579"/>
      <c r="DGB54" s="3579"/>
      <c r="DGC54" s="3579"/>
      <c r="DGD54" s="3579"/>
      <c r="DGE54" s="3579"/>
      <c r="DGF54" s="3579"/>
      <c r="DGG54" s="3579"/>
      <c r="DGH54" s="3579"/>
      <c r="DGI54" s="3579"/>
      <c r="DGJ54" s="3579"/>
      <c r="DGK54" s="3579"/>
      <c r="DGL54" s="3579"/>
      <c r="DGM54" s="3579"/>
      <c r="DGN54" s="3579"/>
      <c r="DGO54" s="3579"/>
      <c r="DGP54" s="3579"/>
      <c r="DGQ54" s="3579"/>
      <c r="DGR54" s="3579"/>
      <c r="DGS54" s="3579"/>
      <c r="DGT54" s="3579"/>
      <c r="DGU54" s="3579"/>
      <c r="DGV54" s="3579"/>
      <c r="DGW54" s="3579"/>
      <c r="DGX54" s="3579"/>
      <c r="DGY54" s="3579"/>
      <c r="DGZ54" s="3579"/>
      <c r="DHA54" s="3579"/>
      <c r="DHB54" s="3579"/>
      <c r="DHC54" s="3579"/>
      <c r="DHD54" s="3579"/>
      <c r="DHE54" s="3579"/>
      <c r="DHF54" s="3579"/>
      <c r="DHG54" s="3579"/>
      <c r="DHH54" s="3579"/>
      <c r="DHI54" s="3579"/>
      <c r="DHJ54" s="3579"/>
      <c r="DHK54" s="3579"/>
      <c r="DHL54" s="3579"/>
      <c r="DHM54" s="3579"/>
      <c r="DHN54" s="3579"/>
      <c r="DHO54" s="3579"/>
      <c r="DHP54" s="3579"/>
      <c r="DHQ54" s="3579"/>
      <c r="DHR54" s="3579"/>
      <c r="DHS54" s="3579"/>
      <c r="DHT54" s="3579"/>
      <c r="DHU54" s="3579"/>
      <c r="DHV54" s="3579"/>
      <c r="DHW54" s="3579"/>
      <c r="DHX54" s="3579"/>
      <c r="DHY54" s="3579"/>
      <c r="DHZ54" s="3579"/>
      <c r="DIA54" s="3579"/>
      <c r="DIB54" s="3579"/>
      <c r="DIC54" s="3579"/>
      <c r="DID54" s="3579"/>
      <c r="DIE54" s="3579"/>
      <c r="DIF54" s="3579"/>
      <c r="DIG54" s="3579"/>
      <c r="DIH54" s="3579"/>
      <c r="DII54" s="3579"/>
      <c r="DIJ54" s="3579"/>
      <c r="DIK54" s="3579"/>
      <c r="DIL54" s="3579"/>
      <c r="DIM54" s="3579"/>
      <c r="DIN54" s="3579"/>
      <c r="DIO54" s="3579"/>
      <c r="DIP54" s="3579"/>
      <c r="DIQ54" s="3579"/>
      <c r="DIR54" s="3579"/>
      <c r="DIS54" s="3579"/>
      <c r="DIT54" s="3579"/>
      <c r="DIU54" s="3579"/>
      <c r="DIV54" s="3579"/>
      <c r="DIW54" s="3579"/>
      <c r="DIX54" s="3579"/>
      <c r="DIY54" s="3579"/>
      <c r="DIZ54" s="3579"/>
      <c r="DJA54" s="3579"/>
      <c r="DJB54" s="3579"/>
      <c r="DJC54" s="3579"/>
      <c r="DJD54" s="3579"/>
      <c r="DJE54" s="3579"/>
      <c r="DJF54" s="3579"/>
      <c r="DJG54" s="3579"/>
      <c r="DJH54" s="3579"/>
      <c r="DJI54" s="3579"/>
      <c r="DJJ54" s="3579"/>
      <c r="DJK54" s="3579"/>
      <c r="DJL54" s="3579"/>
      <c r="DJM54" s="3579"/>
      <c r="DJN54" s="3579"/>
      <c r="DJO54" s="3579"/>
      <c r="DJP54" s="3579"/>
      <c r="DJQ54" s="3579"/>
      <c r="DJR54" s="3579"/>
      <c r="DJS54" s="3579"/>
      <c r="DJT54" s="3579"/>
      <c r="DJU54" s="3579"/>
      <c r="DJV54" s="3579"/>
      <c r="DJW54" s="3579"/>
      <c r="DJX54" s="3579"/>
      <c r="DJY54" s="3579"/>
      <c r="DJZ54" s="3579"/>
      <c r="DKA54" s="3579"/>
      <c r="DKB54" s="3579"/>
      <c r="DKC54" s="3579"/>
      <c r="DKD54" s="3579"/>
      <c r="DKE54" s="3579"/>
      <c r="DKF54" s="3579"/>
      <c r="DKG54" s="3579"/>
      <c r="DKH54" s="3579"/>
      <c r="DKI54" s="3579"/>
      <c r="DKJ54" s="3579"/>
      <c r="DKK54" s="3579"/>
      <c r="DKL54" s="3579"/>
      <c r="DKM54" s="3579"/>
      <c r="DKN54" s="3579"/>
      <c r="DKO54" s="3579"/>
      <c r="DKP54" s="3579"/>
      <c r="DKQ54" s="3579"/>
      <c r="DKR54" s="3579"/>
      <c r="DKS54" s="3579"/>
      <c r="DKT54" s="3579"/>
      <c r="DKU54" s="3579"/>
      <c r="DKV54" s="3579"/>
      <c r="DKW54" s="3579"/>
      <c r="DKX54" s="3579"/>
      <c r="DKY54" s="3579"/>
      <c r="DKZ54" s="3579"/>
      <c r="DLA54" s="3579"/>
      <c r="DLB54" s="3579"/>
      <c r="DLC54" s="3579"/>
      <c r="DLD54" s="3579"/>
      <c r="DLE54" s="3579"/>
      <c r="DLF54" s="3579"/>
      <c r="DLG54" s="3579"/>
      <c r="DLH54" s="3579"/>
      <c r="DLI54" s="3579"/>
      <c r="DLJ54" s="3579"/>
      <c r="DLK54" s="3579"/>
      <c r="DLL54" s="3579"/>
      <c r="DLM54" s="3579"/>
      <c r="DLN54" s="3579"/>
      <c r="DLO54" s="3579"/>
      <c r="DLP54" s="3579"/>
      <c r="DLQ54" s="3579"/>
      <c r="DLR54" s="3579"/>
      <c r="DLS54" s="3579"/>
      <c r="DLT54" s="3579"/>
      <c r="DLU54" s="3579"/>
      <c r="DLV54" s="3579"/>
      <c r="DLW54" s="3579"/>
      <c r="DLX54" s="3579"/>
      <c r="DLY54" s="3579"/>
      <c r="DLZ54" s="3579"/>
      <c r="DMA54" s="3579"/>
      <c r="DMB54" s="3579"/>
      <c r="DMC54" s="3579"/>
      <c r="DMD54" s="3579"/>
      <c r="DME54" s="3579"/>
      <c r="DMF54" s="3579"/>
      <c r="DMG54" s="3579"/>
      <c r="DMH54" s="3579"/>
      <c r="DMI54" s="3579"/>
      <c r="DMJ54" s="3579"/>
      <c r="DMK54" s="3579"/>
      <c r="DML54" s="3579"/>
      <c r="DMM54" s="3579"/>
      <c r="DMN54" s="3579"/>
      <c r="DMO54" s="3579"/>
      <c r="DMP54" s="3579"/>
      <c r="DMQ54" s="3579"/>
      <c r="DMR54" s="3579"/>
      <c r="DMS54" s="3579"/>
      <c r="DMT54" s="3579"/>
      <c r="DMU54" s="3579"/>
      <c r="DMV54" s="3579"/>
      <c r="DMW54" s="3579"/>
      <c r="DMX54" s="3579"/>
      <c r="DMY54" s="3579"/>
      <c r="DMZ54" s="3579"/>
      <c r="DNA54" s="3579"/>
      <c r="DNB54" s="3579"/>
      <c r="DNC54" s="3579"/>
      <c r="DND54" s="3579"/>
      <c r="DNE54" s="3579"/>
      <c r="DNF54" s="3579"/>
      <c r="DNG54" s="3579"/>
      <c r="DNH54" s="3579"/>
      <c r="DNI54" s="3579"/>
      <c r="DNJ54" s="3579"/>
      <c r="DNK54" s="3579"/>
      <c r="DNL54" s="3579"/>
      <c r="DNM54" s="3579"/>
      <c r="DNN54" s="3579"/>
      <c r="DNO54" s="3579"/>
      <c r="DNP54" s="3579"/>
      <c r="DNQ54" s="3579"/>
      <c r="DNR54" s="3579"/>
      <c r="DNS54" s="3579"/>
      <c r="DNT54" s="3579"/>
      <c r="DNU54" s="3579"/>
      <c r="DNV54" s="3579"/>
      <c r="DNW54" s="3579"/>
      <c r="DNX54" s="3579"/>
      <c r="DNY54" s="3579"/>
      <c r="DNZ54" s="3579"/>
      <c r="DOA54" s="3579"/>
      <c r="DOB54" s="3579"/>
      <c r="DOC54" s="3579"/>
      <c r="DOD54" s="3579"/>
      <c r="DOE54" s="3579"/>
      <c r="DOF54" s="3579"/>
      <c r="DOG54" s="3579"/>
      <c r="DOH54" s="3579"/>
      <c r="DOI54" s="3579"/>
      <c r="DOJ54" s="3579"/>
      <c r="DOK54" s="3579"/>
      <c r="DOL54" s="3579"/>
      <c r="DOM54" s="3579"/>
      <c r="DON54" s="3579"/>
      <c r="DOO54" s="3579"/>
      <c r="DOP54" s="3579"/>
      <c r="DOQ54" s="3579"/>
      <c r="DOR54" s="3579"/>
      <c r="DOS54" s="3579"/>
      <c r="DOT54" s="3579"/>
      <c r="DOU54" s="3579"/>
      <c r="DOV54" s="3579"/>
      <c r="DOW54" s="3579"/>
      <c r="DOX54" s="3579"/>
      <c r="DOY54" s="3579"/>
      <c r="DOZ54" s="3579"/>
      <c r="DPA54" s="3579"/>
      <c r="DPB54" s="3579"/>
      <c r="DPC54" s="3579"/>
      <c r="DPD54" s="3579"/>
      <c r="DPE54" s="3579"/>
      <c r="DPF54" s="3579"/>
      <c r="DPG54" s="3579"/>
      <c r="DPH54" s="3579"/>
      <c r="DPI54" s="3579"/>
      <c r="DPJ54" s="3579"/>
      <c r="DPK54" s="3579"/>
      <c r="DPL54" s="3579"/>
      <c r="DPM54" s="3579"/>
      <c r="DPN54" s="3579"/>
      <c r="DPO54" s="3579"/>
      <c r="DPP54" s="3579"/>
      <c r="DPQ54" s="3579"/>
      <c r="DPR54" s="3579"/>
      <c r="DPS54" s="3579"/>
      <c r="DPT54" s="3579"/>
      <c r="DPU54" s="3579"/>
      <c r="DPV54" s="3579"/>
      <c r="DPW54" s="3579"/>
      <c r="DPX54" s="3579"/>
      <c r="DPY54" s="3579"/>
      <c r="DPZ54" s="3579"/>
      <c r="DQA54" s="3579"/>
      <c r="DQB54" s="3579"/>
      <c r="DQC54" s="3579"/>
      <c r="DQD54" s="3579"/>
      <c r="DQE54" s="3579"/>
      <c r="DQF54" s="3579"/>
      <c r="DQG54" s="3579"/>
      <c r="DQH54" s="3579"/>
      <c r="DQI54" s="3579"/>
      <c r="DQJ54" s="3579"/>
      <c r="DQK54" s="3579"/>
      <c r="DQL54" s="3579"/>
      <c r="DQM54" s="3579"/>
      <c r="DQN54" s="3579"/>
      <c r="DQO54" s="3579"/>
      <c r="DQP54" s="3579"/>
      <c r="DQQ54" s="3579"/>
      <c r="DQR54" s="3579"/>
      <c r="DQS54" s="3579"/>
      <c r="DQT54" s="3579"/>
      <c r="DQU54" s="3579"/>
      <c r="DQV54" s="3579"/>
      <c r="DQW54" s="3579"/>
      <c r="DQX54" s="3579"/>
      <c r="DQY54" s="3579"/>
      <c r="DQZ54" s="3579"/>
      <c r="DRA54" s="3579"/>
      <c r="DRB54" s="3579"/>
      <c r="DRC54" s="3579"/>
      <c r="DRD54" s="3579"/>
      <c r="DRE54" s="3579"/>
      <c r="DRF54" s="3579"/>
      <c r="DRG54" s="3579"/>
      <c r="DRH54" s="3579"/>
      <c r="DRI54" s="3579"/>
      <c r="DRJ54" s="3579"/>
      <c r="DRK54" s="3579"/>
      <c r="DRL54" s="3579"/>
      <c r="DRM54" s="3579"/>
      <c r="DRN54" s="3579"/>
      <c r="DRO54" s="3579"/>
      <c r="DRP54" s="3579"/>
      <c r="DRQ54" s="3579"/>
      <c r="DRR54" s="3579"/>
      <c r="DRS54" s="3579"/>
      <c r="DRT54" s="3579"/>
      <c r="DRU54" s="3579"/>
      <c r="DRV54" s="3579"/>
      <c r="DRW54" s="3579"/>
      <c r="DRX54" s="3579"/>
      <c r="DRY54" s="3579"/>
      <c r="DRZ54" s="3579"/>
      <c r="DSA54" s="3579"/>
      <c r="DSB54" s="3579"/>
      <c r="DSC54" s="3579"/>
      <c r="DSD54" s="3579"/>
      <c r="DSE54" s="3579"/>
      <c r="DSF54" s="3579"/>
      <c r="DSG54" s="3579"/>
      <c r="DSH54" s="3579"/>
      <c r="DSI54" s="3579"/>
      <c r="DSJ54" s="3579"/>
      <c r="DSK54" s="3579"/>
      <c r="DSL54" s="3579"/>
      <c r="DSM54" s="3579"/>
      <c r="DSN54" s="3579"/>
      <c r="DSO54" s="3579"/>
      <c r="DSP54" s="3579"/>
      <c r="DSQ54" s="3579"/>
      <c r="DSR54" s="3579"/>
      <c r="DSS54" s="3579"/>
      <c r="DST54" s="3579"/>
      <c r="DSU54" s="3579"/>
      <c r="DSV54" s="3579"/>
      <c r="DSW54" s="3579"/>
      <c r="DSX54" s="3579"/>
      <c r="DSY54" s="3579"/>
      <c r="DSZ54" s="3579"/>
      <c r="DTA54" s="3579"/>
      <c r="DTB54" s="3579"/>
      <c r="DTC54" s="3579"/>
      <c r="DTD54" s="3579"/>
      <c r="DTE54" s="3579"/>
      <c r="DTF54" s="3579"/>
      <c r="DTG54" s="3579"/>
      <c r="DTH54" s="3579"/>
      <c r="DTI54" s="3579"/>
      <c r="DTJ54" s="3579"/>
      <c r="DTK54" s="3579"/>
      <c r="DTL54" s="3579"/>
      <c r="DTM54" s="3579"/>
      <c r="DTN54" s="3579"/>
      <c r="DTO54" s="3579"/>
      <c r="DTP54" s="3579"/>
      <c r="DTQ54" s="3579"/>
      <c r="DTR54" s="3579"/>
      <c r="DTS54" s="3579"/>
      <c r="DTT54" s="3579"/>
      <c r="DTU54" s="3579"/>
      <c r="DTV54" s="3579"/>
      <c r="DTW54" s="3579"/>
      <c r="DTX54" s="3579"/>
      <c r="DTY54" s="3579"/>
      <c r="DTZ54" s="3579"/>
      <c r="DUA54" s="3579"/>
      <c r="DUB54" s="3579"/>
      <c r="DUC54" s="3579"/>
      <c r="DUD54" s="3579"/>
      <c r="DUE54" s="3579"/>
      <c r="DUF54" s="3579"/>
      <c r="DUG54" s="3579"/>
      <c r="DUH54" s="3579"/>
      <c r="DUI54" s="3579"/>
      <c r="DUJ54" s="3579"/>
      <c r="DUK54" s="3579"/>
      <c r="DUL54" s="3579"/>
      <c r="DUM54" s="3579"/>
      <c r="DUN54" s="3579"/>
      <c r="DUO54" s="3579"/>
      <c r="DUP54" s="3579"/>
      <c r="DUQ54" s="3579"/>
      <c r="DUR54" s="3579"/>
      <c r="DUS54" s="3579"/>
      <c r="DUT54" s="3579"/>
      <c r="DUU54" s="3579"/>
      <c r="DUV54" s="3579"/>
      <c r="DUW54" s="3579"/>
      <c r="DUX54" s="3579"/>
      <c r="DUY54" s="3579"/>
      <c r="DUZ54" s="3579"/>
      <c r="DVA54" s="3579"/>
      <c r="DVB54" s="3579"/>
      <c r="DVC54" s="3579"/>
      <c r="DVD54" s="3579"/>
      <c r="DVE54" s="3579"/>
      <c r="DVF54" s="3579"/>
      <c r="DVG54" s="3579"/>
      <c r="DVH54" s="3579"/>
      <c r="DVI54" s="3579"/>
      <c r="DVJ54" s="3579"/>
      <c r="DVK54" s="3579"/>
      <c r="DVL54" s="3579"/>
      <c r="DVM54" s="3579"/>
      <c r="DVN54" s="3579"/>
      <c r="DVO54" s="3579"/>
      <c r="DVP54" s="3579"/>
      <c r="DVQ54" s="3579"/>
      <c r="DVR54" s="3579"/>
      <c r="DVS54" s="3579"/>
      <c r="DVT54" s="3579"/>
      <c r="DVU54" s="3579"/>
      <c r="DVV54" s="3579"/>
      <c r="DVW54" s="3579"/>
      <c r="DVX54" s="3579"/>
      <c r="DVY54" s="3579"/>
      <c r="DVZ54" s="3579"/>
      <c r="DWA54" s="3579"/>
      <c r="DWB54" s="3579"/>
      <c r="DWC54" s="3579"/>
      <c r="DWD54" s="3579"/>
      <c r="DWE54" s="3579"/>
      <c r="DWF54" s="3579"/>
      <c r="DWG54" s="3579"/>
      <c r="DWH54" s="3579"/>
      <c r="DWI54" s="3579"/>
      <c r="DWJ54" s="3579"/>
      <c r="DWK54" s="3579"/>
      <c r="DWL54" s="3579"/>
      <c r="DWM54" s="3579"/>
      <c r="DWN54" s="3579"/>
      <c r="DWO54" s="3579"/>
      <c r="DWP54" s="3579"/>
      <c r="DWQ54" s="3579"/>
      <c r="DWR54" s="3579"/>
      <c r="DWS54" s="3579"/>
      <c r="DWT54" s="3579"/>
      <c r="DWU54" s="3579"/>
      <c r="DWV54" s="3579"/>
      <c r="DWW54" s="3579"/>
      <c r="DWX54" s="3579"/>
      <c r="DWY54" s="3579"/>
      <c r="DWZ54" s="3579"/>
      <c r="DXA54" s="3579"/>
      <c r="DXB54" s="3579"/>
      <c r="DXC54" s="3579"/>
      <c r="DXD54" s="3579"/>
      <c r="DXE54" s="3579"/>
      <c r="DXF54" s="3579"/>
      <c r="DXG54" s="3579"/>
      <c r="DXH54" s="3579"/>
      <c r="DXI54" s="3579"/>
      <c r="DXJ54" s="3579"/>
      <c r="DXK54" s="3579"/>
      <c r="DXL54" s="3579"/>
      <c r="DXM54" s="3579"/>
      <c r="DXN54" s="3579"/>
      <c r="DXO54" s="3579"/>
      <c r="DXP54" s="3579"/>
      <c r="DXQ54" s="3579"/>
      <c r="DXR54" s="3579"/>
      <c r="DXS54" s="3579"/>
      <c r="DXT54" s="3579"/>
      <c r="DXU54" s="3579"/>
      <c r="DXV54" s="3579"/>
      <c r="DXW54" s="3579"/>
      <c r="DXX54" s="3579"/>
      <c r="DXY54" s="3579"/>
      <c r="DXZ54" s="3579"/>
      <c r="DYA54" s="3579"/>
      <c r="DYB54" s="3579"/>
      <c r="DYC54" s="3579"/>
      <c r="DYD54" s="3579"/>
      <c r="DYE54" s="3579"/>
      <c r="DYF54" s="3579"/>
      <c r="DYG54" s="3579"/>
      <c r="DYH54" s="3579"/>
      <c r="DYI54" s="3579"/>
      <c r="DYJ54" s="3579"/>
      <c r="DYK54" s="3579"/>
      <c r="DYL54" s="3579"/>
      <c r="DYM54" s="3579"/>
      <c r="DYN54" s="3579"/>
      <c r="DYO54" s="3579"/>
      <c r="DYP54" s="3579"/>
      <c r="DYQ54" s="3579"/>
      <c r="DYR54" s="3579"/>
      <c r="DYS54" s="3579"/>
      <c r="DYT54" s="3579"/>
      <c r="DYU54" s="3579"/>
      <c r="DYV54" s="3579"/>
      <c r="DYW54" s="3579"/>
      <c r="DYX54" s="3579"/>
      <c r="DYY54" s="3579"/>
      <c r="DYZ54" s="3579"/>
      <c r="DZA54" s="3579"/>
      <c r="DZB54" s="3579"/>
      <c r="DZC54" s="3579"/>
      <c r="DZD54" s="3579"/>
      <c r="DZE54" s="3579"/>
      <c r="DZF54" s="3579"/>
      <c r="DZG54" s="3579"/>
      <c r="DZH54" s="3579"/>
      <c r="DZI54" s="3579"/>
      <c r="DZJ54" s="3579"/>
      <c r="DZK54" s="3579"/>
      <c r="DZL54" s="3579"/>
      <c r="DZM54" s="3579"/>
      <c r="DZN54" s="3579"/>
      <c r="DZO54" s="3579"/>
      <c r="DZP54" s="3579"/>
      <c r="DZQ54" s="3579"/>
      <c r="DZR54" s="3579"/>
      <c r="DZS54" s="3579"/>
      <c r="DZT54" s="3579"/>
      <c r="DZU54" s="3579"/>
      <c r="DZV54" s="3579"/>
      <c r="DZW54" s="3579"/>
      <c r="DZX54" s="3579"/>
      <c r="DZY54" s="3579"/>
      <c r="DZZ54" s="3579"/>
      <c r="EAA54" s="3579"/>
      <c r="EAB54" s="3579"/>
      <c r="EAC54" s="3579"/>
      <c r="EAD54" s="3579"/>
      <c r="EAE54" s="3579"/>
      <c r="EAF54" s="3579"/>
      <c r="EAG54" s="3579"/>
      <c r="EAH54" s="3579"/>
      <c r="EAI54" s="3579"/>
      <c r="EAJ54" s="3579"/>
      <c r="EAK54" s="3579"/>
      <c r="EAL54" s="3579"/>
      <c r="EAM54" s="3579"/>
      <c r="EAN54" s="3579"/>
      <c r="EAO54" s="3579"/>
      <c r="EAP54" s="3579"/>
      <c r="EAQ54" s="3579"/>
      <c r="EAR54" s="3579"/>
      <c r="EAS54" s="3579"/>
      <c r="EAT54" s="3579"/>
      <c r="EAU54" s="3579"/>
      <c r="EAV54" s="3579"/>
      <c r="EAW54" s="3579"/>
      <c r="EAX54" s="3579"/>
      <c r="EAY54" s="3579"/>
      <c r="EAZ54" s="3579"/>
      <c r="EBA54" s="3579"/>
      <c r="EBB54" s="3579"/>
      <c r="EBC54" s="3579"/>
      <c r="EBD54" s="3579"/>
      <c r="EBE54" s="3579"/>
      <c r="EBF54" s="3579"/>
      <c r="EBG54" s="3579"/>
      <c r="EBH54" s="3579"/>
      <c r="EBI54" s="3579"/>
      <c r="EBJ54" s="3579"/>
      <c r="EBK54" s="3579"/>
      <c r="EBL54" s="3579"/>
      <c r="EBM54" s="3579"/>
      <c r="EBN54" s="3579"/>
      <c r="EBO54" s="3579"/>
      <c r="EBP54" s="3579"/>
      <c r="EBQ54" s="3579"/>
      <c r="EBR54" s="3579"/>
      <c r="EBS54" s="3579"/>
      <c r="EBT54" s="3579"/>
      <c r="EBU54" s="3579"/>
      <c r="EBV54" s="3579"/>
      <c r="EBW54" s="3579"/>
      <c r="EBX54" s="3579"/>
      <c r="EBY54" s="3579"/>
      <c r="EBZ54" s="3579"/>
      <c r="ECA54" s="3579"/>
      <c r="ECB54" s="3579"/>
      <c r="ECC54" s="3579"/>
      <c r="ECD54" s="3579"/>
      <c r="ECE54" s="3579"/>
      <c r="ECF54" s="3579"/>
      <c r="ECG54" s="3579"/>
      <c r="ECH54" s="3579"/>
      <c r="ECI54" s="3579"/>
      <c r="ECJ54" s="3579"/>
      <c r="ECK54" s="3579"/>
      <c r="ECL54" s="3579"/>
      <c r="ECM54" s="3579"/>
      <c r="ECN54" s="3579"/>
      <c r="ECO54" s="3579"/>
      <c r="ECP54" s="3579"/>
      <c r="ECQ54" s="3579"/>
      <c r="ECR54" s="3579"/>
      <c r="ECS54" s="3579"/>
      <c r="ECT54" s="3579"/>
      <c r="ECU54" s="3579"/>
      <c r="ECV54" s="3579"/>
      <c r="ECW54" s="3579"/>
      <c r="ECX54" s="3579"/>
      <c r="ECY54" s="3579"/>
      <c r="ECZ54" s="3579"/>
      <c r="EDA54" s="3579"/>
      <c r="EDB54" s="3579"/>
      <c r="EDC54" s="3579"/>
      <c r="EDD54" s="3579"/>
      <c r="EDE54" s="3579"/>
      <c r="EDF54" s="3579"/>
      <c r="EDG54" s="3579"/>
      <c r="EDH54" s="3579"/>
      <c r="EDI54" s="3579"/>
      <c r="EDJ54" s="3579"/>
      <c r="EDK54" s="3579"/>
      <c r="EDL54" s="3579"/>
      <c r="EDM54" s="3579"/>
      <c r="EDN54" s="3579"/>
      <c r="EDO54" s="3579"/>
      <c r="EDP54" s="3579"/>
      <c r="EDQ54" s="3579"/>
      <c r="EDR54" s="3579"/>
      <c r="EDS54" s="3579"/>
      <c r="EDT54" s="3579"/>
      <c r="EDU54" s="3579"/>
      <c r="EDV54" s="3579"/>
      <c r="EDW54" s="3579"/>
      <c r="EDX54" s="3579"/>
      <c r="EDY54" s="3579"/>
      <c r="EDZ54" s="3579"/>
      <c r="EEA54" s="3579"/>
      <c r="EEB54" s="3579"/>
      <c r="EEC54" s="3579"/>
      <c r="EED54" s="3579"/>
      <c r="EEE54" s="3579"/>
      <c r="EEF54" s="3579"/>
      <c r="EEG54" s="3579"/>
      <c r="EEH54" s="3579"/>
      <c r="EEI54" s="3579"/>
      <c r="EEJ54" s="3579"/>
      <c r="EEK54" s="3579"/>
      <c r="EEL54" s="3579"/>
      <c r="EEM54" s="3579"/>
      <c r="EEN54" s="3579"/>
      <c r="EEO54" s="3579"/>
      <c r="EEP54" s="3579"/>
      <c r="EEQ54" s="3579"/>
      <c r="EER54" s="3579"/>
      <c r="EES54" s="3579"/>
      <c r="EET54" s="3579"/>
      <c r="EEU54" s="3579"/>
      <c r="EEV54" s="3579"/>
      <c r="EEW54" s="3579"/>
      <c r="EEX54" s="3579"/>
      <c r="EEY54" s="3579"/>
      <c r="EEZ54" s="3579"/>
      <c r="EFA54" s="3579"/>
      <c r="EFB54" s="3579"/>
      <c r="EFC54" s="3579"/>
      <c r="EFD54" s="3579"/>
      <c r="EFE54" s="3579"/>
      <c r="EFF54" s="3579"/>
      <c r="EFG54" s="3579"/>
      <c r="EFH54" s="3579"/>
      <c r="EFI54" s="3579"/>
      <c r="EFJ54" s="3579"/>
      <c r="EFK54" s="3579"/>
      <c r="EFL54" s="3579"/>
      <c r="EFM54" s="3579"/>
      <c r="EFN54" s="3579"/>
      <c r="EFO54" s="3579"/>
      <c r="EFP54" s="3579"/>
      <c r="EFQ54" s="3579"/>
      <c r="EFR54" s="3579"/>
      <c r="EFS54" s="3579"/>
      <c r="EFT54" s="3579"/>
      <c r="EFU54" s="3579"/>
      <c r="EFV54" s="3579"/>
      <c r="EFW54" s="3579"/>
      <c r="EFX54" s="3579"/>
      <c r="EFY54" s="3579"/>
      <c r="EFZ54" s="3579"/>
      <c r="EGA54" s="3579"/>
      <c r="EGB54" s="3579"/>
      <c r="EGC54" s="3579"/>
      <c r="EGD54" s="3579"/>
      <c r="EGE54" s="3579"/>
      <c r="EGF54" s="3579"/>
      <c r="EGG54" s="3579"/>
      <c r="EGH54" s="3579"/>
      <c r="EGI54" s="3579"/>
      <c r="EGJ54" s="3579"/>
      <c r="EGK54" s="3579"/>
      <c r="EGL54" s="3579"/>
      <c r="EGM54" s="3579"/>
      <c r="EGN54" s="3579"/>
      <c r="EGO54" s="3579"/>
      <c r="EGP54" s="3579"/>
      <c r="EGQ54" s="3579"/>
      <c r="EGR54" s="3579"/>
      <c r="EGS54" s="3579"/>
      <c r="EGT54" s="3579"/>
      <c r="EGU54" s="3579"/>
      <c r="EGV54" s="3579"/>
      <c r="EGW54" s="3579"/>
      <c r="EGX54" s="3579"/>
      <c r="EGY54" s="3579"/>
      <c r="EGZ54" s="3579"/>
      <c r="EHA54" s="3579"/>
      <c r="EHB54" s="3579"/>
      <c r="EHC54" s="3579"/>
      <c r="EHD54" s="3579"/>
      <c r="EHE54" s="3579"/>
      <c r="EHF54" s="3579"/>
      <c r="EHG54" s="3579"/>
      <c r="EHH54" s="3579"/>
      <c r="EHI54" s="3579"/>
      <c r="EHJ54" s="3579"/>
      <c r="EHK54" s="3579"/>
      <c r="EHL54" s="3579"/>
      <c r="EHM54" s="3579"/>
      <c r="EHN54" s="3579"/>
      <c r="EHO54" s="3579"/>
      <c r="EHP54" s="3579"/>
      <c r="EHQ54" s="3579"/>
      <c r="EHR54" s="3579"/>
      <c r="EHS54" s="3579"/>
      <c r="EHT54" s="3579"/>
      <c r="EHU54" s="3579"/>
      <c r="EHV54" s="3579"/>
      <c r="EHW54" s="3579"/>
      <c r="EHX54" s="3579"/>
      <c r="EHY54" s="3579"/>
      <c r="EHZ54" s="3579"/>
      <c r="EIA54" s="3579"/>
      <c r="EIB54" s="3579"/>
      <c r="EIC54" s="3579"/>
      <c r="EID54" s="3579"/>
      <c r="EIE54" s="3579"/>
      <c r="EIF54" s="3579"/>
      <c r="EIG54" s="3579"/>
      <c r="EIH54" s="3579"/>
      <c r="EII54" s="3579"/>
      <c r="EIJ54" s="3579"/>
      <c r="EIK54" s="3579"/>
      <c r="EIL54" s="3579"/>
      <c r="EIM54" s="3579"/>
      <c r="EIN54" s="3579"/>
      <c r="EIO54" s="3579"/>
      <c r="EIP54" s="3579"/>
      <c r="EIQ54" s="3579"/>
      <c r="EIR54" s="3579"/>
      <c r="EIS54" s="3579"/>
      <c r="EIT54" s="3579"/>
      <c r="EIU54" s="3579"/>
      <c r="EIV54" s="3579"/>
      <c r="EIW54" s="3579"/>
      <c r="EIX54" s="3579"/>
      <c r="EIY54" s="3579"/>
      <c r="EIZ54" s="3579"/>
      <c r="EJA54" s="3579"/>
      <c r="EJB54" s="3579"/>
      <c r="EJC54" s="3579"/>
      <c r="EJD54" s="3579"/>
      <c r="EJE54" s="3579"/>
      <c r="EJF54" s="3579"/>
      <c r="EJG54" s="3579"/>
      <c r="EJH54" s="3579"/>
      <c r="EJI54" s="3579"/>
      <c r="EJJ54" s="3579"/>
      <c r="EJK54" s="3579"/>
      <c r="EJL54" s="3579"/>
      <c r="EJM54" s="3579"/>
      <c r="EJN54" s="3579"/>
      <c r="EJO54" s="3579"/>
      <c r="EJP54" s="3579"/>
      <c r="EJQ54" s="3579"/>
      <c r="EJR54" s="3579"/>
      <c r="EJS54" s="3579"/>
      <c r="EJT54" s="3579"/>
      <c r="EJU54" s="3579"/>
      <c r="EJV54" s="3579"/>
      <c r="EJW54" s="3579"/>
      <c r="EJX54" s="3579"/>
      <c r="EJY54" s="3579"/>
      <c r="EJZ54" s="3579"/>
      <c r="EKA54" s="3579"/>
      <c r="EKB54" s="3579"/>
      <c r="EKC54" s="3579"/>
      <c r="EKD54" s="3579"/>
      <c r="EKE54" s="3579"/>
      <c r="EKF54" s="3579"/>
      <c r="EKG54" s="3579"/>
      <c r="EKH54" s="3579"/>
      <c r="EKI54" s="3579"/>
      <c r="EKJ54" s="3579"/>
      <c r="EKK54" s="3579"/>
      <c r="EKL54" s="3579"/>
      <c r="EKM54" s="3579"/>
      <c r="EKN54" s="3579"/>
      <c r="EKO54" s="3579"/>
      <c r="EKP54" s="3579"/>
      <c r="EKQ54" s="3579"/>
      <c r="EKR54" s="3579"/>
      <c r="EKS54" s="3579"/>
      <c r="EKT54" s="3579"/>
      <c r="EKU54" s="3579"/>
      <c r="EKV54" s="3579"/>
      <c r="EKW54" s="3579"/>
      <c r="EKX54" s="3579"/>
      <c r="EKY54" s="3579"/>
      <c r="EKZ54" s="3579"/>
      <c r="ELA54" s="3579"/>
      <c r="ELB54" s="3579"/>
      <c r="ELC54" s="3579"/>
      <c r="ELD54" s="3579"/>
      <c r="ELE54" s="3579"/>
      <c r="ELF54" s="3579"/>
      <c r="ELG54" s="3579"/>
      <c r="ELH54" s="3579"/>
      <c r="ELI54" s="3579"/>
      <c r="ELJ54" s="3579"/>
      <c r="ELK54" s="3579"/>
      <c r="ELL54" s="3579"/>
      <c r="ELM54" s="3579"/>
      <c r="ELN54" s="3579"/>
      <c r="ELO54" s="3579"/>
      <c r="ELP54" s="3579"/>
      <c r="ELQ54" s="3579"/>
      <c r="ELR54" s="3579"/>
      <c r="ELS54" s="3579"/>
      <c r="ELT54" s="3579"/>
      <c r="ELU54" s="3579"/>
      <c r="ELV54" s="3579"/>
      <c r="ELW54" s="3579"/>
      <c r="ELX54" s="3579"/>
      <c r="ELY54" s="3579"/>
      <c r="ELZ54" s="3579"/>
      <c r="EMA54" s="3579"/>
      <c r="EMB54" s="3579"/>
      <c r="EMC54" s="3579"/>
      <c r="EMD54" s="3579"/>
      <c r="EME54" s="3579"/>
      <c r="EMF54" s="3579"/>
      <c r="EMG54" s="3579"/>
      <c r="EMH54" s="3579"/>
      <c r="EMI54" s="3579"/>
      <c r="EMJ54" s="3579"/>
      <c r="EMK54" s="3579"/>
      <c r="EML54" s="3579"/>
      <c r="EMM54" s="3579"/>
      <c r="EMN54" s="3579"/>
      <c r="EMO54" s="3579"/>
      <c r="EMP54" s="3579"/>
      <c r="EMQ54" s="3579"/>
      <c r="EMR54" s="3579"/>
      <c r="EMS54" s="3579"/>
      <c r="EMT54" s="3579"/>
      <c r="EMU54" s="3579"/>
      <c r="EMV54" s="3579"/>
      <c r="EMW54" s="3579"/>
      <c r="EMX54" s="3579"/>
      <c r="EMY54" s="3579"/>
      <c r="EMZ54" s="3579"/>
      <c r="ENA54" s="3579"/>
      <c r="ENB54" s="3579"/>
      <c r="ENC54" s="3579"/>
      <c r="END54" s="3579"/>
      <c r="ENE54" s="3579"/>
      <c r="ENF54" s="3579"/>
      <c r="ENG54" s="3579"/>
      <c r="ENH54" s="3579"/>
      <c r="ENI54" s="3579"/>
      <c r="ENJ54" s="3579"/>
      <c r="ENK54" s="3579"/>
      <c r="ENL54" s="3579"/>
      <c r="ENM54" s="3579"/>
      <c r="ENN54" s="3579"/>
      <c r="ENO54" s="3579"/>
      <c r="ENP54" s="3579"/>
      <c r="ENQ54" s="3579"/>
      <c r="ENR54" s="3579"/>
      <c r="ENS54" s="3579"/>
      <c r="ENT54" s="3579"/>
      <c r="ENU54" s="3579"/>
      <c r="ENV54" s="3579"/>
      <c r="ENW54" s="3579"/>
      <c r="ENX54" s="3579"/>
      <c r="ENY54" s="3579"/>
      <c r="ENZ54" s="3579"/>
      <c r="EOA54" s="3579"/>
      <c r="EOB54" s="3579"/>
      <c r="EOC54" s="3579"/>
      <c r="EOD54" s="3579"/>
      <c r="EOE54" s="3579"/>
      <c r="EOF54" s="3579"/>
      <c r="EOG54" s="3579"/>
      <c r="EOH54" s="3579"/>
      <c r="EOI54" s="3579"/>
      <c r="EOJ54" s="3579"/>
      <c r="EOK54" s="3579"/>
      <c r="EOL54" s="3579"/>
      <c r="EOM54" s="3579"/>
      <c r="EON54" s="3579"/>
      <c r="EOO54" s="3579"/>
      <c r="EOP54" s="3579"/>
      <c r="EOQ54" s="3579"/>
      <c r="EOR54" s="3579"/>
      <c r="EOS54" s="3579"/>
      <c r="EOT54" s="3579"/>
      <c r="EOU54" s="3579"/>
      <c r="EOV54" s="3579"/>
      <c r="EOW54" s="3579"/>
      <c r="EOX54" s="3579"/>
      <c r="EOY54" s="3579"/>
      <c r="EOZ54" s="3579"/>
      <c r="EPA54" s="3579"/>
      <c r="EPB54" s="3579"/>
      <c r="EPC54" s="3579"/>
      <c r="EPD54" s="3579"/>
      <c r="EPE54" s="3579"/>
      <c r="EPF54" s="3579"/>
      <c r="EPG54" s="3579"/>
      <c r="EPH54" s="3579"/>
      <c r="EPI54" s="3579"/>
      <c r="EPJ54" s="3579"/>
      <c r="EPK54" s="3579"/>
      <c r="EPL54" s="3579"/>
      <c r="EPM54" s="3579"/>
      <c r="EPN54" s="3579"/>
      <c r="EPO54" s="3579"/>
      <c r="EPP54" s="3579"/>
      <c r="EPQ54" s="3579"/>
      <c r="EPR54" s="3579"/>
      <c r="EPS54" s="3579"/>
      <c r="EPT54" s="3579"/>
      <c r="EPU54" s="3579"/>
      <c r="EPV54" s="3579"/>
      <c r="EPW54" s="3579"/>
      <c r="EPX54" s="3579"/>
      <c r="EPY54" s="3579"/>
      <c r="EPZ54" s="3579"/>
      <c r="EQA54" s="3579"/>
      <c r="EQB54" s="3579"/>
      <c r="EQC54" s="3579"/>
      <c r="EQD54" s="3579"/>
      <c r="EQE54" s="3579"/>
      <c r="EQF54" s="3579"/>
      <c r="EQG54" s="3579"/>
      <c r="EQH54" s="3579"/>
      <c r="EQI54" s="3579"/>
      <c r="EQJ54" s="3579"/>
      <c r="EQK54" s="3579"/>
      <c r="EQL54" s="3579"/>
      <c r="EQM54" s="3579"/>
      <c r="EQN54" s="3579"/>
      <c r="EQO54" s="3579"/>
      <c r="EQP54" s="3579"/>
      <c r="EQQ54" s="3579"/>
      <c r="EQR54" s="3579"/>
      <c r="EQS54" s="3579"/>
      <c r="EQT54" s="3579"/>
      <c r="EQU54" s="3579"/>
      <c r="EQV54" s="3579"/>
      <c r="EQW54" s="3579"/>
      <c r="EQX54" s="3579"/>
      <c r="EQY54" s="3579"/>
      <c r="EQZ54" s="3579"/>
      <c r="ERA54" s="3579"/>
      <c r="ERB54" s="3579"/>
      <c r="ERC54" s="3579"/>
      <c r="ERD54" s="3579"/>
      <c r="ERE54" s="3579"/>
      <c r="ERF54" s="3579"/>
      <c r="ERG54" s="3579"/>
      <c r="ERH54" s="3579"/>
      <c r="ERI54" s="3579"/>
      <c r="ERJ54" s="3579"/>
      <c r="ERK54" s="3579"/>
      <c r="ERL54" s="3579"/>
      <c r="ERM54" s="3579"/>
      <c r="ERN54" s="3579"/>
      <c r="ERO54" s="3579"/>
      <c r="ERP54" s="3579"/>
      <c r="ERQ54" s="3579"/>
      <c r="ERR54" s="3579"/>
      <c r="ERS54" s="3579"/>
      <c r="ERT54" s="3579"/>
      <c r="ERU54" s="3579"/>
      <c r="ERV54" s="3579"/>
      <c r="ERW54" s="3579"/>
      <c r="ERX54" s="3579"/>
      <c r="ERY54" s="3579"/>
      <c r="ERZ54" s="3579"/>
      <c r="ESA54" s="3579"/>
      <c r="ESB54" s="3579"/>
      <c r="ESC54" s="3579"/>
      <c r="ESD54" s="3579"/>
      <c r="ESE54" s="3579"/>
      <c r="ESF54" s="3579"/>
      <c r="ESG54" s="3579"/>
      <c r="ESH54" s="3579"/>
      <c r="ESI54" s="3579"/>
      <c r="ESJ54" s="3579"/>
      <c r="ESK54" s="3579"/>
      <c r="ESL54" s="3579"/>
      <c r="ESM54" s="3579"/>
      <c r="ESN54" s="3579"/>
      <c r="ESO54" s="3579"/>
      <c r="ESP54" s="3579"/>
      <c r="ESQ54" s="3579"/>
      <c r="ESR54" s="3579"/>
      <c r="ESS54" s="3579"/>
      <c r="EST54" s="3579"/>
      <c r="ESU54" s="3579"/>
      <c r="ESV54" s="3579"/>
      <c r="ESW54" s="3579"/>
      <c r="ESX54" s="3579"/>
      <c r="ESY54" s="3579"/>
      <c r="ESZ54" s="3579"/>
      <c r="ETA54" s="3579"/>
      <c r="ETB54" s="3579"/>
      <c r="ETC54" s="3579"/>
      <c r="ETD54" s="3579"/>
      <c r="ETE54" s="3579"/>
      <c r="ETF54" s="3579"/>
      <c r="ETG54" s="3579"/>
      <c r="ETH54" s="3579"/>
      <c r="ETI54" s="3579"/>
      <c r="ETJ54" s="3579"/>
      <c r="ETK54" s="3579"/>
      <c r="ETL54" s="3579"/>
      <c r="ETM54" s="3579"/>
      <c r="ETN54" s="3579"/>
      <c r="ETO54" s="3579"/>
      <c r="ETP54" s="3579"/>
      <c r="ETQ54" s="3579"/>
      <c r="ETR54" s="3579"/>
      <c r="ETS54" s="3579"/>
      <c r="ETT54" s="3579"/>
      <c r="ETU54" s="3579"/>
      <c r="ETV54" s="3579"/>
      <c r="ETW54" s="3579"/>
      <c r="ETX54" s="3579"/>
      <c r="ETY54" s="3579"/>
      <c r="ETZ54" s="3579"/>
      <c r="EUA54" s="3579"/>
      <c r="EUB54" s="3579"/>
      <c r="EUC54" s="3579"/>
      <c r="EUD54" s="3579"/>
      <c r="EUE54" s="3579"/>
      <c r="EUF54" s="3579"/>
      <c r="EUG54" s="3579"/>
      <c r="EUH54" s="3579"/>
      <c r="EUI54" s="3579"/>
      <c r="EUJ54" s="3579"/>
      <c r="EUK54" s="3579"/>
      <c r="EUL54" s="3579"/>
      <c r="EUM54" s="3579"/>
      <c r="EUN54" s="3579"/>
      <c r="EUO54" s="3579"/>
      <c r="EUP54" s="3579"/>
      <c r="EUQ54" s="3579"/>
      <c r="EUR54" s="3579"/>
      <c r="EUS54" s="3579"/>
      <c r="EUT54" s="3579"/>
      <c r="EUU54" s="3579"/>
      <c r="EUV54" s="3579"/>
      <c r="EUW54" s="3579"/>
      <c r="EUX54" s="3579"/>
      <c r="EUY54" s="3579"/>
      <c r="EUZ54" s="3579"/>
      <c r="EVA54" s="3579"/>
      <c r="EVB54" s="3579"/>
      <c r="EVC54" s="3579"/>
      <c r="EVD54" s="3579"/>
      <c r="EVE54" s="3579"/>
      <c r="EVF54" s="3579"/>
      <c r="EVG54" s="3579"/>
      <c r="EVH54" s="3579"/>
      <c r="EVI54" s="3579"/>
      <c r="EVJ54" s="3579"/>
      <c r="EVK54" s="3579"/>
      <c r="EVL54" s="3579"/>
      <c r="EVM54" s="3579"/>
      <c r="EVN54" s="3579"/>
      <c r="EVO54" s="3579"/>
      <c r="EVP54" s="3579"/>
      <c r="EVQ54" s="3579"/>
      <c r="EVR54" s="3579"/>
      <c r="EVS54" s="3579"/>
      <c r="EVT54" s="3579"/>
      <c r="EVU54" s="3579"/>
      <c r="EVV54" s="3579"/>
      <c r="EVW54" s="3579"/>
      <c r="EVX54" s="3579"/>
      <c r="EVY54" s="3579"/>
      <c r="EVZ54" s="3579"/>
      <c r="EWA54" s="3579"/>
      <c r="EWB54" s="3579"/>
      <c r="EWC54" s="3579"/>
      <c r="EWD54" s="3579"/>
      <c r="EWE54" s="3579"/>
      <c r="EWF54" s="3579"/>
      <c r="EWG54" s="3579"/>
      <c r="EWH54" s="3579"/>
      <c r="EWI54" s="3579"/>
      <c r="EWJ54" s="3579"/>
      <c r="EWK54" s="3579"/>
      <c r="EWL54" s="3579"/>
      <c r="EWM54" s="3579"/>
      <c r="EWN54" s="3579"/>
      <c r="EWO54" s="3579"/>
      <c r="EWP54" s="3579"/>
      <c r="EWQ54" s="3579"/>
      <c r="EWR54" s="3579"/>
      <c r="EWS54" s="3579"/>
      <c r="EWT54" s="3579"/>
      <c r="EWU54" s="3579"/>
      <c r="EWV54" s="3579"/>
      <c r="EWW54" s="3579"/>
      <c r="EWX54" s="3579"/>
      <c r="EWY54" s="3579"/>
      <c r="EWZ54" s="3579"/>
      <c r="EXA54" s="3579"/>
      <c r="EXB54" s="3579"/>
      <c r="EXC54" s="3579"/>
      <c r="EXD54" s="3579"/>
      <c r="EXE54" s="3579"/>
      <c r="EXF54" s="3579"/>
      <c r="EXG54" s="3579"/>
      <c r="EXH54" s="3579"/>
      <c r="EXI54" s="3579"/>
      <c r="EXJ54" s="3579"/>
      <c r="EXK54" s="3579"/>
      <c r="EXL54" s="3579"/>
      <c r="EXM54" s="3579"/>
      <c r="EXN54" s="3579"/>
      <c r="EXO54" s="3579"/>
      <c r="EXP54" s="3579"/>
      <c r="EXQ54" s="3579"/>
      <c r="EXR54" s="3579"/>
      <c r="EXS54" s="3579"/>
      <c r="EXT54" s="3579"/>
      <c r="EXU54" s="3579"/>
      <c r="EXV54" s="3579"/>
      <c r="EXW54" s="3579"/>
      <c r="EXX54" s="3579"/>
      <c r="EXY54" s="3579"/>
      <c r="EXZ54" s="3579"/>
      <c r="EYA54" s="3579"/>
      <c r="EYB54" s="3579"/>
      <c r="EYC54" s="3579"/>
      <c r="EYD54" s="3579"/>
      <c r="EYE54" s="3579"/>
      <c r="EYF54" s="3579"/>
      <c r="EYG54" s="3579"/>
      <c r="EYH54" s="3579"/>
      <c r="EYI54" s="3579"/>
      <c r="EYJ54" s="3579"/>
      <c r="EYK54" s="3579"/>
      <c r="EYL54" s="3579"/>
      <c r="EYM54" s="3579"/>
      <c r="EYN54" s="3579"/>
      <c r="EYO54" s="3579"/>
      <c r="EYP54" s="3579"/>
      <c r="EYQ54" s="3579"/>
      <c r="EYR54" s="3579"/>
      <c r="EYS54" s="3579"/>
      <c r="EYT54" s="3579"/>
      <c r="EYU54" s="3579"/>
      <c r="EYV54" s="3579"/>
      <c r="EYW54" s="3579"/>
      <c r="EYX54" s="3579"/>
      <c r="EYY54" s="3579"/>
      <c r="EYZ54" s="3579"/>
      <c r="EZA54" s="3579"/>
      <c r="EZB54" s="3579"/>
      <c r="EZC54" s="3579"/>
      <c r="EZD54" s="3579"/>
      <c r="EZE54" s="3579"/>
      <c r="EZF54" s="3579"/>
      <c r="EZG54" s="3579"/>
      <c r="EZH54" s="3579"/>
      <c r="EZI54" s="3579"/>
      <c r="EZJ54" s="3579"/>
      <c r="EZK54" s="3579"/>
      <c r="EZL54" s="3579"/>
      <c r="EZM54" s="3579"/>
      <c r="EZN54" s="3579"/>
      <c r="EZO54" s="3579"/>
      <c r="EZP54" s="3579"/>
      <c r="EZQ54" s="3579"/>
      <c r="EZR54" s="3579"/>
      <c r="EZS54" s="3579"/>
      <c r="EZT54" s="3579"/>
      <c r="EZU54" s="3579"/>
      <c r="EZV54" s="3579"/>
      <c r="EZW54" s="3579"/>
      <c r="EZX54" s="3579"/>
      <c r="EZY54" s="3579"/>
      <c r="EZZ54" s="3579"/>
      <c r="FAA54" s="3579"/>
      <c r="FAB54" s="3579"/>
      <c r="FAC54" s="3579"/>
      <c r="FAD54" s="3579"/>
      <c r="FAE54" s="3579"/>
      <c r="FAF54" s="3579"/>
      <c r="FAG54" s="3579"/>
      <c r="FAH54" s="3579"/>
      <c r="FAI54" s="3579"/>
      <c r="FAJ54" s="3579"/>
      <c r="FAK54" s="3579"/>
      <c r="FAL54" s="3579"/>
      <c r="FAM54" s="3579"/>
      <c r="FAN54" s="3579"/>
      <c r="FAO54" s="3579"/>
      <c r="FAP54" s="3579"/>
      <c r="FAQ54" s="3579"/>
      <c r="FAR54" s="3579"/>
      <c r="FAS54" s="3579"/>
      <c r="FAT54" s="3579"/>
      <c r="FAU54" s="3579"/>
      <c r="FAV54" s="3579"/>
      <c r="FAW54" s="3579"/>
      <c r="FAX54" s="3579"/>
      <c r="FAY54" s="3579"/>
      <c r="FAZ54" s="3579"/>
      <c r="FBA54" s="3579"/>
      <c r="FBB54" s="3579"/>
      <c r="FBC54" s="3579"/>
      <c r="FBD54" s="3579"/>
      <c r="FBE54" s="3579"/>
      <c r="FBF54" s="3579"/>
      <c r="FBG54" s="3579"/>
      <c r="FBH54" s="3579"/>
      <c r="FBI54" s="3579"/>
      <c r="FBJ54" s="3579"/>
      <c r="FBK54" s="3579"/>
      <c r="FBL54" s="3579"/>
      <c r="FBM54" s="3579"/>
      <c r="FBN54" s="3579"/>
      <c r="FBO54" s="3579"/>
      <c r="FBP54" s="3579"/>
      <c r="FBQ54" s="3579"/>
      <c r="FBR54" s="3579"/>
      <c r="FBS54" s="3579"/>
      <c r="FBT54" s="3579"/>
      <c r="FBU54" s="3579"/>
      <c r="FBV54" s="3579"/>
      <c r="FBW54" s="3579"/>
      <c r="FBX54" s="3579"/>
      <c r="FBY54" s="3579"/>
      <c r="FBZ54" s="3579"/>
      <c r="FCA54" s="3579"/>
      <c r="FCB54" s="3579"/>
      <c r="FCC54" s="3579"/>
      <c r="FCD54" s="3579"/>
      <c r="FCE54" s="3579"/>
      <c r="FCF54" s="3579"/>
      <c r="FCG54" s="3579"/>
      <c r="FCH54" s="3579"/>
      <c r="FCI54" s="3579"/>
      <c r="FCJ54" s="3579"/>
      <c r="FCK54" s="3579"/>
      <c r="FCL54" s="3579"/>
      <c r="FCM54" s="3579"/>
      <c r="FCN54" s="3579"/>
      <c r="FCO54" s="3579"/>
      <c r="FCP54" s="3579"/>
      <c r="FCQ54" s="3579"/>
      <c r="FCR54" s="3579"/>
      <c r="FCS54" s="3579"/>
      <c r="FCT54" s="3579"/>
      <c r="FCU54" s="3579"/>
      <c r="FCV54" s="3579"/>
      <c r="FCW54" s="3579"/>
      <c r="FCX54" s="3579"/>
      <c r="FCY54" s="3579"/>
      <c r="FCZ54" s="3579"/>
      <c r="FDA54" s="3579"/>
      <c r="FDB54" s="3579"/>
      <c r="FDC54" s="3579"/>
      <c r="FDD54" s="3579"/>
      <c r="FDE54" s="3579"/>
      <c r="FDF54" s="3579"/>
      <c r="FDG54" s="3579"/>
      <c r="FDH54" s="3579"/>
      <c r="FDI54" s="3579"/>
      <c r="FDJ54" s="3579"/>
      <c r="FDK54" s="3579"/>
      <c r="FDL54" s="3579"/>
      <c r="FDM54" s="3579"/>
      <c r="FDN54" s="3579"/>
      <c r="FDO54" s="3579"/>
      <c r="FDP54" s="3579"/>
      <c r="FDQ54" s="3579"/>
      <c r="FDR54" s="3579"/>
      <c r="FDS54" s="3579"/>
      <c r="FDT54" s="3579"/>
      <c r="FDU54" s="3579"/>
      <c r="FDV54" s="3579"/>
      <c r="FDW54" s="3579"/>
      <c r="FDX54" s="3579"/>
      <c r="FDY54" s="3579"/>
      <c r="FDZ54" s="3579"/>
      <c r="FEA54" s="3579"/>
      <c r="FEB54" s="3579"/>
      <c r="FEC54" s="3579"/>
      <c r="FED54" s="3579"/>
      <c r="FEE54" s="3579"/>
      <c r="FEF54" s="3579"/>
      <c r="FEG54" s="3579"/>
      <c r="FEH54" s="3579"/>
      <c r="FEI54" s="3579"/>
      <c r="FEJ54" s="3579"/>
      <c r="FEK54" s="3579"/>
      <c r="FEL54" s="3579"/>
      <c r="FEM54" s="3579"/>
      <c r="FEN54" s="3579"/>
      <c r="FEO54" s="3579"/>
      <c r="FEP54" s="3579"/>
      <c r="FEQ54" s="3579"/>
      <c r="FER54" s="3579"/>
      <c r="FES54" s="3579"/>
      <c r="FET54" s="3579"/>
      <c r="FEU54" s="3579"/>
      <c r="FEV54" s="3579"/>
      <c r="FEW54" s="3579"/>
      <c r="FEX54" s="3579"/>
      <c r="FEY54" s="3579"/>
      <c r="FEZ54" s="3579"/>
      <c r="FFA54" s="3579"/>
      <c r="FFB54" s="3579"/>
      <c r="FFC54" s="3579"/>
      <c r="FFD54" s="3579"/>
      <c r="FFE54" s="3579"/>
      <c r="FFF54" s="3579"/>
      <c r="FFG54" s="3579"/>
      <c r="FFH54" s="3579"/>
      <c r="FFI54" s="3579"/>
      <c r="FFJ54" s="3579"/>
      <c r="FFK54" s="3579"/>
      <c r="FFL54" s="3579"/>
      <c r="FFM54" s="3579"/>
      <c r="FFN54" s="3579"/>
      <c r="FFO54" s="3579"/>
      <c r="FFP54" s="3579"/>
      <c r="FFQ54" s="3579"/>
      <c r="FFR54" s="3579"/>
      <c r="FFS54" s="3579"/>
      <c r="FFT54" s="3579"/>
      <c r="FFU54" s="3579"/>
      <c r="FFV54" s="3579"/>
      <c r="FFW54" s="3579"/>
      <c r="FFX54" s="3579"/>
      <c r="FFY54" s="3579"/>
      <c r="FFZ54" s="3579"/>
      <c r="FGA54" s="3579"/>
      <c r="FGB54" s="3579"/>
      <c r="FGC54" s="3579"/>
      <c r="FGD54" s="3579"/>
      <c r="FGE54" s="3579"/>
      <c r="FGF54" s="3579"/>
      <c r="FGG54" s="3579"/>
      <c r="FGH54" s="3579"/>
      <c r="FGI54" s="3579"/>
      <c r="FGJ54" s="3579"/>
      <c r="FGK54" s="3579"/>
      <c r="FGL54" s="3579"/>
      <c r="FGM54" s="3579"/>
      <c r="FGN54" s="3579"/>
      <c r="FGO54" s="3579"/>
      <c r="FGP54" s="3579"/>
      <c r="FGQ54" s="3579"/>
      <c r="FGR54" s="3579"/>
      <c r="FGS54" s="3579"/>
      <c r="FGT54" s="3579"/>
      <c r="FGU54" s="3579"/>
      <c r="FGV54" s="3579"/>
      <c r="FGW54" s="3579"/>
      <c r="FGX54" s="3579"/>
      <c r="FGY54" s="3579"/>
      <c r="FGZ54" s="3579"/>
      <c r="FHA54" s="3579"/>
      <c r="FHB54" s="3579"/>
      <c r="FHC54" s="3579"/>
      <c r="FHD54" s="3579"/>
      <c r="FHE54" s="3579"/>
      <c r="FHF54" s="3579"/>
      <c r="FHG54" s="3579"/>
      <c r="FHH54" s="3579"/>
      <c r="FHI54" s="3579"/>
      <c r="FHJ54" s="3579"/>
      <c r="FHK54" s="3579"/>
      <c r="FHL54" s="3579"/>
      <c r="FHM54" s="3579"/>
      <c r="FHN54" s="3579"/>
      <c r="FHO54" s="3579"/>
      <c r="FHP54" s="3579"/>
      <c r="FHQ54" s="3579"/>
      <c r="FHR54" s="3579"/>
      <c r="FHS54" s="3579"/>
      <c r="FHT54" s="3579"/>
      <c r="FHU54" s="3579"/>
      <c r="FHV54" s="3579"/>
      <c r="FHW54" s="3579"/>
      <c r="FHX54" s="3579"/>
      <c r="FHY54" s="3579"/>
      <c r="FHZ54" s="3579"/>
      <c r="FIA54" s="3579"/>
      <c r="FIB54" s="3579"/>
      <c r="FIC54" s="3579"/>
      <c r="FID54" s="3579"/>
      <c r="FIE54" s="3579"/>
      <c r="FIF54" s="3579"/>
      <c r="FIG54" s="3579"/>
      <c r="FIH54" s="3579"/>
      <c r="FII54" s="3579"/>
      <c r="FIJ54" s="3579"/>
      <c r="FIK54" s="3579"/>
      <c r="FIL54" s="3579"/>
      <c r="FIM54" s="3579"/>
      <c r="FIN54" s="3579"/>
      <c r="FIO54" s="3579"/>
      <c r="FIP54" s="3579"/>
      <c r="FIQ54" s="3579"/>
      <c r="FIR54" s="3579"/>
      <c r="FIS54" s="3579"/>
      <c r="FIT54" s="3579"/>
      <c r="FIU54" s="3579"/>
      <c r="FIV54" s="3579"/>
      <c r="FIW54" s="3579"/>
      <c r="FIX54" s="3579"/>
      <c r="FIY54" s="3579"/>
      <c r="FIZ54" s="3579"/>
      <c r="FJA54" s="3579"/>
      <c r="FJB54" s="3579"/>
      <c r="FJC54" s="3579"/>
      <c r="FJD54" s="3579"/>
      <c r="FJE54" s="3579"/>
      <c r="FJF54" s="3579"/>
      <c r="FJG54" s="3579"/>
      <c r="FJH54" s="3579"/>
      <c r="FJI54" s="3579"/>
      <c r="FJJ54" s="3579"/>
      <c r="FJK54" s="3579"/>
      <c r="FJL54" s="3579"/>
      <c r="FJM54" s="3579"/>
      <c r="FJN54" s="3579"/>
      <c r="FJO54" s="3579"/>
      <c r="FJP54" s="3579"/>
      <c r="FJQ54" s="3579"/>
      <c r="FJR54" s="3579"/>
      <c r="FJS54" s="3579"/>
      <c r="FJT54" s="3579"/>
      <c r="FJU54" s="3579"/>
      <c r="FJV54" s="3579"/>
      <c r="FJW54" s="3579"/>
      <c r="FJX54" s="3579"/>
      <c r="FJY54" s="3579"/>
      <c r="FJZ54" s="3579"/>
      <c r="FKA54" s="3579"/>
      <c r="FKB54" s="3579"/>
      <c r="FKC54" s="3579"/>
      <c r="FKD54" s="3579"/>
      <c r="FKE54" s="3579"/>
      <c r="FKF54" s="3579"/>
      <c r="FKG54" s="3579"/>
      <c r="FKH54" s="3579"/>
      <c r="FKI54" s="3579"/>
      <c r="FKJ54" s="3579"/>
      <c r="FKK54" s="3579"/>
      <c r="FKL54" s="3579"/>
      <c r="FKM54" s="3579"/>
      <c r="FKN54" s="3579"/>
      <c r="FKO54" s="3579"/>
      <c r="FKP54" s="3579"/>
      <c r="FKQ54" s="3579"/>
      <c r="FKR54" s="3579"/>
      <c r="FKS54" s="3579"/>
      <c r="FKT54" s="3579"/>
      <c r="FKU54" s="3579"/>
      <c r="FKV54" s="3579"/>
      <c r="FKW54" s="3579"/>
      <c r="FKX54" s="3579"/>
      <c r="FKY54" s="3579"/>
      <c r="FKZ54" s="3579"/>
      <c r="FLA54" s="3579"/>
      <c r="FLB54" s="3579"/>
      <c r="FLC54" s="3579"/>
      <c r="FLD54" s="3579"/>
      <c r="FLE54" s="3579"/>
      <c r="FLF54" s="3579"/>
      <c r="FLG54" s="3579"/>
      <c r="FLH54" s="3579"/>
      <c r="FLI54" s="3579"/>
      <c r="FLJ54" s="3579"/>
      <c r="FLK54" s="3579"/>
      <c r="FLL54" s="3579"/>
      <c r="FLM54" s="3579"/>
      <c r="FLN54" s="3579"/>
      <c r="FLO54" s="3579"/>
      <c r="FLP54" s="3579"/>
      <c r="FLQ54" s="3579"/>
      <c r="FLR54" s="3579"/>
      <c r="FLS54" s="3579"/>
      <c r="FLT54" s="3579"/>
      <c r="FLU54" s="3579"/>
      <c r="FLV54" s="3579"/>
      <c r="FLW54" s="3579"/>
      <c r="FLX54" s="3579"/>
      <c r="FLY54" s="3579"/>
      <c r="FLZ54" s="3579"/>
      <c r="FMA54" s="3579"/>
      <c r="FMB54" s="3579"/>
      <c r="FMC54" s="3579"/>
      <c r="FMD54" s="3579"/>
      <c r="FME54" s="3579"/>
      <c r="FMF54" s="3579"/>
      <c r="FMG54" s="3579"/>
      <c r="FMH54" s="3579"/>
      <c r="FMI54" s="3579"/>
      <c r="FMJ54" s="3579"/>
      <c r="FMK54" s="3579"/>
      <c r="FML54" s="3579"/>
      <c r="FMM54" s="3579"/>
      <c r="FMN54" s="3579"/>
      <c r="FMO54" s="3579"/>
      <c r="FMP54" s="3579"/>
      <c r="FMQ54" s="3579"/>
      <c r="FMR54" s="3579"/>
      <c r="FMS54" s="3579"/>
      <c r="FMT54" s="3579"/>
      <c r="FMU54" s="3579"/>
      <c r="FMV54" s="3579"/>
      <c r="FMW54" s="3579"/>
      <c r="FMX54" s="3579"/>
      <c r="FMY54" s="3579"/>
      <c r="FMZ54" s="3579"/>
      <c r="FNA54" s="3579"/>
      <c r="FNB54" s="3579"/>
      <c r="FNC54" s="3579"/>
      <c r="FND54" s="3579"/>
      <c r="FNE54" s="3579"/>
      <c r="FNF54" s="3579"/>
      <c r="FNG54" s="3579"/>
      <c r="FNH54" s="3579"/>
      <c r="FNI54" s="3579"/>
      <c r="FNJ54" s="3579"/>
      <c r="FNK54" s="3579"/>
      <c r="FNL54" s="3579"/>
      <c r="FNM54" s="3579"/>
      <c r="FNN54" s="3579"/>
      <c r="FNO54" s="3579"/>
      <c r="FNP54" s="3579"/>
      <c r="FNQ54" s="3579"/>
      <c r="FNR54" s="3579"/>
      <c r="FNS54" s="3579"/>
      <c r="FNT54" s="3579"/>
      <c r="FNU54" s="3579"/>
      <c r="FNV54" s="3579"/>
      <c r="FNW54" s="3579"/>
      <c r="FNX54" s="3579"/>
      <c r="FNY54" s="3579"/>
      <c r="FNZ54" s="3579"/>
      <c r="FOA54" s="3579"/>
      <c r="FOB54" s="3579"/>
      <c r="FOC54" s="3579"/>
      <c r="FOD54" s="3579"/>
      <c r="FOE54" s="3579"/>
      <c r="FOF54" s="3579"/>
      <c r="FOG54" s="3579"/>
      <c r="FOH54" s="3579"/>
      <c r="FOI54" s="3579"/>
      <c r="FOJ54" s="3579"/>
      <c r="FOK54" s="3579"/>
      <c r="FOL54" s="3579"/>
      <c r="FOM54" s="3579"/>
      <c r="FON54" s="3579"/>
      <c r="FOO54" s="3579"/>
      <c r="FOP54" s="3579"/>
      <c r="FOQ54" s="3579"/>
      <c r="FOR54" s="3579"/>
      <c r="FOS54" s="3579"/>
      <c r="FOT54" s="3579"/>
      <c r="FOU54" s="3579"/>
      <c r="FOV54" s="3579"/>
      <c r="FOW54" s="3579"/>
      <c r="FOX54" s="3579"/>
      <c r="FOY54" s="3579"/>
      <c r="FOZ54" s="3579"/>
      <c r="FPA54" s="3579"/>
      <c r="FPB54" s="3579"/>
      <c r="FPC54" s="3579"/>
      <c r="FPD54" s="3579"/>
      <c r="FPE54" s="3579"/>
      <c r="FPF54" s="3579"/>
      <c r="FPG54" s="3579"/>
      <c r="FPH54" s="3579"/>
      <c r="FPI54" s="3579"/>
      <c r="FPJ54" s="3579"/>
      <c r="FPK54" s="3579"/>
      <c r="FPL54" s="3579"/>
      <c r="FPM54" s="3579"/>
      <c r="FPN54" s="3579"/>
      <c r="FPO54" s="3579"/>
      <c r="FPP54" s="3579"/>
      <c r="FPQ54" s="3579"/>
      <c r="FPR54" s="3579"/>
      <c r="FPS54" s="3579"/>
      <c r="FPT54" s="3579"/>
      <c r="FPU54" s="3579"/>
      <c r="FPV54" s="3579"/>
      <c r="FPW54" s="3579"/>
      <c r="FPX54" s="3579"/>
      <c r="FPY54" s="3579"/>
      <c r="FPZ54" s="3579"/>
      <c r="FQA54" s="3579"/>
      <c r="FQB54" s="3579"/>
      <c r="FQC54" s="3579"/>
      <c r="FQD54" s="3579"/>
      <c r="FQE54" s="3579"/>
      <c r="FQF54" s="3579"/>
      <c r="FQG54" s="3579"/>
      <c r="FQH54" s="3579"/>
      <c r="FQI54" s="3579"/>
      <c r="FQJ54" s="3579"/>
      <c r="FQK54" s="3579"/>
      <c r="FQL54" s="3579"/>
      <c r="FQM54" s="3579"/>
      <c r="FQN54" s="3579"/>
      <c r="FQO54" s="3579"/>
      <c r="FQP54" s="3579"/>
      <c r="FQQ54" s="3579"/>
      <c r="FQR54" s="3579"/>
      <c r="FQS54" s="3579"/>
      <c r="FQT54" s="3579"/>
      <c r="FQU54" s="3579"/>
      <c r="FQV54" s="3579"/>
      <c r="FQW54" s="3579"/>
      <c r="FQX54" s="3579"/>
      <c r="FQY54" s="3579"/>
      <c r="FQZ54" s="3579"/>
      <c r="FRA54" s="3579"/>
      <c r="FRB54" s="3579"/>
      <c r="FRC54" s="3579"/>
      <c r="FRD54" s="3579"/>
      <c r="FRE54" s="3579"/>
      <c r="FRF54" s="3579"/>
      <c r="FRG54" s="3579"/>
      <c r="FRH54" s="3579"/>
      <c r="FRI54" s="3579"/>
      <c r="FRJ54" s="3579"/>
      <c r="FRK54" s="3579"/>
      <c r="FRL54" s="3579"/>
      <c r="FRM54" s="3579"/>
      <c r="FRN54" s="3579"/>
      <c r="FRO54" s="3579"/>
      <c r="FRP54" s="3579"/>
      <c r="FRQ54" s="3579"/>
      <c r="FRR54" s="3579"/>
      <c r="FRS54" s="3579"/>
      <c r="FRT54" s="3579"/>
      <c r="FRU54" s="3579"/>
      <c r="FRV54" s="3579"/>
      <c r="FRW54" s="3579"/>
      <c r="FRX54" s="3579"/>
      <c r="FRY54" s="3579"/>
      <c r="FRZ54" s="3579"/>
      <c r="FSA54" s="3579"/>
      <c r="FSB54" s="3579"/>
      <c r="FSC54" s="3579"/>
      <c r="FSD54" s="3579"/>
      <c r="FSE54" s="3579"/>
      <c r="FSF54" s="3579"/>
      <c r="FSG54" s="3579"/>
      <c r="FSH54" s="3579"/>
      <c r="FSI54" s="3579"/>
      <c r="FSJ54" s="3579"/>
      <c r="FSK54" s="3579"/>
      <c r="FSL54" s="3579"/>
      <c r="FSM54" s="3579"/>
      <c r="FSN54" s="3579"/>
      <c r="FSO54" s="3579"/>
      <c r="FSP54" s="3579"/>
      <c r="FSQ54" s="3579"/>
      <c r="FSR54" s="3579"/>
      <c r="FSS54" s="3579"/>
      <c r="FST54" s="3579"/>
      <c r="FSU54" s="3579"/>
      <c r="FSV54" s="3579"/>
      <c r="FSW54" s="3579"/>
      <c r="FSX54" s="3579"/>
      <c r="FSY54" s="3579"/>
      <c r="FSZ54" s="3579"/>
      <c r="FTA54" s="3579"/>
      <c r="FTB54" s="3579"/>
      <c r="FTC54" s="3579"/>
      <c r="FTD54" s="3579"/>
      <c r="FTE54" s="3579"/>
      <c r="FTF54" s="3579"/>
      <c r="FTG54" s="3579"/>
      <c r="FTH54" s="3579"/>
      <c r="FTI54" s="3579"/>
      <c r="FTJ54" s="3579"/>
      <c r="FTK54" s="3579"/>
      <c r="FTL54" s="3579"/>
      <c r="FTM54" s="3579"/>
      <c r="FTN54" s="3579"/>
      <c r="FTO54" s="3579"/>
      <c r="FTP54" s="3579"/>
      <c r="FTQ54" s="3579"/>
      <c r="FTR54" s="3579"/>
      <c r="FTS54" s="3579"/>
      <c r="FTT54" s="3579"/>
      <c r="FTU54" s="3579"/>
      <c r="FTV54" s="3579"/>
      <c r="FTW54" s="3579"/>
      <c r="FTX54" s="3579"/>
      <c r="FTY54" s="3579"/>
      <c r="FTZ54" s="3579"/>
      <c r="FUA54" s="3579"/>
      <c r="FUB54" s="3579"/>
      <c r="FUC54" s="3579"/>
      <c r="FUD54" s="3579"/>
      <c r="FUE54" s="3579"/>
      <c r="FUF54" s="3579"/>
      <c r="FUG54" s="3579"/>
      <c r="FUH54" s="3579"/>
      <c r="FUI54" s="3579"/>
      <c r="FUJ54" s="3579"/>
      <c r="FUK54" s="3579"/>
      <c r="FUL54" s="3579"/>
      <c r="FUM54" s="3579"/>
      <c r="FUN54" s="3579"/>
      <c r="FUO54" s="3579"/>
      <c r="FUP54" s="3579"/>
      <c r="FUQ54" s="3579"/>
      <c r="FUR54" s="3579"/>
      <c r="FUS54" s="3579"/>
      <c r="FUT54" s="3579"/>
      <c r="FUU54" s="3579"/>
      <c r="FUV54" s="3579"/>
      <c r="FUW54" s="3579"/>
      <c r="FUX54" s="3579"/>
      <c r="FUY54" s="3579"/>
      <c r="FUZ54" s="3579"/>
      <c r="FVA54" s="3579"/>
      <c r="FVB54" s="3579"/>
      <c r="FVC54" s="3579"/>
      <c r="FVD54" s="3579"/>
      <c r="FVE54" s="3579"/>
      <c r="FVF54" s="3579"/>
      <c r="FVG54" s="3579"/>
      <c r="FVH54" s="3579"/>
      <c r="FVI54" s="3579"/>
      <c r="FVJ54" s="3579"/>
      <c r="FVK54" s="3579"/>
      <c r="FVL54" s="3579"/>
      <c r="FVM54" s="3579"/>
      <c r="FVN54" s="3579"/>
      <c r="FVO54" s="3579"/>
      <c r="FVP54" s="3579"/>
      <c r="FVQ54" s="3579"/>
      <c r="FVR54" s="3579"/>
      <c r="FVS54" s="3579"/>
      <c r="FVT54" s="3579"/>
      <c r="FVU54" s="3579"/>
      <c r="FVV54" s="3579"/>
      <c r="FVW54" s="3579"/>
      <c r="FVX54" s="3579"/>
      <c r="FVY54" s="3579"/>
      <c r="FVZ54" s="3579"/>
      <c r="FWA54" s="3579"/>
      <c r="FWB54" s="3579"/>
      <c r="FWC54" s="3579"/>
      <c r="FWD54" s="3579"/>
      <c r="FWE54" s="3579"/>
      <c r="FWF54" s="3579"/>
      <c r="FWG54" s="3579"/>
      <c r="FWH54" s="3579"/>
      <c r="FWI54" s="3579"/>
      <c r="FWJ54" s="3579"/>
      <c r="FWK54" s="3579"/>
      <c r="FWL54" s="3579"/>
      <c r="FWM54" s="3579"/>
      <c r="FWN54" s="3579"/>
      <c r="FWO54" s="3579"/>
      <c r="FWP54" s="3579"/>
      <c r="FWQ54" s="3579"/>
      <c r="FWR54" s="3579"/>
      <c r="FWS54" s="3579"/>
      <c r="FWT54" s="3579"/>
      <c r="FWU54" s="3579"/>
      <c r="FWV54" s="3579"/>
      <c r="FWW54" s="3579"/>
      <c r="FWX54" s="3579"/>
      <c r="FWY54" s="3579"/>
      <c r="FWZ54" s="3579"/>
      <c r="FXA54" s="3579"/>
      <c r="FXB54" s="3579"/>
      <c r="FXC54" s="3579"/>
      <c r="FXD54" s="3579"/>
      <c r="FXE54" s="3579"/>
      <c r="FXF54" s="3579"/>
      <c r="FXG54" s="3579"/>
      <c r="FXH54" s="3579"/>
      <c r="FXI54" s="3579"/>
      <c r="FXJ54" s="3579"/>
      <c r="FXK54" s="3579"/>
      <c r="FXL54" s="3579"/>
      <c r="FXM54" s="3579"/>
      <c r="FXN54" s="3579"/>
      <c r="FXO54" s="3579"/>
      <c r="FXP54" s="3579"/>
      <c r="FXQ54" s="3579"/>
      <c r="FXR54" s="3579"/>
      <c r="FXS54" s="3579"/>
      <c r="FXT54" s="3579"/>
      <c r="FXU54" s="3579"/>
      <c r="FXV54" s="3579"/>
      <c r="FXW54" s="3579"/>
      <c r="FXX54" s="3579"/>
      <c r="FXY54" s="3579"/>
      <c r="FXZ54" s="3579"/>
      <c r="FYA54" s="3579"/>
      <c r="FYB54" s="3579"/>
      <c r="FYC54" s="3579"/>
      <c r="FYD54" s="3579"/>
      <c r="FYE54" s="3579"/>
      <c r="FYF54" s="3579"/>
      <c r="FYG54" s="3579"/>
      <c r="FYH54" s="3579"/>
      <c r="FYI54" s="3579"/>
      <c r="FYJ54" s="3579"/>
      <c r="FYK54" s="3579"/>
      <c r="FYL54" s="3579"/>
      <c r="FYM54" s="3579"/>
      <c r="FYN54" s="3579"/>
      <c r="FYO54" s="3579"/>
      <c r="FYP54" s="3579"/>
      <c r="FYQ54" s="3579"/>
      <c r="FYR54" s="3579"/>
      <c r="FYS54" s="3579"/>
      <c r="FYT54" s="3579"/>
      <c r="FYU54" s="3579"/>
      <c r="FYV54" s="3579"/>
      <c r="FYW54" s="3579"/>
      <c r="FYX54" s="3579"/>
      <c r="FYY54" s="3579"/>
      <c r="FYZ54" s="3579"/>
      <c r="FZA54" s="3579"/>
      <c r="FZB54" s="3579"/>
      <c r="FZC54" s="3579"/>
      <c r="FZD54" s="3579"/>
      <c r="FZE54" s="3579"/>
      <c r="FZF54" s="3579"/>
      <c r="FZG54" s="3579"/>
      <c r="FZH54" s="3579"/>
      <c r="FZI54" s="3579"/>
      <c r="FZJ54" s="3579"/>
      <c r="FZK54" s="3579"/>
      <c r="FZL54" s="3579"/>
      <c r="FZM54" s="3579"/>
      <c r="FZN54" s="3579"/>
      <c r="FZO54" s="3579"/>
      <c r="FZP54" s="3579"/>
      <c r="FZQ54" s="3579"/>
      <c r="FZR54" s="3579"/>
      <c r="FZS54" s="3579"/>
      <c r="FZT54" s="3579"/>
      <c r="FZU54" s="3579"/>
      <c r="FZV54" s="3579"/>
      <c r="FZW54" s="3579"/>
      <c r="FZX54" s="3579"/>
      <c r="FZY54" s="3579"/>
      <c r="FZZ54" s="3579"/>
      <c r="GAA54" s="3579"/>
      <c r="GAB54" s="3579"/>
      <c r="GAC54" s="3579"/>
      <c r="GAD54" s="3579"/>
      <c r="GAE54" s="3579"/>
      <c r="GAF54" s="3579"/>
      <c r="GAG54" s="3579"/>
      <c r="GAH54" s="3579"/>
      <c r="GAI54" s="3579"/>
      <c r="GAJ54" s="3579"/>
      <c r="GAK54" s="3579"/>
      <c r="GAL54" s="3579"/>
      <c r="GAM54" s="3579"/>
      <c r="GAN54" s="3579"/>
      <c r="GAO54" s="3579"/>
      <c r="GAP54" s="3579"/>
      <c r="GAQ54" s="3579"/>
      <c r="GAR54" s="3579"/>
      <c r="GAS54" s="3579"/>
      <c r="GAT54" s="3579"/>
      <c r="GAU54" s="3579"/>
      <c r="GAV54" s="3579"/>
      <c r="GAW54" s="3579"/>
      <c r="GAX54" s="3579"/>
      <c r="GAY54" s="3579"/>
      <c r="GAZ54" s="3579"/>
      <c r="GBA54" s="3579"/>
      <c r="GBB54" s="3579"/>
      <c r="GBC54" s="3579"/>
      <c r="GBD54" s="3579"/>
      <c r="GBE54" s="3579"/>
      <c r="GBF54" s="3579"/>
      <c r="GBG54" s="3579"/>
      <c r="GBH54" s="3579"/>
      <c r="GBI54" s="3579"/>
      <c r="GBJ54" s="3579"/>
      <c r="GBK54" s="3579"/>
      <c r="GBL54" s="3579"/>
      <c r="GBM54" s="3579"/>
      <c r="GBN54" s="3579"/>
      <c r="GBO54" s="3579"/>
      <c r="GBP54" s="3579"/>
      <c r="GBQ54" s="3579"/>
      <c r="GBR54" s="3579"/>
      <c r="GBS54" s="3579"/>
      <c r="GBT54" s="3579"/>
      <c r="GBU54" s="3579"/>
      <c r="GBV54" s="3579"/>
      <c r="GBW54" s="3579"/>
      <c r="GBX54" s="3579"/>
      <c r="GBY54" s="3579"/>
      <c r="GBZ54" s="3579"/>
      <c r="GCA54" s="3579"/>
      <c r="GCB54" s="3579"/>
      <c r="GCC54" s="3579"/>
      <c r="GCD54" s="3579"/>
      <c r="GCE54" s="3579"/>
      <c r="GCF54" s="3579"/>
      <c r="GCG54" s="3579"/>
      <c r="GCH54" s="3579"/>
      <c r="GCI54" s="3579"/>
      <c r="GCJ54" s="3579"/>
      <c r="GCK54" s="3579"/>
      <c r="GCL54" s="3579"/>
      <c r="GCM54" s="3579"/>
      <c r="GCN54" s="3579"/>
      <c r="GCO54" s="3579"/>
      <c r="GCP54" s="3579"/>
      <c r="GCQ54" s="3579"/>
      <c r="GCR54" s="3579"/>
      <c r="GCS54" s="3579"/>
      <c r="GCT54" s="3579"/>
      <c r="GCU54" s="3579"/>
      <c r="GCV54" s="3579"/>
      <c r="GCW54" s="3579"/>
      <c r="GCX54" s="3579"/>
      <c r="GCY54" s="3579"/>
      <c r="GCZ54" s="3579"/>
      <c r="GDA54" s="3579"/>
      <c r="GDB54" s="3579"/>
      <c r="GDC54" s="3579"/>
      <c r="GDD54" s="3579"/>
      <c r="GDE54" s="3579"/>
      <c r="GDF54" s="3579"/>
      <c r="GDG54" s="3579"/>
      <c r="GDH54" s="3579"/>
      <c r="GDI54" s="3579"/>
      <c r="GDJ54" s="3579"/>
      <c r="GDK54" s="3579"/>
      <c r="GDL54" s="3579"/>
      <c r="GDM54" s="3579"/>
      <c r="GDN54" s="3579"/>
      <c r="GDO54" s="3579"/>
      <c r="GDP54" s="3579"/>
      <c r="GDQ54" s="3579"/>
      <c r="GDR54" s="3579"/>
      <c r="GDS54" s="3579"/>
      <c r="GDT54" s="3579"/>
      <c r="GDU54" s="3579"/>
      <c r="GDV54" s="3579"/>
      <c r="GDW54" s="3579"/>
      <c r="GDX54" s="3579"/>
      <c r="GDY54" s="3579"/>
      <c r="GDZ54" s="3579"/>
      <c r="GEA54" s="3579"/>
      <c r="GEB54" s="3579"/>
      <c r="GEC54" s="3579"/>
      <c r="GED54" s="3579"/>
      <c r="GEE54" s="3579"/>
      <c r="GEF54" s="3579"/>
      <c r="GEG54" s="3579"/>
      <c r="GEH54" s="3579"/>
      <c r="GEI54" s="3579"/>
      <c r="GEJ54" s="3579"/>
      <c r="GEK54" s="3579"/>
      <c r="GEL54" s="3579"/>
      <c r="GEM54" s="3579"/>
      <c r="GEN54" s="3579"/>
      <c r="GEO54" s="3579"/>
      <c r="GEP54" s="3579"/>
      <c r="GEQ54" s="3579"/>
      <c r="GER54" s="3579"/>
      <c r="GES54" s="3579"/>
      <c r="GET54" s="3579"/>
      <c r="GEU54" s="3579"/>
      <c r="GEV54" s="3579"/>
      <c r="GEW54" s="3579"/>
      <c r="GEX54" s="3579"/>
      <c r="GEY54" s="3579"/>
      <c r="GEZ54" s="3579"/>
      <c r="GFA54" s="3579"/>
      <c r="GFB54" s="3579"/>
      <c r="GFC54" s="3579"/>
      <c r="GFD54" s="3579"/>
      <c r="GFE54" s="3579"/>
      <c r="GFF54" s="3579"/>
      <c r="GFG54" s="3579"/>
      <c r="GFH54" s="3579"/>
      <c r="GFI54" s="3579"/>
      <c r="GFJ54" s="3579"/>
      <c r="GFK54" s="3579"/>
      <c r="GFL54" s="3579"/>
      <c r="GFM54" s="3579"/>
      <c r="GFN54" s="3579"/>
      <c r="GFO54" s="3579"/>
      <c r="GFP54" s="3579"/>
      <c r="GFQ54" s="3579"/>
      <c r="GFR54" s="3579"/>
      <c r="GFS54" s="3579"/>
      <c r="GFT54" s="3579"/>
      <c r="GFU54" s="3579"/>
      <c r="GFV54" s="3579"/>
      <c r="GFW54" s="3579"/>
      <c r="GFX54" s="3579"/>
      <c r="GFY54" s="3579"/>
      <c r="GFZ54" s="3579"/>
      <c r="GGA54" s="3579"/>
      <c r="GGB54" s="3579"/>
      <c r="GGC54" s="3579"/>
      <c r="GGD54" s="3579"/>
      <c r="GGE54" s="3579"/>
      <c r="GGF54" s="3579"/>
      <c r="GGG54" s="3579"/>
      <c r="GGH54" s="3579"/>
      <c r="GGI54" s="3579"/>
      <c r="GGJ54" s="3579"/>
      <c r="GGK54" s="3579"/>
      <c r="GGL54" s="3579"/>
      <c r="GGM54" s="3579"/>
      <c r="GGN54" s="3579"/>
      <c r="GGO54" s="3579"/>
      <c r="GGP54" s="3579"/>
      <c r="GGQ54" s="3579"/>
      <c r="GGR54" s="3579"/>
      <c r="GGS54" s="3579"/>
      <c r="GGT54" s="3579"/>
      <c r="GGU54" s="3579"/>
      <c r="GGV54" s="3579"/>
      <c r="GGW54" s="3579"/>
      <c r="GGX54" s="3579"/>
      <c r="GGY54" s="3579"/>
      <c r="GGZ54" s="3579"/>
      <c r="GHA54" s="3579"/>
      <c r="GHB54" s="3579"/>
      <c r="GHC54" s="3579"/>
      <c r="GHD54" s="3579"/>
      <c r="GHE54" s="3579"/>
      <c r="GHF54" s="3579"/>
      <c r="GHG54" s="3579"/>
      <c r="GHH54" s="3579"/>
      <c r="GHI54" s="3579"/>
      <c r="GHJ54" s="3579"/>
      <c r="GHK54" s="3579"/>
      <c r="GHL54" s="3579"/>
      <c r="GHM54" s="3579"/>
      <c r="GHN54" s="3579"/>
      <c r="GHO54" s="3579"/>
      <c r="GHP54" s="3579"/>
      <c r="GHQ54" s="3579"/>
      <c r="GHR54" s="3579"/>
      <c r="GHS54" s="3579"/>
      <c r="GHT54" s="3579"/>
      <c r="GHU54" s="3579"/>
      <c r="GHV54" s="3579"/>
      <c r="GHW54" s="3579"/>
      <c r="GHX54" s="3579"/>
      <c r="GHY54" s="3579"/>
      <c r="GHZ54" s="3579"/>
      <c r="GIA54" s="3579"/>
      <c r="GIB54" s="3579"/>
      <c r="GIC54" s="3579"/>
      <c r="GID54" s="3579"/>
      <c r="GIE54" s="3579"/>
      <c r="GIF54" s="3579"/>
      <c r="GIG54" s="3579"/>
      <c r="GIH54" s="3579"/>
      <c r="GII54" s="3579"/>
      <c r="GIJ54" s="3579"/>
      <c r="GIK54" s="3579"/>
      <c r="GIL54" s="3579"/>
      <c r="GIM54" s="3579"/>
      <c r="GIN54" s="3579"/>
      <c r="GIO54" s="3579"/>
      <c r="GIP54" s="3579"/>
      <c r="GIQ54" s="3579"/>
      <c r="GIR54" s="3579"/>
      <c r="GIS54" s="3579"/>
      <c r="GIT54" s="3579"/>
      <c r="GIU54" s="3579"/>
      <c r="GIV54" s="3579"/>
      <c r="GIW54" s="3579"/>
      <c r="GIX54" s="3579"/>
      <c r="GIY54" s="3579"/>
      <c r="GIZ54" s="3579"/>
      <c r="GJA54" s="3579"/>
      <c r="GJB54" s="3579"/>
      <c r="GJC54" s="3579"/>
      <c r="GJD54" s="3579"/>
      <c r="GJE54" s="3579"/>
      <c r="GJF54" s="3579"/>
      <c r="GJG54" s="3579"/>
      <c r="GJH54" s="3579"/>
      <c r="GJI54" s="3579"/>
      <c r="GJJ54" s="3579"/>
      <c r="GJK54" s="3579"/>
      <c r="GJL54" s="3579"/>
      <c r="GJM54" s="3579"/>
      <c r="GJN54" s="3579"/>
      <c r="GJO54" s="3579"/>
      <c r="GJP54" s="3579"/>
      <c r="GJQ54" s="3579"/>
      <c r="GJR54" s="3579"/>
      <c r="GJS54" s="3579"/>
      <c r="GJT54" s="3579"/>
      <c r="GJU54" s="3579"/>
      <c r="GJV54" s="3579"/>
      <c r="GJW54" s="3579"/>
      <c r="GJX54" s="3579"/>
      <c r="GJY54" s="3579"/>
      <c r="GJZ54" s="3579"/>
      <c r="GKA54" s="3579"/>
      <c r="GKB54" s="3579"/>
      <c r="GKC54" s="3579"/>
      <c r="GKD54" s="3579"/>
      <c r="GKE54" s="3579"/>
      <c r="GKF54" s="3579"/>
      <c r="GKG54" s="3579"/>
      <c r="GKH54" s="3579"/>
      <c r="GKI54" s="3579"/>
      <c r="GKJ54" s="3579"/>
      <c r="GKK54" s="3579"/>
      <c r="GKL54" s="3579"/>
      <c r="GKM54" s="3579"/>
      <c r="GKN54" s="3579"/>
      <c r="GKO54" s="3579"/>
      <c r="GKP54" s="3579"/>
      <c r="GKQ54" s="3579"/>
      <c r="GKR54" s="3579"/>
      <c r="GKS54" s="3579"/>
      <c r="GKT54" s="3579"/>
      <c r="GKU54" s="3579"/>
      <c r="GKV54" s="3579"/>
      <c r="GKW54" s="3579"/>
      <c r="GKX54" s="3579"/>
      <c r="GKY54" s="3579"/>
      <c r="GKZ54" s="3579"/>
      <c r="GLA54" s="3579"/>
      <c r="GLB54" s="3579"/>
      <c r="GLC54" s="3579"/>
      <c r="GLD54" s="3579"/>
      <c r="GLE54" s="3579"/>
      <c r="GLF54" s="3579"/>
      <c r="GLG54" s="3579"/>
      <c r="GLH54" s="3579"/>
      <c r="GLI54" s="3579"/>
      <c r="GLJ54" s="3579"/>
      <c r="GLK54" s="3579"/>
      <c r="GLL54" s="3579"/>
      <c r="GLM54" s="3579"/>
      <c r="GLN54" s="3579"/>
      <c r="GLO54" s="3579"/>
      <c r="GLP54" s="3579"/>
      <c r="GLQ54" s="3579"/>
      <c r="GLR54" s="3579"/>
      <c r="GLS54" s="3579"/>
      <c r="GLT54" s="3579"/>
      <c r="GLU54" s="3579"/>
      <c r="GLV54" s="3579"/>
      <c r="GLW54" s="3579"/>
      <c r="GLX54" s="3579"/>
      <c r="GLY54" s="3579"/>
      <c r="GLZ54" s="3579"/>
      <c r="GMA54" s="3579"/>
      <c r="GMB54" s="3579"/>
      <c r="GMC54" s="3579"/>
      <c r="GMD54" s="3579"/>
      <c r="GME54" s="3579"/>
      <c r="GMF54" s="3579"/>
      <c r="GMG54" s="3579"/>
      <c r="GMH54" s="3579"/>
      <c r="GMI54" s="3579"/>
      <c r="GMJ54" s="3579"/>
      <c r="GMK54" s="3579"/>
      <c r="GML54" s="3579"/>
      <c r="GMM54" s="3579"/>
      <c r="GMN54" s="3579"/>
      <c r="GMO54" s="3579"/>
      <c r="GMP54" s="3579"/>
      <c r="GMQ54" s="3579"/>
      <c r="GMR54" s="3579"/>
      <c r="GMS54" s="3579"/>
      <c r="GMT54" s="3579"/>
      <c r="GMU54" s="3579"/>
      <c r="GMV54" s="3579"/>
      <c r="GMW54" s="3579"/>
      <c r="GMX54" s="3579"/>
      <c r="GMY54" s="3579"/>
      <c r="GMZ54" s="3579"/>
      <c r="GNA54" s="3579"/>
      <c r="GNB54" s="3579"/>
      <c r="GNC54" s="3579"/>
      <c r="GND54" s="3579"/>
      <c r="GNE54" s="3579"/>
      <c r="GNF54" s="3579"/>
      <c r="GNG54" s="3579"/>
      <c r="GNH54" s="3579"/>
      <c r="GNI54" s="3579"/>
      <c r="GNJ54" s="3579"/>
      <c r="GNK54" s="3579"/>
      <c r="GNL54" s="3579"/>
      <c r="GNM54" s="3579"/>
      <c r="GNN54" s="3579"/>
      <c r="GNO54" s="3579"/>
      <c r="GNP54" s="3579"/>
      <c r="GNQ54" s="3579"/>
      <c r="GNR54" s="3579"/>
      <c r="GNS54" s="3579"/>
      <c r="GNT54" s="3579"/>
      <c r="GNU54" s="3579"/>
      <c r="GNV54" s="3579"/>
      <c r="GNW54" s="3579"/>
      <c r="GNX54" s="3579"/>
      <c r="GNY54" s="3579"/>
      <c r="GNZ54" s="3579"/>
      <c r="GOA54" s="3579"/>
      <c r="GOB54" s="3579"/>
      <c r="GOC54" s="3579"/>
      <c r="GOD54" s="3579"/>
      <c r="GOE54" s="3579"/>
      <c r="GOF54" s="3579"/>
      <c r="GOG54" s="3579"/>
      <c r="GOH54" s="3579"/>
      <c r="GOI54" s="3579"/>
      <c r="GOJ54" s="3579"/>
      <c r="GOK54" s="3579"/>
      <c r="GOL54" s="3579"/>
      <c r="GOM54" s="3579"/>
      <c r="GON54" s="3579"/>
      <c r="GOO54" s="3579"/>
      <c r="GOP54" s="3579"/>
      <c r="GOQ54" s="3579"/>
      <c r="GOR54" s="3579"/>
      <c r="GOS54" s="3579"/>
      <c r="GOT54" s="3579"/>
      <c r="GOU54" s="3579"/>
      <c r="GOV54" s="3579"/>
      <c r="GOW54" s="3579"/>
      <c r="GOX54" s="3579"/>
      <c r="GOY54" s="3579"/>
      <c r="GOZ54" s="3579"/>
      <c r="GPA54" s="3579"/>
      <c r="GPB54" s="3579"/>
      <c r="GPC54" s="3579"/>
      <c r="GPD54" s="3579"/>
      <c r="GPE54" s="3579"/>
      <c r="GPF54" s="3579"/>
      <c r="GPG54" s="3579"/>
      <c r="GPH54" s="3579"/>
      <c r="GPI54" s="3579"/>
      <c r="GPJ54" s="3579"/>
      <c r="GPK54" s="3579"/>
      <c r="GPL54" s="3579"/>
      <c r="GPM54" s="3579"/>
      <c r="GPN54" s="3579"/>
      <c r="GPO54" s="3579"/>
      <c r="GPP54" s="3579"/>
      <c r="GPQ54" s="3579"/>
      <c r="GPR54" s="3579"/>
      <c r="GPS54" s="3579"/>
      <c r="GPT54" s="3579"/>
      <c r="GPU54" s="3579"/>
      <c r="GPV54" s="3579"/>
      <c r="GPW54" s="3579"/>
      <c r="GPX54" s="3579"/>
      <c r="GPY54" s="3579"/>
      <c r="GPZ54" s="3579"/>
      <c r="GQA54" s="3579"/>
      <c r="GQB54" s="3579"/>
      <c r="GQC54" s="3579"/>
      <c r="GQD54" s="3579"/>
      <c r="GQE54" s="3579"/>
      <c r="GQF54" s="3579"/>
      <c r="GQG54" s="3579"/>
      <c r="GQH54" s="3579"/>
      <c r="GQI54" s="3579"/>
      <c r="GQJ54" s="3579"/>
      <c r="GQK54" s="3579"/>
      <c r="GQL54" s="3579"/>
      <c r="GQM54" s="3579"/>
      <c r="GQN54" s="3579"/>
      <c r="GQO54" s="3579"/>
      <c r="GQP54" s="3579"/>
      <c r="GQQ54" s="3579"/>
      <c r="GQR54" s="3579"/>
      <c r="GQS54" s="3579"/>
      <c r="GQT54" s="3579"/>
      <c r="GQU54" s="3579"/>
      <c r="GQV54" s="3579"/>
      <c r="GQW54" s="3579"/>
      <c r="GQX54" s="3579"/>
      <c r="GQY54" s="3579"/>
      <c r="GQZ54" s="3579"/>
      <c r="GRA54" s="3579"/>
      <c r="GRB54" s="3579"/>
      <c r="GRC54" s="3579"/>
      <c r="GRD54" s="3579"/>
      <c r="GRE54" s="3579"/>
      <c r="GRF54" s="3579"/>
      <c r="GRG54" s="3579"/>
      <c r="GRH54" s="3579"/>
      <c r="GRI54" s="3579"/>
      <c r="GRJ54" s="3579"/>
      <c r="GRK54" s="3579"/>
      <c r="GRL54" s="3579"/>
      <c r="GRM54" s="3579"/>
      <c r="GRN54" s="3579"/>
      <c r="GRO54" s="3579"/>
      <c r="GRP54" s="3579"/>
      <c r="GRQ54" s="3579"/>
      <c r="GRR54" s="3579"/>
      <c r="GRS54" s="3579"/>
      <c r="GRT54" s="3579"/>
      <c r="GRU54" s="3579"/>
      <c r="GRV54" s="3579"/>
      <c r="GRW54" s="3579"/>
      <c r="GRX54" s="3579"/>
      <c r="GRY54" s="3579"/>
      <c r="GRZ54" s="3579"/>
      <c r="GSA54" s="3579"/>
      <c r="GSB54" s="3579"/>
      <c r="GSC54" s="3579"/>
      <c r="GSD54" s="3579"/>
      <c r="GSE54" s="3579"/>
      <c r="GSF54" s="3579"/>
      <c r="GSG54" s="3579"/>
      <c r="GSH54" s="3579"/>
      <c r="GSI54" s="3579"/>
      <c r="GSJ54" s="3579"/>
      <c r="GSK54" s="3579"/>
      <c r="GSL54" s="3579"/>
      <c r="GSM54" s="3579"/>
      <c r="GSN54" s="3579"/>
      <c r="GSO54" s="3579"/>
      <c r="GSP54" s="3579"/>
      <c r="GSQ54" s="3579"/>
      <c r="GSR54" s="3579"/>
      <c r="GSS54" s="3579"/>
      <c r="GST54" s="3579"/>
      <c r="GSU54" s="3579"/>
      <c r="GSV54" s="3579"/>
      <c r="GSW54" s="3579"/>
      <c r="GSX54" s="3579"/>
      <c r="GSY54" s="3579"/>
      <c r="GSZ54" s="3579"/>
      <c r="GTA54" s="3579"/>
      <c r="GTB54" s="3579"/>
      <c r="GTC54" s="3579"/>
      <c r="GTD54" s="3579"/>
      <c r="GTE54" s="3579"/>
      <c r="GTF54" s="3579"/>
      <c r="GTG54" s="3579"/>
      <c r="GTH54" s="3579"/>
      <c r="GTI54" s="3579"/>
      <c r="GTJ54" s="3579"/>
      <c r="GTK54" s="3579"/>
      <c r="GTL54" s="3579"/>
      <c r="GTM54" s="3579"/>
      <c r="GTN54" s="3579"/>
      <c r="GTO54" s="3579"/>
      <c r="GTP54" s="3579"/>
      <c r="GTQ54" s="3579"/>
      <c r="GTR54" s="3579"/>
      <c r="GTS54" s="3579"/>
      <c r="GTT54" s="3579"/>
      <c r="GTU54" s="3579"/>
      <c r="GTV54" s="3579"/>
      <c r="GTW54" s="3579"/>
      <c r="GTX54" s="3579"/>
      <c r="GTY54" s="3579"/>
      <c r="GTZ54" s="3579"/>
      <c r="GUA54" s="3579"/>
      <c r="GUB54" s="3579"/>
      <c r="GUC54" s="3579"/>
      <c r="GUD54" s="3579"/>
      <c r="GUE54" s="3579"/>
      <c r="GUF54" s="3579"/>
      <c r="GUG54" s="3579"/>
      <c r="GUH54" s="3579"/>
      <c r="GUI54" s="3579"/>
      <c r="GUJ54" s="3579"/>
      <c r="GUK54" s="3579"/>
      <c r="GUL54" s="3579"/>
      <c r="GUM54" s="3579"/>
      <c r="GUN54" s="3579"/>
      <c r="GUO54" s="3579"/>
      <c r="GUP54" s="3579"/>
      <c r="GUQ54" s="3579"/>
      <c r="GUR54" s="3579"/>
      <c r="GUS54" s="3579"/>
      <c r="GUT54" s="3579"/>
      <c r="GUU54" s="3579"/>
      <c r="GUV54" s="3579"/>
      <c r="GUW54" s="3579"/>
      <c r="GUX54" s="3579"/>
      <c r="GUY54" s="3579"/>
      <c r="GUZ54" s="3579"/>
      <c r="GVA54" s="3579"/>
      <c r="GVB54" s="3579"/>
      <c r="GVC54" s="3579"/>
      <c r="GVD54" s="3579"/>
      <c r="GVE54" s="3579"/>
      <c r="GVF54" s="3579"/>
      <c r="GVG54" s="3579"/>
      <c r="GVH54" s="3579"/>
      <c r="GVI54" s="3579"/>
      <c r="GVJ54" s="3579"/>
      <c r="GVK54" s="3579"/>
      <c r="GVL54" s="3579"/>
      <c r="GVM54" s="3579"/>
      <c r="GVN54" s="3579"/>
      <c r="GVO54" s="3579"/>
      <c r="GVP54" s="3579"/>
      <c r="GVQ54" s="3579"/>
      <c r="GVR54" s="3579"/>
      <c r="GVS54" s="3579"/>
      <c r="GVT54" s="3579"/>
      <c r="GVU54" s="3579"/>
      <c r="GVV54" s="3579"/>
      <c r="GVW54" s="3579"/>
      <c r="GVX54" s="3579"/>
      <c r="GVY54" s="3579"/>
      <c r="GVZ54" s="3579"/>
      <c r="GWA54" s="3579"/>
      <c r="GWB54" s="3579"/>
      <c r="GWC54" s="3579"/>
      <c r="GWD54" s="3579"/>
      <c r="GWE54" s="3579"/>
      <c r="GWF54" s="3579"/>
      <c r="GWG54" s="3579"/>
      <c r="GWH54" s="3579"/>
      <c r="GWI54" s="3579"/>
      <c r="GWJ54" s="3579"/>
      <c r="GWK54" s="3579"/>
      <c r="GWL54" s="3579"/>
      <c r="GWM54" s="3579"/>
      <c r="GWN54" s="3579"/>
      <c r="GWO54" s="3579"/>
      <c r="GWP54" s="3579"/>
      <c r="GWQ54" s="3579"/>
      <c r="GWR54" s="3579"/>
      <c r="GWS54" s="3579"/>
      <c r="GWT54" s="3579"/>
      <c r="GWU54" s="3579"/>
      <c r="GWV54" s="3579"/>
      <c r="GWW54" s="3579"/>
      <c r="GWX54" s="3579"/>
      <c r="GWY54" s="3579"/>
      <c r="GWZ54" s="3579"/>
      <c r="GXA54" s="3579"/>
      <c r="GXB54" s="3579"/>
      <c r="GXC54" s="3579"/>
      <c r="GXD54" s="3579"/>
      <c r="GXE54" s="3579"/>
      <c r="GXF54" s="3579"/>
      <c r="GXG54" s="3579"/>
      <c r="GXH54" s="3579"/>
      <c r="GXI54" s="3579"/>
      <c r="GXJ54" s="3579"/>
      <c r="GXK54" s="3579"/>
      <c r="GXL54" s="3579"/>
      <c r="GXM54" s="3579"/>
      <c r="GXN54" s="3579"/>
      <c r="GXO54" s="3579"/>
      <c r="GXP54" s="3579"/>
      <c r="GXQ54" s="3579"/>
      <c r="GXR54" s="3579"/>
      <c r="GXS54" s="3579"/>
      <c r="GXT54" s="3579"/>
      <c r="GXU54" s="3579"/>
      <c r="GXV54" s="3579"/>
      <c r="GXW54" s="3579"/>
      <c r="GXX54" s="3579"/>
      <c r="GXY54" s="3579"/>
      <c r="GXZ54" s="3579"/>
      <c r="GYA54" s="3579"/>
      <c r="GYB54" s="3579"/>
      <c r="GYC54" s="3579"/>
      <c r="GYD54" s="3579"/>
      <c r="GYE54" s="3579"/>
      <c r="GYF54" s="3579"/>
      <c r="GYG54" s="3579"/>
      <c r="GYH54" s="3579"/>
      <c r="GYI54" s="3579"/>
      <c r="GYJ54" s="3579"/>
      <c r="GYK54" s="3579"/>
      <c r="GYL54" s="3579"/>
      <c r="GYM54" s="3579"/>
      <c r="GYN54" s="3579"/>
      <c r="GYO54" s="3579"/>
      <c r="GYP54" s="3579"/>
      <c r="GYQ54" s="3579"/>
      <c r="GYR54" s="3579"/>
      <c r="GYS54" s="3579"/>
      <c r="GYT54" s="3579"/>
      <c r="GYU54" s="3579"/>
      <c r="GYV54" s="3579"/>
      <c r="GYW54" s="3579"/>
      <c r="GYX54" s="3579"/>
      <c r="GYY54" s="3579"/>
      <c r="GYZ54" s="3579"/>
      <c r="GZA54" s="3579"/>
      <c r="GZB54" s="3579"/>
      <c r="GZC54" s="3579"/>
      <c r="GZD54" s="3579"/>
      <c r="GZE54" s="3579"/>
      <c r="GZF54" s="3579"/>
      <c r="GZG54" s="3579"/>
      <c r="GZH54" s="3579"/>
      <c r="GZI54" s="3579"/>
      <c r="GZJ54" s="3579"/>
      <c r="GZK54" s="3579"/>
      <c r="GZL54" s="3579"/>
      <c r="GZM54" s="3579"/>
      <c r="GZN54" s="3579"/>
      <c r="GZO54" s="3579"/>
      <c r="GZP54" s="3579"/>
      <c r="GZQ54" s="3579"/>
      <c r="GZR54" s="3579"/>
      <c r="GZS54" s="3579"/>
      <c r="GZT54" s="3579"/>
      <c r="GZU54" s="3579"/>
      <c r="GZV54" s="3579"/>
      <c r="GZW54" s="3579"/>
      <c r="GZX54" s="3579"/>
      <c r="GZY54" s="3579"/>
      <c r="GZZ54" s="3579"/>
      <c r="HAA54" s="3579"/>
      <c r="HAB54" s="3579"/>
      <c r="HAC54" s="3579"/>
      <c r="HAD54" s="3579"/>
      <c r="HAE54" s="3579"/>
      <c r="HAF54" s="3579"/>
      <c r="HAG54" s="3579"/>
      <c r="HAH54" s="3579"/>
      <c r="HAI54" s="3579"/>
      <c r="HAJ54" s="3579"/>
      <c r="HAK54" s="3579"/>
      <c r="HAL54" s="3579"/>
      <c r="HAM54" s="3579"/>
      <c r="HAN54" s="3579"/>
      <c r="HAO54" s="3579"/>
      <c r="HAP54" s="3579"/>
      <c r="HAQ54" s="3579"/>
      <c r="HAR54" s="3579"/>
      <c r="HAS54" s="3579"/>
      <c r="HAT54" s="3579"/>
      <c r="HAU54" s="3579"/>
      <c r="HAV54" s="3579"/>
      <c r="HAW54" s="3579"/>
      <c r="HAX54" s="3579"/>
      <c r="HAY54" s="3579"/>
      <c r="HAZ54" s="3579"/>
      <c r="HBA54" s="3579"/>
      <c r="HBB54" s="3579"/>
      <c r="HBC54" s="3579"/>
      <c r="HBD54" s="3579"/>
      <c r="HBE54" s="3579"/>
      <c r="HBF54" s="3579"/>
      <c r="HBG54" s="3579"/>
      <c r="HBH54" s="3579"/>
      <c r="HBI54" s="3579"/>
      <c r="HBJ54" s="3579"/>
      <c r="HBK54" s="3579"/>
      <c r="HBL54" s="3579"/>
      <c r="HBM54" s="3579"/>
      <c r="HBN54" s="3579"/>
      <c r="HBO54" s="3579"/>
      <c r="HBP54" s="3579"/>
      <c r="HBQ54" s="3579"/>
      <c r="HBR54" s="3579"/>
      <c r="HBS54" s="3579"/>
      <c r="HBT54" s="3579"/>
      <c r="HBU54" s="3579"/>
      <c r="HBV54" s="3579"/>
      <c r="HBW54" s="3579"/>
      <c r="HBX54" s="3579"/>
      <c r="HBY54" s="3579"/>
      <c r="HBZ54" s="3579"/>
      <c r="HCA54" s="3579"/>
      <c r="HCB54" s="3579"/>
      <c r="HCC54" s="3579"/>
      <c r="HCD54" s="3579"/>
      <c r="HCE54" s="3579"/>
      <c r="HCF54" s="3579"/>
      <c r="HCG54" s="3579"/>
      <c r="HCH54" s="3579"/>
      <c r="HCI54" s="3579"/>
      <c r="HCJ54" s="3579"/>
      <c r="HCK54" s="3579"/>
      <c r="HCL54" s="3579"/>
      <c r="HCM54" s="3579"/>
      <c r="HCN54" s="3579"/>
      <c r="HCO54" s="3579"/>
      <c r="HCP54" s="3579"/>
      <c r="HCQ54" s="3579"/>
      <c r="HCR54" s="3579"/>
      <c r="HCS54" s="3579"/>
      <c r="HCT54" s="3579"/>
      <c r="HCU54" s="3579"/>
      <c r="HCV54" s="3579"/>
      <c r="HCW54" s="3579"/>
      <c r="HCX54" s="3579"/>
      <c r="HCY54" s="3579"/>
      <c r="HCZ54" s="3579"/>
      <c r="HDA54" s="3579"/>
      <c r="HDB54" s="3579"/>
      <c r="HDC54" s="3579"/>
      <c r="HDD54" s="3579"/>
      <c r="HDE54" s="3579"/>
      <c r="HDF54" s="3579"/>
      <c r="HDG54" s="3579"/>
      <c r="HDH54" s="3579"/>
      <c r="HDI54" s="3579"/>
      <c r="HDJ54" s="3579"/>
      <c r="HDK54" s="3579"/>
      <c r="HDL54" s="3579"/>
      <c r="HDM54" s="3579"/>
      <c r="HDN54" s="3579"/>
      <c r="HDO54" s="3579"/>
      <c r="HDP54" s="3579"/>
      <c r="HDQ54" s="3579"/>
      <c r="HDR54" s="3579"/>
      <c r="HDS54" s="3579"/>
      <c r="HDT54" s="3579"/>
      <c r="HDU54" s="3579"/>
      <c r="HDV54" s="3579"/>
      <c r="HDW54" s="3579"/>
      <c r="HDX54" s="3579"/>
      <c r="HDY54" s="3579"/>
      <c r="HDZ54" s="3579"/>
      <c r="HEA54" s="3579"/>
      <c r="HEB54" s="3579"/>
      <c r="HEC54" s="3579"/>
      <c r="HED54" s="3579"/>
      <c r="HEE54" s="3579"/>
      <c r="HEF54" s="3579"/>
      <c r="HEG54" s="3579"/>
      <c r="HEH54" s="3579"/>
      <c r="HEI54" s="3579"/>
      <c r="HEJ54" s="3579"/>
      <c r="HEK54" s="3579"/>
      <c r="HEL54" s="3579"/>
      <c r="HEM54" s="3579"/>
      <c r="HEN54" s="3579"/>
      <c r="HEO54" s="3579"/>
      <c r="HEP54" s="3579"/>
      <c r="HEQ54" s="3579"/>
      <c r="HER54" s="3579"/>
      <c r="HES54" s="3579"/>
      <c r="HET54" s="3579"/>
      <c r="HEU54" s="3579"/>
      <c r="HEV54" s="3579"/>
      <c r="HEW54" s="3579"/>
      <c r="HEX54" s="3579"/>
      <c r="HEY54" s="3579"/>
      <c r="HEZ54" s="3579"/>
      <c r="HFA54" s="3579"/>
      <c r="HFB54" s="3579"/>
      <c r="HFC54" s="3579"/>
      <c r="HFD54" s="3579"/>
      <c r="HFE54" s="3579"/>
      <c r="HFF54" s="3579"/>
      <c r="HFG54" s="3579"/>
      <c r="HFH54" s="3579"/>
      <c r="HFI54" s="3579"/>
      <c r="HFJ54" s="3579"/>
      <c r="HFK54" s="3579"/>
      <c r="HFL54" s="3579"/>
      <c r="HFM54" s="3579"/>
      <c r="HFN54" s="3579"/>
      <c r="HFO54" s="3579"/>
      <c r="HFP54" s="3579"/>
      <c r="HFQ54" s="3579"/>
      <c r="HFR54" s="3579"/>
      <c r="HFS54" s="3579"/>
      <c r="HFT54" s="3579"/>
      <c r="HFU54" s="3579"/>
      <c r="HFV54" s="3579"/>
      <c r="HFW54" s="3579"/>
      <c r="HFX54" s="3579"/>
      <c r="HFY54" s="3579"/>
      <c r="HFZ54" s="3579"/>
      <c r="HGA54" s="3579"/>
      <c r="HGB54" s="3579"/>
      <c r="HGC54" s="3579"/>
      <c r="HGD54" s="3579"/>
      <c r="HGE54" s="3579"/>
      <c r="HGF54" s="3579"/>
      <c r="HGG54" s="3579"/>
      <c r="HGH54" s="3579"/>
      <c r="HGI54" s="3579"/>
      <c r="HGJ54" s="3579"/>
      <c r="HGK54" s="3579"/>
      <c r="HGL54" s="3579"/>
      <c r="HGM54" s="3579"/>
      <c r="HGN54" s="3579"/>
      <c r="HGO54" s="3579"/>
      <c r="HGP54" s="3579"/>
      <c r="HGQ54" s="3579"/>
      <c r="HGR54" s="3579"/>
      <c r="HGS54" s="3579"/>
      <c r="HGT54" s="3579"/>
      <c r="HGU54" s="3579"/>
      <c r="HGV54" s="3579"/>
      <c r="HGW54" s="3579"/>
      <c r="HGX54" s="3579"/>
      <c r="HGY54" s="3579"/>
      <c r="HGZ54" s="3579"/>
      <c r="HHA54" s="3579"/>
      <c r="HHB54" s="3579"/>
      <c r="HHC54" s="3579"/>
      <c r="HHD54" s="3579"/>
      <c r="HHE54" s="3579"/>
      <c r="HHF54" s="3579"/>
      <c r="HHG54" s="3579"/>
      <c r="HHH54" s="3579"/>
      <c r="HHI54" s="3579"/>
      <c r="HHJ54" s="3579"/>
      <c r="HHK54" s="3579"/>
      <c r="HHL54" s="3579"/>
      <c r="HHM54" s="3579"/>
      <c r="HHN54" s="3579"/>
      <c r="HHO54" s="3579"/>
      <c r="HHP54" s="3579"/>
      <c r="HHQ54" s="3579"/>
      <c r="HHR54" s="3579"/>
      <c r="HHS54" s="3579"/>
      <c r="HHT54" s="3579"/>
      <c r="HHU54" s="3579"/>
      <c r="HHV54" s="3579"/>
      <c r="HHW54" s="3579"/>
      <c r="HHX54" s="3579"/>
      <c r="HHY54" s="3579"/>
      <c r="HHZ54" s="3579"/>
      <c r="HIA54" s="3579"/>
      <c r="HIB54" s="3579"/>
      <c r="HIC54" s="3579"/>
      <c r="HID54" s="3579"/>
      <c r="HIE54" s="3579"/>
      <c r="HIF54" s="3579"/>
      <c r="HIG54" s="3579"/>
      <c r="HIH54" s="3579"/>
      <c r="HII54" s="3579"/>
      <c r="HIJ54" s="3579"/>
      <c r="HIK54" s="3579"/>
      <c r="HIL54" s="3579"/>
      <c r="HIM54" s="3579"/>
      <c r="HIN54" s="3579"/>
      <c r="HIO54" s="3579"/>
      <c r="HIP54" s="3579"/>
      <c r="HIQ54" s="3579"/>
      <c r="HIR54" s="3579"/>
      <c r="HIS54" s="3579"/>
      <c r="HIT54" s="3579"/>
      <c r="HIU54" s="3579"/>
      <c r="HIV54" s="3579"/>
      <c r="HIW54" s="3579"/>
      <c r="HIX54" s="3579"/>
      <c r="HIY54" s="3579"/>
      <c r="HIZ54" s="3579"/>
      <c r="HJA54" s="3579"/>
      <c r="HJB54" s="3579"/>
      <c r="HJC54" s="3579"/>
      <c r="HJD54" s="3579"/>
      <c r="HJE54" s="3579"/>
      <c r="HJF54" s="3579"/>
      <c r="HJG54" s="3579"/>
      <c r="HJH54" s="3579"/>
      <c r="HJI54" s="3579"/>
      <c r="HJJ54" s="3579"/>
      <c r="HJK54" s="3579"/>
      <c r="HJL54" s="3579"/>
      <c r="HJM54" s="3579"/>
      <c r="HJN54" s="3579"/>
      <c r="HJO54" s="3579"/>
      <c r="HJP54" s="3579"/>
      <c r="HJQ54" s="3579"/>
      <c r="HJR54" s="3579"/>
      <c r="HJS54" s="3579"/>
      <c r="HJT54" s="3579"/>
      <c r="HJU54" s="3579"/>
      <c r="HJV54" s="3579"/>
      <c r="HJW54" s="3579"/>
      <c r="HJX54" s="3579"/>
      <c r="HJY54" s="3579"/>
      <c r="HJZ54" s="3579"/>
      <c r="HKA54" s="3579"/>
      <c r="HKB54" s="3579"/>
      <c r="HKC54" s="3579"/>
      <c r="HKD54" s="3579"/>
      <c r="HKE54" s="3579"/>
      <c r="HKF54" s="3579"/>
      <c r="HKG54" s="3579"/>
      <c r="HKH54" s="3579"/>
      <c r="HKI54" s="3579"/>
      <c r="HKJ54" s="3579"/>
      <c r="HKK54" s="3579"/>
      <c r="HKL54" s="3579"/>
      <c r="HKM54" s="3579"/>
      <c r="HKN54" s="3579"/>
      <c r="HKO54" s="3579"/>
      <c r="HKP54" s="3579"/>
      <c r="HKQ54" s="3579"/>
      <c r="HKR54" s="3579"/>
      <c r="HKS54" s="3579"/>
      <c r="HKT54" s="3579"/>
      <c r="HKU54" s="3579"/>
      <c r="HKV54" s="3579"/>
      <c r="HKW54" s="3579"/>
      <c r="HKX54" s="3579"/>
      <c r="HKY54" s="3579"/>
      <c r="HKZ54" s="3579"/>
      <c r="HLA54" s="3579"/>
      <c r="HLB54" s="3579"/>
      <c r="HLC54" s="3579"/>
      <c r="HLD54" s="3579"/>
      <c r="HLE54" s="3579"/>
      <c r="HLF54" s="3579"/>
      <c r="HLG54" s="3579"/>
      <c r="HLH54" s="3579"/>
      <c r="HLI54" s="3579"/>
      <c r="HLJ54" s="3579"/>
      <c r="HLK54" s="3579"/>
      <c r="HLL54" s="3579"/>
      <c r="HLM54" s="3579"/>
      <c r="HLN54" s="3579"/>
      <c r="HLO54" s="3579"/>
      <c r="HLP54" s="3579"/>
      <c r="HLQ54" s="3579"/>
      <c r="HLR54" s="3579"/>
      <c r="HLS54" s="3579"/>
      <c r="HLT54" s="3579"/>
      <c r="HLU54" s="3579"/>
      <c r="HLV54" s="3579"/>
      <c r="HLW54" s="3579"/>
      <c r="HLX54" s="3579"/>
      <c r="HLY54" s="3579"/>
      <c r="HLZ54" s="3579"/>
      <c r="HMA54" s="3579"/>
      <c r="HMB54" s="3579"/>
      <c r="HMC54" s="3579"/>
      <c r="HMD54" s="3579"/>
      <c r="HME54" s="3579"/>
      <c r="HMF54" s="3579"/>
      <c r="HMG54" s="3579"/>
      <c r="HMH54" s="3579"/>
      <c r="HMI54" s="3579"/>
      <c r="HMJ54" s="3579"/>
      <c r="HMK54" s="3579"/>
      <c r="HML54" s="3579"/>
      <c r="HMM54" s="3579"/>
      <c r="HMN54" s="3579"/>
      <c r="HMO54" s="3579"/>
      <c r="HMP54" s="3579"/>
      <c r="HMQ54" s="3579"/>
      <c r="HMR54" s="3579"/>
      <c r="HMS54" s="3579"/>
      <c r="HMT54" s="3579"/>
      <c r="HMU54" s="3579"/>
      <c r="HMV54" s="3579"/>
      <c r="HMW54" s="3579"/>
      <c r="HMX54" s="3579"/>
      <c r="HMY54" s="3579"/>
      <c r="HMZ54" s="3579"/>
      <c r="HNA54" s="3579"/>
      <c r="HNB54" s="3579"/>
      <c r="HNC54" s="3579"/>
      <c r="HND54" s="3579"/>
      <c r="HNE54" s="3579"/>
      <c r="HNF54" s="3579"/>
      <c r="HNG54" s="3579"/>
      <c r="HNH54" s="3579"/>
      <c r="HNI54" s="3579"/>
      <c r="HNJ54" s="3579"/>
      <c r="HNK54" s="3579"/>
      <c r="HNL54" s="3579"/>
      <c r="HNM54" s="3579"/>
      <c r="HNN54" s="3579"/>
      <c r="HNO54" s="3579"/>
      <c r="HNP54" s="3579"/>
      <c r="HNQ54" s="3579"/>
      <c r="HNR54" s="3579"/>
      <c r="HNS54" s="3579"/>
      <c r="HNT54" s="3579"/>
      <c r="HNU54" s="3579"/>
      <c r="HNV54" s="3579"/>
      <c r="HNW54" s="3579"/>
      <c r="HNX54" s="3579"/>
      <c r="HNY54" s="3579"/>
      <c r="HNZ54" s="3579"/>
      <c r="HOA54" s="3579"/>
      <c r="HOB54" s="3579"/>
      <c r="HOC54" s="3579"/>
      <c r="HOD54" s="3579"/>
      <c r="HOE54" s="3579"/>
      <c r="HOF54" s="3579"/>
      <c r="HOG54" s="3579"/>
      <c r="HOH54" s="3579"/>
      <c r="HOI54" s="3579"/>
      <c r="HOJ54" s="3579"/>
      <c r="HOK54" s="3579"/>
      <c r="HOL54" s="3579"/>
      <c r="HOM54" s="3579"/>
      <c r="HON54" s="3579"/>
      <c r="HOO54" s="3579"/>
      <c r="HOP54" s="3579"/>
      <c r="HOQ54" s="3579"/>
      <c r="HOR54" s="3579"/>
      <c r="HOS54" s="3579"/>
      <c r="HOT54" s="3579"/>
      <c r="HOU54" s="3579"/>
      <c r="HOV54" s="3579"/>
      <c r="HOW54" s="3579"/>
      <c r="HOX54" s="3579"/>
      <c r="HOY54" s="3579"/>
      <c r="HOZ54" s="3579"/>
      <c r="HPA54" s="3579"/>
      <c r="HPB54" s="3579"/>
      <c r="HPC54" s="3579"/>
      <c r="HPD54" s="3579"/>
      <c r="HPE54" s="3579"/>
      <c r="HPF54" s="3579"/>
      <c r="HPG54" s="3579"/>
      <c r="HPH54" s="3579"/>
      <c r="HPI54" s="3579"/>
      <c r="HPJ54" s="3579"/>
      <c r="HPK54" s="3579"/>
      <c r="HPL54" s="3579"/>
      <c r="HPM54" s="3579"/>
      <c r="HPN54" s="3579"/>
      <c r="HPO54" s="3579"/>
      <c r="HPP54" s="3579"/>
      <c r="HPQ54" s="3579"/>
      <c r="HPR54" s="3579"/>
      <c r="HPS54" s="3579"/>
      <c r="HPT54" s="3579"/>
      <c r="HPU54" s="3579"/>
      <c r="HPV54" s="3579"/>
      <c r="HPW54" s="3579"/>
      <c r="HPX54" s="3579"/>
      <c r="HPY54" s="3579"/>
      <c r="HPZ54" s="3579"/>
      <c r="HQA54" s="3579"/>
      <c r="HQB54" s="3579"/>
      <c r="HQC54" s="3579"/>
      <c r="HQD54" s="3579"/>
      <c r="HQE54" s="3579"/>
      <c r="HQF54" s="3579"/>
      <c r="HQG54" s="3579"/>
      <c r="HQH54" s="3579"/>
      <c r="HQI54" s="3579"/>
      <c r="HQJ54" s="3579"/>
      <c r="HQK54" s="3579"/>
      <c r="HQL54" s="3579"/>
      <c r="HQM54" s="3579"/>
      <c r="HQN54" s="3579"/>
      <c r="HQO54" s="3579"/>
      <c r="HQP54" s="3579"/>
      <c r="HQQ54" s="3579"/>
      <c r="HQR54" s="3579"/>
      <c r="HQS54" s="3579"/>
      <c r="HQT54" s="3579"/>
      <c r="HQU54" s="3579"/>
      <c r="HQV54" s="3579"/>
      <c r="HQW54" s="3579"/>
      <c r="HQX54" s="3579"/>
      <c r="HQY54" s="3579"/>
      <c r="HQZ54" s="3579"/>
      <c r="HRA54" s="3579"/>
      <c r="HRB54" s="3579"/>
      <c r="HRC54" s="3579"/>
      <c r="HRD54" s="3579"/>
      <c r="HRE54" s="3579"/>
      <c r="HRF54" s="3579"/>
      <c r="HRG54" s="3579"/>
      <c r="HRH54" s="3579"/>
      <c r="HRI54" s="3579"/>
      <c r="HRJ54" s="3579"/>
      <c r="HRK54" s="3579"/>
      <c r="HRL54" s="3579"/>
      <c r="HRM54" s="3579"/>
      <c r="HRN54" s="3579"/>
      <c r="HRO54" s="3579"/>
      <c r="HRP54" s="3579"/>
      <c r="HRQ54" s="3579"/>
      <c r="HRR54" s="3579"/>
      <c r="HRS54" s="3579"/>
      <c r="HRT54" s="3579"/>
      <c r="HRU54" s="3579"/>
      <c r="HRV54" s="3579"/>
      <c r="HRW54" s="3579"/>
      <c r="HRX54" s="3579"/>
      <c r="HRY54" s="3579"/>
      <c r="HRZ54" s="3579"/>
      <c r="HSA54" s="3579"/>
      <c r="HSB54" s="3579"/>
      <c r="HSC54" s="3579"/>
      <c r="HSD54" s="3579"/>
      <c r="HSE54" s="3579"/>
      <c r="HSF54" s="3579"/>
      <c r="HSG54" s="3579"/>
      <c r="HSH54" s="3579"/>
      <c r="HSI54" s="3579"/>
      <c r="HSJ54" s="3579"/>
      <c r="HSK54" s="3579"/>
      <c r="HSL54" s="3579"/>
      <c r="HSM54" s="3579"/>
      <c r="HSN54" s="3579"/>
      <c r="HSO54" s="3579"/>
      <c r="HSP54" s="3579"/>
      <c r="HSQ54" s="3579"/>
      <c r="HSR54" s="3579"/>
      <c r="HSS54" s="3579"/>
      <c r="HST54" s="3579"/>
      <c r="HSU54" s="3579"/>
      <c r="HSV54" s="3579"/>
      <c r="HSW54" s="3579"/>
      <c r="HSX54" s="3579"/>
      <c r="HSY54" s="3579"/>
      <c r="HSZ54" s="3579"/>
      <c r="HTA54" s="3579"/>
      <c r="HTB54" s="3579"/>
      <c r="HTC54" s="3579"/>
      <c r="HTD54" s="3579"/>
      <c r="HTE54" s="3579"/>
      <c r="HTF54" s="3579"/>
      <c r="HTG54" s="3579"/>
      <c r="HTH54" s="3579"/>
      <c r="HTI54" s="3579"/>
      <c r="HTJ54" s="3579"/>
      <c r="HTK54" s="3579"/>
      <c r="HTL54" s="3579"/>
      <c r="HTM54" s="3579"/>
      <c r="HTN54" s="3579"/>
      <c r="HTO54" s="3579"/>
      <c r="HTP54" s="3579"/>
      <c r="HTQ54" s="3579"/>
      <c r="HTR54" s="3579"/>
      <c r="HTS54" s="3579"/>
      <c r="HTT54" s="3579"/>
      <c r="HTU54" s="3579"/>
      <c r="HTV54" s="3579"/>
      <c r="HTW54" s="3579"/>
      <c r="HTX54" s="3579"/>
      <c r="HTY54" s="3579"/>
      <c r="HTZ54" s="3579"/>
      <c r="HUA54" s="3579"/>
      <c r="HUB54" s="3579"/>
      <c r="HUC54" s="3579"/>
      <c r="HUD54" s="3579"/>
      <c r="HUE54" s="3579"/>
      <c r="HUF54" s="3579"/>
      <c r="HUG54" s="3579"/>
      <c r="HUH54" s="3579"/>
      <c r="HUI54" s="3579"/>
      <c r="HUJ54" s="3579"/>
      <c r="HUK54" s="3579"/>
      <c r="HUL54" s="3579"/>
      <c r="HUM54" s="3579"/>
      <c r="HUN54" s="3579"/>
      <c r="HUO54" s="3579"/>
      <c r="HUP54" s="3579"/>
      <c r="HUQ54" s="3579"/>
      <c r="HUR54" s="3579"/>
      <c r="HUS54" s="3579"/>
      <c r="HUT54" s="3579"/>
      <c r="HUU54" s="3579"/>
      <c r="HUV54" s="3579"/>
      <c r="HUW54" s="3579"/>
      <c r="HUX54" s="3579"/>
      <c r="HUY54" s="3579"/>
      <c r="HUZ54" s="3579"/>
      <c r="HVA54" s="3579"/>
      <c r="HVB54" s="3579"/>
      <c r="HVC54" s="3579"/>
      <c r="HVD54" s="3579"/>
      <c r="HVE54" s="3579"/>
      <c r="HVF54" s="3579"/>
      <c r="HVG54" s="3579"/>
      <c r="HVH54" s="3579"/>
      <c r="HVI54" s="3579"/>
      <c r="HVJ54" s="3579"/>
      <c r="HVK54" s="3579"/>
      <c r="HVL54" s="3579"/>
      <c r="HVM54" s="3579"/>
      <c r="HVN54" s="3579"/>
      <c r="HVO54" s="3579"/>
      <c r="HVP54" s="3579"/>
      <c r="HVQ54" s="3579"/>
      <c r="HVR54" s="3579"/>
      <c r="HVS54" s="3579"/>
      <c r="HVT54" s="3579"/>
      <c r="HVU54" s="3579"/>
      <c r="HVV54" s="3579"/>
      <c r="HVW54" s="3579"/>
      <c r="HVX54" s="3579"/>
      <c r="HVY54" s="3579"/>
      <c r="HVZ54" s="3579"/>
      <c r="HWA54" s="3579"/>
      <c r="HWB54" s="3579"/>
      <c r="HWC54" s="3579"/>
      <c r="HWD54" s="3579"/>
      <c r="HWE54" s="3579"/>
      <c r="HWF54" s="3579"/>
      <c r="HWG54" s="3579"/>
      <c r="HWH54" s="3579"/>
      <c r="HWI54" s="3579"/>
      <c r="HWJ54" s="3579"/>
      <c r="HWK54" s="3579"/>
      <c r="HWL54" s="3579"/>
      <c r="HWM54" s="3579"/>
      <c r="HWN54" s="3579"/>
      <c r="HWO54" s="3579"/>
      <c r="HWP54" s="3579"/>
      <c r="HWQ54" s="3579"/>
      <c r="HWR54" s="3579"/>
      <c r="HWS54" s="3579"/>
      <c r="HWT54" s="3579"/>
      <c r="HWU54" s="3579"/>
      <c r="HWV54" s="3579"/>
      <c r="HWW54" s="3579"/>
      <c r="HWX54" s="3579"/>
      <c r="HWY54" s="3579"/>
      <c r="HWZ54" s="3579"/>
      <c r="HXA54" s="3579"/>
      <c r="HXB54" s="3579"/>
      <c r="HXC54" s="3579"/>
      <c r="HXD54" s="3579"/>
      <c r="HXE54" s="3579"/>
      <c r="HXF54" s="3579"/>
      <c r="HXG54" s="3579"/>
      <c r="HXH54" s="3579"/>
      <c r="HXI54" s="3579"/>
      <c r="HXJ54" s="3579"/>
      <c r="HXK54" s="3579"/>
      <c r="HXL54" s="3579"/>
      <c r="HXM54" s="3579"/>
      <c r="HXN54" s="3579"/>
      <c r="HXO54" s="3579"/>
      <c r="HXP54" s="3579"/>
      <c r="HXQ54" s="3579"/>
      <c r="HXR54" s="3579"/>
      <c r="HXS54" s="3579"/>
      <c r="HXT54" s="3579"/>
      <c r="HXU54" s="3579"/>
      <c r="HXV54" s="3579"/>
      <c r="HXW54" s="3579"/>
      <c r="HXX54" s="3579"/>
      <c r="HXY54" s="3579"/>
      <c r="HXZ54" s="3579"/>
      <c r="HYA54" s="3579"/>
      <c r="HYB54" s="3579"/>
      <c r="HYC54" s="3579"/>
      <c r="HYD54" s="3579"/>
      <c r="HYE54" s="3579"/>
      <c r="HYF54" s="3579"/>
      <c r="HYG54" s="3579"/>
      <c r="HYH54" s="3579"/>
      <c r="HYI54" s="3579"/>
      <c r="HYJ54" s="3579"/>
      <c r="HYK54" s="3579"/>
      <c r="HYL54" s="3579"/>
      <c r="HYM54" s="3579"/>
      <c r="HYN54" s="3579"/>
      <c r="HYO54" s="3579"/>
      <c r="HYP54" s="3579"/>
      <c r="HYQ54" s="3579"/>
      <c r="HYR54" s="3579"/>
      <c r="HYS54" s="3579"/>
      <c r="HYT54" s="3579"/>
      <c r="HYU54" s="3579"/>
      <c r="HYV54" s="3579"/>
      <c r="HYW54" s="3579"/>
      <c r="HYX54" s="3579"/>
      <c r="HYY54" s="3579"/>
      <c r="HYZ54" s="3579"/>
      <c r="HZA54" s="3579"/>
      <c r="HZB54" s="3579"/>
      <c r="HZC54" s="3579"/>
      <c r="HZD54" s="3579"/>
      <c r="HZE54" s="3579"/>
      <c r="HZF54" s="3579"/>
      <c r="HZG54" s="3579"/>
      <c r="HZH54" s="3579"/>
      <c r="HZI54" s="3579"/>
      <c r="HZJ54" s="3579"/>
      <c r="HZK54" s="3579"/>
      <c r="HZL54" s="3579"/>
      <c r="HZM54" s="3579"/>
      <c r="HZN54" s="3579"/>
      <c r="HZO54" s="3579"/>
      <c r="HZP54" s="3579"/>
      <c r="HZQ54" s="3579"/>
      <c r="HZR54" s="3579"/>
      <c r="HZS54" s="3579"/>
      <c r="HZT54" s="3579"/>
      <c r="HZU54" s="3579"/>
      <c r="HZV54" s="3579"/>
      <c r="HZW54" s="3579"/>
      <c r="HZX54" s="3579"/>
      <c r="HZY54" s="3579"/>
      <c r="HZZ54" s="3579"/>
      <c r="IAA54" s="3579"/>
      <c r="IAB54" s="3579"/>
      <c r="IAC54" s="3579"/>
      <c r="IAD54" s="3579"/>
      <c r="IAE54" s="3579"/>
      <c r="IAF54" s="3579"/>
      <c r="IAG54" s="3579"/>
      <c r="IAH54" s="3579"/>
      <c r="IAI54" s="3579"/>
      <c r="IAJ54" s="3579"/>
      <c r="IAK54" s="3579"/>
      <c r="IAL54" s="3579"/>
      <c r="IAM54" s="3579"/>
      <c r="IAN54" s="3579"/>
      <c r="IAO54" s="3579"/>
      <c r="IAP54" s="3579"/>
      <c r="IAQ54" s="3579"/>
      <c r="IAR54" s="3579"/>
      <c r="IAS54" s="3579"/>
      <c r="IAT54" s="3579"/>
      <c r="IAU54" s="3579"/>
      <c r="IAV54" s="3579"/>
      <c r="IAW54" s="3579"/>
      <c r="IAX54" s="3579"/>
      <c r="IAY54" s="3579"/>
      <c r="IAZ54" s="3579"/>
      <c r="IBA54" s="3579"/>
      <c r="IBB54" s="3579"/>
      <c r="IBC54" s="3579"/>
      <c r="IBD54" s="3579"/>
      <c r="IBE54" s="3579"/>
      <c r="IBF54" s="3579"/>
      <c r="IBG54" s="3579"/>
      <c r="IBH54" s="3579"/>
      <c r="IBI54" s="3579"/>
      <c r="IBJ54" s="3579"/>
      <c r="IBK54" s="3579"/>
      <c r="IBL54" s="3579"/>
      <c r="IBM54" s="3579"/>
      <c r="IBN54" s="3579"/>
      <c r="IBO54" s="3579"/>
      <c r="IBP54" s="3579"/>
      <c r="IBQ54" s="3579"/>
      <c r="IBR54" s="3579"/>
      <c r="IBS54" s="3579"/>
      <c r="IBT54" s="3579"/>
      <c r="IBU54" s="3579"/>
      <c r="IBV54" s="3579"/>
      <c r="IBW54" s="3579"/>
      <c r="IBX54" s="3579"/>
      <c r="IBY54" s="3579"/>
      <c r="IBZ54" s="3579"/>
      <c r="ICA54" s="3579"/>
      <c r="ICB54" s="3579"/>
      <c r="ICC54" s="3579"/>
      <c r="ICD54" s="3579"/>
      <c r="ICE54" s="3579"/>
      <c r="ICF54" s="3579"/>
      <c r="ICG54" s="3579"/>
      <c r="ICH54" s="3579"/>
      <c r="ICI54" s="3579"/>
      <c r="ICJ54" s="3579"/>
      <c r="ICK54" s="3579"/>
      <c r="ICL54" s="3579"/>
      <c r="ICM54" s="3579"/>
      <c r="ICN54" s="3579"/>
      <c r="ICO54" s="3579"/>
      <c r="ICP54" s="3579"/>
      <c r="ICQ54" s="3579"/>
      <c r="ICR54" s="3579"/>
      <c r="ICS54" s="3579"/>
      <c r="ICT54" s="3579"/>
      <c r="ICU54" s="3579"/>
      <c r="ICV54" s="3579"/>
      <c r="ICW54" s="3579"/>
      <c r="ICX54" s="3579"/>
      <c r="ICY54" s="3579"/>
      <c r="ICZ54" s="3579"/>
      <c r="IDA54" s="3579"/>
      <c r="IDB54" s="3579"/>
      <c r="IDC54" s="3579"/>
      <c r="IDD54" s="3579"/>
      <c r="IDE54" s="3579"/>
      <c r="IDF54" s="3579"/>
      <c r="IDG54" s="3579"/>
      <c r="IDH54" s="3579"/>
      <c r="IDI54" s="3579"/>
      <c r="IDJ54" s="3579"/>
      <c r="IDK54" s="3579"/>
      <c r="IDL54" s="3579"/>
      <c r="IDM54" s="3579"/>
      <c r="IDN54" s="3579"/>
      <c r="IDO54" s="3579"/>
      <c r="IDP54" s="3579"/>
      <c r="IDQ54" s="3579"/>
      <c r="IDR54" s="3579"/>
      <c r="IDS54" s="3579"/>
      <c r="IDT54" s="3579"/>
      <c r="IDU54" s="3579"/>
      <c r="IDV54" s="3579"/>
      <c r="IDW54" s="3579"/>
      <c r="IDX54" s="3579"/>
      <c r="IDY54" s="3579"/>
      <c r="IDZ54" s="3579"/>
      <c r="IEA54" s="3579"/>
      <c r="IEB54" s="3579"/>
      <c r="IEC54" s="3579"/>
      <c r="IED54" s="3579"/>
      <c r="IEE54" s="3579"/>
      <c r="IEF54" s="3579"/>
      <c r="IEG54" s="3579"/>
      <c r="IEH54" s="3579"/>
      <c r="IEI54" s="3579"/>
      <c r="IEJ54" s="3579"/>
      <c r="IEK54" s="3579"/>
      <c r="IEL54" s="3579"/>
      <c r="IEM54" s="3579"/>
      <c r="IEN54" s="3579"/>
      <c r="IEO54" s="3579"/>
      <c r="IEP54" s="3579"/>
      <c r="IEQ54" s="3579"/>
      <c r="IER54" s="3579"/>
      <c r="IES54" s="3579"/>
      <c r="IET54" s="3579"/>
      <c r="IEU54" s="3579"/>
      <c r="IEV54" s="3579"/>
      <c r="IEW54" s="3579"/>
      <c r="IEX54" s="3579"/>
      <c r="IEY54" s="3579"/>
      <c r="IEZ54" s="3579"/>
      <c r="IFA54" s="3579"/>
      <c r="IFB54" s="3579"/>
      <c r="IFC54" s="3579"/>
      <c r="IFD54" s="3579"/>
      <c r="IFE54" s="3579"/>
      <c r="IFF54" s="3579"/>
      <c r="IFG54" s="3579"/>
      <c r="IFH54" s="3579"/>
      <c r="IFI54" s="3579"/>
      <c r="IFJ54" s="3579"/>
      <c r="IFK54" s="3579"/>
      <c r="IFL54" s="3579"/>
      <c r="IFM54" s="3579"/>
      <c r="IFN54" s="3579"/>
      <c r="IFO54" s="3579"/>
      <c r="IFP54" s="3579"/>
      <c r="IFQ54" s="3579"/>
      <c r="IFR54" s="3579"/>
      <c r="IFS54" s="3579"/>
      <c r="IFT54" s="3579"/>
      <c r="IFU54" s="3579"/>
      <c r="IFV54" s="3579"/>
      <c r="IFW54" s="3579"/>
      <c r="IFX54" s="3579"/>
      <c r="IFY54" s="3579"/>
      <c r="IFZ54" s="3579"/>
      <c r="IGA54" s="3579"/>
      <c r="IGB54" s="3579"/>
      <c r="IGC54" s="3579"/>
      <c r="IGD54" s="3579"/>
      <c r="IGE54" s="3579"/>
      <c r="IGF54" s="3579"/>
      <c r="IGG54" s="3579"/>
      <c r="IGH54" s="3579"/>
      <c r="IGI54" s="3579"/>
      <c r="IGJ54" s="3579"/>
      <c r="IGK54" s="3579"/>
      <c r="IGL54" s="3579"/>
      <c r="IGM54" s="3579"/>
      <c r="IGN54" s="3579"/>
      <c r="IGO54" s="3579"/>
      <c r="IGP54" s="3579"/>
      <c r="IGQ54" s="3579"/>
      <c r="IGR54" s="3579"/>
      <c r="IGS54" s="3579"/>
      <c r="IGT54" s="3579"/>
      <c r="IGU54" s="3579"/>
      <c r="IGV54" s="3579"/>
      <c r="IGW54" s="3579"/>
      <c r="IGX54" s="3579"/>
      <c r="IGY54" s="3579"/>
      <c r="IGZ54" s="3579"/>
      <c r="IHA54" s="3579"/>
      <c r="IHB54" s="3579"/>
      <c r="IHC54" s="3579"/>
      <c r="IHD54" s="3579"/>
      <c r="IHE54" s="3579"/>
      <c r="IHF54" s="3579"/>
      <c r="IHG54" s="3579"/>
      <c r="IHH54" s="3579"/>
      <c r="IHI54" s="3579"/>
      <c r="IHJ54" s="3579"/>
      <c r="IHK54" s="3579"/>
      <c r="IHL54" s="3579"/>
      <c r="IHM54" s="3579"/>
      <c r="IHN54" s="3579"/>
      <c r="IHO54" s="3579"/>
      <c r="IHP54" s="3579"/>
      <c r="IHQ54" s="3579"/>
      <c r="IHR54" s="3579"/>
      <c r="IHS54" s="3579"/>
      <c r="IHT54" s="3579"/>
      <c r="IHU54" s="3579"/>
      <c r="IHV54" s="3579"/>
      <c r="IHW54" s="3579"/>
      <c r="IHX54" s="3579"/>
      <c r="IHY54" s="3579"/>
      <c r="IHZ54" s="3579"/>
      <c r="IIA54" s="3579"/>
      <c r="IIB54" s="3579"/>
      <c r="IIC54" s="3579"/>
      <c r="IID54" s="3579"/>
      <c r="IIE54" s="3579"/>
      <c r="IIF54" s="3579"/>
      <c r="IIG54" s="3579"/>
      <c r="IIH54" s="3579"/>
      <c r="III54" s="3579"/>
      <c r="IIJ54" s="3579"/>
      <c r="IIK54" s="3579"/>
      <c r="IIL54" s="3579"/>
      <c r="IIM54" s="3579"/>
      <c r="IIN54" s="3579"/>
      <c r="IIO54" s="3579"/>
      <c r="IIP54" s="3579"/>
      <c r="IIQ54" s="3579"/>
      <c r="IIR54" s="3579"/>
      <c r="IIS54" s="3579"/>
      <c r="IIT54" s="3579"/>
      <c r="IIU54" s="3579"/>
      <c r="IIV54" s="3579"/>
      <c r="IIW54" s="3579"/>
      <c r="IIX54" s="3579"/>
      <c r="IIY54" s="3579"/>
      <c r="IIZ54" s="3579"/>
      <c r="IJA54" s="3579"/>
      <c r="IJB54" s="3579"/>
      <c r="IJC54" s="3579"/>
      <c r="IJD54" s="3579"/>
      <c r="IJE54" s="3579"/>
      <c r="IJF54" s="3579"/>
      <c r="IJG54" s="3579"/>
      <c r="IJH54" s="3579"/>
      <c r="IJI54" s="3579"/>
      <c r="IJJ54" s="3579"/>
      <c r="IJK54" s="3579"/>
      <c r="IJL54" s="3579"/>
      <c r="IJM54" s="3579"/>
      <c r="IJN54" s="3579"/>
      <c r="IJO54" s="3579"/>
      <c r="IJP54" s="3579"/>
      <c r="IJQ54" s="3579"/>
      <c r="IJR54" s="3579"/>
      <c r="IJS54" s="3579"/>
      <c r="IJT54" s="3579"/>
      <c r="IJU54" s="3579"/>
      <c r="IJV54" s="3579"/>
      <c r="IJW54" s="3579"/>
      <c r="IJX54" s="3579"/>
      <c r="IJY54" s="3579"/>
      <c r="IJZ54" s="3579"/>
      <c r="IKA54" s="3579"/>
      <c r="IKB54" s="3579"/>
      <c r="IKC54" s="3579"/>
      <c r="IKD54" s="3579"/>
      <c r="IKE54" s="3579"/>
      <c r="IKF54" s="3579"/>
      <c r="IKG54" s="3579"/>
      <c r="IKH54" s="3579"/>
      <c r="IKI54" s="3579"/>
      <c r="IKJ54" s="3579"/>
      <c r="IKK54" s="3579"/>
      <c r="IKL54" s="3579"/>
      <c r="IKM54" s="3579"/>
      <c r="IKN54" s="3579"/>
      <c r="IKO54" s="3579"/>
      <c r="IKP54" s="3579"/>
      <c r="IKQ54" s="3579"/>
      <c r="IKR54" s="3579"/>
      <c r="IKS54" s="3579"/>
      <c r="IKT54" s="3579"/>
      <c r="IKU54" s="3579"/>
      <c r="IKV54" s="3579"/>
      <c r="IKW54" s="3579"/>
      <c r="IKX54" s="3579"/>
      <c r="IKY54" s="3579"/>
      <c r="IKZ54" s="3579"/>
      <c r="ILA54" s="3579"/>
      <c r="ILB54" s="3579"/>
      <c r="ILC54" s="3579"/>
      <c r="ILD54" s="3579"/>
      <c r="ILE54" s="3579"/>
      <c r="ILF54" s="3579"/>
      <c r="ILG54" s="3579"/>
      <c r="ILH54" s="3579"/>
      <c r="ILI54" s="3579"/>
      <c r="ILJ54" s="3579"/>
      <c r="ILK54" s="3579"/>
      <c r="ILL54" s="3579"/>
      <c r="ILM54" s="3579"/>
      <c r="ILN54" s="3579"/>
      <c r="ILO54" s="3579"/>
      <c r="ILP54" s="3579"/>
      <c r="ILQ54" s="3579"/>
      <c r="ILR54" s="3579"/>
      <c r="ILS54" s="3579"/>
      <c r="ILT54" s="3579"/>
      <c r="ILU54" s="3579"/>
      <c r="ILV54" s="3579"/>
      <c r="ILW54" s="3579"/>
      <c r="ILX54" s="3579"/>
      <c r="ILY54" s="3579"/>
      <c r="ILZ54" s="3579"/>
      <c r="IMA54" s="3579"/>
      <c r="IMB54" s="3579"/>
      <c r="IMC54" s="3579"/>
      <c r="IMD54" s="3579"/>
      <c r="IME54" s="3579"/>
      <c r="IMF54" s="3579"/>
      <c r="IMG54" s="3579"/>
      <c r="IMH54" s="3579"/>
      <c r="IMI54" s="3579"/>
      <c r="IMJ54" s="3579"/>
      <c r="IMK54" s="3579"/>
      <c r="IML54" s="3579"/>
      <c r="IMM54" s="3579"/>
      <c r="IMN54" s="3579"/>
      <c r="IMO54" s="3579"/>
      <c r="IMP54" s="3579"/>
      <c r="IMQ54" s="3579"/>
      <c r="IMR54" s="3579"/>
      <c r="IMS54" s="3579"/>
      <c r="IMT54" s="3579"/>
      <c r="IMU54" s="3579"/>
      <c r="IMV54" s="3579"/>
      <c r="IMW54" s="3579"/>
      <c r="IMX54" s="3579"/>
      <c r="IMY54" s="3579"/>
      <c r="IMZ54" s="3579"/>
      <c r="INA54" s="3579"/>
      <c r="INB54" s="3579"/>
      <c r="INC54" s="3579"/>
      <c r="IND54" s="3579"/>
      <c r="INE54" s="3579"/>
      <c r="INF54" s="3579"/>
      <c r="ING54" s="3579"/>
      <c r="INH54" s="3579"/>
      <c r="INI54" s="3579"/>
      <c r="INJ54" s="3579"/>
      <c r="INK54" s="3579"/>
      <c r="INL54" s="3579"/>
      <c r="INM54" s="3579"/>
      <c r="INN54" s="3579"/>
      <c r="INO54" s="3579"/>
      <c r="INP54" s="3579"/>
      <c r="INQ54" s="3579"/>
      <c r="INR54" s="3579"/>
      <c r="INS54" s="3579"/>
      <c r="INT54" s="3579"/>
      <c r="INU54" s="3579"/>
      <c r="INV54" s="3579"/>
      <c r="INW54" s="3579"/>
      <c r="INX54" s="3579"/>
      <c r="INY54" s="3579"/>
      <c r="INZ54" s="3579"/>
      <c r="IOA54" s="3579"/>
      <c r="IOB54" s="3579"/>
      <c r="IOC54" s="3579"/>
      <c r="IOD54" s="3579"/>
      <c r="IOE54" s="3579"/>
      <c r="IOF54" s="3579"/>
      <c r="IOG54" s="3579"/>
      <c r="IOH54" s="3579"/>
      <c r="IOI54" s="3579"/>
      <c r="IOJ54" s="3579"/>
      <c r="IOK54" s="3579"/>
      <c r="IOL54" s="3579"/>
      <c r="IOM54" s="3579"/>
      <c r="ION54" s="3579"/>
      <c r="IOO54" s="3579"/>
      <c r="IOP54" s="3579"/>
      <c r="IOQ54" s="3579"/>
      <c r="IOR54" s="3579"/>
      <c r="IOS54" s="3579"/>
      <c r="IOT54" s="3579"/>
      <c r="IOU54" s="3579"/>
      <c r="IOV54" s="3579"/>
      <c r="IOW54" s="3579"/>
      <c r="IOX54" s="3579"/>
      <c r="IOY54" s="3579"/>
      <c r="IOZ54" s="3579"/>
      <c r="IPA54" s="3579"/>
      <c r="IPB54" s="3579"/>
      <c r="IPC54" s="3579"/>
      <c r="IPD54" s="3579"/>
      <c r="IPE54" s="3579"/>
      <c r="IPF54" s="3579"/>
      <c r="IPG54" s="3579"/>
      <c r="IPH54" s="3579"/>
      <c r="IPI54" s="3579"/>
      <c r="IPJ54" s="3579"/>
      <c r="IPK54" s="3579"/>
      <c r="IPL54" s="3579"/>
      <c r="IPM54" s="3579"/>
      <c r="IPN54" s="3579"/>
      <c r="IPO54" s="3579"/>
      <c r="IPP54" s="3579"/>
      <c r="IPQ54" s="3579"/>
      <c r="IPR54" s="3579"/>
      <c r="IPS54" s="3579"/>
      <c r="IPT54" s="3579"/>
      <c r="IPU54" s="3579"/>
      <c r="IPV54" s="3579"/>
      <c r="IPW54" s="3579"/>
      <c r="IPX54" s="3579"/>
      <c r="IPY54" s="3579"/>
      <c r="IPZ54" s="3579"/>
      <c r="IQA54" s="3579"/>
      <c r="IQB54" s="3579"/>
      <c r="IQC54" s="3579"/>
      <c r="IQD54" s="3579"/>
      <c r="IQE54" s="3579"/>
      <c r="IQF54" s="3579"/>
      <c r="IQG54" s="3579"/>
      <c r="IQH54" s="3579"/>
      <c r="IQI54" s="3579"/>
      <c r="IQJ54" s="3579"/>
      <c r="IQK54" s="3579"/>
      <c r="IQL54" s="3579"/>
      <c r="IQM54" s="3579"/>
      <c r="IQN54" s="3579"/>
      <c r="IQO54" s="3579"/>
      <c r="IQP54" s="3579"/>
      <c r="IQQ54" s="3579"/>
      <c r="IQR54" s="3579"/>
      <c r="IQS54" s="3579"/>
      <c r="IQT54" s="3579"/>
      <c r="IQU54" s="3579"/>
      <c r="IQV54" s="3579"/>
      <c r="IQW54" s="3579"/>
      <c r="IQX54" s="3579"/>
      <c r="IQY54" s="3579"/>
      <c r="IQZ54" s="3579"/>
      <c r="IRA54" s="3579"/>
      <c r="IRB54" s="3579"/>
      <c r="IRC54" s="3579"/>
      <c r="IRD54" s="3579"/>
      <c r="IRE54" s="3579"/>
      <c r="IRF54" s="3579"/>
      <c r="IRG54" s="3579"/>
      <c r="IRH54" s="3579"/>
      <c r="IRI54" s="3579"/>
      <c r="IRJ54" s="3579"/>
      <c r="IRK54" s="3579"/>
      <c r="IRL54" s="3579"/>
      <c r="IRM54" s="3579"/>
      <c r="IRN54" s="3579"/>
      <c r="IRO54" s="3579"/>
      <c r="IRP54" s="3579"/>
      <c r="IRQ54" s="3579"/>
      <c r="IRR54" s="3579"/>
      <c r="IRS54" s="3579"/>
      <c r="IRT54" s="3579"/>
      <c r="IRU54" s="3579"/>
      <c r="IRV54" s="3579"/>
      <c r="IRW54" s="3579"/>
      <c r="IRX54" s="3579"/>
      <c r="IRY54" s="3579"/>
      <c r="IRZ54" s="3579"/>
      <c r="ISA54" s="3579"/>
      <c r="ISB54" s="3579"/>
      <c r="ISC54" s="3579"/>
      <c r="ISD54" s="3579"/>
      <c r="ISE54" s="3579"/>
      <c r="ISF54" s="3579"/>
      <c r="ISG54" s="3579"/>
      <c r="ISH54" s="3579"/>
      <c r="ISI54" s="3579"/>
      <c r="ISJ54" s="3579"/>
      <c r="ISK54" s="3579"/>
      <c r="ISL54" s="3579"/>
      <c r="ISM54" s="3579"/>
      <c r="ISN54" s="3579"/>
      <c r="ISO54" s="3579"/>
      <c r="ISP54" s="3579"/>
      <c r="ISQ54" s="3579"/>
      <c r="ISR54" s="3579"/>
      <c r="ISS54" s="3579"/>
      <c r="IST54" s="3579"/>
      <c r="ISU54" s="3579"/>
      <c r="ISV54" s="3579"/>
      <c r="ISW54" s="3579"/>
      <c r="ISX54" s="3579"/>
      <c r="ISY54" s="3579"/>
      <c r="ISZ54" s="3579"/>
      <c r="ITA54" s="3579"/>
      <c r="ITB54" s="3579"/>
      <c r="ITC54" s="3579"/>
      <c r="ITD54" s="3579"/>
      <c r="ITE54" s="3579"/>
      <c r="ITF54" s="3579"/>
      <c r="ITG54" s="3579"/>
      <c r="ITH54" s="3579"/>
      <c r="ITI54" s="3579"/>
      <c r="ITJ54" s="3579"/>
      <c r="ITK54" s="3579"/>
      <c r="ITL54" s="3579"/>
      <c r="ITM54" s="3579"/>
      <c r="ITN54" s="3579"/>
      <c r="ITO54" s="3579"/>
      <c r="ITP54" s="3579"/>
      <c r="ITQ54" s="3579"/>
      <c r="ITR54" s="3579"/>
      <c r="ITS54" s="3579"/>
      <c r="ITT54" s="3579"/>
      <c r="ITU54" s="3579"/>
      <c r="ITV54" s="3579"/>
      <c r="ITW54" s="3579"/>
      <c r="ITX54" s="3579"/>
      <c r="ITY54" s="3579"/>
      <c r="ITZ54" s="3579"/>
      <c r="IUA54" s="3579"/>
      <c r="IUB54" s="3579"/>
      <c r="IUC54" s="3579"/>
      <c r="IUD54" s="3579"/>
      <c r="IUE54" s="3579"/>
      <c r="IUF54" s="3579"/>
      <c r="IUG54" s="3579"/>
      <c r="IUH54" s="3579"/>
      <c r="IUI54" s="3579"/>
      <c r="IUJ54" s="3579"/>
      <c r="IUK54" s="3579"/>
      <c r="IUL54" s="3579"/>
      <c r="IUM54" s="3579"/>
      <c r="IUN54" s="3579"/>
      <c r="IUO54" s="3579"/>
      <c r="IUP54" s="3579"/>
      <c r="IUQ54" s="3579"/>
      <c r="IUR54" s="3579"/>
      <c r="IUS54" s="3579"/>
      <c r="IUT54" s="3579"/>
      <c r="IUU54" s="3579"/>
      <c r="IUV54" s="3579"/>
      <c r="IUW54" s="3579"/>
      <c r="IUX54" s="3579"/>
      <c r="IUY54" s="3579"/>
      <c r="IUZ54" s="3579"/>
      <c r="IVA54" s="3579"/>
      <c r="IVB54" s="3579"/>
      <c r="IVC54" s="3579"/>
      <c r="IVD54" s="3579"/>
      <c r="IVE54" s="3579"/>
      <c r="IVF54" s="3579"/>
      <c r="IVG54" s="3579"/>
      <c r="IVH54" s="3579"/>
      <c r="IVI54" s="3579"/>
      <c r="IVJ54" s="3579"/>
      <c r="IVK54" s="3579"/>
      <c r="IVL54" s="3579"/>
      <c r="IVM54" s="3579"/>
      <c r="IVN54" s="3579"/>
      <c r="IVO54" s="3579"/>
      <c r="IVP54" s="3579"/>
      <c r="IVQ54" s="3579"/>
      <c r="IVR54" s="3579"/>
      <c r="IVS54" s="3579"/>
      <c r="IVT54" s="3579"/>
      <c r="IVU54" s="3579"/>
      <c r="IVV54" s="3579"/>
      <c r="IVW54" s="3579"/>
      <c r="IVX54" s="3579"/>
      <c r="IVY54" s="3579"/>
      <c r="IVZ54" s="3579"/>
      <c r="IWA54" s="3579"/>
      <c r="IWB54" s="3579"/>
      <c r="IWC54" s="3579"/>
      <c r="IWD54" s="3579"/>
      <c r="IWE54" s="3579"/>
      <c r="IWF54" s="3579"/>
      <c r="IWG54" s="3579"/>
      <c r="IWH54" s="3579"/>
      <c r="IWI54" s="3579"/>
      <c r="IWJ54" s="3579"/>
      <c r="IWK54" s="3579"/>
      <c r="IWL54" s="3579"/>
      <c r="IWM54" s="3579"/>
      <c r="IWN54" s="3579"/>
      <c r="IWO54" s="3579"/>
      <c r="IWP54" s="3579"/>
      <c r="IWQ54" s="3579"/>
      <c r="IWR54" s="3579"/>
      <c r="IWS54" s="3579"/>
      <c r="IWT54" s="3579"/>
      <c r="IWU54" s="3579"/>
      <c r="IWV54" s="3579"/>
      <c r="IWW54" s="3579"/>
      <c r="IWX54" s="3579"/>
      <c r="IWY54" s="3579"/>
      <c r="IWZ54" s="3579"/>
      <c r="IXA54" s="3579"/>
      <c r="IXB54" s="3579"/>
      <c r="IXC54" s="3579"/>
      <c r="IXD54" s="3579"/>
      <c r="IXE54" s="3579"/>
      <c r="IXF54" s="3579"/>
      <c r="IXG54" s="3579"/>
      <c r="IXH54" s="3579"/>
      <c r="IXI54" s="3579"/>
      <c r="IXJ54" s="3579"/>
      <c r="IXK54" s="3579"/>
      <c r="IXL54" s="3579"/>
      <c r="IXM54" s="3579"/>
      <c r="IXN54" s="3579"/>
      <c r="IXO54" s="3579"/>
      <c r="IXP54" s="3579"/>
      <c r="IXQ54" s="3579"/>
      <c r="IXR54" s="3579"/>
      <c r="IXS54" s="3579"/>
      <c r="IXT54" s="3579"/>
      <c r="IXU54" s="3579"/>
      <c r="IXV54" s="3579"/>
      <c r="IXW54" s="3579"/>
      <c r="IXX54" s="3579"/>
      <c r="IXY54" s="3579"/>
      <c r="IXZ54" s="3579"/>
      <c r="IYA54" s="3579"/>
      <c r="IYB54" s="3579"/>
      <c r="IYC54" s="3579"/>
      <c r="IYD54" s="3579"/>
      <c r="IYE54" s="3579"/>
      <c r="IYF54" s="3579"/>
      <c r="IYG54" s="3579"/>
      <c r="IYH54" s="3579"/>
      <c r="IYI54" s="3579"/>
      <c r="IYJ54" s="3579"/>
      <c r="IYK54" s="3579"/>
      <c r="IYL54" s="3579"/>
      <c r="IYM54" s="3579"/>
      <c r="IYN54" s="3579"/>
      <c r="IYO54" s="3579"/>
      <c r="IYP54" s="3579"/>
      <c r="IYQ54" s="3579"/>
      <c r="IYR54" s="3579"/>
      <c r="IYS54" s="3579"/>
      <c r="IYT54" s="3579"/>
      <c r="IYU54" s="3579"/>
      <c r="IYV54" s="3579"/>
      <c r="IYW54" s="3579"/>
      <c r="IYX54" s="3579"/>
      <c r="IYY54" s="3579"/>
      <c r="IYZ54" s="3579"/>
      <c r="IZA54" s="3579"/>
      <c r="IZB54" s="3579"/>
      <c r="IZC54" s="3579"/>
      <c r="IZD54" s="3579"/>
      <c r="IZE54" s="3579"/>
      <c r="IZF54" s="3579"/>
      <c r="IZG54" s="3579"/>
      <c r="IZH54" s="3579"/>
      <c r="IZI54" s="3579"/>
      <c r="IZJ54" s="3579"/>
      <c r="IZK54" s="3579"/>
      <c r="IZL54" s="3579"/>
      <c r="IZM54" s="3579"/>
      <c r="IZN54" s="3579"/>
      <c r="IZO54" s="3579"/>
      <c r="IZP54" s="3579"/>
      <c r="IZQ54" s="3579"/>
      <c r="IZR54" s="3579"/>
      <c r="IZS54" s="3579"/>
      <c r="IZT54" s="3579"/>
      <c r="IZU54" s="3579"/>
      <c r="IZV54" s="3579"/>
      <c r="IZW54" s="3579"/>
      <c r="IZX54" s="3579"/>
      <c r="IZY54" s="3579"/>
      <c r="IZZ54" s="3579"/>
      <c r="JAA54" s="3579"/>
      <c r="JAB54" s="3579"/>
      <c r="JAC54" s="3579"/>
      <c r="JAD54" s="3579"/>
      <c r="JAE54" s="3579"/>
      <c r="JAF54" s="3579"/>
      <c r="JAG54" s="3579"/>
      <c r="JAH54" s="3579"/>
      <c r="JAI54" s="3579"/>
      <c r="JAJ54" s="3579"/>
      <c r="JAK54" s="3579"/>
      <c r="JAL54" s="3579"/>
      <c r="JAM54" s="3579"/>
      <c r="JAN54" s="3579"/>
      <c r="JAO54" s="3579"/>
      <c r="JAP54" s="3579"/>
      <c r="JAQ54" s="3579"/>
      <c r="JAR54" s="3579"/>
      <c r="JAS54" s="3579"/>
      <c r="JAT54" s="3579"/>
      <c r="JAU54" s="3579"/>
      <c r="JAV54" s="3579"/>
      <c r="JAW54" s="3579"/>
      <c r="JAX54" s="3579"/>
      <c r="JAY54" s="3579"/>
      <c r="JAZ54" s="3579"/>
      <c r="JBA54" s="3579"/>
      <c r="JBB54" s="3579"/>
      <c r="JBC54" s="3579"/>
      <c r="JBD54" s="3579"/>
      <c r="JBE54" s="3579"/>
      <c r="JBF54" s="3579"/>
      <c r="JBG54" s="3579"/>
      <c r="JBH54" s="3579"/>
      <c r="JBI54" s="3579"/>
      <c r="JBJ54" s="3579"/>
      <c r="JBK54" s="3579"/>
      <c r="JBL54" s="3579"/>
      <c r="JBM54" s="3579"/>
      <c r="JBN54" s="3579"/>
      <c r="JBO54" s="3579"/>
      <c r="JBP54" s="3579"/>
      <c r="JBQ54" s="3579"/>
      <c r="JBR54" s="3579"/>
      <c r="JBS54" s="3579"/>
      <c r="JBT54" s="3579"/>
      <c r="JBU54" s="3579"/>
      <c r="JBV54" s="3579"/>
      <c r="JBW54" s="3579"/>
      <c r="JBX54" s="3579"/>
      <c r="JBY54" s="3579"/>
      <c r="JBZ54" s="3579"/>
      <c r="JCA54" s="3579"/>
      <c r="JCB54" s="3579"/>
      <c r="JCC54" s="3579"/>
      <c r="JCD54" s="3579"/>
      <c r="JCE54" s="3579"/>
      <c r="JCF54" s="3579"/>
      <c r="JCG54" s="3579"/>
      <c r="JCH54" s="3579"/>
      <c r="JCI54" s="3579"/>
      <c r="JCJ54" s="3579"/>
      <c r="JCK54" s="3579"/>
      <c r="JCL54" s="3579"/>
      <c r="JCM54" s="3579"/>
      <c r="JCN54" s="3579"/>
      <c r="JCO54" s="3579"/>
      <c r="JCP54" s="3579"/>
      <c r="JCQ54" s="3579"/>
      <c r="JCR54" s="3579"/>
      <c r="JCS54" s="3579"/>
      <c r="JCT54" s="3579"/>
      <c r="JCU54" s="3579"/>
      <c r="JCV54" s="3579"/>
      <c r="JCW54" s="3579"/>
      <c r="JCX54" s="3579"/>
      <c r="JCY54" s="3579"/>
      <c r="JCZ54" s="3579"/>
      <c r="JDA54" s="3579"/>
      <c r="JDB54" s="3579"/>
      <c r="JDC54" s="3579"/>
      <c r="JDD54" s="3579"/>
      <c r="JDE54" s="3579"/>
      <c r="JDF54" s="3579"/>
      <c r="JDG54" s="3579"/>
      <c r="JDH54" s="3579"/>
      <c r="JDI54" s="3579"/>
      <c r="JDJ54" s="3579"/>
      <c r="JDK54" s="3579"/>
      <c r="JDL54" s="3579"/>
      <c r="JDM54" s="3579"/>
      <c r="JDN54" s="3579"/>
      <c r="JDO54" s="3579"/>
      <c r="JDP54" s="3579"/>
      <c r="JDQ54" s="3579"/>
      <c r="JDR54" s="3579"/>
      <c r="JDS54" s="3579"/>
      <c r="JDT54" s="3579"/>
      <c r="JDU54" s="3579"/>
      <c r="JDV54" s="3579"/>
      <c r="JDW54" s="3579"/>
      <c r="JDX54" s="3579"/>
      <c r="JDY54" s="3579"/>
      <c r="JDZ54" s="3579"/>
      <c r="JEA54" s="3579"/>
      <c r="JEB54" s="3579"/>
      <c r="JEC54" s="3579"/>
      <c r="JED54" s="3579"/>
      <c r="JEE54" s="3579"/>
      <c r="JEF54" s="3579"/>
      <c r="JEG54" s="3579"/>
      <c r="JEH54" s="3579"/>
      <c r="JEI54" s="3579"/>
      <c r="JEJ54" s="3579"/>
      <c r="JEK54" s="3579"/>
      <c r="JEL54" s="3579"/>
      <c r="JEM54" s="3579"/>
      <c r="JEN54" s="3579"/>
      <c r="JEO54" s="3579"/>
      <c r="JEP54" s="3579"/>
      <c r="JEQ54" s="3579"/>
      <c r="JER54" s="3579"/>
      <c r="JES54" s="3579"/>
      <c r="JET54" s="3579"/>
      <c r="JEU54" s="3579"/>
      <c r="JEV54" s="3579"/>
      <c r="JEW54" s="3579"/>
      <c r="JEX54" s="3579"/>
      <c r="JEY54" s="3579"/>
      <c r="JEZ54" s="3579"/>
      <c r="JFA54" s="3579"/>
      <c r="JFB54" s="3579"/>
      <c r="JFC54" s="3579"/>
      <c r="JFD54" s="3579"/>
      <c r="JFE54" s="3579"/>
      <c r="JFF54" s="3579"/>
      <c r="JFG54" s="3579"/>
      <c r="JFH54" s="3579"/>
      <c r="JFI54" s="3579"/>
      <c r="JFJ54" s="3579"/>
      <c r="JFK54" s="3579"/>
      <c r="JFL54" s="3579"/>
      <c r="JFM54" s="3579"/>
      <c r="JFN54" s="3579"/>
      <c r="JFO54" s="3579"/>
      <c r="JFP54" s="3579"/>
      <c r="JFQ54" s="3579"/>
      <c r="JFR54" s="3579"/>
      <c r="JFS54" s="3579"/>
      <c r="JFT54" s="3579"/>
      <c r="JFU54" s="3579"/>
      <c r="JFV54" s="3579"/>
      <c r="JFW54" s="3579"/>
      <c r="JFX54" s="3579"/>
      <c r="JFY54" s="3579"/>
      <c r="JFZ54" s="3579"/>
      <c r="JGA54" s="3579"/>
      <c r="JGB54" s="3579"/>
      <c r="JGC54" s="3579"/>
      <c r="JGD54" s="3579"/>
      <c r="JGE54" s="3579"/>
      <c r="JGF54" s="3579"/>
      <c r="JGG54" s="3579"/>
      <c r="JGH54" s="3579"/>
      <c r="JGI54" s="3579"/>
      <c r="JGJ54" s="3579"/>
      <c r="JGK54" s="3579"/>
      <c r="JGL54" s="3579"/>
      <c r="JGM54" s="3579"/>
      <c r="JGN54" s="3579"/>
      <c r="JGO54" s="3579"/>
      <c r="JGP54" s="3579"/>
      <c r="JGQ54" s="3579"/>
      <c r="JGR54" s="3579"/>
      <c r="JGS54" s="3579"/>
      <c r="JGT54" s="3579"/>
      <c r="JGU54" s="3579"/>
      <c r="JGV54" s="3579"/>
      <c r="JGW54" s="3579"/>
      <c r="JGX54" s="3579"/>
      <c r="JGY54" s="3579"/>
      <c r="JGZ54" s="3579"/>
      <c r="JHA54" s="3579"/>
      <c r="JHB54" s="3579"/>
      <c r="JHC54" s="3579"/>
      <c r="JHD54" s="3579"/>
      <c r="JHE54" s="3579"/>
      <c r="JHF54" s="3579"/>
      <c r="JHG54" s="3579"/>
      <c r="JHH54" s="3579"/>
      <c r="JHI54" s="3579"/>
      <c r="JHJ54" s="3579"/>
      <c r="JHK54" s="3579"/>
      <c r="JHL54" s="3579"/>
      <c r="JHM54" s="3579"/>
      <c r="JHN54" s="3579"/>
      <c r="JHO54" s="3579"/>
      <c r="JHP54" s="3579"/>
      <c r="JHQ54" s="3579"/>
      <c r="JHR54" s="3579"/>
      <c r="JHS54" s="3579"/>
      <c r="JHT54" s="3579"/>
      <c r="JHU54" s="3579"/>
      <c r="JHV54" s="3579"/>
      <c r="JHW54" s="3579"/>
      <c r="JHX54" s="3579"/>
      <c r="JHY54" s="3579"/>
      <c r="JHZ54" s="3579"/>
      <c r="JIA54" s="3579"/>
      <c r="JIB54" s="3579"/>
      <c r="JIC54" s="3579"/>
      <c r="JID54" s="3579"/>
      <c r="JIE54" s="3579"/>
      <c r="JIF54" s="3579"/>
      <c r="JIG54" s="3579"/>
      <c r="JIH54" s="3579"/>
      <c r="JII54" s="3579"/>
      <c r="JIJ54" s="3579"/>
      <c r="JIK54" s="3579"/>
      <c r="JIL54" s="3579"/>
      <c r="JIM54" s="3579"/>
      <c r="JIN54" s="3579"/>
      <c r="JIO54" s="3579"/>
      <c r="JIP54" s="3579"/>
      <c r="JIQ54" s="3579"/>
      <c r="JIR54" s="3579"/>
      <c r="JIS54" s="3579"/>
      <c r="JIT54" s="3579"/>
      <c r="JIU54" s="3579"/>
      <c r="JIV54" s="3579"/>
      <c r="JIW54" s="3579"/>
      <c r="JIX54" s="3579"/>
      <c r="JIY54" s="3579"/>
      <c r="JIZ54" s="3579"/>
      <c r="JJA54" s="3579"/>
      <c r="JJB54" s="3579"/>
      <c r="JJC54" s="3579"/>
      <c r="JJD54" s="3579"/>
      <c r="JJE54" s="3579"/>
      <c r="JJF54" s="3579"/>
      <c r="JJG54" s="3579"/>
      <c r="JJH54" s="3579"/>
      <c r="JJI54" s="3579"/>
      <c r="JJJ54" s="3579"/>
      <c r="JJK54" s="3579"/>
      <c r="JJL54" s="3579"/>
      <c r="JJM54" s="3579"/>
      <c r="JJN54" s="3579"/>
      <c r="JJO54" s="3579"/>
      <c r="JJP54" s="3579"/>
      <c r="JJQ54" s="3579"/>
      <c r="JJR54" s="3579"/>
      <c r="JJS54" s="3579"/>
      <c r="JJT54" s="3579"/>
      <c r="JJU54" s="3579"/>
      <c r="JJV54" s="3579"/>
      <c r="JJW54" s="3579"/>
      <c r="JJX54" s="3579"/>
      <c r="JJY54" s="3579"/>
      <c r="JJZ54" s="3579"/>
      <c r="JKA54" s="3579"/>
      <c r="JKB54" s="3579"/>
      <c r="JKC54" s="3579"/>
      <c r="JKD54" s="3579"/>
      <c r="JKE54" s="3579"/>
      <c r="JKF54" s="3579"/>
      <c r="JKG54" s="3579"/>
      <c r="JKH54" s="3579"/>
      <c r="JKI54" s="3579"/>
      <c r="JKJ54" s="3579"/>
      <c r="JKK54" s="3579"/>
      <c r="JKL54" s="3579"/>
      <c r="JKM54" s="3579"/>
      <c r="JKN54" s="3579"/>
      <c r="JKO54" s="3579"/>
      <c r="JKP54" s="3579"/>
      <c r="JKQ54" s="3579"/>
      <c r="JKR54" s="3579"/>
      <c r="JKS54" s="3579"/>
      <c r="JKT54" s="3579"/>
      <c r="JKU54" s="3579"/>
      <c r="JKV54" s="3579"/>
      <c r="JKW54" s="3579"/>
      <c r="JKX54" s="3579"/>
      <c r="JKY54" s="3579"/>
      <c r="JKZ54" s="3579"/>
      <c r="JLA54" s="3579"/>
      <c r="JLB54" s="3579"/>
      <c r="JLC54" s="3579"/>
      <c r="JLD54" s="3579"/>
      <c r="JLE54" s="3579"/>
      <c r="JLF54" s="3579"/>
      <c r="JLG54" s="3579"/>
      <c r="JLH54" s="3579"/>
      <c r="JLI54" s="3579"/>
      <c r="JLJ54" s="3579"/>
      <c r="JLK54" s="3579"/>
      <c r="JLL54" s="3579"/>
      <c r="JLM54" s="3579"/>
      <c r="JLN54" s="3579"/>
      <c r="JLO54" s="3579"/>
      <c r="JLP54" s="3579"/>
      <c r="JLQ54" s="3579"/>
      <c r="JLR54" s="3579"/>
      <c r="JLS54" s="3579"/>
      <c r="JLT54" s="3579"/>
      <c r="JLU54" s="3579"/>
      <c r="JLV54" s="3579"/>
      <c r="JLW54" s="3579"/>
      <c r="JLX54" s="3579"/>
      <c r="JLY54" s="3579"/>
      <c r="JLZ54" s="3579"/>
      <c r="JMA54" s="3579"/>
      <c r="JMB54" s="3579"/>
      <c r="JMC54" s="3579"/>
      <c r="JMD54" s="3579"/>
      <c r="JME54" s="3579"/>
      <c r="JMF54" s="3579"/>
      <c r="JMG54" s="3579"/>
      <c r="JMH54" s="3579"/>
      <c r="JMI54" s="3579"/>
      <c r="JMJ54" s="3579"/>
      <c r="JMK54" s="3579"/>
      <c r="JML54" s="3579"/>
      <c r="JMM54" s="3579"/>
      <c r="JMN54" s="3579"/>
      <c r="JMO54" s="3579"/>
      <c r="JMP54" s="3579"/>
      <c r="JMQ54" s="3579"/>
      <c r="JMR54" s="3579"/>
      <c r="JMS54" s="3579"/>
      <c r="JMT54" s="3579"/>
      <c r="JMU54" s="3579"/>
      <c r="JMV54" s="3579"/>
      <c r="JMW54" s="3579"/>
      <c r="JMX54" s="3579"/>
      <c r="JMY54" s="3579"/>
      <c r="JMZ54" s="3579"/>
      <c r="JNA54" s="3579"/>
      <c r="JNB54" s="3579"/>
      <c r="JNC54" s="3579"/>
      <c r="JND54" s="3579"/>
      <c r="JNE54" s="3579"/>
      <c r="JNF54" s="3579"/>
      <c r="JNG54" s="3579"/>
      <c r="JNH54" s="3579"/>
      <c r="JNI54" s="3579"/>
      <c r="JNJ54" s="3579"/>
      <c r="JNK54" s="3579"/>
      <c r="JNL54" s="3579"/>
      <c r="JNM54" s="3579"/>
      <c r="JNN54" s="3579"/>
      <c r="JNO54" s="3579"/>
      <c r="JNP54" s="3579"/>
      <c r="JNQ54" s="3579"/>
      <c r="JNR54" s="3579"/>
      <c r="JNS54" s="3579"/>
      <c r="JNT54" s="3579"/>
      <c r="JNU54" s="3579"/>
      <c r="JNV54" s="3579"/>
      <c r="JNW54" s="3579"/>
      <c r="JNX54" s="3579"/>
      <c r="JNY54" s="3579"/>
      <c r="JNZ54" s="3579"/>
      <c r="JOA54" s="3579"/>
      <c r="JOB54" s="3579"/>
      <c r="JOC54" s="3579"/>
      <c r="JOD54" s="3579"/>
      <c r="JOE54" s="3579"/>
      <c r="JOF54" s="3579"/>
      <c r="JOG54" s="3579"/>
      <c r="JOH54" s="3579"/>
      <c r="JOI54" s="3579"/>
      <c r="JOJ54" s="3579"/>
      <c r="JOK54" s="3579"/>
      <c r="JOL54" s="3579"/>
      <c r="JOM54" s="3579"/>
      <c r="JON54" s="3579"/>
      <c r="JOO54" s="3579"/>
      <c r="JOP54" s="3579"/>
      <c r="JOQ54" s="3579"/>
      <c r="JOR54" s="3579"/>
      <c r="JOS54" s="3579"/>
      <c r="JOT54" s="3579"/>
      <c r="JOU54" s="3579"/>
      <c r="JOV54" s="3579"/>
      <c r="JOW54" s="3579"/>
      <c r="JOX54" s="3579"/>
      <c r="JOY54" s="3579"/>
      <c r="JOZ54" s="3579"/>
      <c r="JPA54" s="3579"/>
      <c r="JPB54" s="3579"/>
      <c r="JPC54" s="3579"/>
      <c r="JPD54" s="3579"/>
      <c r="JPE54" s="3579"/>
      <c r="JPF54" s="3579"/>
      <c r="JPG54" s="3579"/>
      <c r="JPH54" s="3579"/>
      <c r="JPI54" s="3579"/>
      <c r="JPJ54" s="3579"/>
      <c r="JPK54" s="3579"/>
      <c r="JPL54" s="3579"/>
      <c r="JPM54" s="3579"/>
      <c r="JPN54" s="3579"/>
      <c r="JPO54" s="3579"/>
      <c r="JPP54" s="3579"/>
      <c r="JPQ54" s="3579"/>
      <c r="JPR54" s="3579"/>
      <c r="JPS54" s="3579"/>
      <c r="JPT54" s="3579"/>
      <c r="JPU54" s="3579"/>
      <c r="JPV54" s="3579"/>
      <c r="JPW54" s="3579"/>
      <c r="JPX54" s="3579"/>
      <c r="JPY54" s="3579"/>
      <c r="JPZ54" s="3579"/>
      <c r="JQA54" s="3579"/>
      <c r="JQB54" s="3579"/>
      <c r="JQC54" s="3579"/>
      <c r="JQD54" s="3579"/>
      <c r="JQE54" s="3579"/>
      <c r="JQF54" s="3579"/>
      <c r="JQG54" s="3579"/>
      <c r="JQH54" s="3579"/>
      <c r="JQI54" s="3579"/>
      <c r="JQJ54" s="3579"/>
      <c r="JQK54" s="3579"/>
      <c r="JQL54" s="3579"/>
      <c r="JQM54" s="3579"/>
      <c r="JQN54" s="3579"/>
      <c r="JQO54" s="3579"/>
      <c r="JQP54" s="3579"/>
      <c r="JQQ54" s="3579"/>
      <c r="JQR54" s="3579"/>
      <c r="JQS54" s="3579"/>
      <c r="JQT54" s="3579"/>
      <c r="JQU54" s="3579"/>
      <c r="JQV54" s="3579"/>
      <c r="JQW54" s="3579"/>
      <c r="JQX54" s="3579"/>
      <c r="JQY54" s="3579"/>
      <c r="JQZ54" s="3579"/>
      <c r="JRA54" s="3579"/>
      <c r="JRB54" s="3579"/>
      <c r="JRC54" s="3579"/>
      <c r="JRD54" s="3579"/>
      <c r="JRE54" s="3579"/>
      <c r="JRF54" s="3579"/>
      <c r="JRG54" s="3579"/>
      <c r="JRH54" s="3579"/>
      <c r="JRI54" s="3579"/>
      <c r="JRJ54" s="3579"/>
      <c r="JRK54" s="3579"/>
      <c r="JRL54" s="3579"/>
      <c r="JRM54" s="3579"/>
      <c r="JRN54" s="3579"/>
      <c r="JRO54" s="3579"/>
      <c r="JRP54" s="3579"/>
      <c r="JRQ54" s="3579"/>
      <c r="JRR54" s="3579"/>
      <c r="JRS54" s="3579"/>
      <c r="JRT54" s="3579"/>
      <c r="JRU54" s="3579"/>
      <c r="JRV54" s="3579"/>
      <c r="JRW54" s="3579"/>
      <c r="JRX54" s="3579"/>
      <c r="JRY54" s="3579"/>
      <c r="JRZ54" s="3579"/>
      <c r="JSA54" s="3579"/>
      <c r="JSB54" s="3579"/>
      <c r="JSC54" s="3579"/>
      <c r="JSD54" s="3579"/>
      <c r="JSE54" s="3579"/>
      <c r="JSF54" s="3579"/>
      <c r="JSG54" s="3579"/>
      <c r="JSH54" s="3579"/>
      <c r="JSI54" s="3579"/>
      <c r="JSJ54" s="3579"/>
      <c r="JSK54" s="3579"/>
      <c r="JSL54" s="3579"/>
      <c r="JSM54" s="3579"/>
      <c r="JSN54" s="3579"/>
      <c r="JSO54" s="3579"/>
      <c r="JSP54" s="3579"/>
      <c r="JSQ54" s="3579"/>
      <c r="JSR54" s="3579"/>
      <c r="JSS54" s="3579"/>
      <c r="JST54" s="3579"/>
      <c r="JSU54" s="3579"/>
      <c r="JSV54" s="3579"/>
      <c r="JSW54" s="3579"/>
      <c r="JSX54" s="3579"/>
      <c r="JSY54" s="3579"/>
      <c r="JSZ54" s="3579"/>
      <c r="JTA54" s="3579"/>
      <c r="JTB54" s="3579"/>
      <c r="JTC54" s="3579"/>
      <c r="JTD54" s="3579"/>
      <c r="JTE54" s="3579"/>
      <c r="JTF54" s="3579"/>
      <c r="JTG54" s="3579"/>
      <c r="JTH54" s="3579"/>
      <c r="JTI54" s="3579"/>
      <c r="JTJ54" s="3579"/>
      <c r="JTK54" s="3579"/>
      <c r="JTL54" s="3579"/>
      <c r="JTM54" s="3579"/>
      <c r="JTN54" s="3579"/>
      <c r="JTO54" s="3579"/>
      <c r="JTP54" s="3579"/>
      <c r="JTQ54" s="3579"/>
      <c r="JTR54" s="3579"/>
      <c r="JTS54" s="3579"/>
      <c r="JTT54" s="3579"/>
      <c r="JTU54" s="3579"/>
      <c r="JTV54" s="3579"/>
      <c r="JTW54" s="3579"/>
      <c r="JTX54" s="3579"/>
      <c r="JTY54" s="3579"/>
      <c r="JTZ54" s="3579"/>
      <c r="JUA54" s="3579"/>
      <c r="JUB54" s="3579"/>
      <c r="JUC54" s="3579"/>
      <c r="JUD54" s="3579"/>
      <c r="JUE54" s="3579"/>
      <c r="JUF54" s="3579"/>
      <c r="JUG54" s="3579"/>
      <c r="JUH54" s="3579"/>
      <c r="JUI54" s="3579"/>
      <c r="JUJ54" s="3579"/>
      <c r="JUK54" s="3579"/>
      <c r="JUL54" s="3579"/>
      <c r="JUM54" s="3579"/>
      <c r="JUN54" s="3579"/>
      <c r="JUO54" s="3579"/>
      <c r="JUP54" s="3579"/>
      <c r="JUQ54" s="3579"/>
      <c r="JUR54" s="3579"/>
      <c r="JUS54" s="3579"/>
      <c r="JUT54" s="3579"/>
      <c r="JUU54" s="3579"/>
      <c r="JUV54" s="3579"/>
      <c r="JUW54" s="3579"/>
      <c r="JUX54" s="3579"/>
      <c r="JUY54" s="3579"/>
      <c r="JUZ54" s="3579"/>
      <c r="JVA54" s="3579"/>
      <c r="JVB54" s="3579"/>
      <c r="JVC54" s="3579"/>
      <c r="JVD54" s="3579"/>
      <c r="JVE54" s="3579"/>
      <c r="JVF54" s="3579"/>
      <c r="JVG54" s="3579"/>
      <c r="JVH54" s="3579"/>
      <c r="JVI54" s="3579"/>
      <c r="JVJ54" s="3579"/>
      <c r="JVK54" s="3579"/>
      <c r="JVL54" s="3579"/>
      <c r="JVM54" s="3579"/>
      <c r="JVN54" s="3579"/>
      <c r="JVO54" s="3579"/>
      <c r="JVP54" s="3579"/>
      <c r="JVQ54" s="3579"/>
      <c r="JVR54" s="3579"/>
      <c r="JVS54" s="3579"/>
      <c r="JVT54" s="3579"/>
      <c r="JVU54" s="3579"/>
      <c r="JVV54" s="3579"/>
      <c r="JVW54" s="3579"/>
      <c r="JVX54" s="3579"/>
      <c r="JVY54" s="3579"/>
      <c r="JVZ54" s="3579"/>
      <c r="JWA54" s="3579"/>
      <c r="JWB54" s="3579"/>
      <c r="JWC54" s="3579"/>
      <c r="JWD54" s="3579"/>
      <c r="JWE54" s="3579"/>
      <c r="JWF54" s="3579"/>
      <c r="JWG54" s="3579"/>
      <c r="JWH54" s="3579"/>
      <c r="JWI54" s="3579"/>
      <c r="JWJ54" s="3579"/>
      <c r="JWK54" s="3579"/>
      <c r="JWL54" s="3579"/>
      <c r="JWM54" s="3579"/>
      <c r="JWN54" s="3579"/>
      <c r="JWO54" s="3579"/>
      <c r="JWP54" s="3579"/>
      <c r="JWQ54" s="3579"/>
      <c r="JWR54" s="3579"/>
      <c r="JWS54" s="3579"/>
      <c r="JWT54" s="3579"/>
      <c r="JWU54" s="3579"/>
      <c r="JWV54" s="3579"/>
      <c r="JWW54" s="3579"/>
      <c r="JWX54" s="3579"/>
      <c r="JWY54" s="3579"/>
      <c r="JWZ54" s="3579"/>
      <c r="JXA54" s="3579"/>
      <c r="JXB54" s="3579"/>
      <c r="JXC54" s="3579"/>
      <c r="JXD54" s="3579"/>
      <c r="JXE54" s="3579"/>
      <c r="JXF54" s="3579"/>
      <c r="JXG54" s="3579"/>
      <c r="JXH54" s="3579"/>
      <c r="JXI54" s="3579"/>
      <c r="JXJ54" s="3579"/>
      <c r="JXK54" s="3579"/>
      <c r="JXL54" s="3579"/>
      <c r="JXM54" s="3579"/>
      <c r="JXN54" s="3579"/>
      <c r="JXO54" s="3579"/>
      <c r="JXP54" s="3579"/>
      <c r="JXQ54" s="3579"/>
      <c r="JXR54" s="3579"/>
      <c r="JXS54" s="3579"/>
      <c r="JXT54" s="3579"/>
      <c r="JXU54" s="3579"/>
      <c r="JXV54" s="3579"/>
      <c r="JXW54" s="3579"/>
      <c r="JXX54" s="3579"/>
      <c r="JXY54" s="3579"/>
      <c r="JXZ54" s="3579"/>
      <c r="JYA54" s="3579"/>
      <c r="JYB54" s="3579"/>
      <c r="JYC54" s="3579"/>
      <c r="JYD54" s="3579"/>
      <c r="JYE54" s="3579"/>
      <c r="JYF54" s="3579"/>
      <c r="JYG54" s="3579"/>
      <c r="JYH54" s="3579"/>
      <c r="JYI54" s="3579"/>
      <c r="JYJ54" s="3579"/>
      <c r="JYK54" s="3579"/>
      <c r="JYL54" s="3579"/>
      <c r="JYM54" s="3579"/>
      <c r="JYN54" s="3579"/>
      <c r="JYO54" s="3579"/>
      <c r="JYP54" s="3579"/>
      <c r="JYQ54" s="3579"/>
      <c r="JYR54" s="3579"/>
      <c r="JYS54" s="3579"/>
      <c r="JYT54" s="3579"/>
      <c r="JYU54" s="3579"/>
      <c r="JYV54" s="3579"/>
      <c r="JYW54" s="3579"/>
      <c r="JYX54" s="3579"/>
      <c r="JYY54" s="3579"/>
      <c r="JYZ54" s="3579"/>
      <c r="JZA54" s="3579"/>
      <c r="JZB54" s="3579"/>
      <c r="JZC54" s="3579"/>
      <c r="JZD54" s="3579"/>
      <c r="JZE54" s="3579"/>
      <c r="JZF54" s="3579"/>
      <c r="JZG54" s="3579"/>
      <c r="JZH54" s="3579"/>
      <c r="JZI54" s="3579"/>
      <c r="JZJ54" s="3579"/>
      <c r="JZK54" s="3579"/>
      <c r="JZL54" s="3579"/>
      <c r="JZM54" s="3579"/>
      <c r="JZN54" s="3579"/>
      <c r="JZO54" s="3579"/>
      <c r="JZP54" s="3579"/>
      <c r="JZQ54" s="3579"/>
      <c r="JZR54" s="3579"/>
      <c r="JZS54" s="3579"/>
      <c r="JZT54" s="3579"/>
      <c r="JZU54" s="3579"/>
      <c r="JZV54" s="3579"/>
      <c r="JZW54" s="3579"/>
      <c r="JZX54" s="3579"/>
      <c r="JZY54" s="3579"/>
      <c r="JZZ54" s="3579"/>
      <c r="KAA54" s="3579"/>
      <c r="KAB54" s="3579"/>
      <c r="KAC54" s="3579"/>
      <c r="KAD54" s="3579"/>
      <c r="KAE54" s="3579"/>
      <c r="KAF54" s="3579"/>
      <c r="KAG54" s="3579"/>
      <c r="KAH54" s="3579"/>
      <c r="KAI54" s="3579"/>
      <c r="KAJ54" s="3579"/>
      <c r="KAK54" s="3579"/>
      <c r="KAL54" s="3579"/>
      <c r="KAM54" s="3579"/>
      <c r="KAN54" s="3579"/>
      <c r="KAO54" s="3579"/>
      <c r="KAP54" s="3579"/>
      <c r="KAQ54" s="3579"/>
      <c r="KAR54" s="3579"/>
      <c r="KAS54" s="3579"/>
      <c r="KAT54" s="3579"/>
      <c r="KAU54" s="3579"/>
      <c r="KAV54" s="3579"/>
      <c r="KAW54" s="3579"/>
      <c r="KAX54" s="3579"/>
      <c r="KAY54" s="3579"/>
      <c r="KAZ54" s="3579"/>
      <c r="KBA54" s="3579"/>
      <c r="KBB54" s="3579"/>
      <c r="KBC54" s="3579"/>
      <c r="KBD54" s="3579"/>
      <c r="KBE54" s="3579"/>
      <c r="KBF54" s="3579"/>
      <c r="KBG54" s="3579"/>
      <c r="KBH54" s="3579"/>
      <c r="KBI54" s="3579"/>
      <c r="KBJ54" s="3579"/>
      <c r="KBK54" s="3579"/>
      <c r="KBL54" s="3579"/>
      <c r="KBM54" s="3579"/>
      <c r="KBN54" s="3579"/>
      <c r="KBO54" s="3579"/>
      <c r="KBP54" s="3579"/>
      <c r="KBQ54" s="3579"/>
      <c r="KBR54" s="3579"/>
      <c r="KBS54" s="3579"/>
      <c r="KBT54" s="3579"/>
      <c r="KBU54" s="3579"/>
      <c r="KBV54" s="3579"/>
      <c r="KBW54" s="3579"/>
      <c r="KBX54" s="3579"/>
      <c r="KBY54" s="3579"/>
      <c r="KBZ54" s="3579"/>
      <c r="KCA54" s="3579"/>
      <c r="KCB54" s="3579"/>
      <c r="KCC54" s="3579"/>
      <c r="KCD54" s="3579"/>
      <c r="KCE54" s="3579"/>
      <c r="KCF54" s="3579"/>
      <c r="KCG54" s="3579"/>
      <c r="KCH54" s="3579"/>
      <c r="KCI54" s="3579"/>
      <c r="KCJ54" s="3579"/>
      <c r="KCK54" s="3579"/>
      <c r="KCL54" s="3579"/>
      <c r="KCM54" s="3579"/>
      <c r="KCN54" s="3579"/>
      <c r="KCO54" s="3579"/>
      <c r="KCP54" s="3579"/>
      <c r="KCQ54" s="3579"/>
      <c r="KCR54" s="3579"/>
      <c r="KCS54" s="3579"/>
      <c r="KCT54" s="3579"/>
      <c r="KCU54" s="3579"/>
      <c r="KCV54" s="3579"/>
      <c r="KCW54" s="3579"/>
      <c r="KCX54" s="3579"/>
      <c r="KCY54" s="3579"/>
      <c r="KCZ54" s="3579"/>
      <c r="KDA54" s="3579"/>
      <c r="KDB54" s="3579"/>
      <c r="KDC54" s="3579"/>
      <c r="KDD54" s="3579"/>
      <c r="KDE54" s="3579"/>
      <c r="KDF54" s="3579"/>
      <c r="KDG54" s="3579"/>
      <c r="KDH54" s="3579"/>
      <c r="KDI54" s="3579"/>
      <c r="KDJ54" s="3579"/>
      <c r="KDK54" s="3579"/>
      <c r="KDL54" s="3579"/>
      <c r="KDM54" s="3579"/>
      <c r="KDN54" s="3579"/>
      <c r="KDO54" s="3579"/>
      <c r="KDP54" s="3579"/>
      <c r="KDQ54" s="3579"/>
      <c r="KDR54" s="3579"/>
      <c r="KDS54" s="3579"/>
      <c r="KDT54" s="3579"/>
      <c r="KDU54" s="3579"/>
      <c r="KDV54" s="3579"/>
      <c r="KDW54" s="3579"/>
      <c r="KDX54" s="3579"/>
      <c r="KDY54" s="3579"/>
      <c r="KDZ54" s="3579"/>
      <c r="KEA54" s="3579"/>
      <c r="KEB54" s="3579"/>
      <c r="KEC54" s="3579"/>
      <c r="KED54" s="3579"/>
      <c r="KEE54" s="3579"/>
      <c r="KEF54" s="3579"/>
      <c r="KEG54" s="3579"/>
      <c r="KEH54" s="3579"/>
      <c r="KEI54" s="3579"/>
      <c r="KEJ54" s="3579"/>
      <c r="KEK54" s="3579"/>
      <c r="KEL54" s="3579"/>
      <c r="KEM54" s="3579"/>
      <c r="KEN54" s="3579"/>
      <c r="KEO54" s="3579"/>
      <c r="KEP54" s="3579"/>
      <c r="KEQ54" s="3579"/>
      <c r="KER54" s="3579"/>
      <c r="KES54" s="3579"/>
      <c r="KET54" s="3579"/>
      <c r="KEU54" s="3579"/>
      <c r="KEV54" s="3579"/>
      <c r="KEW54" s="3579"/>
      <c r="KEX54" s="3579"/>
      <c r="KEY54" s="3579"/>
      <c r="KEZ54" s="3579"/>
      <c r="KFA54" s="3579"/>
      <c r="KFB54" s="3579"/>
      <c r="KFC54" s="3579"/>
      <c r="KFD54" s="3579"/>
      <c r="KFE54" s="3579"/>
      <c r="KFF54" s="3579"/>
      <c r="KFG54" s="3579"/>
      <c r="KFH54" s="3579"/>
      <c r="KFI54" s="3579"/>
      <c r="KFJ54" s="3579"/>
      <c r="KFK54" s="3579"/>
      <c r="KFL54" s="3579"/>
      <c r="KFM54" s="3579"/>
      <c r="KFN54" s="3579"/>
      <c r="KFO54" s="3579"/>
      <c r="KFP54" s="3579"/>
      <c r="KFQ54" s="3579"/>
      <c r="KFR54" s="3579"/>
      <c r="KFS54" s="3579"/>
      <c r="KFT54" s="3579"/>
      <c r="KFU54" s="3579"/>
      <c r="KFV54" s="3579"/>
      <c r="KFW54" s="3579"/>
      <c r="KFX54" s="3579"/>
      <c r="KFY54" s="3579"/>
      <c r="KFZ54" s="3579"/>
      <c r="KGA54" s="3579"/>
      <c r="KGB54" s="3579"/>
      <c r="KGC54" s="3579"/>
      <c r="KGD54" s="3579"/>
      <c r="KGE54" s="3579"/>
      <c r="KGF54" s="3579"/>
      <c r="KGG54" s="3579"/>
      <c r="KGH54" s="3579"/>
      <c r="KGI54" s="3579"/>
      <c r="KGJ54" s="3579"/>
      <c r="KGK54" s="3579"/>
      <c r="KGL54" s="3579"/>
      <c r="KGM54" s="3579"/>
      <c r="KGN54" s="3579"/>
      <c r="KGO54" s="3579"/>
      <c r="KGP54" s="3579"/>
      <c r="KGQ54" s="3579"/>
      <c r="KGR54" s="3579"/>
      <c r="KGS54" s="3579"/>
      <c r="KGT54" s="3579"/>
      <c r="KGU54" s="3579"/>
      <c r="KGV54" s="3579"/>
      <c r="KGW54" s="3579"/>
      <c r="KGX54" s="3579"/>
      <c r="KGY54" s="3579"/>
      <c r="KGZ54" s="3579"/>
      <c r="KHA54" s="3579"/>
      <c r="KHB54" s="3579"/>
      <c r="KHC54" s="3579"/>
      <c r="KHD54" s="3579"/>
      <c r="KHE54" s="3579"/>
      <c r="KHF54" s="3579"/>
      <c r="KHG54" s="3579"/>
      <c r="KHH54" s="3579"/>
      <c r="KHI54" s="3579"/>
      <c r="KHJ54" s="3579"/>
      <c r="KHK54" s="3579"/>
      <c r="KHL54" s="3579"/>
      <c r="KHM54" s="3579"/>
      <c r="KHN54" s="3579"/>
      <c r="KHO54" s="3579"/>
      <c r="KHP54" s="3579"/>
      <c r="KHQ54" s="3579"/>
      <c r="KHR54" s="3579"/>
      <c r="KHS54" s="3579"/>
      <c r="KHT54" s="3579"/>
      <c r="KHU54" s="3579"/>
      <c r="KHV54" s="3579"/>
      <c r="KHW54" s="3579"/>
      <c r="KHX54" s="3579"/>
      <c r="KHY54" s="3579"/>
      <c r="KHZ54" s="3579"/>
      <c r="KIA54" s="3579"/>
      <c r="KIB54" s="3579"/>
      <c r="KIC54" s="3579"/>
      <c r="KID54" s="3579"/>
      <c r="KIE54" s="3579"/>
      <c r="KIF54" s="3579"/>
      <c r="KIG54" s="3579"/>
      <c r="KIH54" s="3579"/>
      <c r="KII54" s="3579"/>
      <c r="KIJ54" s="3579"/>
      <c r="KIK54" s="3579"/>
      <c r="KIL54" s="3579"/>
      <c r="KIM54" s="3579"/>
      <c r="KIN54" s="3579"/>
      <c r="KIO54" s="3579"/>
      <c r="KIP54" s="3579"/>
      <c r="KIQ54" s="3579"/>
      <c r="KIR54" s="3579"/>
      <c r="KIS54" s="3579"/>
      <c r="KIT54" s="3579"/>
      <c r="KIU54" s="3579"/>
      <c r="KIV54" s="3579"/>
      <c r="KIW54" s="3579"/>
      <c r="KIX54" s="3579"/>
      <c r="KIY54" s="3579"/>
      <c r="KIZ54" s="3579"/>
      <c r="KJA54" s="3579"/>
      <c r="KJB54" s="3579"/>
      <c r="KJC54" s="3579"/>
      <c r="KJD54" s="3579"/>
      <c r="KJE54" s="3579"/>
      <c r="KJF54" s="3579"/>
      <c r="KJG54" s="3579"/>
      <c r="KJH54" s="3579"/>
      <c r="KJI54" s="3579"/>
      <c r="KJJ54" s="3579"/>
      <c r="KJK54" s="3579"/>
      <c r="KJL54" s="3579"/>
      <c r="KJM54" s="3579"/>
      <c r="KJN54" s="3579"/>
      <c r="KJO54" s="3579"/>
      <c r="KJP54" s="3579"/>
      <c r="KJQ54" s="3579"/>
      <c r="KJR54" s="3579"/>
      <c r="KJS54" s="3579"/>
      <c r="KJT54" s="3579"/>
      <c r="KJU54" s="3579"/>
      <c r="KJV54" s="3579"/>
      <c r="KJW54" s="3579"/>
      <c r="KJX54" s="3579"/>
      <c r="KJY54" s="3579"/>
      <c r="KJZ54" s="3579"/>
      <c r="KKA54" s="3579"/>
      <c r="KKB54" s="3579"/>
      <c r="KKC54" s="3579"/>
      <c r="KKD54" s="3579"/>
      <c r="KKE54" s="3579"/>
      <c r="KKF54" s="3579"/>
      <c r="KKG54" s="3579"/>
      <c r="KKH54" s="3579"/>
      <c r="KKI54" s="3579"/>
      <c r="KKJ54" s="3579"/>
      <c r="KKK54" s="3579"/>
      <c r="KKL54" s="3579"/>
      <c r="KKM54" s="3579"/>
      <c r="KKN54" s="3579"/>
      <c r="KKO54" s="3579"/>
      <c r="KKP54" s="3579"/>
      <c r="KKQ54" s="3579"/>
      <c r="KKR54" s="3579"/>
      <c r="KKS54" s="3579"/>
      <c r="KKT54" s="3579"/>
      <c r="KKU54" s="3579"/>
      <c r="KKV54" s="3579"/>
      <c r="KKW54" s="3579"/>
      <c r="KKX54" s="3579"/>
      <c r="KKY54" s="3579"/>
      <c r="KKZ54" s="3579"/>
      <c r="KLA54" s="3579"/>
      <c r="KLB54" s="3579"/>
      <c r="KLC54" s="3579"/>
      <c r="KLD54" s="3579"/>
      <c r="KLE54" s="3579"/>
      <c r="KLF54" s="3579"/>
      <c r="KLG54" s="3579"/>
      <c r="KLH54" s="3579"/>
      <c r="KLI54" s="3579"/>
      <c r="KLJ54" s="3579"/>
      <c r="KLK54" s="3579"/>
      <c r="KLL54" s="3579"/>
      <c r="KLM54" s="3579"/>
      <c r="KLN54" s="3579"/>
      <c r="KLO54" s="3579"/>
      <c r="KLP54" s="3579"/>
      <c r="KLQ54" s="3579"/>
      <c r="KLR54" s="3579"/>
      <c r="KLS54" s="3579"/>
      <c r="KLT54" s="3579"/>
      <c r="KLU54" s="3579"/>
      <c r="KLV54" s="3579"/>
      <c r="KLW54" s="3579"/>
      <c r="KLX54" s="3579"/>
      <c r="KLY54" s="3579"/>
      <c r="KLZ54" s="3579"/>
      <c r="KMA54" s="3579"/>
      <c r="KMB54" s="3579"/>
      <c r="KMC54" s="3579"/>
      <c r="KMD54" s="3579"/>
      <c r="KME54" s="3579"/>
      <c r="KMF54" s="3579"/>
      <c r="KMG54" s="3579"/>
      <c r="KMH54" s="3579"/>
      <c r="KMI54" s="3579"/>
      <c r="KMJ54" s="3579"/>
      <c r="KMK54" s="3579"/>
      <c r="KML54" s="3579"/>
      <c r="KMM54" s="3579"/>
      <c r="KMN54" s="3579"/>
      <c r="KMO54" s="3579"/>
      <c r="KMP54" s="3579"/>
      <c r="KMQ54" s="3579"/>
      <c r="KMR54" s="3579"/>
      <c r="KMS54" s="3579"/>
      <c r="KMT54" s="3579"/>
      <c r="KMU54" s="3579"/>
      <c r="KMV54" s="3579"/>
      <c r="KMW54" s="3579"/>
      <c r="KMX54" s="3579"/>
      <c r="KMY54" s="3579"/>
      <c r="KMZ54" s="3579"/>
      <c r="KNA54" s="3579"/>
      <c r="KNB54" s="3579"/>
      <c r="KNC54" s="3579"/>
      <c r="KND54" s="3579"/>
      <c r="KNE54" s="3579"/>
      <c r="KNF54" s="3579"/>
      <c r="KNG54" s="3579"/>
      <c r="KNH54" s="3579"/>
      <c r="KNI54" s="3579"/>
      <c r="KNJ54" s="3579"/>
      <c r="KNK54" s="3579"/>
      <c r="KNL54" s="3579"/>
      <c r="KNM54" s="3579"/>
      <c r="KNN54" s="3579"/>
      <c r="KNO54" s="3579"/>
      <c r="KNP54" s="3579"/>
      <c r="KNQ54" s="3579"/>
      <c r="KNR54" s="3579"/>
      <c r="KNS54" s="3579"/>
      <c r="KNT54" s="3579"/>
      <c r="KNU54" s="3579"/>
      <c r="KNV54" s="3579"/>
      <c r="KNW54" s="3579"/>
      <c r="KNX54" s="3579"/>
      <c r="KNY54" s="3579"/>
      <c r="KNZ54" s="3579"/>
      <c r="KOA54" s="3579"/>
      <c r="KOB54" s="3579"/>
      <c r="KOC54" s="3579"/>
      <c r="KOD54" s="3579"/>
      <c r="KOE54" s="3579"/>
      <c r="KOF54" s="3579"/>
      <c r="KOG54" s="3579"/>
      <c r="KOH54" s="3579"/>
      <c r="KOI54" s="3579"/>
      <c r="KOJ54" s="3579"/>
      <c r="KOK54" s="3579"/>
      <c r="KOL54" s="3579"/>
      <c r="KOM54" s="3579"/>
      <c r="KON54" s="3579"/>
      <c r="KOO54" s="3579"/>
      <c r="KOP54" s="3579"/>
      <c r="KOQ54" s="3579"/>
      <c r="KOR54" s="3579"/>
      <c r="KOS54" s="3579"/>
      <c r="KOT54" s="3579"/>
      <c r="KOU54" s="3579"/>
      <c r="KOV54" s="3579"/>
      <c r="KOW54" s="3579"/>
      <c r="KOX54" s="3579"/>
      <c r="KOY54" s="3579"/>
      <c r="KOZ54" s="3579"/>
      <c r="KPA54" s="3579"/>
      <c r="KPB54" s="3579"/>
      <c r="KPC54" s="3579"/>
      <c r="KPD54" s="3579"/>
      <c r="KPE54" s="3579"/>
      <c r="KPF54" s="3579"/>
      <c r="KPG54" s="3579"/>
      <c r="KPH54" s="3579"/>
      <c r="KPI54" s="3579"/>
      <c r="KPJ54" s="3579"/>
      <c r="KPK54" s="3579"/>
      <c r="KPL54" s="3579"/>
      <c r="KPM54" s="3579"/>
      <c r="KPN54" s="3579"/>
      <c r="KPO54" s="3579"/>
      <c r="KPP54" s="3579"/>
      <c r="KPQ54" s="3579"/>
      <c r="KPR54" s="3579"/>
      <c r="KPS54" s="3579"/>
      <c r="KPT54" s="3579"/>
      <c r="KPU54" s="3579"/>
      <c r="KPV54" s="3579"/>
      <c r="KPW54" s="3579"/>
      <c r="KPX54" s="3579"/>
      <c r="KPY54" s="3579"/>
      <c r="KPZ54" s="3579"/>
      <c r="KQA54" s="3579"/>
      <c r="KQB54" s="3579"/>
      <c r="KQC54" s="3579"/>
      <c r="KQD54" s="3579"/>
      <c r="KQE54" s="3579"/>
      <c r="KQF54" s="3579"/>
      <c r="KQG54" s="3579"/>
      <c r="KQH54" s="3579"/>
      <c r="KQI54" s="3579"/>
      <c r="KQJ54" s="3579"/>
      <c r="KQK54" s="3579"/>
      <c r="KQL54" s="3579"/>
      <c r="KQM54" s="3579"/>
      <c r="KQN54" s="3579"/>
      <c r="KQO54" s="3579"/>
      <c r="KQP54" s="3579"/>
      <c r="KQQ54" s="3579"/>
      <c r="KQR54" s="3579"/>
      <c r="KQS54" s="3579"/>
      <c r="KQT54" s="3579"/>
      <c r="KQU54" s="3579"/>
      <c r="KQV54" s="3579"/>
      <c r="KQW54" s="3579"/>
      <c r="KQX54" s="3579"/>
      <c r="KQY54" s="3579"/>
      <c r="KQZ54" s="3579"/>
      <c r="KRA54" s="3579"/>
      <c r="KRB54" s="3579"/>
      <c r="KRC54" s="3579"/>
      <c r="KRD54" s="3579"/>
      <c r="KRE54" s="3579"/>
      <c r="KRF54" s="3579"/>
      <c r="KRG54" s="3579"/>
      <c r="KRH54" s="3579"/>
      <c r="KRI54" s="3579"/>
      <c r="KRJ54" s="3579"/>
      <c r="KRK54" s="3579"/>
      <c r="KRL54" s="3579"/>
      <c r="KRM54" s="3579"/>
      <c r="KRN54" s="3579"/>
      <c r="KRO54" s="3579"/>
      <c r="KRP54" s="3579"/>
      <c r="KRQ54" s="3579"/>
      <c r="KRR54" s="3579"/>
      <c r="KRS54" s="3579"/>
      <c r="KRT54" s="3579"/>
      <c r="KRU54" s="3579"/>
      <c r="KRV54" s="3579"/>
      <c r="KRW54" s="3579"/>
      <c r="KRX54" s="3579"/>
      <c r="KRY54" s="3579"/>
      <c r="KRZ54" s="3579"/>
      <c r="KSA54" s="3579"/>
      <c r="KSB54" s="3579"/>
      <c r="KSC54" s="3579"/>
      <c r="KSD54" s="3579"/>
      <c r="KSE54" s="3579"/>
      <c r="KSF54" s="3579"/>
      <c r="KSG54" s="3579"/>
      <c r="KSH54" s="3579"/>
      <c r="KSI54" s="3579"/>
      <c r="KSJ54" s="3579"/>
      <c r="KSK54" s="3579"/>
      <c r="KSL54" s="3579"/>
      <c r="KSM54" s="3579"/>
      <c r="KSN54" s="3579"/>
      <c r="KSO54" s="3579"/>
      <c r="KSP54" s="3579"/>
      <c r="KSQ54" s="3579"/>
      <c r="KSR54" s="3579"/>
      <c r="KSS54" s="3579"/>
      <c r="KST54" s="3579"/>
      <c r="KSU54" s="3579"/>
      <c r="KSV54" s="3579"/>
      <c r="KSW54" s="3579"/>
      <c r="KSX54" s="3579"/>
      <c r="KSY54" s="3579"/>
      <c r="KSZ54" s="3579"/>
      <c r="KTA54" s="3579"/>
      <c r="KTB54" s="3579"/>
      <c r="KTC54" s="3579"/>
      <c r="KTD54" s="3579"/>
      <c r="KTE54" s="3579"/>
      <c r="KTF54" s="3579"/>
      <c r="KTG54" s="3579"/>
      <c r="KTH54" s="3579"/>
      <c r="KTI54" s="3579"/>
      <c r="KTJ54" s="3579"/>
      <c r="KTK54" s="3579"/>
      <c r="KTL54" s="3579"/>
      <c r="KTM54" s="3579"/>
      <c r="KTN54" s="3579"/>
      <c r="KTO54" s="3579"/>
      <c r="KTP54" s="3579"/>
      <c r="KTQ54" s="3579"/>
      <c r="KTR54" s="3579"/>
      <c r="KTS54" s="3579"/>
      <c r="KTT54" s="3579"/>
      <c r="KTU54" s="3579"/>
      <c r="KTV54" s="3579"/>
      <c r="KTW54" s="3579"/>
      <c r="KTX54" s="3579"/>
      <c r="KTY54" s="3579"/>
      <c r="KTZ54" s="3579"/>
      <c r="KUA54" s="3579"/>
      <c r="KUB54" s="3579"/>
      <c r="KUC54" s="3579"/>
      <c r="KUD54" s="3579"/>
      <c r="KUE54" s="3579"/>
      <c r="KUF54" s="3579"/>
      <c r="KUG54" s="3579"/>
      <c r="KUH54" s="3579"/>
      <c r="KUI54" s="3579"/>
      <c r="KUJ54" s="3579"/>
      <c r="KUK54" s="3579"/>
      <c r="KUL54" s="3579"/>
      <c r="KUM54" s="3579"/>
      <c r="KUN54" s="3579"/>
      <c r="KUO54" s="3579"/>
      <c r="KUP54" s="3579"/>
      <c r="KUQ54" s="3579"/>
      <c r="KUR54" s="3579"/>
      <c r="KUS54" s="3579"/>
      <c r="KUT54" s="3579"/>
      <c r="KUU54" s="3579"/>
      <c r="KUV54" s="3579"/>
      <c r="KUW54" s="3579"/>
      <c r="KUX54" s="3579"/>
      <c r="KUY54" s="3579"/>
      <c r="KUZ54" s="3579"/>
      <c r="KVA54" s="3579"/>
      <c r="KVB54" s="3579"/>
      <c r="KVC54" s="3579"/>
      <c r="KVD54" s="3579"/>
      <c r="KVE54" s="3579"/>
      <c r="KVF54" s="3579"/>
      <c r="KVG54" s="3579"/>
      <c r="KVH54" s="3579"/>
      <c r="KVI54" s="3579"/>
      <c r="KVJ54" s="3579"/>
      <c r="KVK54" s="3579"/>
      <c r="KVL54" s="3579"/>
      <c r="KVM54" s="3579"/>
      <c r="KVN54" s="3579"/>
      <c r="KVO54" s="3579"/>
      <c r="KVP54" s="3579"/>
      <c r="KVQ54" s="3579"/>
      <c r="KVR54" s="3579"/>
      <c r="KVS54" s="3579"/>
      <c r="KVT54" s="3579"/>
      <c r="KVU54" s="3579"/>
      <c r="KVV54" s="3579"/>
      <c r="KVW54" s="3579"/>
      <c r="KVX54" s="3579"/>
      <c r="KVY54" s="3579"/>
      <c r="KVZ54" s="3579"/>
      <c r="KWA54" s="3579"/>
      <c r="KWB54" s="3579"/>
      <c r="KWC54" s="3579"/>
      <c r="KWD54" s="3579"/>
      <c r="KWE54" s="3579"/>
      <c r="KWF54" s="3579"/>
      <c r="KWG54" s="3579"/>
      <c r="KWH54" s="3579"/>
      <c r="KWI54" s="3579"/>
      <c r="KWJ54" s="3579"/>
      <c r="KWK54" s="3579"/>
      <c r="KWL54" s="3579"/>
      <c r="KWM54" s="3579"/>
      <c r="KWN54" s="3579"/>
      <c r="KWO54" s="3579"/>
      <c r="KWP54" s="3579"/>
      <c r="KWQ54" s="3579"/>
      <c r="KWR54" s="3579"/>
      <c r="KWS54" s="3579"/>
      <c r="KWT54" s="3579"/>
      <c r="KWU54" s="3579"/>
      <c r="KWV54" s="3579"/>
      <c r="KWW54" s="3579"/>
      <c r="KWX54" s="3579"/>
      <c r="KWY54" s="3579"/>
      <c r="KWZ54" s="3579"/>
      <c r="KXA54" s="3579"/>
      <c r="KXB54" s="3579"/>
      <c r="KXC54" s="3579"/>
      <c r="KXD54" s="3579"/>
      <c r="KXE54" s="3579"/>
      <c r="KXF54" s="3579"/>
      <c r="KXG54" s="3579"/>
      <c r="KXH54" s="3579"/>
      <c r="KXI54" s="3579"/>
      <c r="KXJ54" s="3579"/>
      <c r="KXK54" s="3579"/>
      <c r="KXL54" s="3579"/>
      <c r="KXM54" s="3579"/>
      <c r="KXN54" s="3579"/>
      <c r="KXO54" s="3579"/>
      <c r="KXP54" s="3579"/>
      <c r="KXQ54" s="3579"/>
      <c r="KXR54" s="3579"/>
      <c r="KXS54" s="3579"/>
      <c r="KXT54" s="3579"/>
      <c r="KXU54" s="3579"/>
      <c r="KXV54" s="3579"/>
      <c r="KXW54" s="3579"/>
      <c r="KXX54" s="3579"/>
      <c r="KXY54" s="3579"/>
      <c r="KXZ54" s="3579"/>
      <c r="KYA54" s="3579"/>
      <c r="KYB54" s="3579"/>
      <c r="KYC54" s="3579"/>
      <c r="KYD54" s="3579"/>
      <c r="KYE54" s="3579"/>
      <c r="KYF54" s="3579"/>
      <c r="KYG54" s="3579"/>
      <c r="KYH54" s="3579"/>
      <c r="KYI54" s="3579"/>
      <c r="KYJ54" s="3579"/>
      <c r="KYK54" s="3579"/>
      <c r="KYL54" s="3579"/>
      <c r="KYM54" s="3579"/>
      <c r="KYN54" s="3579"/>
      <c r="KYO54" s="3579"/>
      <c r="KYP54" s="3579"/>
      <c r="KYQ54" s="3579"/>
      <c r="KYR54" s="3579"/>
      <c r="KYS54" s="3579"/>
      <c r="KYT54" s="3579"/>
      <c r="KYU54" s="3579"/>
      <c r="KYV54" s="3579"/>
      <c r="KYW54" s="3579"/>
      <c r="KYX54" s="3579"/>
      <c r="KYY54" s="3579"/>
      <c r="KYZ54" s="3579"/>
      <c r="KZA54" s="3579"/>
      <c r="KZB54" s="3579"/>
      <c r="KZC54" s="3579"/>
      <c r="KZD54" s="3579"/>
      <c r="KZE54" s="3579"/>
      <c r="KZF54" s="3579"/>
      <c r="KZG54" s="3579"/>
      <c r="KZH54" s="3579"/>
      <c r="KZI54" s="3579"/>
      <c r="KZJ54" s="3579"/>
      <c r="KZK54" s="3579"/>
      <c r="KZL54" s="3579"/>
      <c r="KZM54" s="3579"/>
      <c r="KZN54" s="3579"/>
      <c r="KZO54" s="3579"/>
      <c r="KZP54" s="3579"/>
      <c r="KZQ54" s="3579"/>
      <c r="KZR54" s="3579"/>
      <c r="KZS54" s="3579"/>
      <c r="KZT54" s="3579"/>
      <c r="KZU54" s="3579"/>
      <c r="KZV54" s="3579"/>
      <c r="KZW54" s="3579"/>
      <c r="KZX54" s="3579"/>
      <c r="KZY54" s="3579"/>
      <c r="KZZ54" s="3579"/>
      <c r="LAA54" s="3579"/>
      <c r="LAB54" s="3579"/>
      <c r="LAC54" s="3579"/>
      <c r="LAD54" s="3579"/>
      <c r="LAE54" s="3579"/>
      <c r="LAF54" s="3579"/>
      <c r="LAG54" s="3579"/>
      <c r="LAH54" s="3579"/>
      <c r="LAI54" s="3579"/>
      <c r="LAJ54" s="3579"/>
      <c r="LAK54" s="3579"/>
      <c r="LAL54" s="3579"/>
      <c r="LAM54" s="3579"/>
      <c r="LAN54" s="3579"/>
      <c r="LAO54" s="3579"/>
      <c r="LAP54" s="3579"/>
      <c r="LAQ54" s="3579"/>
      <c r="LAR54" s="3579"/>
      <c r="LAS54" s="3579"/>
      <c r="LAT54" s="3579"/>
      <c r="LAU54" s="3579"/>
      <c r="LAV54" s="3579"/>
      <c r="LAW54" s="3579"/>
      <c r="LAX54" s="3579"/>
      <c r="LAY54" s="3579"/>
      <c r="LAZ54" s="3579"/>
      <c r="LBA54" s="3579"/>
      <c r="LBB54" s="3579"/>
      <c r="LBC54" s="3579"/>
      <c r="LBD54" s="3579"/>
      <c r="LBE54" s="3579"/>
      <c r="LBF54" s="3579"/>
      <c r="LBG54" s="3579"/>
      <c r="LBH54" s="3579"/>
      <c r="LBI54" s="3579"/>
      <c r="LBJ54" s="3579"/>
      <c r="LBK54" s="3579"/>
      <c r="LBL54" s="3579"/>
      <c r="LBM54" s="3579"/>
      <c r="LBN54" s="3579"/>
      <c r="LBO54" s="3579"/>
      <c r="LBP54" s="3579"/>
      <c r="LBQ54" s="3579"/>
      <c r="LBR54" s="3579"/>
      <c r="LBS54" s="3579"/>
      <c r="LBT54" s="3579"/>
      <c r="LBU54" s="3579"/>
      <c r="LBV54" s="3579"/>
      <c r="LBW54" s="3579"/>
      <c r="LBX54" s="3579"/>
      <c r="LBY54" s="3579"/>
      <c r="LBZ54" s="3579"/>
      <c r="LCA54" s="3579"/>
      <c r="LCB54" s="3579"/>
      <c r="LCC54" s="3579"/>
      <c r="LCD54" s="3579"/>
      <c r="LCE54" s="3579"/>
      <c r="LCF54" s="3579"/>
      <c r="LCG54" s="3579"/>
      <c r="LCH54" s="3579"/>
      <c r="LCI54" s="3579"/>
      <c r="LCJ54" s="3579"/>
      <c r="LCK54" s="3579"/>
      <c r="LCL54" s="3579"/>
      <c r="LCM54" s="3579"/>
      <c r="LCN54" s="3579"/>
      <c r="LCO54" s="3579"/>
      <c r="LCP54" s="3579"/>
      <c r="LCQ54" s="3579"/>
      <c r="LCR54" s="3579"/>
      <c r="LCS54" s="3579"/>
      <c r="LCT54" s="3579"/>
      <c r="LCU54" s="3579"/>
      <c r="LCV54" s="3579"/>
      <c r="LCW54" s="3579"/>
      <c r="LCX54" s="3579"/>
      <c r="LCY54" s="3579"/>
      <c r="LCZ54" s="3579"/>
      <c r="LDA54" s="3579"/>
      <c r="LDB54" s="3579"/>
      <c r="LDC54" s="3579"/>
      <c r="LDD54" s="3579"/>
      <c r="LDE54" s="3579"/>
      <c r="LDF54" s="3579"/>
      <c r="LDG54" s="3579"/>
      <c r="LDH54" s="3579"/>
      <c r="LDI54" s="3579"/>
      <c r="LDJ54" s="3579"/>
      <c r="LDK54" s="3579"/>
      <c r="LDL54" s="3579"/>
      <c r="LDM54" s="3579"/>
      <c r="LDN54" s="3579"/>
      <c r="LDO54" s="3579"/>
      <c r="LDP54" s="3579"/>
      <c r="LDQ54" s="3579"/>
      <c r="LDR54" s="3579"/>
      <c r="LDS54" s="3579"/>
      <c r="LDT54" s="3579"/>
      <c r="LDU54" s="3579"/>
      <c r="LDV54" s="3579"/>
      <c r="LDW54" s="3579"/>
      <c r="LDX54" s="3579"/>
      <c r="LDY54" s="3579"/>
      <c r="LDZ54" s="3579"/>
      <c r="LEA54" s="3579"/>
      <c r="LEB54" s="3579"/>
      <c r="LEC54" s="3579"/>
      <c r="LED54" s="3579"/>
      <c r="LEE54" s="3579"/>
      <c r="LEF54" s="3579"/>
      <c r="LEG54" s="3579"/>
      <c r="LEH54" s="3579"/>
      <c r="LEI54" s="3579"/>
      <c r="LEJ54" s="3579"/>
      <c r="LEK54" s="3579"/>
      <c r="LEL54" s="3579"/>
      <c r="LEM54" s="3579"/>
      <c r="LEN54" s="3579"/>
      <c r="LEO54" s="3579"/>
      <c r="LEP54" s="3579"/>
      <c r="LEQ54" s="3579"/>
      <c r="LER54" s="3579"/>
      <c r="LES54" s="3579"/>
      <c r="LET54" s="3579"/>
      <c r="LEU54" s="3579"/>
      <c r="LEV54" s="3579"/>
      <c r="LEW54" s="3579"/>
      <c r="LEX54" s="3579"/>
      <c r="LEY54" s="3579"/>
      <c r="LEZ54" s="3579"/>
      <c r="LFA54" s="3579"/>
      <c r="LFB54" s="3579"/>
      <c r="LFC54" s="3579"/>
      <c r="LFD54" s="3579"/>
      <c r="LFE54" s="3579"/>
      <c r="LFF54" s="3579"/>
      <c r="LFG54" s="3579"/>
      <c r="LFH54" s="3579"/>
      <c r="LFI54" s="3579"/>
      <c r="LFJ54" s="3579"/>
      <c r="LFK54" s="3579"/>
      <c r="LFL54" s="3579"/>
      <c r="LFM54" s="3579"/>
      <c r="LFN54" s="3579"/>
      <c r="LFO54" s="3579"/>
      <c r="LFP54" s="3579"/>
      <c r="LFQ54" s="3579"/>
      <c r="LFR54" s="3579"/>
      <c r="LFS54" s="3579"/>
      <c r="LFT54" s="3579"/>
      <c r="LFU54" s="3579"/>
      <c r="LFV54" s="3579"/>
      <c r="LFW54" s="3579"/>
      <c r="LFX54" s="3579"/>
      <c r="LFY54" s="3579"/>
      <c r="LFZ54" s="3579"/>
      <c r="LGA54" s="3579"/>
      <c r="LGB54" s="3579"/>
      <c r="LGC54" s="3579"/>
      <c r="LGD54" s="3579"/>
      <c r="LGE54" s="3579"/>
      <c r="LGF54" s="3579"/>
      <c r="LGG54" s="3579"/>
      <c r="LGH54" s="3579"/>
      <c r="LGI54" s="3579"/>
      <c r="LGJ54" s="3579"/>
      <c r="LGK54" s="3579"/>
      <c r="LGL54" s="3579"/>
      <c r="LGM54" s="3579"/>
      <c r="LGN54" s="3579"/>
      <c r="LGO54" s="3579"/>
      <c r="LGP54" s="3579"/>
      <c r="LGQ54" s="3579"/>
      <c r="LGR54" s="3579"/>
      <c r="LGS54" s="3579"/>
      <c r="LGT54" s="3579"/>
      <c r="LGU54" s="3579"/>
      <c r="LGV54" s="3579"/>
      <c r="LGW54" s="3579"/>
      <c r="LGX54" s="3579"/>
      <c r="LGY54" s="3579"/>
      <c r="LGZ54" s="3579"/>
      <c r="LHA54" s="3579"/>
      <c r="LHB54" s="3579"/>
      <c r="LHC54" s="3579"/>
      <c r="LHD54" s="3579"/>
      <c r="LHE54" s="3579"/>
      <c r="LHF54" s="3579"/>
      <c r="LHG54" s="3579"/>
      <c r="LHH54" s="3579"/>
      <c r="LHI54" s="3579"/>
      <c r="LHJ54" s="3579"/>
      <c r="LHK54" s="3579"/>
      <c r="LHL54" s="3579"/>
      <c r="LHM54" s="3579"/>
      <c r="LHN54" s="3579"/>
      <c r="LHO54" s="3579"/>
      <c r="LHP54" s="3579"/>
      <c r="LHQ54" s="3579"/>
      <c r="LHR54" s="3579"/>
      <c r="LHS54" s="3579"/>
      <c r="LHT54" s="3579"/>
      <c r="LHU54" s="3579"/>
      <c r="LHV54" s="3579"/>
      <c r="LHW54" s="3579"/>
      <c r="LHX54" s="3579"/>
      <c r="LHY54" s="3579"/>
      <c r="LHZ54" s="3579"/>
      <c r="LIA54" s="3579"/>
      <c r="LIB54" s="3579"/>
      <c r="LIC54" s="3579"/>
      <c r="LID54" s="3579"/>
      <c r="LIE54" s="3579"/>
      <c r="LIF54" s="3579"/>
      <c r="LIG54" s="3579"/>
      <c r="LIH54" s="3579"/>
      <c r="LII54" s="3579"/>
      <c r="LIJ54" s="3579"/>
      <c r="LIK54" s="3579"/>
      <c r="LIL54" s="3579"/>
      <c r="LIM54" s="3579"/>
      <c r="LIN54" s="3579"/>
      <c r="LIO54" s="3579"/>
      <c r="LIP54" s="3579"/>
      <c r="LIQ54" s="3579"/>
      <c r="LIR54" s="3579"/>
      <c r="LIS54" s="3579"/>
      <c r="LIT54" s="3579"/>
      <c r="LIU54" s="3579"/>
      <c r="LIV54" s="3579"/>
      <c r="LIW54" s="3579"/>
      <c r="LIX54" s="3579"/>
      <c r="LIY54" s="3579"/>
      <c r="LIZ54" s="3579"/>
      <c r="LJA54" s="3579"/>
      <c r="LJB54" s="3579"/>
      <c r="LJC54" s="3579"/>
      <c r="LJD54" s="3579"/>
      <c r="LJE54" s="3579"/>
      <c r="LJF54" s="3579"/>
      <c r="LJG54" s="3579"/>
      <c r="LJH54" s="3579"/>
      <c r="LJI54" s="3579"/>
      <c r="LJJ54" s="3579"/>
      <c r="LJK54" s="3579"/>
      <c r="LJL54" s="3579"/>
      <c r="LJM54" s="3579"/>
      <c r="LJN54" s="3579"/>
      <c r="LJO54" s="3579"/>
      <c r="LJP54" s="3579"/>
      <c r="LJQ54" s="3579"/>
      <c r="LJR54" s="3579"/>
      <c r="LJS54" s="3579"/>
      <c r="LJT54" s="3579"/>
      <c r="LJU54" s="3579"/>
      <c r="LJV54" s="3579"/>
      <c r="LJW54" s="3579"/>
      <c r="LJX54" s="3579"/>
      <c r="LJY54" s="3579"/>
      <c r="LJZ54" s="3579"/>
      <c r="LKA54" s="3579"/>
      <c r="LKB54" s="3579"/>
      <c r="LKC54" s="3579"/>
      <c r="LKD54" s="3579"/>
      <c r="LKE54" s="3579"/>
      <c r="LKF54" s="3579"/>
      <c r="LKG54" s="3579"/>
      <c r="LKH54" s="3579"/>
      <c r="LKI54" s="3579"/>
      <c r="LKJ54" s="3579"/>
      <c r="LKK54" s="3579"/>
      <c r="LKL54" s="3579"/>
      <c r="LKM54" s="3579"/>
      <c r="LKN54" s="3579"/>
      <c r="LKO54" s="3579"/>
      <c r="LKP54" s="3579"/>
      <c r="LKQ54" s="3579"/>
      <c r="LKR54" s="3579"/>
      <c r="LKS54" s="3579"/>
      <c r="LKT54" s="3579"/>
      <c r="LKU54" s="3579"/>
      <c r="LKV54" s="3579"/>
      <c r="LKW54" s="3579"/>
      <c r="LKX54" s="3579"/>
      <c r="LKY54" s="3579"/>
      <c r="LKZ54" s="3579"/>
      <c r="LLA54" s="3579"/>
      <c r="LLB54" s="3579"/>
      <c r="LLC54" s="3579"/>
      <c r="LLD54" s="3579"/>
      <c r="LLE54" s="3579"/>
      <c r="LLF54" s="3579"/>
      <c r="LLG54" s="3579"/>
      <c r="LLH54" s="3579"/>
      <c r="LLI54" s="3579"/>
      <c r="LLJ54" s="3579"/>
      <c r="LLK54" s="3579"/>
      <c r="LLL54" s="3579"/>
      <c r="LLM54" s="3579"/>
      <c r="LLN54" s="3579"/>
      <c r="LLO54" s="3579"/>
      <c r="LLP54" s="3579"/>
      <c r="LLQ54" s="3579"/>
      <c r="LLR54" s="3579"/>
      <c r="LLS54" s="3579"/>
      <c r="LLT54" s="3579"/>
      <c r="LLU54" s="3579"/>
      <c r="LLV54" s="3579"/>
      <c r="LLW54" s="3579"/>
      <c r="LLX54" s="3579"/>
      <c r="LLY54" s="3579"/>
      <c r="LLZ54" s="3579"/>
      <c r="LMA54" s="3579"/>
      <c r="LMB54" s="3579"/>
      <c r="LMC54" s="3579"/>
      <c r="LMD54" s="3579"/>
      <c r="LME54" s="3579"/>
      <c r="LMF54" s="3579"/>
      <c r="LMG54" s="3579"/>
      <c r="LMH54" s="3579"/>
      <c r="LMI54" s="3579"/>
      <c r="LMJ54" s="3579"/>
      <c r="LMK54" s="3579"/>
      <c r="LML54" s="3579"/>
      <c r="LMM54" s="3579"/>
      <c r="LMN54" s="3579"/>
      <c r="LMO54" s="3579"/>
      <c r="LMP54" s="3579"/>
      <c r="LMQ54" s="3579"/>
      <c r="LMR54" s="3579"/>
      <c r="LMS54" s="3579"/>
      <c r="LMT54" s="3579"/>
      <c r="LMU54" s="3579"/>
      <c r="LMV54" s="3579"/>
      <c r="LMW54" s="3579"/>
      <c r="LMX54" s="3579"/>
      <c r="LMY54" s="3579"/>
      <c r="LMZ54" s="3579"/>
      <c r="LNA54" s="3579"/>
      <c r="LNB54" s="3579"/>
      <c r="LNC54" s="3579"/>
      <c r="LND54" s="3579"/>
      <c r="LNE54" s="3579"/>
      <c r="LNF54" s="3579"/>
      <c r="LNG54" s="3579"/>
      <c r="LNH54" s="3579"/>
      <c r="LNI54" s="3579"/>
      <c r="LNJ54" s="3579"/>
      <c r="LNK54" s="3579"/>
      <c r="LNL54" s="3579"/>
      <c r="LNM54" s="3579"/>
      <c r="LNN54" s="3579"/>
      <c r="LNO54" s="3579"/>
      <c r="LNP54" s="3579"/>
      <c r="LNQ54" s="3579"/>
      <c r="LNR54" s="3579"/>
      <c r="LNS54" s="3579"/>
      <c r="LNT54" s="3579"/>
      <c r="LNU54" s="3579"/>
      <c r="LNV54" s="3579"/>
      <c r="LNW54" s="3579"/>
      <c r="LNX54" s="3579"/>
      <c r="LNY54" s="3579"/>
      <c r="LNZ54" s="3579"/>
      <c r="LOA54" s="3579"/>
      <c r="LOB54" s="3579"/>
      <c r="LOC54" s="3579"/>
      <c r="LOD54" s="3579"/>
      <c r="LOE54" s="3579"/>
      <c r="LOF54" s="3579"/>
      <c r="LOG54" s="3579"/>
      <c r="LOH54" s="3579"/>
      <c r="LOI54" s="3579"/>
      <c r="LOJ54" s="3579"/>
      <c r="LOK54" s="3579"/>
      <c r="LOL54" s="3579"/>
      <c r="LOM54" s="3579"/>
      <c r="LON54" s="3579"/>
      <c r="LOO54" s="3579"/>
      <c r="LOP54" s="3579"/>
      <c r="LOQ54" s="3579"/>
      <c r="LOR54" s="3579"/>
      <c r="LOS54" s="3579"/>
      <c r="LOT54" s="3579"/>
      <c r="LOU54" s="3579"/>
      <c r="LOV54" s="3579"/>
      <c r="LOW54" s="3579"/>
      <c r="LOX54" s="3579"/>
      <c r="LOY54" s="3579"/>
      <c r="LOZ54" s="3579"/>
      <c r="LPA54" s="3579"/>
      <c r="LPB54" s="3579"/>
      <c r="LPC54" s="3579"/>
      <c r="LPD54" s="3579"/>
      <c r="LPE54" s="3579"/>
      <c r="LPF54" s="3579"/>
      <c r="LPG54" s="3579"/>
      <c r="LPH54" s="3579"/>
      <c r="LPI54" s="3579"/>
      <c r="LPJ54" s="3579"/>
      <c r="LPK54" s="3579"/>
      <c r="LPL54" s="3579"/>
      <c r="LPM54" s="3579"/>
      <c r="LPN54" s="3579"/>
      <c r="LPO54" s="3579"/>
      <c r="LPP54" s="3579"/>
      <c r="LPQ54" s="3579"/>
      <c r="LPR54" s="3579"/>
      <c r="LPS54" s="3579"/>
      <c r="LPT54" s="3579"/>
      <c r="LPU54" s="3579"/>
      <c r="LPV54" s="3579"/>
      <c r="LPW54" s="3579"/>
      <c r="LPX54" s="3579"/>
      <c r="LPY54" s="3579"/>
      <c r="LPZ54" s="3579"/>
      <c r="LQA54" s="3579"/>
      <c r="LQB54" s="3579"/>
      <c r="LQC54" s="3579"/>
      <c r="LQD54" s="3579"/>
      <c r="LQE54" s="3579"/>
      <c r="LQF54" s="3579"/>
      <c r="LQG54" s="3579"/>
      <c r="LQH54" s="3579"/>
      <c r="LQI54" s="3579"/>
      <c r="LQJ54" s="3579"/>
      <c r="LQK54" s="3579"/>
      <c r="LQL54" s="3579"/>
      <c r="LQM54" s="3579"/>
      <c r="LQN54" s="3579"/>
      <c r="LQO54" s="3579"/>
      <c r="LQP54" s="3579"/>
      <c r="LQQ54" s="3579"/>
      <c r="LQR54" s="3579"/>
      <c r="LQS54" s="3579"/>
      <c r="LQT54" s="3579"/>
      <c r="LQU54" s="3579"/>
      <c r="LQV54" s="3579"/>
      <c r="LQW54" s="3579"/>
      <c r="LQX54" s="3579"/>
      <c r="LQY54" s="3579"/>
      <c r="LQZ54" s="3579"/>
      <c r="LRA54" s="3579"/>
      <c r="LRB54" s="3579"/>
      <c r="LRC54" s="3579"/>
      <c r="LRD54" s="3579"/>
      <c r="LRE54" s="3579"/>
      <c r="LRF54" s="3579"/>
      <c r="LRG54" s="3579"/>
      <c r="LRH54" s="3579"/>
      <c r="LRI54" s="3579"/>
      <c r="LRJ54" s="3579"/>
      <c r="LRK54" s="3579"/>
      <c r="LRL54" s="3579"/>
      <c r="LRM54" s="3579"/>
      <c r="LRN54" s="3579"/>
      <c r="LRO54" s="3579"/>
      <c r="LRP54" s="3579"/>
      <c r="LRQ54" s="3579"/>
      <c r="LRR54" s="3579"/>
      <c r="LRS54" s="3579"/>
      <c r="LRT54" s="3579"/>
      <c r="LRU54" s="3579"/>
      <c r="LRV54" s="3579"/>
      <c r="LRW54" s="3579"/>
      <c r="LRX54" s="3579"/>
      <c r="LRY54" s="3579"/>
      <c r="LRZ54" s="3579"/>
      <c r="LSA54" s="3579"/>
      <c r="LSB54" s="3579"/>
      <c r="LSC54" s="3579"/>
      <c r="LSD54" s="3579"/>
      <c r="LSE54" s="3579"/>
      <c r="LSF54" s="3579"/>
      <c r="LSG54" s="3579"/>
      <c r="LSH54" s="3579"/>
      <c r="LSI54" s="3579"/>
      <c r="LSJ54" s="3579"/>
      <c r="LSK54" s="3579"/>
      <c r="LSL54" s="3579"/>
      <c r="LSM54" s="3579"/>
      <c r="LSN54" s="3579"/>
      <c r="LSO54" s="3579"/>
      <c r="LSP54" s="3579"/>
      <c r="LSQ54" s="3579"/>
      <c r="LSR54" s="3579"/>
      <c r="LSS54" s="3579"/>
      <c r="LST54" s="3579"/>
      <c r="LSU54" s="3579"/>
      <c r="LSV54" s="3579"/>
      <c r="LSW54" s="3579"/>
      <c r="LSX54" s="3579"/>
      <c r="LSY54" s="3579"/>
      <c r="LSZ54" s="3579"/>
      <c r="LTA54" s="3579"/>
      <c r="LTB54" s="3579"/>
      <c r="LTC54" s="3579"/>
      <c r="LTD54" s="3579"/>
      <c r="LTE54" s="3579"/>
      <c r="LTF54" s="3579"/>
      <c r="LTG54" s="3579"/>
      <c r="LTH54" s="3579"/>
      <c r="LTI54" s="3579"/>
      <c r="LTJ54" s="3579"/>
      <c r="LTK54" s="3579"/>
      <c r="LTL54" s="3579"/>
      <c r="LTM54" s="3579"/>
      <c r="LTN54" s="3579"/>
      <c r="LTO54" s="3579"/>
      <c r="LTP54" s="3579"/>
      <c r="LTQ54" s="3579"/>
      <c r="LTR54" s="3579"/>
      <c r="LTS54" s="3579"/>
      <c r="LTT54" s="3579"/>
      <c r="LTU54" s="3579"/>
      <c r="LTV54" s="3579"/>
      <c r="LTW54" s="3579"/>
      <c r="LTX54" s="3579"/>
      <c r="LTY54" s="3579"/>
      <c r="LTZ54" s="3579"/>
      <c r="LUA54" s="3579"/>
      <c r="LUB54" s="3579"/>
      <c r="LUC54" s="3579"/>
      <c r="LUD54" s="3579"/>
      <c r="LUE54" s="3579"/>
      <c r="LUF54" s="3579"/>
      <c r="LUG54" s="3579"/>
      <c r="LUH54" s="3579"/>
      <c r="LUI54" s="3579"/>
      <c r="LUJ54" s="3579"/>
      <c r="LUK54" s="3579"/>
      <c r="LUL54" s="3579"/>
      <c r="LUM54" s="3579"/>
      <c r="LUN54" s="3579"/>
      <c r="LUO54" s="3579"/>
      <c r="LUP54" s="3579"/>
      <c r="LUQ54" s="3579"/>
      <c r="LUR54" s="3579"/>
      <c r="LUS54" s="3579"/>
      <c r="LUT54" s="3579"/>
      <c r="LUU54" s="3579"/>
      <c r="LUV54" s="3579"/>
      <c r="LUW54" s="3579"/>
      <c r="LUX54" s="3579"/>
      <c r="LUY54" s="3579"/>
      <c r="LUZ54" s="3579"/>
      <c r="LVA54" s="3579"/>
      <c r="LVB54" s="3579"/>
      <c r="LVC54" s="3579"/>
      <c r="LVD54" s="3579"/>
      <c r="LVE54" s="3579"/>
      <c r="LVF54" s="3579"/>
      <c r="LVG54" s="3579"/>
      <c r="LVH54" s="3579"/>
      <c r="LVI54" s="3579"/>
      <c r="LVJ54" s="3579"/>
      <c r="LVK54" s="3579"/>
      <c r="LVL54" s="3579"/>
      <c r="LVM54" s="3579"/>
      <c r="LVN54" s="3579"/>
      <c r="LVO54" s="3579"/>
      <c r="LVP54" s="3579"/>
      <c r="LVQ54" s="3579"/>
      <c r="LVR54" s="3579"/>
      <c r="LVS54" s="3579"/>
      <c r="LVT54" s="3579"/>
      <c r="LVU54" s="3579"/>
      <c r="LVV54" s="3579"/>
      <c r="LVW54" s="3579"/>
      <c r="LVX54" s="3579"/>
      <c r="LVY54" s="3579"/>
      <c r="LVZ54" s="3579"/>
      <c r="LWA54" s="3579"/>
      <c r="LWB54" s="3579"/>
      <c r="LWC54" s="3579"/>
      <c r="LWD54" s="3579"/>
      <c r="LWE54" s="3579"/>
      <c r="LWF54" s="3579"/>
      <c r="LWG54" s="3579"/>
      <c r="LWH54" s="3579"/>
      <c r="LWI54" s="3579"/>
      <c r="LWJ54" s="3579"/>
      <c r="LWK54" s="3579"/>
      <c r="LWL54" s="3579"/>
      <c r="LWM54" s="3579"/>
      <c r="LWN54" s="3579"/>
      <c r="LWO54" s="3579"/>
      <c r="LWP54" s="3579"/>
      <c r="LWQ54" s="3579"/>
      <c r="LWR54" s="3579"/>
      <c r="LWS54" s="3579"/>
      <c r="LWT54" s="3579"/>
      <c r="LWU54" s="3579"/>
      <c r="LWV54" s="3579"/>
      <c r="LWW54" s="3579"/>
      <c r="LWX54" s="3579"/>
      <c r="LWY54" s="3579"/>
      <c r="LWZ54" s="3579"/>
      <c r="LXA54" s="3579"/>
      <c r="LXB54" s="3579"/>
      <c r="LXC54" s="3579"/>
      <c r="LXD54" s="3579"/>
      <c r="LXE54" s="3579"/>
      <c r="LXF54" s="3579"/>
      <c r="LXG54" s="3579"/>
      <c r="LXH54" s="3579"/>
      <c r="LXI54" s="3579"/>
      <c r="LXJ54" s="3579"/>
      <c r="LXK54" s="3579"/>
      <c r="LXL54" s="3579"/>
      <c r="LXM54" s="3579"/>
      <c r="LXN54" s="3579"/>
      <c r="LXO54" s="3579"/>
      <c r="LXP54" s="3579"/>
      <c r="LXQ54" s="3579"/>
      <c r="LXR54" s="3579"/>
      <c r="LXS54" s="3579"/>
      <c r="LXT54" s="3579"/>
      <c r="LXU54" s="3579"/>
      <c r="LXV54" s="3579"/>
      <c r="LXW54" s="3579"/>
      <c r="LXX54" s="3579"/>
      <c r="LXY54" s="3579"/>
      <c r="LXZ54" s="3579"/>
      <c r="LYA54" s="3579"/>
      <c r="LYB54" s="3579"/>
      <c r="LYC54" s="3579"/>
      <c r="LYD54" s="3579"/>
      <c r="LYE54" s="3579"/>
      <c r="LYF54" s="3579"/>
      <c r="LYG54" s="3579"/>
      <c r="LYH54" s="3579"/>
      <c r="LYI54" s="3579"/>
      <c r="LYJ54" s="3579"/>
      <c r="LYK54" s="3579"/>
      <c r="LYL54" s="3579"/>
      <c r="LYM54" s="3579"/>
      <c r="LYN54" s="3579"/>
      <c r="LYO54" s="3579"/>
      <c r="LYP54" s="3579"/>
      <c r="LYQ54" s="3579"/>
      <c r="LYR54" s="3579"/>
      <c r="LYS54" s="3579"/>
      <c r="LYT54" s="3579"/>
      <c r="LYU54" s="3579"/>
      <c r="LYV54" s="3579"/>
      <c r="LYW54" s="3579"/>
      <c r="LYX54" s="3579"/>
      <c r="LYY54" s="3579"/>
      <c r="LYZ54" s="3579"/>
      <c r="LZA54" s="3579"/>
      <c r="LZB54" s="3579"/>
      <c r="LZC54" s="3579"/>
      <c r="LZD54" s="3579"/>
      <c r="LZE54" s="3579"/>
      <c r="LZF54" s="3579"/>
      <c r="LZG54" s="3579"/>
      <c r="LZH54" s="3579"/>
      <c r="LZI54" s="3579"/>
      <c r="LZJ54" s="3579"/>
      <c r="LZK54" s="3579"/>
      <c r="LZL54" s="3579"/>
      <c r="LZM54" s="3579"/>
      <c r="LZN54" s="3579"/>
      <c r="LZO54" s="3579"/>
      <c r="LZP54" s="3579"/>
      <c r="LZQ54" s="3579"/>
      <c r="LZR54" s="3579"/>
      <c r="LZS54" s="3579"/>
      <c r="LZT54" s="3579"/>
      <c r="LZU54" s="3579"/>
      <c r="LZV54" s="3579"/>
      <c r="LZW54" s="3579"/>
      <c r="LZX54" s="3579"/>
      <c r="LZY54" s="3579"/>
      <c r="LZZ54" s="3579"/>
      <c r="MAA54" s="3579"/>
      <c r="MAB54" s="3579"/>
      <c r="MAC54" s="3579"/>
      <c r="MAD54" s="3579"/>
      <c r="MAE54" s="3579"/>
      <c r="MAF54" s="3579"/>
      <c r="MAG54" s="3579"/>
      <c r="MAH54" s="3579"/>
      <c r="MAI54" s="3579"/>
      <c r="MAJ54" s="3579"/>
      <c r="MAK54" s="3579"/>
      <c r="MAL54" s="3579"/>
      <c r="MAM54" s="3579"/>
      <c r="MAN54" s="3579"/>
      <c r="MAO54" s="3579"/>
      <c r="MAP54" s="3579"/>
      <c r="MAQ54" s="3579"/>
      <c r="MAR54" s="3579"/>
      <c r="MAS54" s="3579"/>
      <c r="MAT54" s="3579"/>
      <c r="MAU54" s="3579"/>
      <c r="MAV54" s="3579"/>
      <c r="MAW54" s="3579"/>
      <c r="MAX54" s="3579"/>
      <c r="MAY54" s="3579"/>
      <c r="MAZ54" s="3579"/>
      <c r="MBA54" s="3579"/>
      <c r="MBB54" s="3579"/>
      <c r="MBC54" s="3579"/>
      <c r="MBD54" s="3579"/>
      <c r="MBE54" s="3579"/>
      <c r="MBF54" s="3579"/>
      <c r="MBG54" s="3579"/>
      <c r="MBH54" s="3579"/>
      <c r="MBI54" s="3579"/>
      <c r="MBJ54" s="3579"/>
      <c r="MBK54" s="3579"/>
      <c r="MBL54" s="3579"/>
      <c r="MBM54" s="3579"/>
      <c r="MBN54" s="3579"/>
      <c r="MBO54" s="3579"/>
      <c r="MBP54" s="3579"/>
      <c r="MBQ54" s="3579"/>
      <c r="MBR54" s="3579"/>
      <c r="MBS54" s="3579"/>
      <c r="MBT54" s="3579"/>
      <c r="MBU54" s="3579"/>
      <c r="MBV54" s="3579"/>
      <c r="MBW54" s="3579"/>
      <c r="MBX54" s="3579"/>
      <c r="MBY54" s="3579"/>
      <c r="MBZ54" s="3579"/>
      <c r="MCA54" s="3579"/>
      <c r="MCB54" s="3579"/>
      <c r="MCC54" s="3579"/>
      <c r="MCD54" s="3579"/>
      <c r="MCE54" s="3579"/>
      <c r="MCF54" s="3579"/>
      <c r="MCG54" s="3579"/>
      <c r="MCH54" s="3579"/>
      <c r="MCI54" s="3579"/>
      <c r="MCJ54" s="3579"/>
      <c r="MCK54" s="3579"/>
      <c r="MCL54" s="3579"/>
      <c r="MCM54" s="3579"/>
      <c r="MCN54" s="3579"/>
      <c r="MCO54" s="3579"/>
      <c r="MCP54" s="3579"/>
      <c r="MCQ54" s="3579"/>
      <c r="MCR54" s="3579"/>
      <c r="MCS54" s="3579"/>
      <c r="MCT54" s="3579"/>
      <c r="MCU54" s="3579"/>
      <c r="MCV54" s="3579"/>
      <c r="MCW54" s="3579"/>
      <c r="MCX54" s="3579"/>
      <c r="MCY54" s="3579"/>
      <c r="MCZ54" s="3579"/>
      <c r="MDA54" s="3579"/>
      <c r="MDB54" s="3579"/>
      <c r="MDC54" s="3579"/>
      <c r="MDD54" s="3579"/>
      <c r="MDE54" s="3579"/>
      <c r="MDF54" s="3579"/>
      <c r="MDG54" s="3579"/>
      <c r="MDH54" s="3579"/>
      <c r="MDI54" s="3579"/>
      <c r="MDJ54" s="3579"/>
      <c r="MDK54" s="3579"/>
      <c r="MDL54" s="3579"/>
      <c r="MDM54" s="3579"/>
      <c r="MDN54" s="3579"/>
      <c r="MDO54" s="3579"/>
      <c r="MDP54" s="3579"/>
      <c r="MDQ54" s="3579"/>
      <c r="MDR54" s="3579"/>
      <c r="MDS54" s="3579"/>
      <c r="MDT54" s="3579"/>
      <c r="MDU54" s="3579"/>
      <c r="MDV54" s="3579"/>
      <c r="MDW54" s="3579"/>
      <c r="MDX54" s="3579"/>
      <c r="MDY54" s="3579"/>
      <c r="MDZ54" s="3579"/>
      <c r="MEA54" s="3579"/>
      <c r="MEB54" s="3579"/>
      <c r="MEC54" s="3579"/>
      <c r="MED54" s="3579"/>
      <c r="MEE54" s="3579"/>
      <c r="MEF54" s="3579"/>
      <c r="MEG54" s="3579"/>
      <c r="MEH54" s="3579"/>
      <c r="MEI54" s="3579"/>
      <c r="MEJ54" s="3579"/>
      <c r="MEK54" s="3579"/>
      <c r="MEL54" s="3579"/>
      <c r="MEM54" s="3579"/>
      <c r="MEN54" s="3579"/>
      <c r="MEO54" s="3579"/>
      <c r="MEP54" s="3579"/>
      <c r="MEQ54" s="3579"/>
      <c r="MER54" s="3579"/>
      <c r="MES54" s="3579"/>
      <c r="MET54" s="3579"/>
      <c r="MEU54" s="3579"/>
      <c r="MEV54" s="3579"/>
      <c r="MEW54" s="3579"/>
      <c r="MEX54" s="3579"/>
      <c r="MEY54" s="3579"/>
      <c r="MEZ54" s="3579"/>
      <c r="MFA54" s="3579"/>
      <c r="MFB54" s="3579"/>
      <c r="MFC54" s="3579"/>
      <c r="MFD54" s="3579"/>
      <c r="MFE54" s="3579"/>
      <c r="MFF54" s="3579"/>
      <c r="MFG54" s="3579"/>
      <c r="MFH54" s="3579"/>
      <c r="MFI54" s="3579"/>
      <c r="MFJ54" s="3579"/>
      <c r="MFK54" s="3579"/>
      <c r="MFL54" s="3579"/>
      <c r="MFM54" s="3579"/>
      <c r="MFN54" s="3579"/>
      <c r="MFO54" s="3579"/>
      <c r="MFP54" s="3579"/>
      <c r="MFQ54" s="3579"/>
      <c r="MFR54" s="3579"/>
      <c r="MFS54" s="3579"/>
      <c r="MFT54" s="3579"/>
      <c r="MFU54" s="3579"/>
      <c r="MFV54" s="3579"/>
      <c r="MFW54" s="3579"/>
      <c r="MFX54" s="3579"/>
      <c r="MFY54" s="3579"/>
      <c r="MFZ54" s="3579"/>
      <c r="MGA54" s="3579"/>
      <c r="MGB54" s="3579"/>
      <c r="MGC54" s="3579"/>
      <c r="MGD54" s="3579"/>
      <c r="MGE54" s="3579"/>
      <c r="MGF54" s="3579"/>
      <c r="MGG54" s="3579"/>
      <c r="MGH54" s="3579"/>
      <c r="MGI54" s="3579"/>
      <c r="MGJ54" s="3579"/>
      <c r="MGK54" s="3579"/>
      <c r="MGL54" s="3579"/>
      <c r="MGM54" s="3579"/>
      <c r="MGN54" s="3579"/>
      <c r="MGO54" s="3579"/>
      <c r="MGP54" s="3579"/>
      <c r="MGQ54" s="3579"/>
      <c r="MGR54" s="3579"/>
      <c r="MGS54" s="3579"/>
      <c r="MGT54" s="3579"/>
      <c r="MGU54" s="3579"/>
      <c r="MGV54" s="3579"/>
      <c r="MGW54" s="3579"/>
      <c r="MGX54" s="3579"/>
      <c r="MGY54" s="3579"/>
      <c r="MGZ54" s="3579"/>
      <c r="MHA54" s="3579"/>
      <c r="MHB54" s="3579"/>
      <c r="MHC54" s="3579"/>
      <c r="MHD54" s="3579"/>
      <c r="MHE54" s="3579"/>
      <c r="MHF54" s="3579"/>
      <c r="MHG54" s="3579"/>
      <c r="MHH54" s="3579"/>
      <c r="MHI54" s="3579"/>
      <c r="MHJ54" s="3579"/>
      <c r="MHK54" s="3579"/>
      <c r="MHL54" s="3579"/>
      <c r="MHM54" s="3579"/>
      <c r="MHN54" s="3579"/>
      <c r="MHO54" s="3579"/>
      <c r="MHP54" s="3579"/>
      <c r="MHQ54" s="3579"/>
      <c r="MHR54" s="3579"/>
      <c r="MHS54" s="3579"/>
      <c r="MHT54" s="3579"/>
      <c r="MHU54" s="3579"/>
      <c r="MHV54" s="3579"/>
      <c r="MHW54" s="3579"/>
      <c r="MHX54" s="3579"/>
      <c r="MHY54" s="3579"/>
      <c r="MHZ54" s="3579"/>
      <c r="MIA54" s="3579"/>
      <c r="MIB54" s="3579"/>
      <c r="MIC54" s="3579"/>
      <c r="MID54" s="3579"/>
      <c r="MIE54" s="3579"/>
      <c r="MIF54" s="3579"/>
      <c r="MIG54" s="3579"/>
      <c r="MIH54" s="3579"/>
      <c r="MII54" s="3579"/>
      <c r="MIJ54" s="3579"/>
      <c r="MIK54" s="3579"/>
      <c r="MIL54" s="3579"/>
      <c r="MIM54" s="3579"/>
      <c r="MIN54" s="3579"/>
      <c r="MIO54" s="3579"/>
      <c r="MIP54" s="3579"/>
      <c r="MIQ54" s="3579"/>
      <c r="MIR54" s="3579"/>
      <c r="MIS54" s="3579"/>
      <c r="MIT54" s="3579"/>
      <c r="MIU54" s="3579"/>
      <c r="MIV54" s="3579"/>
      <c r="MIW54" s="3579"/>
      <c r="MIX54" s="3579"/>
      <c r="MIY54" s="3579"/>
      <c r="MIZ54" s="3579"/>
      <c r="MJA54" s="3579"/>
      <c r="MJB54" s="3579"/>
      <c r="MJC54" s="3579"/>
      <c r="MJD54" s="3579"/>
      <c r="MJE54" s="3579"/>
      <c r="MJF54" s="3579"/>
      <c r="MJG54" s="3579"/>
      <c r="MJH54" s="3579"/>
      <c r="MJI54" s="3579"/>
      <c r="MJJ54" s="3579"/>
      <c r="MJK54" s="3579"/>
      <c r="MJL54" s="3579"/>
      <c r="MJM54" s="3579"/>
      <c r="MJN54" s="3579"/>
      <c r="MJO54" s="3579"/>
      <c r="MJP54" s="3579"/>
      <c r="MJQ54" s="3579"/>
      <c r="MJR54" s="3579"/>
      <c r="MJS54" s="3579"/>
      <c r="MJT54" s="3579"/>
      <c r="MJU54" s="3579"/>
      <c r="MJV54" s="3579"/>
      <c r="MJW54" s="3579"/>
      <c r="MJX54" s="3579"/>
      <c r="MJY54" s="3579"/>
      <c r="MJZ54" s="3579"/>
      <c r="MKA54" s="3579"/>
      <c r="MKB54" s="3579"/>
      <c r="MKC54" s="3579"/>
      <c r="MKD54" s="3579"/>
      <c r="MKE54" s="3579"/>
      <c r="MKF54" s="3579"/>
      <c r="MKG54" s="3579"/>
      <c r="MKH54" s="3579"/>
      <c r="MKI54" s="3579"/>
      <c r="MKJ54" s="3579"/>
      <c r="MKK54" s="3579"/>
      <c r="MKL54" s="3579"/>
      <c r="MKM54" s="3579"/>
      <c r="MKN54" s="3579"/>
      <c r="MKO54" s="3579"/>
      <c r="MKP54" s="3579"/>
      <c r="MKQ54" s="3579"/>
      <c r="MKR54" s="3579"/>
      <c r="MKS54" s="3579"/>
      <c r="MKT54" s="3579"/>
      <c r="MKU54" s="3579"/>
      <c r="MKV54" s="3579"/>
      <c r="MKW54" s="3579"/>
      <c r="MKX54" s="3579"/>
      <c r="MKY54" s="3579"/>
      <c r="MKZ54" s="3579"/>
      <c r="MLA54" s="3579"/>
      <c r="MLB54" s="3579"/>
      <c r="MLC54" s="3579"/>
      <c r="MLD54" s="3579"/>
      <c r="MLE54" s="3579"/>
      <c r="MLF54" s="3579"/>
      <c r="MLG54" s="3579"/>
      <c r="MLH54" s="3579"/>
      <c r="MLI54" s="3579"/>
      <c r="MLJ54" s="3579"/>
      <c r="MLK54" s="3579"/>
      <c r="MLL54" s="3579"/>
      <c r="MLM54" s="3579"/>
      <c r="MLN54" s="3579"/>
      <c r="MLO54" s="3579"/>
      <c r="MLP54" s="3579"/>
      <c r="MLQ54" s="3579"/>
      <c r="MLR54" s="3579"/>
      <c r="MLS54" s="3579"/>
      <c r="MLT54" s="3579"/>
      <c r="MLU54" s="3579"/>
      <c r="MLV54" s="3579"/>
      <c r="MLW54" s="3579"/>
      <c r="MLX54" s="3579"/>
      <c r="MLY54" s="3579"/>
      <c r="MLZ54" s="3579"/>
      <c r="MMA54" s="3579"/>
      <c r="MMB54" s="3579"/>
      <c r="MMC54" s="3579"/>
      <c r="MMD54" s="3579"/>
      <c r="MME54" s="3579"/>
      <c r="MMF54" s="3579"/>
      <c r="MMG54" s="3579"/>
      <c r="MMH54" s="3579"/>
      <c r="MMI54" s="3579"/>
      <c r="MMJ54" s="3579"/>
      <c r="MMK54" s="3579"/>
      <c r="MML54" s="3579"/>
      <c r="MMM54" s="3579"/>
      <c r="MMN54" s="3579"/>
      <c r="MMO54" s="3579"/>
      <c r="MMP54" s="3579"/>
      <c r="MMQ54" s="3579"/>
      <c r="MMR54" s="3579"/>
      <c r="MMS54" s="3579"/>
      <c r="MMT54" s="3579"/>
      <c r="MMU54" s="3579"/>
      <c r="MMV54" s="3579"/>
      <c r="MMW54" s="3579"/>
      <c r="MMX54" s="3579"/>
      <c r="MMY54" s="3579"/>
      <c r="MMZ54" s="3579"/>
      <c r="MNA54" s="3579"/>
      <c r="MNB54" s="3579"/>
      <c r="MNC54" s="3579"/>
      <c r="MND54" s="3579"/>
      <c r="MNE54" s="3579"/>
      <c r="MNF54" s="3579"/>
      <c r="MNG54" s="3579"/>
      <c r="MNH54" s="3579"/>
      <c r="MNI54" s="3579"/>
      <c r="MNJ54" s="3579"/>
      <c r="MNK54" s="3579"/>
      <c r="MNL54" s="3579"/>
      <c r="MNM54" s="3579"/>
      <c r="MNN54" s="3579"/>
      <c r="MNO54" s="3579"/>
      <c r="MNP54" s="3579"/>
      <c r="MNQ54" s="3579"/>
      <c r="MNR54" s="3579"/>
      <c r="MNS54" s="3579"/>
      <c r="MNT54" s="3579"/>
      <c r="MNU54" s="3579"/>
      <c r="MNV54" s="3579"/>
      <c r="MNW54" s="3579"/>
      <c r="MNX54" s="3579"/>
      <c r="MNY54" s="3579"/>
      <c r="MNZ54" s="3579"/>
      <c r="MOA54" s="3579"/>
      <c r="MOB54" s="3579"/>
      <c r="MOC54" s="3579"/>
      <c r="MOD54" s="3579"/>
      <c r="MOE54" s="3579"/>
      <c r="MOF54" s="3579"/>
      <c r="MOG54" s="3579"/>
      <c r="MOH54" s="3579"/>
      <c r="MOI54" s="3579"/>
      <c r="MOJ54" s="3579"/>
      <c r="MOK54" s="3579"/>
      <c r="MOL54" s="3579"/>
      <c r="MOM54" s="3579"/>
      <c r="MON54" s="3579"/>
      <c r="MOO54" s="3579"/>
      <c r="MOP54" s="3579"/>
      <c r="MOQ54" s="3579"/>
      <c r="MOR54" s="3579"/>
      <c r="MOS54" s="3579"/>
      <c r="MOT54" s="3579"/>
      <c r="MOU54" s="3579"/>
      <c r="MOV54" s="3579"/>
      <c r="MOW54" s="3579"/>
      <c r="MOX54" s="3579"/>
      <c r="MOY54" s="3579"/>
      <c r="MOZ54" s="3579"/>
      <c r="MPA54" s="3579"/>
      <c r="MPB54" s="3579"/>
      <c r="MPC54" s="3579"/>
      <c r="MPD54" s="3579"/>
      <c r="MPE54" s="3579"/>
      <c r="MPF54" s="3579"/>
      <c r="MPG54" s="3579"/>
      <c r="MPH54" s="3579"/>
      <c r="MPI54" s="3579"/>
      <c r="MPJ54" s="3579"/>
      <c r="MPK54" s="3579"/>
      <c r="MPL54" s="3579"/>
      <c r="MPM54" s="3579"/>
      <c r="MPN54" s="3579"/>
      <c r="MPO54" s="3579"/>
      <c r="MPP54" s="3579"/>
      <c r="MPQ54" s="3579"/>
      <c r="MPR54" s="3579"/>
      <c r="MPS54" s="3579"/>
      <c r="MPT54" s="3579"/>
      <c r="MPU54" s="3579"/>
      <c r="MPV54" s="3579"/>
      <c r="MPW54" s="3579"/>
      <c r="MPX54" s="3579"/>
      <c r="MPY54" s="3579"/>
      <c r="MPZ54" s="3579"/>
      <c r="MQA54" s="3579"/>
      <c r="MQB54" s="3579"/>
      <c r="MQC54" s="3579"/>
      <c r="MQD54" s="3579"/>
      <c r="MQE54" s="3579"/>
      <c r="MQF54" s="3579"/>
      <c r="MQG54" s="3579"/>
      <c r="MQH54" s="3579"/>
      <c r="MQI54" s="3579"/>
      <c r="MQJ54" s="3579"/>
      <c r="MQK54" s="3579"/>
      <c r="MQL54" s="3579"/>
      <c r="MQM54" s="3579"/>
      <c r="MQN54" s="3579"/>
      <c r="MQO54" s="3579"/>
      <c r="MQP54" s="3579"/>
      <c r="MQQ54" s="3579"/>
      <c r="MQR54" s="3579"/>
      <c r="MQS54" s="3579"/>
      <c r="MQT54" s="3579"/>
      <c r="MQU54" s="3579"/>
      <c r="MQV54" s="3579"/>
      <c r="MQW54" s="3579"/>
      <c r="MQX54" s="3579"/>
      <c r="MQY54" s="3579"/>
      <c r="MQZ54" s="3579"/>
      <c r="MRA54" s="3579"/>
      <c r="MRB54" s="3579"/>
      <c r="MRC54" s="3579"/>
      <c r="MRD54" s="3579"/>
      <c r="MRE54" s="3579"/>
      <c r="MRF54" s="3579"/>
      <c r="MRG54" s="3579"/>
      <c r="MRH54" s="3579"/>
      <c r="MRI54" s="3579"/>
      <c r="MRJ54" s="3579"/>
      <c r="MRK54" s="3579"/>
      <c r="MRL54" s="3579"/>
      <c r="MRM54" s="3579"/>
      <c r="MRN54" s="3579"/>
      <c r="MRO54" s="3579"/>
      <c r="MRP54" s="3579"/>
      <c r="MRQ54" s="3579"/>
      <c r="MRR54" s="3579"/>
      <c r="MRS54" s="3579"/>
      <c r="MRT54" s="3579"/>
      <c r="MRU54" s="3579"/>
      <c r="MRV54" s="3579"/>
      <c r="MRW54" s="3579"/>
      <c r="MRX54" s="3579"/>
      <c r="MRY54" s="3579"/>
      <c r="MRZ54" s="3579"/>
      <c r="MSA54" s="3579"/>
      <c r="MSB54" s="3579"/>
      <c r="MSC54" s="3579"/>
      <c r="MSD54" s="3579"/>
      <c r="MSE54" s="3579"/>
      <c r="MSF54" s="3579"/>
      <c r="MSG54" s="3579"/>
      <c r="MSH54" s="3579"/>
      <c r="MSI54" s="3579"/>
      <c r="MSJ54" s="3579"/>
      <c r="MSK54" s="3579"/>
      <c r="MSL54" s="3579"/>
      <c r="MSM54" s="3579"/>
      <c r="MSN54" s="3579"/>
      <c r="MSO54" s="3579"/>
      <c r="MSP54" s="3579"/>
      <c r="MSQ54" s="3579"/>
      <c r="MSR54" s="3579"/>
      <c r="MSS54" s="3579"/>
      <c r="MST54" s="3579"/>
      <c r="MSU54" s="3579"/>
      <c r="MSV54" s="3579"/>
      <c r="MSW54" s="3579"/>
      <c r="MSX54" s="3579"/>
      <c r="MSY54" s="3579"/>
      <c r="MSZ54" s="3579"/>
      <c r="MTA54" s="3579"/>
      <c r="MTB54" s="3579"/>
      <c r="MTC54" s="3579"/>
      <c r="MTD54" s="3579"/>
      <c r="MTE54" s="3579"/>
      <c r="MTF54" s="3579"/>
      <c r="MTG54" s="3579"/>
      <c r="MTH54" s="3579"/>
      <c r="MTI54" s="3579"/>
      <c r="MTJ54" s="3579"/>
      <c r="MTK54" s="3579"/>
      <c r="MTL54" s="3579"/>
      <c r="MTM54" s="3579"/>
      <c r="MTN54" s="3579"/>
      <c r="MTO54" s="3579"/>
      <c r="MTP54" s="3579"/>
      <c r="MTQ54" s="3579"/>
      <c r="MTR54" s="3579"/>
      <c r="MTS54" s="3579"/>
      <c r="MTT54" s="3579"/>
      <c r="MTU54" s="3579"/>
      <c r="MTV54" s="3579"/>
      <c r="MTW54" s="3579"/>
      <c r="MTX54" s="3579"/>
      <c r="MTY54" s="3579"/>
      <c r="MTZ54" s="3579"/>
      <c r="MUA54" s="3579"/>
      <c r="MUB54" s="3579"/>
      <c r="MUC54" s="3579"/>
      <c r="MUD54" s="3579"/>
      <c r="MUE54" s="3579"/>
      <c r="MUF54" s="3579"/>
      <c r="MUG54" s="3579"/>
      <c r="MUH54" s="3579"/>
      <c r="MUI54" s="3579"/>
      <c r="MUJ54" s="3579"/>
      <c r="MUK54" s="3579"/>
      <c r="MUL54" s="3579"/>
      <c r="MUM54" s="3579"/>
      <c r="MUN54" s="3579"/>
      <c r="MUO54" s="3579"/>
      <c r="MUP54" s="3579"/>
      <c r="MUQ54" s="3579"/>
      <c r="MUR54" s="3579"/>
      <c r="MUS54" s="3579"/>
      <c r="MUT54" s="3579"/>
      <c r="MUU54" s="3579"/>
      <c r="MUV54" s="3579"/>
      <c r="MUW54" s="3579"/>
      <c r="MUX54" s="3579"/>
      <c r="MUY54" s="3579"/>
      <c r="MUZ54" s="3579"/>
      <c r="MVA54" s="3579"/>
      <c r="MVB54" s="3579"/>
      <c r="MVC54" s="3579"/>
      <c r="MVD54" s="3579"/>
      <c r="MVE54" s="3579"/>
      <c r="MVF54" s="3579"/>
      <c r="MVG54" s="3579"/>
      <c r="MVH54" s="3579"/>
      <c r="MVI54" s="3579"/>
      <c r="MVJ54" s="3579"/>
      <c r="MVK54" s="3579"/>
      <c r="MVL54" s="3579"/>
      <c r="MVM54" s="3579"/>
      <c r="MVN54" s="3579"/>
      <c r="MVO54" s="3579"/>
      <c r="MVP54" s="3579"/>
      <c r="MVQ54" s="3579"/>
      <c r="MVR54" s="3579"/>
      <c r="MVS54" s="3579"/>
      <c r="MVT54" s="3579"/>
      <c r="MVU54" s="3579"/>
      <c r="MVV54" s="3579"/>
      <c r="MVW54" s="3579"/>
      <c r="MVX54" s="3579"/>
      <c r="MVY54" s="3579"/>
      <c r="MVZ54" s="3579"/>
      <c r="MWA54" s="3579"/>
      <c r="MWB54" s="3579"/>
      <c r="MWC54" s="3579"/>
      <c r="MWD54" s="3579"/>
      <c r="MWE54" s="3579"/>
      <c r="MWF54" s="3579"/>
      <c r="MWG54" s="3579"/>
      <c r="MWH54" s="3579"/>
      <c r="MWI54" s="3579"/>
      <c r="MWJ54" s="3579"/>
      <c r="MWK54" s="3579"/>
      <c r="MWL54" s="3579"/>
      <c r="MWM54" s="3579"/>
      <c r="MWN54" s="3579"/>
      <c r="MWO54" s="3579"/>
      <c r="MWP54" s="3579"/>
      <c r="MWQ54" s="3579"/>
      <c r="MWR54" s="3579"/>
      <c r="MWS54" s="3579"/>
      <c r="MWT54" s="3579"/>
      <c r="MWU54" s="3579"/>
      <c r="MWV54" s="3579"/>
      <c r="MWW54" s="3579"/>
      <c r="MWX54" s="3579"/>
      <c r="MWY54" s="3579"/>
      <c r="MWZ54" s="3579"/>
      <c r="MXA54" s="3579"/>
      <c r="MXB54" s="3579"/>
      <c r="MXC54" s="3579"/>
      <c r="MXD54" s="3579"/>
      <c r="MXE54" s="3579"/>
      <c r="MXF54" s="3579"/>
      <c r="MXG54" s="3579"/>
      <c r="MXH54" s="3579"/>
      <c r="MXI54" s="3579"/>
      <c r="MXJ54" s="3579"/>
      <c r="MXK54" s="3579"/>
      <c r="MXL54" s="3579"/>
      <c r="MXM54" s="3579"/>
      <c r="MXN54" s="3579"/>
      <c r="MXO54" s="3579"/>
      <c r="MXP54" s="3579"/>
      <c r="MXQ54" s="3579"/>
      <c r="MXR54" s="3579"/>
      <c r="MXS54" s="3579"/>
      <c r="MXT54" s="3579"/>
      <c r="MXU54" s="3579"/>
      <c r="MXV54" s="3579"/>
      <c r="MXW54" s="3579"/>
      <c r="MXX54" s="3579"/>
      <c r="MXY54" s="3579"/>
      <c r="MXZ54" s="3579"/>
      <c r="MYA54" s="3579"/>
      <c r="MYB54" s="3579"/>
      <c r="MYC54" s="3579"/>
      <c r="MYD54" s="3579"/>
      <c r="MYE54" s="3579"/>
      <c r="MYF54" s="3579"/>
      <c r="MYG54" s="3579"/>
      <c r="MYH54" s="3579"/>
      <c r="MYI54" s="3579"/>
      <c r="MYJ54" s="3579"/>
      <c r="MYK54" s="3579"/>
      <c r="MYL54" s="3579"/>
      <c r="MYM54" s="3579"/>
      <c r="MYN54" s="3579"/>
      <c r="MYO54" s="3579"/>
      <c r="MYP54" s="3579"/>
      <c r="MYQ54" s="3579"/>
      <c r="MYR54" s="3579"/>
      <c r="MYS54" s="3579"/>
      <c r="MYT54" s="3579"/>
      <c r="MYU54" s="3579"/>
      <c r="MYV54" s="3579"/>
      <c r="MYW54" s="3579"/>
      <c r="MYX54" s="3579"/>
      <c r="MYY54" s="3579"/>
      <c r="MYZ54" s="3579"/>
      <c r="MZA54" s="3579"/>
      <c r="MZB54" s="3579"/>
      <c r="MZC54" s="3579"/>
      <c r="MZD54" s="3579"/>
      <c r="MZE54" s="3579"/>
      <c r="MZF54" s="3579"/>
      <c r="MZG54" s="3579"/>
      <c r="MZH54" s="3579"/>
      <c r="MZI54" s="3579"/>
      <c r="MZJ54" s="3579"/>
      <c r="MZK54" s="3579"/>
      <c r="MZL54" s="3579"/>
      <c r="MZM54" s="3579"/>
      <c r="MZN54" s="3579"/>
      <c r="MZO54" s="3579"/>
      <c r="MZP54" s="3579"/>
      <c r="MZQ54" s="3579"/>
      <c r="MZR54" s="3579"/>
      <c r="MZS54" s="3579"/>
      <c r="MZT54" s="3579"/>
      <c r="MZU54" s="3579"/>
      <c r="MZV54" s="3579"/>
      <c r="MZW54" s="3579"/>
      <c r="MZX54" s="3579"/>
      <c r="MZY54" s="3579"/>
      <c r="MZZ54" s="3579"/>
      <c r="NAA54" s="3579"/>
      <c r="NAB54" s="3579"/>
      <c r="NAC54" s="3579"/>
      <c r="NAD54" s="3579"/>
      <c r="NAE54" s="3579"/>
      <c r="NAF54" s="3579"/>
      <c r="NAG54" s="3579"/>
      <c r="NAH54" s="3579"/>
      <c r="NAI54" s="3579"/>
      <c r="NAJ54" s="3579"/>
      <c r="NAK54" s="3579"/>
      <c r="NAL54" s="3579"/>
      <c r="NAM54" s="3579"/>
      <c r="NAN54" s="3579"/>
      <c r="NAO54" s="3579"/>
      <c r="NAP54" s="3579"/>
      <c r="NAQ54" s="3579"/>
      <c r="NAR54" s="3579"/>
      <c r="NAS54" s="3579"/>
      <c r="NAT54" s="3579"/>
      <c r="NAU54" s="3579"/>
      <c r="NAV54" s="3579"/>
      <c r="NAW54" s="3579"/>
      <c r="NAX54" s="3579"/>
      <c r="NAY54" s="3579"/>
      <c r="NAZ54" s="3579"/>
      <c r="NBA54" s="3579"/>
      <c r="NBB54" s="3579"/>
      <c r="NBC54" s="3579"/>
      <c r="NBD54" s="3579"/>
      <c r="NBE54" s="3579"/>
      <c r="NBF54" s="3579"/>
      <c r="NBG54" s="3579"/>
      <c r="NBH54" s="3579"/>
      <c r="NBI54" s="3579"/>
      <c r="NBJ54" s="3579"/>
      <c r="NBK54" s="3579"/>
      <c r="NBL54" s="3579"/>
      <c r="NBM54" s="3579"/>
      <c r="NBN54" s="3579"/>
      <c r="NBO54" s="3579"/>
      <c r="NBP54" s="3579"/>
      <c r="NBQ54" s="3579"/>
      <c r="NBR54" s="3579"/>
      <c r="NBS54" s="3579"/>
      <c r="NBT54" s="3579"/>
      <c r="NBU54" s="3579"/>
      <c r="NBV54" s="3579"/>
      <c r="NBW54" s="3579"/>
      <c r="NBX54" s="3579"/>
      <c r="NBY54" s="3579"/>
      <c r="NBZ54" s="3579"/>
      <c r="NCA54" s="3579"/>
      <c r="NCB54" s="3579"/>
      <c r="NCC54" s="3579"/>
      <c r="NCD54" s="3579"/>
      <c r="NCE54" s="3579"/>
      <c r="NCF54" s="3579"/>
      <c r="NCG54" s="3579"/>
      <c r="NCH54" s="3579"/>
      <c r="NCI54" s="3579"/>
      <c r="NCJ54" s="3579"/>
      <c r="NCK54" s="3579"/>
      <c r="NCL54" s="3579"/>
      <c r="NCM54" s="3579"/>
      <c r="NCN54" s="3579"/>
      <c r="NCO54" s="3579"/>
      <c r="NCP54" s="3579"/>
      <c r="NCQ54" s="3579"/>
      <c r="NCR54" s="3579"/>
      <c r="NCS54" s="3579"/>
      <c r="NCT54" s="3579"/>
      <c r="NCU54" s="3579"/>
      <c r="NCV54" s="3579"/>
      <c r="NCW54" s="3579"/>
      <c r="NCX54" s="3579"/>
      <c r="NCY54" s="3579"/>
      <c r="NCZ54" s="3579"/>
      <c r="NDA54" s="3579"/>
      <c r="NDB54" s="3579"/>
      <c r="NDC54" s="3579"/>
      <c r="NDD54" s="3579"/>
      <c r="NDE54" s="3579"/>
      <c r="NDF54" s="3579"/>
      <c r="NDG54" s="3579"/>
      <c r="NDH54" s="3579"/>
      <c r="NDI54" s="3579"/>
      <c r="NDJ54" s="3579"/>
      <c r="NDK54" s="3579"/>
      <c r="NDL54" s="3579"/>
      <c r="NDM54" s="3579"/>
      <c r="NDN54" s="3579"/>
      <c r="NDO54" s="3579"/>
      <c r="NDP54" s="3579"/>
      <c r="NDQ54" s="3579"/>
      <c r="NDR54" s="3579"/>
      <c r="NDS54" s="3579"/>
      <c r="NDT54" s="3579"/>
      <c r="NDU54" s="3579"/>
      <c r="NDV54" s="3579"/>
      <c r="NDW54" s="3579"/>
      <c r="NDX54" s="3579"/>
      <c r="NDY54" s="3579"/>
      <c r="NDZ54" s="3579"/>
      <c r="NEA54" s="3579"/>
      <c r="NEB54" s="3579"/>
      <c r="NEC54" s="3579"/>
      <c r="NED54" s="3579"/>
      <c r="NEE54" s="3579"/>
      <c r="NEF54" s="3579"/>
      <c r="NEG54" s="3579"/>
      <c r="NEH54" s="3579"/>
      <c r="NEI54" s="3579"/>
      <c r="NEJ54" s="3579"/>
      <c r="NEK54" s="3579"/>
      <c r="NEL54" s="3579"/>
      <c r="NEM54" s="3579"/>
      <c r="NEN54" s="3579"/>
      <c r="NEO54" s="3579"/>
      <c r="NEP54" s="3579"/>
      <c r="NEQ54" s="3579"/>
      <c r="NER54" s="3579"/>
      <c r="NES54" s="3579"/>
      <c r="NET54" s="3579"/>
      <c r="NEU54" s="3579"/>
      <c r="NEV54" s="3579"/>
      <c r="NEW54" s="3579"/>
      <c r="NEX54" s="3579"/>
      <c r="NEY54" s="3579"/>
      <c r="NEZ54" s="3579"/>
      <c r="NFA54" s="3579"/>
      <c r="NFB54" s="3579"/>
      <c r="NFC54" s="3579"/>
      <c r="NFD54" s="3579"/>
      <c r="NFE54" s="3579"/>
      <c r="NFF54" s="3579"/>
      <c r="NFG54" s="3579"/>
      <c r="NFH54" s="3579"/>
      <c r="NFI54" s="3579"/>
      <c r="NFJ54" s="3579"/>
      <c r="NFK54" s="3579"/>
      <c r="NFL54" s="3579"/>
      <c r="NFM54" s="3579"/>
      <c r="NFN54" s="3579"/>
      <c r="NFO54" s="3579"/>
      <c r="NFP54" s="3579"/>
      <c r="NFQ54" s="3579"/>
      <c r="NFR54" s="3579"/>
      <c r="NFS54" s="3579"/>
      <c r="NFT54" s="3579"/>
      <c r="NFU54" s="3579"/>
      <c r="NFV54" s="3579"/>
      <c r="NFW54" s="3579"/>
      <c r="NFX54" s="3579"/>
      <c r="NFY54" s="3579"/>
      <c r="NFZ54" s="3579"/>
      <c r="NGA54" s="3579"/>
      <c r="NGB54" s="3579"/>
      <c r="NGC54" s="3579"/>
      <c r="NGD54" s="3579"/>
      <c r="NGE54" s="3579"/>
      <c r="NGF54" s="3579"/>
      <c r="NGG54" s="3579"/>
      <c r="NGH54" s="3579"/>
      <c r="NGI54" s="3579"/>
      <c r="NGJ54" s="3579"/>
      <c r="NGK54" s="3579"/>
      <c r="NGL54" s="3579"/>
      <c r="NGM54" s="3579"/>
      <c r="NGN54" s="3579"/>
      <c r="NGO54" s="3579"/>
      <c r="NGP54" s="3579"/>
      <c r="NGQ54" s="3579"/>
      <c r="NGR54" s="3579"/>
      <c r="NGS54" s="3579"/>
      <c r="NGT54" s="3579"/>
      <c r="NGU54" s="3579"/>
      <c r="NGV54" s="3579"/>
      <c r="NGW54" s="3579"/>
      <c r="NGX54" s="3579"/>
      <c r="NGY54" s="3579"/>
      <c r="NGZ54" s="3579"/>
      <c r="NHA54" s="3579"/>
      <c r="NHB54" s="3579"/>
      <c r="NHC54" s="3579"/>
      <c r="NHD54" s="3579"/>
      <c r="NHE54" s="3579"/>
      <c r="NHF54" s="3579"/>
      <c r="NHG54" s="3579"/>
      <c r="NHH54" s="3579"/>
      <c r="NHI54" s="3579"/>
      <c r="NHJ54" s="3579"/>
      <c r="NHK54" s="3579"/>
      <c r="NHL54" s="3579"/>
      <c r="NHM54" s="3579"/>
      <c r="NHN54" s="3579"/>
      <c r="NHO54" s="3579"/>
      <c r="NHP54" s="3579"/>
      <c r="NHQ54" s="3579"/>
      <c r="NHR54" s="3579"/>
      <c r="NHS54" s="3579"/>
      <c r="NHT54" s="3579"/>
      <c r="NHU54" s="3579"/>
      <c r="NHV54" s="3579"/>
      <c r="NHW54" s="3579"/>
      <c r="NHX54" s="3579"/>
      <c r="NHY54" s="3579"/>
      <c r="NHZ54" s="3579"/>
      <c r="NIA54" s="3579"/>
      <c r="NIB54" s="3579"/>
      <c r="NIC54" s="3579"/>
      <c r="NID54" s="3579"/>
      <c r="NIE54" s="3579"/>
      <c r="NIF54" s="3579"/>
      <c r="NIG54" s="3579"/>
      <c r="NIH54" s="3579"/>
      <c r="NII54" s="3579"/>
      <c r="NIJ54" s="3579"/>
      <c r="NIK54" s="3579"/>
      <c r="NIL54" s="3579"/>
      <c r="NIM54" s="3579"/>
      <c r="NIN54" s="3579"/>
      <c r="NIO54" s="3579"/>
      <c r="NIP54" s="3579"/>
      <c r="NIQ54" s="3579"/>
      <c r="NIR54" s="3579"/>
      <c r="NIS54" s="3579"/>
      <c r="NIT54" s="3579"/>
      <c r="NIU54" s="3579"/>
      <c r="NIV54" s="3579"/>
      <c r="NIW54" s="3579"/>
      <c r="NIX54" s="3579"/>
      <c r="NIY54" s="3579"/>
      <c r="NIZ54" s="3579"/>
      <c r="NJA54" s="3579"/>
      <c r="NJB54" s="3579"/>
      <c r="NJC54" s="3579"/>
      <c r="NJD54" s="3579"/>
      <c r="NJE54" s="3579"/>
      <c r="NJF54" s="3579"/>
      <c r="NJG54" s="3579"/>
      <c r="NJH54" s="3579"/>
      <c r="NJI54" s="3579"/>
      <c r="NJJ54" s="3579"/>
      <c r="NJK54" s="3579"/>
      <c r="NJL54" s="3579"/>
      <c r="NJM54" s="3579"/>
      <c r="NJN54" s="3579"/>
      <c r="NJO54" s="3579"/>
      <c r="NJP54" s="3579"/>
      <c r="NJQ54" s="3579"/>
      <c r="NJR54" s="3579"/>
      <c r="NJS54" s="3579"/>
      <c r="NJT54" s="3579"/>
      <c r="NJU54" s="3579"/>
      <c r="NJV54" s="3579"/>
      <c r="NJW54" s="3579"/>
      <c r="NJX54" s="3579"/>
      <c r="NJY54" s="3579"/>
      <c r="NJZ54" s="3579"/>
      <c r="NKA54" s="3579"/>
      <c r="NKB54" s="3579"/>
      <c r="NKC54" s="3579"/>
      <c r="NKD54" s="3579"/>
      <c r="NKE54" s="3579"/>
      <c r="NKF54" s="3579"/>
      <c r="NKG54" s="3579"/>
      <c r="NKH54" s="3579"/>
      <c r="NKI54" s="3579"/>
      <c r="NKJ54" s="3579"/>
      <c r="NKK54" s="3579"/>
      <c r="NKL54" s="3579"/>
      <c r="NKM54" s="3579"/>
      <c r="NKN54" s="3579"/>
      <c r="NKO54" s="3579"/>
      <c r="NKP54" s="3579"/>
      <c r="NKQ54" s="3579"/>
      <c r="NKR54" s="3579"/>
      <c r="NKS54" s="3579"/>
      <c r="NKT54" s="3579"/>
      <c r="NKU54" s="3579"/>
      <c r="NKV54" s="3579"/>
      <c r="NKW54" s="3579"/>
      <c r="NKX54" s="3579"/>
      <c r="NKY54" s="3579"/>
      <c r="NKZ54" s="3579"/>
      <c r="NLA54" s="3579"/>
      <c r="NLB54" s="3579"/>
      <c r="NLC54" s="3579"/>
      <c r="NLD54" s="3579"/>
      <c r="NLE54" s="3579"/>
      <c r="NLF54" s="3579"/>
      <c r="NLG54" s="3579"/>
      <c r="NLH54" s="3579"/>
      <c r="NLI54" s="3579"/>
      <c r="NLJ54" s="3579"/>
      <c r="NLK54" s="3579"/>
      <c r="NLL54" s="3579"/>
      <c r="NLM54" s="3579"/>
      <c r="NLN54" s="3579"/>
      <c r="NLO54" s="3579"/>
      <c r="NLP54" s="3579"/>
      <c r="NLQ54" s="3579"/>
      <c r="NLR54" s="3579"/>
      <c r="NLS54" s="3579"/>
      <c r="NLT54" s="3579"/>
      <c r="NLU54" s="3579"/>
      <c r="NLV54" s="3579"/>
      <c r="NLW54" s="3579"/>
      <c r="NLX54" s="3579"/>
      <c r="NLY54" s="3579"/>
      <c r="NLZ54" s="3579"/>
      <c r="NMA54" s="3579"/>
      <c r="NMB54" s="3579"/>
      <c r="NMC54" s="3579"/>
      <c r="NMD54" s="3579"/>
      <c r="NME54" s="3579"/>
      <c r="NMF54" s="3579"/>
      <c r="NMG54" s="3579"/>
      <c r="NMH54" s="3579"/>
      <c r="NMI54" s="3579"/>
      <c r="NMJ54" s="3579"/>
      <c r="NMK54" s="3579"/>
      <c r="NML54" s="3579"/>
      <c r="NMM54" s="3579"/>
      <c r="NMN54" s="3579"/>
      <c r="NMO54" s="3579"/>
      <c r="NMP54" s="3579"/>
      <c r="NMQ54" s="3579"/>
      <c r="NMR54" s="3579"/>
      <c r="NMS54" s="3579"/>
      <c r="NMT54" s="3579"/>
      <c r="NMU54" s="3579"/>
      <c r="NMV54" s="3579"/>
      <c r="NMW54" s="3579"/>
      <c r="NMX54" s="3579"/>
      <c r="NMY54" s="3579"/>
      <c r="NMZ54" s="3579"/>
      <c r="NNA54" s="3579"/>
      <c r="NNB54" s="3579"/>
      <c r="NNC54" s="3579"/>
      <c r="NND54" s="3579"/>
      <c r="NNE54" s="3579"/>
      <c r="NNF54" s="3579"/>
      <c r="NNG54" s="3579"/>
      <c r="NNH54" s="3579"/>
      <c r="NNI54" s="3579"/>
      <c r="NNJ54" s="3579"/>
      <c r="NNK54" s="3579"/>
      <c r="NNL54" s="3579"/>
      <c r="NNM54" s="3579"/>
      <c r="NNN54" s="3579"/>
      <c r="NNO54" s="3579"/>
      <c r="NNP54" s="3579"/>
      <c r="NNQ54" s="3579"/>
      <c r="NNR54" s="3579"/>
      <c r="NNS54" s="3579"/>
      <c r="NNT54" s="3579"/>
      <c r="NNU54" s="3579"/>
      <c r="NNV54" s="3579"/>
      <c r="NNW54" s="3579"/>
      <c r="NNX54" s="3579"/>
      <c r="NNY54" s="3579"/>
      <c r="NNZ54" s="3579"/>
      <c r="NOA54" s="3579"/>
      <c r="NOB54" s="3579"/>
      <c r="NOC54" s="3579"/>
      <c r="NOD54" s="3579"/>
      <c r="NOE54" s="3579"/>
      <c r="NOF54" s="3579"/>
      <c r="NOG54" s="3579"/>
      <c r="NOH54" s="3579"/>
      <c r="NOI54" s="3579"/>
      <c r="NOJ54" s="3579"/>
      <c r="NOK54" s="3579"/>
      <c r="NOL54" s="3579"/>
      <c r="NOM54" s="3579"/>
      <c r="NON54" s="3579"/>
      <c r="NOO54" s="3579"/>
      <c r="NOP54" s="3579"/>
      <c r="NOQ54" s="3579"/>
      <c r="NOR54" s="3579"/>
      <c r="NOS54" s="3579"/>
      <c r="NOT54" s="3579"/>
      <c r="NOU54" s="3579"/>
      <c r="NOV54" s="3579"/>
      <c r="NOW54" s="3579"/>
      <c r="NOX54" s="3579"/>
      <c r="NOY54" s="3579"/>
      <c r="NOZ54" s="3579"/>
      <c r="NPA54" s="3579"/>
      <c r="NPB54" s="3579"/>
      <c r="NPC54" s="3579"/>
      <c r="NPD54" s="3579"/>
      <c r="NPE54" s="3579"/>
      <c r="NPF54" s="3579"/>
      <c r="NPG54" s="3579"/>
      <c r="NPH54" s="3579"/>
      <c r="NPI54" s="3579"/>
      <c r="NPJ54" s="3579"/>
      <c r="NPK54" s="3579"/>
      <c r="NPL54" s="3579"/>
      <c r="NPM54" s="3579"/>
      <c r="NPN54" s="3579"/>
      <c r="NPO54" s="3579"/>
      <c r="NPP54" s="3579"/>
      <c r="NPQ54" s="3579"/>
      <c r="NPR54" s="3579"/>
      <c r="NPS54" s="3579"/>
      <c r="NPT54" s="3579"/>
      <c r="NPU54" s="3579"/>
      <c r="NPV54" s="3579"/>
      <c r="NPW54" s="3579"/>
      <c r="NPX54" s="3579"/>
      <c r="NPY54" s="3579"/>
      <c r="NPZ54" s="3579"/>
      <c r="NQA54" s="3579"/>
      <c r="NQB54" s="3579"/>
      <c r="NQC54" s="3579"/>
      <c r="NQD54" s="3579"/>
      <c r="NQE54" s="3579"/>
      <c r="NQF54" s="3579"/>
      <c r="NQG54" s="3579"/>
      <c r="NQH54" s="3579"/>
      <c r="NQI54" s="3579"/>
      <c r="NQJ54" s="3579"/>
      <c r="NQK54" s="3579"/>
      <c r="NQL54" s="3579"/>
      <c r="NQM54" s="3579"/>
      <c r="NQN54" s="3579"/>
      <c r="NQO54" s="3579"/>
      <c r="NQP54" s="3579"/>
      <c r="NQQ54" s="3579"/>
      <c r="NQR54" s="3579"/>
      <c r="NQS54" s="3579"/>
      <c r="NQT54" s="3579"/>
      <c r="NQU54" s="3579"/>
      <c r="NQV54" s="3579"/>
      <c r="NQW54" s="3579"/>
      <c r="NQX54" s="3579"/>
      <c r="NQY54" s="3579"/>
      <c r="NQZ54" s="3579"/>
      <c r="NRA54" s="3579"/>
      <c r="NRB54" s="3579"/>
      <c r="NRC54" s="3579"/>
      <c r="NRD54" s="3579"/>
      <c r="NRE54" s="3579"/>
      <c r="NRF54" s="3579"/>
      <c r="NRG54" s="3579"/>
      <c r="NRH54" s="3579"/>
      <c r="NRI54" s="3579"/>
      <c r="NRJ54" s="3579"/>
      <c r="NRK54" s="3579"/>
      <c r="NRL54" s="3579"/>
      <c r="NRM54" s="3579"/>
      <c r="NRN54" s="3579"/>
      <c r="NRO54" s="3579"/>
      <c r="NRP54" s="3579"/>
      <c r="NRQ54" s="3579"/>
      <c r="NRR54" s="3579"/>
      <c r="NRS54" s="3579"/>
      <c r="NRT54" s="3579"/>
      <c r="NRU54" s="3579"/>
      <c r="NRV54" s="3579"/>
      <c r="NRW54" s="3579"/>
      <c r="NRX54" s="3579"/>
      <c r="NRY54" s="3579"/>
      <c r="NRZ54" s="3579"/>
      <c r="NSA54" s="3579"/>
      <c r="NSB54" s="3579"/>
      <c r="NSC54" s="3579"/>
      <c r="NSD54" s="3579"/>
      <c r="NSE54" s="3579"/>
      <c r="NSF54" s="3579"/>
      <c r="NSG54" s="3579"/>
      <c r="NSH54" s="3579"/>
      <c r="NSI54" s="3579"/>
      <c r="NSJ54" s="3579"/>
      <c r="NSK54" s="3579"/>
      <c r="NSL54" s="3579"/>
      <c r="NSM54" s="3579"/>
      <c r="NSN54" s="3579"/>
      <c r="NSO54" s="3579"/>
      <c r="NSP54" s="3579"/>
      <c r="NSQ54" s="3579"/>
      <c r="NSR54" s="3579"/>
      <c r="NSS54" s="3579"/>
      <c r="NST54" s="3579"/>
      <c r="NSU54" s="3579"/>
      <c r="NSV54" s="3579"/>
      <c r="NSW54" s="3579"/>
      <c r="NSX54" s="3579"/>
      <c r="NSY54" s="3579"/>
      <c r="NSZ54" s="3579"/>
      <c r="NTA54" s="3579"/>
      <c r="NTB54" s="3579"/>
      <c r="NTC54" s="3579"/>
      <c r="NTD54" s="3579"/>
      <c r="NTE54" s="3579"/>
      <c r="NTF54" s="3579"/>
      <c r="NTG54" s="3579"/>
      <c r="NTH54" s="3579"/>
      <c r="NTI54" s="3579"/>
      <c r="NTJ54" s="3579"/>
      <c r="NTK54" s="3579"/>
      <c r="NTL54" s="3579"/>
      <c r="NTM54" s="3579"/>
      <c r="NTN54" s="3579"/>
      <c r="NTO54" s="3579"/>
      <c r="NTP54" s="3579"/>
      <c r="NTQ54" s="3579"/>
      <c r="NTR54" s="3579"/>
      <c r="NTS54" s="3579"/>
      <c r="NTT54" s="3579"/>
      <c r="NTU54" s="3579"/>
      <c r="NTV54" s="3579"/>
      <c r="NTW54" s="3579"/>
      <c r="NTX54" s="3579"/>
      <c r="NTY54" s="3579"/>
      <c r="NTZ54" s="3579"/>
      <c r="NUA54" s="3579"/>
      <c r="NUB54" s="3579"/>
      <c r="NUC54" s="3579"/>
      <c r="NUD54" s="3579"/>
      <c r="NUE54" s="3579"/>
      <c r="NUF54" s="3579"/>
      <c r="NUG54" s="3579"/>
      <c r="NUH54" s="3579"/>
      <c r="NUI54" s="3579"/>
      <c r="NUJ54" s="3579"/>
      <c r="NUK54" s="3579"/>
      <c r="NUL54" s="3579"/>
      <c r="NUM54" s="3579"/>
      <c r="NUN54" s="3579"/>
      <c r="NUO54" s="3579"/>
      <c r="NUP54" s="3579"/>
      <c r="NUQ54" s="3579"/>
      <c r="NUR54" s="3579"/>
      <c r="NUS54" s="3579"/>
      <c r="NUT54" s="3579"/>
      <c r="NUU54" s="3579"/>
      <c r="NUV54" s="3579"/>
      <c r="NUW54" s="3579"/>
      <c r="NUX54" s="3579"/>
      <c r="NUY54" s="3579"/>
      <c r="NUZ54" s="3579"/>
      <c r="NVA54" s="3579"/>
      <c r="NVB54" s="3579"/>
      <c r="NVC54" s="3579"/>
      <c r="NVD54" s="3579"/>
      <c r="NVE54" s="3579"/>
      <c r="NVF54" s="3579"/>
      <c r="NVG54" s="3579"/>
      <c r="NVH54" s="3579"/>
      <c r="NVI54" s="3579"/>
      <c r="NVJ54" s="3579"/>
      <c r="NVK54" s="3579"/>
      <c r="NVL54" s="3579"/>
      <c r="NVM54" s="3579"/>
      <c r="NVN54" s="3579"/>
      <c r="NVO54" s="3579"/>
      <c r="NVP54" s="3579"/>
      <c r="NVQ54" s="3579"/>
      <c r="NVR54" s="3579"/>
      <c r="NVS54" s="3579"/>
      <c r="NVT54" s="3579"/>
      <c r="NVU54" s="3579"/>
      <c r="NVV54" s="3579"/>
      <c r="NVW54" s="3579"/>
      <c r="NVX54" s="3579"/>
      <c r="NVY54" s="3579"/>
      <c r="NVZ54" s="3579"/>
      <c r="NWA54" s="3579"/>
      <c r="NWB54" s="3579"/>
      <c r="NWC54" s="3579"/>
      <c r="NWD54" s="3579"/>
      <c r="NWE54" s="3579"/>
      <c r="NWF54" s="3579"/>
      <c r="NWG54" s="3579"/>
      <c r="NWH54" s="3579"/>
      <c r="NWI54" s="3579"/>
      <c r="NWJ54" s="3579"/>
      <c r="NWK54" s="3579"/>
      <c r="NWL54" s="3579"/>
      <c r="NWM54" s="3579"/>
      <c r="NWN54" s="3579"/>
      <c r="NWO54" s="3579"/>
      <c r="NWP54" s="3579"/>
      <c r="NWQ54" s="3579"/>
      <c r="NWR54" s="3579"/>
      <c r="NWS54" s="3579"/>
      <c r="NWT54" s="3579"/>
      <c r="NWU54" s="3579"/>
      <c r="NWV54" s="3579"/>
      <c r="NWW54" s="3579"/>
      <c r="NWX54" s="3579"/>
      <c r="NWY54" s="3579"/>
      <c r="NWZ54" s="3579"/>
      <c r="NXA54" s="3579"/>
      <c r="NXB54" s="3579"/>
      <c r="NXC54" s="3579"/>
      <c r="NXD54" s="3579"/>
      <c r="NXE54" s="3579"/>
      <c r="NXF54" s="3579"/>
      <c r="NXG54" s="3579"/>
      <c r="NXH54" s="3579"/>
      <c r="NXI54" s="3579"/>
      <c r="NXJ54" s="3579"/>
      <c r="NXK54" s="3579"/>
      <c r="NXL54" s="3579"/>
      <c r="NXM54" s="3579"/>
      <c r="NXN54" s="3579"/>
      <c r="NXO54" s="3579"/>
      <c r="NXP54" s="3579"/>
      <c r="NXQ54" s="3579"/>
      <c r="NXR54" s="3579"/>
      <c r="NXS54" s="3579"/>
      <c r="NXT54" s="3579"/>
      <c r="NXU54" s="3579"/>
      <c r="NXV54" s="3579"/>
      <c r="NXW54" s="3579"/>
      <c r="NXX54" s="3579"/>
      <c r="NXY54" s="3579"/>
      <c r="NXZ54" s="3579"/>
      <c r="NYA54" s="3579"/>
      <c r="NYB54" s="3579"/>
      <c r="NYC54" s="3579"/>
      <c r="NYD54" s="3579"/>
      <c r="NYE54" s="3579"/>
      <c r="NYF54" s="3579"/>
      <c r="NYG54" s="3579"/>
      <c r="NYH54" s="3579"/>
      <c r="NYI54" s="3579"/>
      <c r="NYJ54" s="3579"/>
      <c r="NYK54" s="3579"/>
      <c r="NYL54" s="3579"/>
      <c r="NYM54" s="3579"/>
      <c r="NYN54" s="3579"/>
      <c r="NYO54" s="3579"/>
      <c r="NYP54" s="3579"/>
      <c r="NYQ54" s="3579"/>
      <c r="NYR54" s="3579"/>
      <c r="NYS54" s="3579"/>
      <c r="NYT54" s="3579"/>
      <c r="NYU54" s="3579"/>
      <c r="NYV54" s="3579"/>
      <c r="NYW54" s="3579"/>
      <c r="NYX54" s="3579"/>
      <c r="NYY54" s="3579"/>
      <c r="NYZ54" s="3579"/>
      <c r="NZA54" s="3579"/>
      <c r="NZB54" s="3579"/>
      <c r="NZC54" s="3579"/>
      <c r="NZD54" s="3579"/>
      <c r="NZE54" s="3579"/>
      <c r="NZF54" s="3579"/>
      <c r="NZG54" s="3579"/>
      <c r="NZH54" s="3579"/>
      <c r="NZI54" s="3579"/>
      <c r="NZJ54" s="3579"/>
      <c r="NZK54" s="3579"/>
      <c r="NZL54" s="3579"/>
      <c r="NZM54" s="3579"/>
      <c r="NZN54" s="3579"/>
      <c r="NZO54" s="3579"/>
      <c r="NZP54" s="3579"/>
      <c r="NZQ54" s="3579"/>
      <c r="NZR54" s="3579"/>
      <c r="NZS54" s="3579"/>
      <c r="NZT54" s="3579"/>
      <c r="NZU54" s="3579"/>
      <c r="NZV54" s="3579"/>
      <c r="NZW54" s="3579"/>
      <c r="NZX54" s="3579"/>
      <c r="NZY54" s="3579"/>
      <c r="NZZ54" s="3579"/>
      <c r="OAA54" s="3579"/>
      <c r="OAB54" s="3579"/>
      <c r="OAC54" s="3579"/>
      <c r="OAD54" s="3579"/>
      <c r="OAE54" s="3579"/>
      <c r="OAF54" s="3579"/>
      <c r="OAG54" s="3579"/>
      <c r="OAH54" s="3579"/>
      <c r="OAI54" s="3579"/>
      <c r="OAJ54" s="3579"/>
      <c r="OAK54" s="3579"/>
      <c r="OAL54" s="3579"/>
      <c r="OAM54" s="3579"/>
      <c r="OAN54" s="3579"/>
      <c r="OAO54" s="3579"/>
      <c r="OAP54" s="3579"/>
      <c r="OAQ54" s="3579"/>
      <c r="OAR54" s="3579"/>
      <c r="OAS54" s="3579"/>
      <c r="OAT54" s="3579"/>
      <c r="OAU54" s="3579"/>
      <c r="OAV54" s="3579"/>
      <c r="OAW54" s="3579"/>
      <c r="OAX54" s="3579"/>
      <c r="OAY54" s="3579"/>
      <c r="OAZ54" s="3579"/>
      <c r="OBA54" s="3579"/>
      <c r="OBB54" s="3579"/>
      <c r="OBC54" s="3579"/>
      <c r="OBD54" s="3579"/>
      <c r="OBE54" s="3579"/>
      <c r="OBF54" s="3579"/>
      <c r="OBG54" s="3579"/>
      <c r="OBH54" s="3579"/>
      <c r="OBI54" s="3579"/>
      <c r="OBJ54" s="3579"/>
      <c r="OBK54" s="3579"/>
      <c r="OBL54" s="3579"/>
      <c r="OBM54" s="3579"/>
      <c r="OBN54" s="3579"/>
      <c r="OBO54" s="3579"/>
      <c r="OBP54" s="3579"/>
      <c r="OBQ54" s="3579"/>
      <c r="OBR54" s="3579"/>
      <c r="OBS54" s="3579"/>
      <c r="OBT54" s="3579"/>
      <c r="OBU54" s="3579"/>
      <c r="OBV54" s="3579"/>
      <c r="OBW54" s="3579"/>
      <c r="OBX54" s="3579"/>
      <c r="OBY54" s="3579"/>
      <c r="OBZ54" s="3579"/>
      <c r="OCA54" s="3579"/>
      <c r="OCB54" s="3579"/>
      <c r="OCC54" s="3579"/>
      <c r="OCD54" s="3579"/>
      <c r="OCE54" s="3579"/>
      <c r="OCF54" s="3579"/>
      <c r="OCG54" s="3579"/>
      <c r="OCH54" s="3579"/>
      <c r="OCI54" s="3579"/>
      <c r="OCJ54" s="3579"/>
      <c r="OCK54" s="3579"/>
      <c r="OCL54" s="3579"/>
      <c r="OCM54" s="3579"/>
      <c r="OCN54" s="3579"/>
      <c r="OCO54" s="3579"/>
      <c r="OCP54" s="3579"/>
      <c r="OCQ54" s="3579"/>
      <c r="OCR54" s="3579"/>
      <c r="OCS54" s="3579"/>
      <c r="OCT54" s="3579"/>
      <c r="OCU54" s="3579"/>
      <c r="OCV54" s="3579"/>
      <c r="OCW54" s="3579"/>
      <c r="OCX54" s="3579"/>
      <c r="OCY54" s="3579"/>
      <c r="OCZ54" s="3579"/>
      <c r="ODA54" s="3579"/>
      <c r="ODB54" s="3579"/>
      <c r="ODC54" s="3579"/>
      <c r="ODD54" s="3579"/>
      <c r="ODE54" s="3579"/>
      <c r="ODF54" s="3579"/>
      <c r="ODG54" s="3579"/>
      <c r="ODH54" s="3579"/>
      <c r="ODI54" s="3579"/>
      <c r="ODJ54" s="3579"/>
      <c r="ODK54" s="3579"/>
      <c r="ODL54" s="3579"/>
      <c r="ODM54" s="3579"/>
      <c r="ODN54" s="3579"/>
      <c r="ODO54" s="3579"/>
      <c r="ODP54" s="3579"/>
      <c r="ODQ54" s="3579"/>
      <c r="ODR54" s="3579"/>
      <c r="ODS54" s="3579"/>
      <c r="ODT54" s="3579"/>
      <c r="ODU54" s="3579"/>
      <c r="ODV54" s="3579"/>
      <c r="ODW54" s="3579"/>
      <c r="ODX54" s="3579"/>
      <c r="ODY54" s="3579"/>
      <c r="ODZ54" s="3579"/>
      <c r="OEA54" s="3579"/>
      <c r="OEB54" s="3579"/>
      <c r="OEC54" s="3579"/>
      <c r="OED54" s="3579"/>
      <c r="OEE54" s="3579"/>
      <c r="OEF54" s="3579"/>
      <c r="OEG54" s="3579"/>
      <c r="OEH54" s="3579"/>
      <c r="OEI54" s="3579"/>
      <c r="OEJ54" s="3579"/>
      <c r="OEK54" s="3579"/>
      <c r="OEL54" s="3579"/>
      <c r="OEM54" s="3579"/>
      <c r="OEN54" s="3579"/>
      <c r="OEO54" s="3579"/>
      <c r="OEP54" s="3579"/>
      <c r="OEQ54" s="3579"/>
      <c r="OER54" s="3579"/>
      <c r="OES54" s="3579"/>
      <c r="OET54" s="3579"/>
      <c r="OEU54" s="3579"/>
      <c r="OEV54" s="3579"/>
      <c r="OEW54" s="3579"/>
      <c r="OEX54" s="3579"/>
      <c r="OEY54" s="3579"/>
      <c r="OEZ54" s="3579"/>
      <c r="OFA54" s="3579"/>
      <c r="OFB54" s="3579"/>
      <c r="OFC54" s="3579"/>
      <c r="OFD54" s="3579"/>
      <c r="OFE54" s="3579"/>
      <c r="OFF54" s="3579"/>
      <c r="OFG54" s="3579"/>
      <c r="OFH54" s="3579"/>
      <c r="OFI54" s="3579"/>
      <c r="OFJ54" s="3579"/>
      <c r="OFK54" s="3579"/>
      <c r="OFL54" s="3579"/>
      <c r="OFM54" s="3579"/>
      <c r="OFN54" s="3579"/>
      <c r="OFO54" s="3579"/>
      <c r="OFP54" s="3579"/>
      <c r="OFQ54" s="3579"/>
      <c r="OFR54" s="3579"/>
      <c r="OFS54" s="3579"/>
      <c r="OFT54" s="3579"/>
      <c r="OFU54" s="3579"/>
      <c r="OFV54" s="3579"/>
      <c r="OFW54" s="3579"/>
      <c r="OFX54" s="3579"/>
      <c r="OFY54" s="3579"/>
      <c r="OFZ54" s="3579"/>
      <c r="OGA54" s="3579"/>
      <c r="OGB54" s="3579"/>
      <c r="OGC54" s="3579"/>
      <c r="OGD54" s="3579"/>
      <c r="OGE54" s="3579"/>
      <c r="OGF54" s="3579"/>
      <c r="OGG54" s="3579"/>
      <c r="OGH54" s="3579"/>
      <c r="OGI54" s="3579"/>
      <c r="OGJ54" s="3579"/>
      <c r="OGK54" s="3579"/>
      <c r="OGL54" s="3579"/>
      <c r="OGM54" s="3579"/>
      <c r="OGN54" s="3579"/>
      <c r="OGO54" s="3579"/>
      <c r="OGP54" s="3579"/>
      <c r="OGQ54" s="3579"/>
      <c r="OGR54" s="3579"/>
      <c r="OGS54" s="3579"/>
      <c r="OGT54" s="3579"/>
      <c r="OGU54" s="3579"/>
      <c r="OGV54" s="3579"/>
      <c r="OGW54" s="3579"/>
      <c r="OGX54" s="3579"/>
      <c r="OGY54" s="3579"/>
      <c r="OGZ54" s="3579"/>
      <c r="OHA54" s="3579"/>
      <c r="OHB54" s="3579"/>
      <c r="OHC54" s="3579"/>
      <c r="OHD54" s="3579"/>
      <c r="OHE54" s="3579"/>
      <c r="OHF54" s="3579"/>
      <c r="OHG54" s="3579"/>
      <c r="OHH54" s="3579"/>
      <c r="OHI54" s="3579"/>
      <c r="OHJ54" s="3579"/>
      <c r="OHK54" s="3579"/>
      <c r="OHL54" s="3579"/>
      <c r="OHM54" s="3579"/>
      <c r="OHN54" s="3579"/>
      <c r="OHO54" s="3579"/>
      <c r="OHP54" s="3579"/>
      <c r="OHQ54" s="3579"/>
      <c r="OHR54" s="3579"/>
      <c r="OHS54" s="3579"/>
      <c r="OHT54" s="3579"/>
      <c r="OHU54" s="3579"/>
      <c r="OHV54" s="3579"/>
      <c r="OHW54" s="3579"/>
      <c r="OHX54" s="3579"/>
      <c r="OHY54" s="3579"/>
      <c r="OHZ54" s="3579"/>
      <c r="OIA54" s="3579"/>
      <c r="OIB54" s="3579"/>
      <c r="OIC54" s="3579"/>
      <c r="OID54" s="3579"/>
      <c r="OIE54" s="3579"/>
      <c r="OIF54" s="3579"/>
      <c r="OIG54" s="3579"/>
      <c r="OIH54" s="3579"/>
      <c r="OII54" s="3579"/>
      <c r="OIJ54" s="3579"/>
      <c r="OIK54" s="3579"/>
      <c r="OIL54" s="3579"/>
      <c r="OIM54" s="3579"/>
      <c r="OIN54" s="3579"/>
      <c r="OIO54" s="3579"/>
      <c r="OIP54" s="3579"/>
      <c r="OIQ54" s="3579"/>
      <c r="OIR54" s="3579"/>
      <c r="OIS54" s="3579"/>
      <c r="OIT54" s="3579"/>
      <c r="OIU54" s="3579"/>
      <c r="OIV54" s="3579"/>
      <c r="OIW54" s="3579"/>
      <c r="OIX54" s="3579"/>
      <c r="OIY54" s="3579"/>
      <c r="OIZ54" s="3579"/>
      <c r="OJA54" s="3579"/>
      <c r="OJB54" s="3579"/>
      <c r="OJC54" s="3579"/>
      <c r="OJD54" s="3579"/>
      <c r="OJE54" s="3579"/>
      <c r="OJF54" s="3579"/>
      <c r="OJG54" s="3579"/>
      <c r="OJH54" s="3579"/>
      <c r="OJI54" s="3579"/>
      <c r="OJJ54" s="3579"/>
      <c r="OJK54" s="3579"/>
      <c r="OJL54" s="3579"/>
      <c r="OJM54" s="3579"/>
      <c r="OJN54" s="3579"/>
      <c r="OJO54" s="3579"/>
      <c r="OJP54" s="3579"/>
      <c r="OJQ54" s="3579"/>
      <c r="OJR54" s="3579"/>
      <c r="OJS54" s="3579"/>
      <c r="OJT54" s="3579"/>
      <c r="OJU54" s="3579"/>
      <c r="OJV54" s="3579"/>
      <c r="OJW54" s="3579"/>
      <c r="OJX54" s="3579"/>
      <c r="OJY54" s="3579"/>
      <c r="OJZ54" s="3579"/>
      <c r="OKA54" s="3579"/>
      <c r="OKB54" s="3579"/>
      <c r="OKC54" s="3579"/>
      <c r="OKD54" s="3579"/>
      <c r="OKE54" s="3579"/>
      <c r="OKF54" s="3579"/>
      <c r="OKG54" s="3579"/>
      <c r="OKH54" s="3579"/>
      <c r="OKI54" s="3579"/>
      <c r="OKJ54" s="3579"/>
      <c r="OKK54" s="3579"/>
      <c r="OKL54" s="3579"/>
      <c r="OKM54" s="3579"/>
      <c r="OKN54" s="3579"/>
      <c r="OKO54" s="3579"/>
      <c r="OKP54" s="3579"/>
      <c r="OKQ54" s="3579"/>
      <c r="OKR54" s="3579"/>
      <c r="OKS54" s="3579"/>
      <c r="OKT54" s="3579"/>
      <c r="OKU54" s="3579"/>
      <c r="OKV54" s="3579"/>
      <c r="OKW54" s="3579"/>
      <c r="OKX54" s="3579"/>
      <c r="OKY54" s="3579"/>
      <c r="OKZ54" s="3579"/>
      <c r="OLA54" s="3579"/>
      <c r="OLB54" s="3579"/>
      <c r="OLC54" s="3579"/>
      <c r="OLD54" s="3579"/>
      <c r="OLE54" s="3579"/>
      <c r="OLF54" s="3579"/>
      <c r="OLG54" s="3579"/>
      <c r="OLH54" s="3579"/>
      <c r="OLI54" s="3579"/>
      <c r="OLJ54" s="3579"/>
      <c r="OLK54" s="3579"/>
      <c r="OLL54" s="3579"/>
      <c r="OLM54" s="3579"/>
      <c r="OLN54" s="3579"/>
      <c r="OLO54" s="3579"/>
      <c r="OLP54" s="3579"/>
      <c r="OLQ54" s="3579"/>
      <c r="OLR54" s="3579"/>
      <c r="OLS54" s="3579"/>
      <c r="OLT54" s="3579"/>
      <c r="OLU54" s="3579"/>
      <c r="OLV54" s="3579"/>
      <c r="OLW54" s="3579"/>
      <c r="OLX54" s="3579"/>
      <c r="OLY54" s="3579"/>
      <c r="OLZ54" s="3579"/>
      <c r="OMA54" s="3579"/>
      <c r="OMB54" s="3579"/>
      <c r="OMC54" s="3579"/>
      <c r="OMD54" s="3579"/>
      <c r="OME54" s="3579"/>
      <c r="OMF54" s="3579"/>
      <c r="OMG54" s="3579"/>
      <c r="OMH54" s="3579"/>
      <c r="OMI54" s="3579"/>
      <c r="OMJ54" s="3579"/>
      <c r="OMK54" s="3579"/>
      <c r="OML54" s="3579"/>
      <c r="OMM54" s="3579"/>
      <c r="OMN54" s="3579"/>
      <c r="OMO54" s="3579"/>
      <c r="OMP54" s="3579"/>
      <c r="OMQ54" s="3579"/>
      <c r="OMR54" s="3579"/>
      <c r="OMS54" s="3579"/>
      <c r="OMT54" s="3579"/>
      <c r="OMU54" s="3579"/>
      <c r="OMV54" s="3579"/>
      <c r="OMW54" s="3579"/>
      <c r="OMX54" s="3579"/>
      <c r="OMY54" s="3579"/>
      <c r="OMZ54" s="3579"/>
      <c r="ONA54" s="3579"/>
      <c r="ONB54" s="3579"/>
      <c r="ONC54" s="3579"/>
      <c r="OND54" s="3579"/>
      <c r="ONE54" s="3579"/>
      <c r="ONF54" s="3579"/>
      <c r="ONG54" s="3579"/>
      <c r="ONH54" s="3579"/>
      <c r="ONI54" s="3579"/>
      <c r="ONJ54" s="3579"/>
      <c r="ONK54" s="3579"/>
      <c r="ONL54" s="3579"/>
      <c r="ONM54" s="3579"/>
      <c r="ONN54" s="3579"/>
      <c r="ONO54" s="3579"/>
      <c r="ONP54" s="3579"/>
      <c r="ONQ54" s="3579"/>
      <c r="ONR54" s="3579"/>
      <c r="ONS54" s="3579"/>
      <c r="ONT54" s="3579"/>
      <c r="ONU54" s="3579"/>
      <c r="ONV54" s="3579"/>
      <c r="ONW54" s="3579"/>
      <c r="ONX54" s="3579"/>
      <c r="ONY54" s="3579"/>
      <c r="ONZ54" s="3579"/>
      <c r="OOA54" s="3579"/>
      <c r="OOB54" s="3579"/>
      <c r="OOC54" s="3579"/>
      <c r="OOD54" s="3579"/>
      <c r="OOE54" s="3579"/>
      <c r="OOF54" s="3579"/>
      <c r="OOG54" s="3579"/>
      <c r="OOH54" s="3579"/>
      <c r="OOI54" s="3579"/>
      <c r="OOJ54" s="3579"/>
      <c r="OOK54" s="3579"/>
      <c r="OOL54" s="3579"/>
      <c r="OOM54" s="3579"/>
      <c r="OON54" s="3579"/>
      <c r="OOO54" s="3579"/>
      <c r="OOP54" s="3579"/>
      <c r="OOQ54" s="3579"/>
      <c r="OOR54" s="3579"/>
      <c r="OOS54" s="3579"/>
      <c r="OOT54" s="3579"/>
      <c r="OOU54" s="3579"/>
      <c r="OOV54" s="3579"/>
      <c r="OOW54" s="3579"/>
      <c r="OOX54" s="3579"/>
      <c r="OOY54" s="3579"/>
      <c r="OOZ54" s="3579"/>
      <c r="OPA54" s="3579"/>
      <c r="OPB54" s="3579"/>
      <c r="OPC54" s="3579"/>
      <c r="OPD54" s="3579"/>
      <c r="OPE54" s="3579"/>
      <c r="OPF54" s="3579"/>
      <c r="OPG54" s="3579"/>
      <c r="OPH54" s="3579"/>
      <c r="OPI54" s="3579"/>
      <c r="OPJ54" s="3579"/>
      <c r="OPK54" s="3579"/>
      <c r="OPL54" s="3579"/>
      <c r="OPM54" s="3579"/>
      <c r="OPN54" s="3579"/>
      <c r="OPO54" s="3579"/>
      <c r="OPP54" s="3579"/>
      <c r="OPQ54" s="3579"/>
      <c r="OPR54" s="3579"/>
      <c r="OPS54" s="3579"/>
      <c r="OPT54" s="3579"/>
      <c r="OPU54" s="3579"/>
      <c r="OPV54" s="3579"/>
      <c r="OPW54" s="3579"/>
      <c r="OPX54" s="3579"/>
      <c r="OPY54" s="3579"/>
      <c r="OPZ54" s="3579"/>
      <c r="OQA54" s="3579"/>
      <c r="OQB54" s="3579"/>
      <c r="OQC54" s="3579"/>
      <c r="OQD54" s="3579"/>
      <c r="OQE54" s="3579"/>
      <c r="OQF54" s="3579"/>
      <c r="OQG54" s="3579"/>
      <c r="OQH54" s="3579"/>
      <c r="OQI54" s="3579"/>
      <c r="OQJ54" s="3579"/>
      <c r="OQK54" s="3579"/>
      <c r="OQL54" s="3579"/>
      <c r="OQM54" s="3579"/>
      <c r="OQN54" s="3579"/>
      <c r="OQO54" s="3579"/>
      <c r="OQP54" s="3579"/>
      <c r="OQQ54" s="3579"/>
      <c r="OQR54" s="3579"/>
      <c r="OQS54" s="3579"/>
      <c r="OQT54" s="3579"/>
      <c r="OQU54" s="3579"/>
      <c r="OQV54" s="3579"/>
      <c r="OQW54" s="3579"/>
      <c r="OQX54" s="3579"/>
      <c r="OQY54" s="3579"/>
      <c r="OQZ54" s="3579"/>
      <c r="ORA54" s="3579"/>
      <c r="ORB54" s="3579"/>
      <c r="ORC54" s="3579"/>
      <c r="ORD54" s="3579"/>
      <c r="ORE54" s="3579"/>
      <c r="ORF54" s="3579"/>
      <c r="ORG54" s="3579"/>
      <c r="ORH54" s="3579"/>
      <c r="ORI54" s="3579"/>
      <c r="ORJ54" s="3579"/>
      <c r="ORK54" s="3579"/>
      <c r="ORL54" s="3579"/>
      <c r="ORM54" s="3579"/>
      <c r="ORN54" s="3579"/>
      <c r="ORO54" s="3579"/>
      <c r="ORP54" s="3579"/>
      <c r="ORQ54" s="3579"/>
      <c r="ORR54" s="3579"/>
      <c r="ORS54" s="3579"/>
      <c r="ORT54" s="3579"/>
      <c r="ORU54" s="3579"/>
      <c r="ORV54" s="3579"/>
      <c r="ORW54" s="3579"/>
      <c r="ORX54" s="3579"/>
      <c r="ORY54" s="3579"/>
      <c r="ORZ54" s="3579"/>
      <c r="OSA54" s="3579"/>
      <c r="OSB54" s="3579"/>
      <c r="OSC54" s="3579"/>
      <c r="OSD54" s="3579"/>
      <c r="OSE54" s="3579"/>
      <c r="OSF54" s="3579"/>
      <c r="OSG54" s="3579"/>
      <c r="OSH54" s="3579"/>
      <c r="OSI54" s="3579"/>
      <c r="OSJ54" s="3579"/>
      <c r="OSK54" s="3579"/>
      <c r="OSL54" s="3579"/>
      <c r="OSM54" s="3579"/>
      <c r="OSN54" s="3579"/>
      <c r="OSO54" s="3579"/>
      <c r="OSP54" s="3579"/>
      <c r="OSQ54" s="3579"/>
      <c r="OSR54" s="3579"/>
      <c r="OSS54" s="3579"/>
      <c r="OST54" s="3579"/>
      <c r="OSU54" s="3579"/>
      <c r="OSV54" s="3579"/>
      <c r="OSW54" s="3579"/>
      <c r="OSX54" s="3579"/>
      <c r="OSY54" s="3579"/>
      <c r="OSZ54" s="3579"/>
      <c r="OTA54" s="3579"/>
      <c r="OTB54" s="3579"/>
      <c r="OTC54" s="3579"/>
      <c r="OTD54" s="3579"/>
      <c r="OTE54" s="3579"/>
      <c r="OTF54" s="3579"/>
      <c r="OTG54" s="3579"/>
      <c r="OTH54" s="3579"/>
      <c r="OTI54" s="3579"/>
      <c r="OTJ54" s="3579"/>
      <c r="OTK54" s="3579"/>
      <c r="OTL54" s="3579"/>
      <c r="OTM54" s="3579"/>
      <c r="OTN54" s="3579"/>
      <c r="OTO54" s="3579"/>
      <c r="OTP54" s="3579"/>
      <c r="OTQ54" s="3579"/>
      <c r="OTR54" s="3579"/>
      <c r="OTS54" s="3579"/>
      <c r="OTT54" s="3579"/>
      <c r="OTU54" s="3579"/>
      <c r="OTV54" s="3579"/>
      <c r="OTW54" s="3579"/>
      <c r="OTX54" s="3579"/>
      <c r="OTY54" s="3579"/>
      <c r="OTZ54" s="3579"/>
      <c r="OUA54" s="3579"/>
      <c r="OUB54" s="3579"/>
      <c r="OUC54" s="3579"/>
      <c r="OUD54" s="3579"/>
      <c r="OUE54" s="3579"/>
      <c r="OUF54" s="3579"/>
      <c r="OUG54" s="3579"/>
      <c r="OUH54" s="3579"/>
      <c r="OUI54" s="3579"/>
      <c r="OUJ54" s="3579"/>
      <c r="OUK54" s="3579"/>
      <c r="OUL54" s="3579"/>
      <c r="OUM54" s="3579"/>
      <c r="OUN54" s="3579"/>
      <c r="OUO54" s="3579"/>
      <c r="OUP54" s="3579"/>
      <c r="OUQ54" s="3579"/>
      <c r="OUR54" s="3579"/>
      <c r="OUS54" s="3579"/>
      <c r="OUT54" s="3579"/>
      <c r="OUU54" s="3579"/>
      <c r="OUV54" s="3579"/>
      <c r="OUW54" s="3579"/>
      <c r="OUX54" s="3579"/>
      <c r="OUY54" s="3579"/>
      <c r="OUZ54" s="3579"/>
      <c r="OVA54" s="3579"/>
      <c r="OVB54" s="3579"/>
      <c r="OVC54" s="3579"/>
      <c r="OVD54" s="3579"/>
      <c r="OVE54" s="3579"/>
      <c r="OVF54" s="3579"/>
      <c r="OVG54" s="3579"/>
      <c r="OVH54" s="3579"/>
      <c r="OVI54" s="3579"/>
      <c r="OVJ54" s="3579"/>
      <c r="OVK54" s="3579"/>
      <c r="OVL54" s="3579"/>
      <c r="OVM54" s="3579"/>
      <c r="OVN54" s="3579"/>
      <c r="OVO54" s="3579"/>
      <c r="OVP54" s="3579"/>
      <c r="OVQ54" s="3579"/>
      <c r="OVR54" s="3579"/>
      <c r="OVS54" s="3579"/>
      <c r="OVT54" s="3579"/>
      <c r="OVU54" s="3579"/>
      <c r="OVV54" s="3579"/>
      <c r="OVW54" s="3579"/>
      <c r="OVX54" s="3579"/>
      <c r="OVY54" s="3579"/>
      <c r="OVZ54" s="3579"/>
      <c r="OWA54" s="3579"/>
      <c r="OWB54" s="3579"/>
      <c r="OWC54" s="3579"/>
      <c r="OWD54" s="3579"/>
      <c r="OWE54" s="3579"/>
      <c r="OWF54" s="3579"/>
      <c r="OWG54" s="3579"/>
      <c r="OWH54" s="3579"/>
      <c r="OWI54" s="3579"/>
      <c r="OWJ54" s="3579"/>
      <c r="OWK54" s="3579"/>
      <c r="OWL54" s="3579"/>
      <c r="OWM54" s="3579"/>
      <c r="OWN54" s="3579"/>
      <c r="OWO54" s="3579"/>
      <c r="OWP54" s="3579"/>
      <c r="OWQ54" s="3579"/>
      <c r="OWR54" s="3579"/>
      <c r="OWS54" s="3579"/>
      <c r="OWT54" s="3579"/>
      <c r="OWU54" s="3579"/>
      <c r="OWV54" s="3579"/>
      <c r="OWW54" s="3579"/>
      <c r="OWX54" s="3579"/>
      <c r="OWY54" s="3579"/>
      <c r="OWZ54" s="3579"/>
      <c r="OXA54" s="3579"/>
      <c r="OXB54" s="3579"/>
      <c r="OXC54" s="3579"/>
      <c r="OXD54" s="3579"/>
      <c r="OXE54" s="3579"/>
      <c r="OXF54" s="3579"/>
      <c r="OXG54" s="3579"/>
      <c r="OXH54" s="3579"/>
      <c r="OXI54" s="3579"/>
      <c r="OXJ54" s="3579"/>
      <c r="OXK54" s="3579"/>
      <c r="OXL54" s="3579"/>
      <c r="OXM54" s="3579"/>
      <c r="OXN54" s="3579"/>
      <c r="OXO54" s="3579"/>
      <c r="OXP54" s="3579"/>
      <c r="OXQ54" s="3579"/>
      <c r="OXR54" s="3579"/>
      <c r="OXS54" s="3579"/>
      <c r="OXT54" s="3579"/>
      <c r="OXU54" s="3579"/>
      <c r="OXV54" s="3579"/>
      <c r="OXW54" s="3579"/>
      <c r="OXX54" s="3579"/>
      <c r="OXY54" s="3579"/>
      <c r="OXZ54" s="3579"/>
      <c r="OYA54" s="3579"/>
      <c r="OYB54" s="3579"/>
      <c r="OYC54" s="3579"/>
      <c r="OYD54" s="3579"/>
      <c r="OYE54" s="3579"/>
      <c r="OYF54" s="3579"/>
      <c r="OYG54" s="3579"/>
      <c r="OYH54" s="3579"/>
      <c r="OYI54" s="3579"/>
      <c r="OYJ54" s="3579"/>
      <c r="OYK54" s="3579"/>
      <c r="OYL54" s="3579"/>
      <c r="OYM54" s="3579"/>
      <c r="OYN54" s="3579"/>
      <c r="OYO54" s="3579"/>
      <c r="OYP54" s="3579"/>
      <c r="OYQ54" s="3579"/>
      <c r="OYR54" s="3579"/>
      <c r="OYS54" s="3579"/>
      <c r="OYT54" s="3579"/>
      <c r="OYU54" s="3579"/>
      <c r="OYV54" s="3579"/>
      <c r="OYW54" s="3579"/>
      <c r="OYX54" s="3579"/>
      <c r="OYY54" s="3579"/>
      <c r="OYZ54" s="3579"/>
      <c r="OZA54" s="3579"/>
      <c r="OZB54" s="3579"/>
      <c r="OZC54" s="3579"/>
      <c r="OZD54" s="3579"/>
      <c r="OZE54" s="3579"/>
      <c r="OZF54" s="3579"/>
      <c r="OZG54" s="3579"/>
      <c r="OZH54" s="3579"/>
      <c r="OZI54" s="3579"/>
      <c r="OZJ54" s="3579"/>
      <c r="OZK54" s="3579"/>
      <c r="OZL54" s="3579"/>
      <c r="OZM54" s="3579"/>
      <c r="OZN54" s="3579"/>
      <c r="OZO54" s="3579"/>
      <c r="OZP54" s="3579"/>
      <c r="OZQ54" s="3579"/>
      <c r="OZR54" s="3579"/>
      <c r="OZS54" s="3579"/>
      <c r="OZT54" s="3579"/>
      <c r="OZU54" s="3579"/>
      <c r="OZV54" s="3579"/>
      <c r="OZW54" s="3579"/>
      <c r="OZX54" s="3579"/>
      <c r="OZY54" s="3579"/>
      <c r="OZZ54" s="3579"/>
      <c r="PAA54" s="3579"/>
      <c r="PAB54" s="3579"/>
      <c r="PAC54" s="3579"/>
      <c r="PAD54" s="3579"/>
      <c r="PAE54" s="3579"/>
      <c r="PAF54" s="3579"/>
      <c r="PAG54" s="3579"/>
      <c r="PAH54" s="3579"/>
      <c r="PAI54" s="3579"/>
      <c r="PAJ54" s="3579"/>
      <c r="PAK54" s="3579"/>
      <c r="PAL54" s="3579"/>
      <c r="PAM54" s="3579"/>
      <c r="PAN54" s="3579"/>
      <c r="PAO54" s="3579"/>
      <c r="PAP54" s="3579"/>
      <c r="PAQ54" s="3579"/>
      <c r="PAR54" s="3579"/>
      <c r="PAS54" s="3579"/>
      <c r="PAT54" s="3579"/>
      <c r="PAU54" s="3579"/>
      <c r="PAV54" s="3579"/>
      <c r="PAW54" s="3579"/>
      <c r="PAX54" s="3579"/>
      <c r="PAY54" s="3579"/>
      <c r="PAZ54" s="3579"/>
      <c r="PBA54" s="3579"/>
      <c r="PBB54" s="3579"/>
      <c r="PBC54" s="3579"/>
      <c r="PBD54" s="3579"/>
      <c r="PBE54" s="3579"/>
      <c r="PBF54" s="3579"/>
      <c r="PBG54" s="3579"/>
      <c r="PBH54" s="3579"/>
      <c r="PBI54" s="3579"/>
      <c r="PBJ54" s="3579"/>
      <c r="PBK54" s="3579"/>
      <c r="PBL54" s="3579"/>
      <c r="PBM54" s="3579"/>
      <c r="PBN54" s="3579"/>
      <c r="PBO54" s="3579"/>
      <c r="PBP54" s="3579"/>
      <c r="PBQ54" s="3579"/>
      <c r="PBR54" s="3579"/>
      <c r="PBS54" s="3579"/>
      <c r="PBT54" s="3579"/>
      <c r="PBU54" s="3579"/>
      <c r="PBV54" s="3579"/>
      <c r="PBW54" s="3579"/>
      <c r="PBX54" s="3579"/>
      <c r="PBY54" s="3579"/>
      <c r="PBZ54" s="3579"/>
      <c r="PCA54" s="3579"/>
      <c r="PCB54" s="3579"/>
      <c r="PCC54" s="3579"/>
      <c r="PCD54" s="3579"/>
      <c r="PCE54" s="3579"/>
      <c r="PCF54" s="3579"/>
      <c r="PCG54" s="3579"/>
      <c r="PCH54" s="3579"/>
      <c r="PCI54" s="3579"/>
      <c r="PCJ54" s="3579"/>
      <c r="PCK54" s="3579"/>
      <c r="PCL54" s="3579"/>
      <c r="PCM54" s="3579"/>
      <c r="PCN54" s="3579"/>
      <c r="PCO54" s="3579"/>
      <c r="PCP54" s="3579"/>
      <c r="PCQ54" s="3579"/>
      <c r="PCR54" s="3579"/>
      <c r="PCS54" s="3579"/>
      <c r="PCT54" s="3579"/>
      <c r="PCU54" s="3579"/>
      <c r="PCV54" s="3579"/>
      <c r="PCW54" s="3579"/>
      <c r="PCX54" s="3579"/>
      <c r="PCY54" s="3579"/>
      <c r="PCZ54" s="3579"/>
      <c r="PDA54" s="3579"/>
      <c r="PDB54" s="3579"/>
      <c r="PDC54" s="3579"/>
      <c r="PDD54" s="3579"/>
      <c r="PDE54" s="3579"/>
      <c r="PDF54" s="3579"/>
      <c r="PDG54" s="3579"/>
      <c r="PDH54" s="3579"/>
      <c r="PDI54" s="3579"/>
      <c r="PDJ54" s="3579"/>
      <c r="PDK54" s="3579"/>
      <c r="PDL54" s="3579"/>
      <c r="PDM54" s="3579"/>
      <c r="PDN54" s="3579"/>
      <c r="PDO54" s="3579"/>
      <c r="PDP54" s="3579"/>
      <c r="PDQ54" s="3579"/>
      <c r="PDR54" s="3579"/>
      <c r="PDS54" s="3579"/>
      <c r="PDT54" s="3579"/>
      <c r="PDU54" s="3579"/>
      <c r="PDV54" s="3579"/>
      <c r="PDW54" s="3579"/>
      <c r="PDX54" s="3579"/>
      <c r="PDY54" s="3579"/>
      <c r="PDZ54" s="3579"/>
      <c r="PEA54" s="3579"/>
      <c r="PEB54" s="3579"/>
      <c r="PEC54" s="3579"/>
      <c r="PED54" s="3579"/>
      <c r="PEE54" s="3579"/>
      <c r="PEF54" s="3579"/>
      <c r="PEG54" s="3579"/>
      <c r="PEH54" s="3579"/>
      <c r="PEI54" s="3579"/>
      <c r="PEJ54" s="3579"/>
      <c r="PEK54" s="3579"/>
      <c r="PEL54" s="3579"/>
      <c r="PEM54" s="3579"/>
      <c r="PEN54" s="3579"/>
      <c r="PEO54" s="3579"/>
      <c r="PEP54" s="3579"/>
      <c r="PEQ54" s="3579"/>
      <c r="PER54" s="3579"/>
      <c r="PES54" s="3579"/>
      <c r="PET54" s="3579"/>
      <c r="PEU54" s="3579"/>
      <c r="PEV54" s="3579"/>
      <c r="PEW54" s="3579"/>
      <c r="PEX54" s="3579"/>
      <c r="PEY54" s="3579"/>
      <c r="PEZ54" s="3579"/>
      <c r="PFA54" s="3579"/>
      <c r="PFB54" s="3579"/>
      <c r="PFC54" s="3579"/>
      <c r="PFD54" s="3579"/>
      <c r="PFE54" s="3579"/>
      <c r="PFF54" s="3579"/>
      <c r="PFG54" s="3579"/>
      <c r="PFH54" s="3579"/>
      <c r="PFI54" s="3579"/>
      <c r="PFJ54" s="3579"/>
      <c r="PFK54" s="3579"/>
      <c r="PFL54" s="3579"/>
      <c r="PFM54" s="3579"/>
      <c r="PFN54" s="3579"/>
      <c r="PFO54" s="3579"/>
      <c r="PFP54" s="3579"/>
      <c r="PFQ54" s="3579"/>
      <c r="PFR54" s="3579"/>
      <c r="PFS54" s="3579"/>
      <c r="PFT54" s="3579"/>
      <c r="PFU54" s="3579"/>
      <c r="PFV54" s="3579"/>
      <c r="PFW54" s="3579"/>
      <c r="PFX54" s="3579"/>
      <c r="PFY54" s="3579"/>
      <c r="PFZ54" s="3579"/>
      <c r="PGA54" s="3579"/>
      <c r="PGB54" s="3579"/>
      <c r="PGC54" s="3579"/>
      <c r="PGD54" s="3579"/>
      <c r="PGE54" s="3579"/>
      <c r="PGF54" s="3579"/>
      <c r="PGG54" s="3579"/>
      <c r="PGH54" s="3579"/>
      <c r="PGI54" s="3579"/>
      <c r="PGJ54" s="3579"/>
      <c r="PGK54" s="3579"/>
      <c r="PGL54" s="3579"/>
      <c r="PGM54" s="3579"/>
      <c r="PGN54" s="3579"/>
      <c r="PGO54" s="3579"/>
      <c r="PGP54" s="3579"/>
      <c r="PGQ54" s="3579"/>
      <c r="PGR54" s="3579"/>
      <c r="PGS54" s="3579"/>
      <c r="PGT54" s="3579"/>
      <c r="PGU54" s="3579"/>
      <c r="PGV54" s="3579"/>
      <c r="PGW54" s="3579"/>
      <c r="PGX54" s="3579"/>
      <c r="PGY54" s="3579"/>
      <c r="PGZ54" s="3579"/>
      <c r="PHA54" s="3579"/>
      <c r="PHB54" s="3579"/>
      <c r="PHC54" s="3579"/>
      <c r="PHD54" s="3579"/>
      <c r="PHE54" s="3579"/>
      <c r="PHF54" s="3579"/>
      <c r="PHG54" s="3579"/>
      <c r="PHH54" s="3579"/>
      <c r="PHI54" s="3579"/>
      <c r="PHJ54" s="3579"/>
      <c r="PHK54" s="3579"/>
      <c r="PHL54" s="3579"/>
      <c r="PHM54" s="3579"/>
      <c r="PHN54" s="3579"/>
      <c r="PHO54" s="3579"/>
      <c r="PHP54" s="3579"/>
      <c r="PHQ54" s="3579"/>
      <c r="PHR54" s="3579"/>
      <c r="PHS54" s="3579"/>
      <c r="PHT54" s="3579"/>
      <c r="PHU54" s="3579"/>
      <c r="PHV54" s="3579"/>
      <c r="PHW54" s="3579"/>
      <c r="PHX54" s="3579"/>
      <c r="PHY54" s="3579"/>
      <c r="PHZ54" s="3579"/>
      <c r="PIA54" s="3579"/>
      <c r="PIB54" s="3579"/>
      <c r="PIC54" s="3579"/>
      <c r="PID54" s="3579"/>
      <c r="PIE54" s="3579"/>
      <c r="PIF54" s="3579"/>
      <c r="PIG54" s="3579"/>
      <c r="PIH54" s="3579"/>
      <c r="PII54" s="3579"/>
      <c r="PIJ54" s="3579"/>
      <c r="PIK54" s="3579"/>
      <c r="PIL54" s="3579"/>
      <c r="PIM54" s="3579"/>
      <c r="PIN54" s="3579"/>
      <c r="PIO54" s="3579"/>
      <c r="PIP54" s="3579"/>
      <c r="PIQ54" s="3579"/>
      <c r="PIR54" s="3579"/>
      <c r="PIS54" s="3579"/>
      <c r="PIT54" s="3579"/>
      <c r="PIU54" s="3579"/>
      <c r="PIV54" s="3579"/>
      <c r="PIW54" s="3579"/>
      <c r="PIX54" s="3579"/>
      <c r="PIY54" s="3579"/>
      <c r="PIZ54" s="3579"/>
      <c r="PJA54" s="3579"/>
      <c r="PJB54" s="3579"/>
      <c r="PJC54" s="3579"/>
      <c r="PJD54" s="3579"/>
      <c r="PJE54" s="3579"/>
      <c r="PJF54" s="3579"/>
      <c r="PJG54" s="3579"/>
      <c r="PJH54" s="3579"/>
      <c r="PJI54" s="3579"/>
      <c r="PJJ54" s="3579"/>
      <c r="PJK54" s="3579"/>
      <c r="PJL54" s="3579"/>
      <c r="PJM54" s="3579"/>
      <c r="PJN54" s="3579"/>
      <c r="PJO54" s="3579"/>
      <c r="PJP54" s="3579"/>
      <c r="PJQ54" s="3579"/>
      <c r="PJR54" s="3579"/>
      <c r="PJS54" s="3579"/>
      <c r="PJT54" s="3579"/>
      <c r="PJU54" s="3579"/>
      <c r="PJV54" s="3579"/>
      <c r="PJW54" s="3579"/>
      <c r="PJX54" s="3579"/>
      <c r="PJY54" s="3579"/>
      <c r="PJZ54" s="3579"/>
      <c r="PKA54" s="3579"/>
      <c r="PKB54" s="3579"/>
      <c r="PKC54" s="3579"/>
      <c r="PKD54" s="3579"/>
      <c r="PKE54" s="3579"/>
      <c r="PKF54" s="3579"/>
      <c r="PKG54" s="3579"/>
      <c r="PKH54" s="3579"/>
      <c r="PKI54" s="3579"/>
      <c r="PKJ54" s="3579"/>
      <c r="PKK54" s="3579"/>
      <c r="PKL54" s="3579"/>
      <c r="PKM54" s="3579"/>
      <c r="PKN54" s="3579"/>
      <c r="PKO54" s="3579"/>
      <c r="PKP54" s="3579"/>
      <c r="PKQ54" s="3579"/>
      <c r="PKR54" s="3579"/>
      <c r="PKS54" s="3579"/>
      <c r="PKT54" s="3579"/>
      <c r="PKU54" s="3579"/>
      <c r="PKV54" s="3579"/>
      <c r="PKW54" s="3579"/>
      <c r="PKX54" s="3579"/>
      <c r="PKY54" s="3579"/>
      <c r="PKZ54" s="3579"/>
      <c r="PLA54" s="3579"/>
      <c r="PLB54" s="3579"/>
      <c r="PLC54" s="3579"/>
      <c r="PLD54" s="3579"/>
      <c r="PLE54" s="3579"/>
      <c r="PLF54" s="3579"/>
      <c r="PLG54" s="3579"/>
      <c r="PLH54" s="3579"/>
      <c r="PLI54" s="3579"/>
      <c r="PLJ54" s="3579"/>
      <c r="PLK54" s="3579"/>
      <c r="PLL54" s="3579"/>
      <c r="PLM54" s="3579"/>
      <c r="PLN54" s="3579"/>
      <c r="PLO54" s="3579"/>
      <c r="PLP54" s="3579"/>
      <c r="PLQ54" s="3579"/>
      <c r="PLR54" s="3579"/>
      <c r="PLS54" s="3579"/>
      <c r="PLT54" s="3579"/>
      <c r="PLU54" s="3579"/>
      <c r="PLV54" s="3579"/>
      <c r="PLW54" s="3579"/>
      <c r="PLX54" s="3579"/>
      <c r="PLY54" s="3579"/>
      <c r="PLZ54" s="3579"/>
      <c r="PMA54" s="3579"/>
      <c r="PMB54" s="3579"/>
      <c r="PMC54" s="3579"/>
      <c r="PMD54" s="3579"/>
      <c r="PME54" s="3579"/>
      <c r="PMF54" s="3579"/>
      <c r="PMG54" s="3579"/>
      <c r="PMH54" s="3579"/>
      <c r="PMI54" s="3579"/>
      <c r="PMJ54" s="3579"/>
      <c r="PMK54" s="3579"/>
      <c r="PML54" s="3579"/>
      <c r="PMM54" s="3579"/>
      <c r="PMN54" s="3579"/>
      <c r="PMO54" s="3579"/>
      <c r="PMP54" s="3579"/>
      <c r="PMQ54" s="3579"/>
      <c r="PMR54" s="3579"/>
      <c r="PMS54" s="3579"/>
      <c r="PMT54" s="3579"/>
      <c r="PMU54" s="3579"/>
      <c r="PMV54" s="3579"/>
      <c r="PMW54" s="3579"/>
      <c r="PMX54" s="3579"/>
      <c r="PMY54" s="3579"/>
      <c r="PMZ54" s="3579"/>
      <c r="PNA54" s="3579"/>
      <c r="PNB54" s="3579"/>
      <c r="PNC54" s="3579"/>
      <c r="PND54" s="3579"/>
      <c r="PNE54" s="3579"/>
      <c r="PNF54" s="3579"/>
      <c r="PNG54" s="3579"/>
      <c r="PNH54" s="3579"/>
      <c r="PNI54" s="3579"/>
      <c r="PNJ54" s="3579"/>
      <c r="PNK54" s="3579"/>
      <c r="PNL54" s="3579"/>
      <c r="PNM54" s="3579"/>
      <c r="PNN54" s="3579"/>
      <c r="PNO54" s="3579"/>
      <c r="PNP54" s="3579"/>
      <c r="PNQ54" s="3579"/>
      <c r="PNR54" s="3579"/>
      <c r="PNS54" s="3579"/>
      <c r="PNT54" s="3579"/>
      <c r="PNU54" s="3579"/>
      <c r="PNV54" s="3579"/>
      <c r="PNW54" s="3579"/>
      <c r="PNX54" s="3579"/>
      <c r="PNY54" s="3579"/>
      <c r="PNZ54" s="3579"/>
      <c r="POA54" s="3579"/>
      <c r="POB54" s="3579"/>
      <c r="POC54" s="3579"/>
      <c r="POD54" s="3579"/>
      <c r="POE54" s="3579"/>
      <c r="POF54" s="3579"/>
      <c r="POG54" s="3579"/>
      <c r="POH54" s="3579"/>
      <c r="POI54" s="3579"/>
      <c r="POJ54" s="3579"/>
      <c r="POK54" s="3579"/>
      <c r="POL54" s="3579"/>
      <c r="POM54" s="3579"/>
      <c r="PON54" s="3579"/>
      <c r="POO54" s="3579"/>
      <c r="POP54" s="3579"/>
      <c r="POQ54" s="3579"/>
      <c r="POR54" s="3579"/>
      <c r="POS54" s="3579"/>
      <c r="POT54" s="3579"/>
      <c r="POU54" s="3579"/>
      <c r="POV54" s="3579"/>
      <c r="POW54" s="3579"/>
      <c r="POX54" s="3579"/>
      <c r="POY54" s="3579"/>
      <c r="POZ54" s="3579"/>
      <c r="PPA54" s="3579"/>
      <c r="PPB54" s="3579"/>
      <c r="PPC54" s="3579"/>
      <c r="PPD54" s="3579"/>
      <c r="PPE54" s="3579"/>
      <c r="PPF54" s="3579"/>
      <c r="PPG54" s="3579"/>
      <c r="PPH54" s="3579"/>
      <c r="PPI54" s="3579"/>
      <c r="PPJ54" s="3579"/>
      <c r="PPK54" s="3579"/>
      <c r="PPL54" s="3579"/>
      <c r="PPM54" s="3579"/>
      <c r="PPN54" s="3579"/>
      <c r="PPO54" s="3579"/>
      <c r="PPP54" s="3579"/>
      <c r="PPQ54" s="3579"/>
      <c r="PPR54" s="3579"/>
      <c r="PPS54" s="3579"/>
      <c r="PPT54" s="3579"/>
      <c r="PPU54" s="3579"/>
      <c r="PPV54" s="3579"/>
      <c r="PPW54" s="3579"/>
      <c r="PPX54" s="3579"/>
      <c r="PPY54" s="3579"/>
      <c r="PPZ54" s="3579"/>
      <c r="PQA54" s="3579"/>
      <c r="PQB54" s="3579"/>
      <c r="PQC54" s="3579"/>
      <c r="PQD54" s="3579"/>
      <c r="PQE54" s="3579"/>
      <c r="PQF54" s="3579"/>
      <c r="PQG54" s="3579"/>
      <c r="PQH54" s="3579"/>
      <c r="PQI54" s="3579"/>
      <c r="PQJ54" s="3579"/>
      <c r="PQK54" s="3579"/>
      <c r="PQL54" s="3579"/>
      <c r="PQM54" s="3579"/>
      <c r="PQN54" s="3579"/>
      <c r="PQO54" s="3579"/>
      <c r="PQP54" s="3579"/>
      <c r="PQQ54" s="3579"/>
      <c r="PQR54" s="3579"/>
      <c r="PQS54" s="3579"/>
      <c r="PQT54" s="3579"/>
      <c r="PQU54" s="3579"/>
      <c r="PQV54" s="3579"/>
      <c r="PQW54" s="3579"/>
      <c r="PQX54" s="3579"/>
      <c r="PQY54" s="3579"/>
      <c r="PQZ54" s="3579"/>
      <c r="PRA54" s="3579"/>
      <c r="PRB54" s="3579"/>
      <c r="PRC54" s="3579"/>
      <c r="PRD54" s="3579"/>
      <c r="PRE54" s="3579"/>
      <c r="PRF54" s="3579"/>
      <c r="PRG54" s="3579"/>
      <c r="PRH54" s="3579"/>
      <c r="PRI54" s="3579"/>
      <c r="PRJ54" s="3579"/>
      <c r="PRK54" s="3579"/>
      <c r="PRL54" s="3579"/>
      <c r="PRM54" s="3579"/>
      <c r="PRN54" s="3579"/>
      <c r="PRO54" s="3579"/>
      <c r="PRP54" s="3579"/>
      <c r="PRQ54" s="3579"/>
      <c r="PRR54" s="3579"/>
      <c r="PRS54" s="3579"/>
      <c r="PRT54" s="3579"/>
      <c r="PRU54" s="3579"/>
      <c r="PRV54" s="3579"/>
      <c r="PRW54" s="3579"/>
      <c r="PRX54" s="3579"/>
      <c r="PRY54" s="3579"/>
      <c r="PRZ54" s="3579"/>
      <c r="PSA54" s="3579"/>
      <c r="PSB54" s="3579"/>
      <c r="PSC54" s="3579"/>
      <c r="PSD54" s="3579"/>
      <c r="PSE54" s="3579"/>
      <c r="PSF54" s="3579"/>
      <c r="PSG54" s="3579"/>
      <c r="PSH54" s="3579"/>
      <c r="PSI54" s="3579"/>
      <c r="PSJ54" s="3579"/>
      <c r="PSK54" s="3579"/>
      <c r="PSL54" s="3579"/>
      <c r="PSM54" s="3579"/>
      <c r="PSN54" s="3579"/>
      <c r="PSO54" s="3579"/>
      <c r="PSP54" s="3579"/>
      <c r="PSQ54" s="3579"/>
      <c r="PSR54" s="3579"/>
      <c r="PSS54" s="3579"/>
      <c r="PST54" s="3579"/>
      <c r="PSU54" s="3579"/>
      <c r="PSV54" s="3579"/>
      <c r="PSW54" s="3579"/>
      <c r="PSX54" s="3579"/>
      <c r="PSY54" s="3579"/>
      <c r="PSZ54" s="3579"/>
      <c r="PTA54" s="3579"/>
      <c r="PTB54" s="3579"/>
      <c r="PTC54" s="3579"/>
      <c r="PTD54" s="3579"/>
      <c r="PTE54" s="3579"/>
      <c r="PTF54" s="3579"/>
      <c r="PTG54" s="3579"/>
      <c r="PTH54" s="3579"/>
      <c r="PTI54" s="3579"/>
      <c r="PTJ54" s="3579"/>
      <c r="PTK54" s="3579"/>
      <c r="PTL54" s="3579"/>
      <c r="PTM54" s="3579"/>
      <c r="PTN54" s="3579"/>
      <c r="PTO54" s="3579"/>
      <c r="PTP54" s="3579"/>
      <c r="PTQ54" s="3579"/>
      <c r="PTR54" s="3579"/>
      <c r="PTS54" s="3579"/>
      <c r="PTT54" s="3579"/>
      <c r="PTU54" s="3579"/>
      <c r="PTV54" s="3579"/>
      <c r="PTW54" s="3579"/>
      <c r="PTX54" s="3579"/>
      <c r="PTY54" s="3579"/>
      <c r="PTZ54" s="3579"/>
      <c r="PUA54" s="3579"/>
      <c r="PUB54" s="3579"/>
      <c r="PUC54" s="3579"/>
      <c r="PUD54" s="3579"/>
      <c r="PUE54" s="3579"/>
      <c r="PUF54" s="3579"/>
      <c r="PUG54" s="3579"/>
      <c r="PUH54" s="3579"/>
      <c r="PUI54" s="3579"/>
      <c r="PUJ54" s="3579"/>
      <c r="PUK54" s="3579"/>
      <c r="PUL54" s="3579"/>
      <c r="PUM54" s="3579"/>
      <c r="PUN54" s="3579"/>
      <c r="PUO54" s="3579"/>
      <c r="PUP54" s="3579"/>
      <c r="PUQ54" s="3579"/>
      <c r="PUR54" s="3579"/>
      <c r="PUS54" s="3579"/>
      <c r="PUT54" s="3579"/>
      <c r="PUU54" s="3579"/>
      <c r="PUV54" s="3579"/>
      <c r="PUW54" s="3579"/>
      <c r="PUX54" s="3579"/>
      <c r="PUY54" s="3579"/>
      <c r="PUZ54" s="3579"/>
      <c r="PVA54" s="3579"/>
      <c r="PVB54" s="3579"/>
      <c r="PVC54" s="3579"/>
      <c r="PVD54" s="3579"/>
      <c r="PVE54" s="3579"/>
      <c r="PVF54" s="3579"/>
      <c r="PVG54" s="3579"/>
      <c r="PVH54" s="3579"/>
      <c r="PVI54" s="3579"/>
      <c r="PVJ54" s="3579"/>
      <c r="PVK54" s="3579"/>
      <c r="PVL54" s="3579"/>
      <c r="PVM54" s="3579"/>
      <c r="PVN54" s="3579"/>
      <c r="PVO54" s="3579"/>
      <c r="PVP54" s="3579"/>
      <c r="PVQ54" s="3579"/>
      <c r="PVR54" s="3579"/>
      <c r="PVS54" s="3579"/>
      <c r="PVT54" s="3579"/>
      <c r="PVU54" s="3579"/>
      <c r="PVV54" s="3579"/>
      <c r="PVW54" s="3579"/>
      <c r="PVX54" s="3579"/>
      <c r="PVY54" s="3579"/>
      <c r="PVZ54" s="3579"/>
      <c r="PWA54" s="3579"/>
      <c r="PWB54" s="3579"/>
      <c r="PWC54" s="3579"/>
      <c r="PWD54" s="3579"/>
      <c r="PWE54" s="3579"/>
      <c r="PWF54" s="3579"/>
      <c r="PWG54" s="3579"/>
      <c r="PWH54" s="3579"/>
      <c r="PWI54" s="3579"/>
      <c r="PWJ54" s="3579"/>
      <c r="PWK54" s="3579"/>
      <c r="PWL54" s="3579"/>
      <c r="PWM54" s="3579"/>
      <c r="PWN54" s="3579"/>
      <c r="PWO54" s="3579"/>
      <c r="PWP54" s="3579"/>
      <c r="PWQ54" s="3579"/>
      <c r="PWR54" s="3579"/>
      <c r="PWS54" s="3579"/>
      <c r="PWT54" s="3579"/>
      <c r="PWU54" s="3579"/>
      <c r="PWV54" s="3579"/>
      <c r="PWW54" s="3579"/>
      <c r="PWX54" s="3579"/>
      <c r="PWY54" s="3579"/>
      <c r="PWZ54" s="3579"/>
      <c r="PXA54" s="3579"/>
      <c r="PXB54" s="3579"/>
      <c r="PXC54" s="3579"/>
      <c r="PXD54" s="3579"/>
      <c r="PXE54" s="3579"/>
      <c r="PXF54" s="3579"/>
      <c r="PXG54" s="3579"/>
      <c r="PXH54" s="3579"/>
      <c r="PXI54" s="3579"/>
      <c r="PXJ54" s="3579"/>
      <c r="PXK54" s="3579"/>
      <c r="PXL54" s="3579"/>
      <c r="PXM54" s="3579"/>
      <c r="PXN54" s="3579"/>
      <c r="PXO54" s="3579"/>
      <c r="PXP54" s="3579"/>
      <c r="PXQ54" s="3579"/>
      <c r="PXR54" s="3579"/>
      <c r="PXS54" s="3579"/>
      <c r="PXT54" s="3579"/>
      <c r="PXU54" s="3579"/>
      <c r="PXV54" s="3579"/>
      <c r="PXW54" s="3579"/>
      <c r="PXX54" s="3579"/>
      <c r="PXY54" s="3579"/>
      <c r="PXZ54" s="3579"/>
      <c r="PYA54" s="3579"/>
      <c r="PYB54" s="3579"/>
      <c r="PYC54" s="3579"/>
      <c r="PYD54" s="3579"/>
      <c r="PYE54" s="3579"/>
      <c r="PYF54" s="3579"/>
      <c r="PYG54" s="3579"/>
      <c r="PYH54" s="3579"/>
      <c r="PYI54" s="3579"/>
      <c r="PYJ54" s="3579"/>
      <c r="PYK54" s="3579"/>
      <c r="PYL54" s="3579"/>
      <c r="PYM54" s="3579"/>
      <c r="PYN54" s="3579"/>
      <c r="PYO54" s="3579"/>
      <c r="PYP54" s="3579"/>
      <c r="PYQ54" s="3579"/>
      <c r="PYR54" s="3579"/>
      <c r="PYS54" s="3579"/>
      <c r="PYT54" s="3579"/>
      <c r="PYU54" s="3579"/>
      <c r="PYV54" s="3579"/>
      <c r="PYW54" s="3579"/>
      <c r="PYX54" s="3579"/>
      <c r="PYY54" s="3579"/>
      <c r="PYZ54" s="3579"/>
      <c r="PZA54" s="3579"/>
      <c r="PZB54" s="3579"/>
      <c r="PZC54" s="3579"/>
      <c r="PZD54" s="3579"/>
      <c r="PZE54" s="3579"/>
      <c r="PZF54" s="3579"/>
      <c r="PZG54" s="3579"/>
      <c r="PZH54" s="3579"/>
      <c r="PZI54" s="3579"/>
      <c r="PZJ54" s="3579"/>
      <c r="PZK54" s="3579"/>
      <c r="PZL54" s="3579"/>
      <c r="PZM54" s="3579"/>
      <c r="PZN54" s="3579"/>
      <c r="PZO54" s="3579"/>
      <c r="PZP54" s="3579"/>
      <c r="PZQ54" s="3579"/>
      <c r="PZR54" s="3579"/>
      <c r="PZS54" s="3579"/>
      <c r="PZT54" s="3579"/>
      <c r="PZU54" s="3579"/>
      <c r="PZV54" s="3579"/>
      <c r="PZW54" s="3579"/>
      <c r="PZX54" s="3579"/>
      <c r="PZY54" s="3579"/>
      <c r="PZZ54" s="3579"/>
      <c r="QAA54" s="3579"/>
      <c r="QAB54" s="3579"/>
      <c r="QAC54" s="3579"/>
      <c r="QAD54" s="3579"/>
      <c r="QAE54" s="3579"/>
      <c r="QAF54" s="3579"/>
      <c r="QAG54" s="3579"/>
      <c r="QAH54" s="3579"/>
      <c r="QAI54" s="3579"/>
      <c r="QAJ54" s="3579"/>
      <c r="QAK54" s="3579"/>
      <c r="QAL54" s="3579"/>
      <c r="QAM54" s="3579"/>
      <c r="QAN54" s="3579"/>
      <c r="QAO54" s="3579"/>
      <c r="QAP54" s="3579"/>
      <c r="QAQ54" s="3579"/>
      <c r="QAR54" s="3579"/>
      <c r="QAS54" s="3579"/>
      <c r="QAT54" s="3579"/>
      <c r="QAU54" s="3579"/>
      <c r="QAV54" s="3579"/>
      <c r="QAW54" s="3579"/>
      <c r="QAX54" s="3579"/>
      <c r="QAY54" s="3579"/>
      <c r="QAZ54" s="3579"/>
      <c r="QBA54" s="3579"/>
      <c r="QBB54" s="3579"/>
      <c r="QBC54" s="3579"/>
      <c r="QBD54" s="3579"/>
      <c r="QBE54" s="3579"/>
      <c r="QBF54" s="3579"/>
      <c r="QBG54" s="3579"/>
      <c r="QBH54" s="3579"/>
      <c r="QBI54" s="3579"/>
      <c r="QBJ54" s="3579"/>
      <c r="QBK54" s="3579"/>
      <c r="QBL54" s="3579"/>
      <c r="QBM54" s="3579"/>
      <c r="QBN54" s="3579"/>
      <c r="QBO54" s="3579"/>
      <c r="QBP54" s="3579"/>
      <c r="QBQ54" s="3579"/>
      <c r="QBR54" s="3579"/>
      <c r="QBS54" s="3579"/>
      <c r="QBT54" s="3579"/>
      <c r="QBU54" s="3579"/>
      <c r="QBV54" s="3579"/>
      <c r="QBW54" s="3579"/>
      <c r="QBX54" s="3579"/>
      <c r="QBY54" s="3579"/>
      <c r="QBZ54" s="3579"/>
      <c r="QCA54" s="3579"/>
      <c r="QCB54" s="3579"/>
      <c r="QCC54" s="3579"/>
      <c r="QCD54" s="3579"/>
      <c r="QCE54" s="3579"/>
      <c r="QCF54" s="3579"/>
      <c r="QCG54" s="3579"/>
      <c r="QCH54" s="3579"/>
      <c r="QCI54" s="3579"/>
      <c r="QCJ54" s="3579"/>
      <c r="QCK54" s="3579"/>
      <c r="QCL54" s="3579"/>
      <c r="QCM54" s="3579"/>
      <c r="QCN54" s="3579"/>
      <c r="QCO54" s="3579"/>
      <c r="QCP54" s="3579"/>
      <c r="QCQ54" s="3579"/>
      <c r="QCR54" s="3579"/>
      <c r="QCS54" s="3579"/>
      <c r="QCT54" s="3579"/>
      <c r="QCU54" s="3579"/>
      <c r="QCV54" s="3579"/>
      <c r="QCW54" s="3579"/>
      <c r="QCX54" s="3579"/>
      <c r="QCY54" s="3579"/>
      <c r="QCZ54" s="3579"/>
      <c r="QDA54" s="3579"/>
      <c r="QDB54" s="3579"/>
      <c r="QDC54" s="3579"/>
      <c r="QDD54" s="3579"/>
      <c r="QDE54" s="3579"/>
      <c r="QDF54" s="3579"/>
      <c r="QDG54" s="3579"/>
      <c r="QDH54" s="3579"/>
      <c r="QDI54" s="3579"/>
      <c r="QDJ54" s="3579"/>
      <c r="QDK54" s="3579"/>
      <c r="QDL54" s="3579"/>
      <c r="QDM54" s="3579"/>
      <c r="QDN54" s="3579"/>
      <c r="QDO54" s="3579"/>
      <c r="QDP54" s="3579"/>
      <c r="QDQ54" s="3579"/>
      <c r="QDR54" s="3579"/>
      <c r="QDS54" s="3579"/>
      <c r="QDT54" s="3579"/>
      <c r="QDU54" s="3579"/>
      <c r="QDV54" s="3579"/>
      <c r="QDW54" s="3579"/>
      <c r="QDX54" s="3579"/>
      <c r="QDY54" s="3579"/>
      <c r="QDZ54" s="3579"/>
      <c r="QEA54" s="3579"/>
      <c r="QEB54" s="3579"/>
      <c r="QEC54" s="3579"/>
      <c r="QED54" s="3579"/>
      <c r="QEE54" s="3579"/>
      <c r="QEF54" s="3579"/>
      <c r="QEG54" s="3579"/>
      <c r="QEH54" s="3579"/>
      <c r="QEI54" s="3579"/>
      <c r="QEJ54" s="3579"/>
      <c r="QEK54" s="3579"/>
      <c r="QEL54" s="3579"/>
      <c r="QEM54" s="3579"/>
      <c r="QEN54" s="3579"/>
      <c r="QEO54" s="3579"/>
      <c r="QEP54" s="3579"/>
      <c r="QEQ54" s="3579"/>
      <c r="QER54" s="3579"/>
      <c r="QES54" s="3579"/>
      <c r="QET54" s="3579"/>
      <c r="QEU54" s="3579"/>
      <c r="QEV54" s="3579"/>
      <c r="QEW54" s="3579"/>
      <c r="QEX54" s="3579"/>
      <c r="QEY54" s="3579"/>
      <c r="QEZ54" s="3579"/>
      <c r="QFA54" s="3579"/>
      <c r="QFB54" s="3579"/>
      <c r="QFC54" s="3579"/>
      <c r="QFD54" s="3579"/>
      <c r="QFE54" s="3579"/>
      <c r="QFF54" s="3579"/>
      <c r="QFG54" s="3579"/>
      <c r="QFH54" s="3579"/>
      <c r="QFI54" s="3579"/>
      <c r="QFJ54" s="3579"/>
      <c r="QFK54" s="3579"/>
      <c r="QFL54" s="3579"/>
      <c r="QFM54" s="3579"/>
      <c r="QFN54" s="3579"/>
      <c r="QFO54" s="3579"/>
      <c r="QFP54" s="3579"/>
      <c r="QFQ54" s="3579"/>
      <c r="QFR54" s="3579"/>
      <c r="QFS54" s="3579"/>
      <c r="QFT54" s="3579"/>
      <c r="QFU54" s="3579"/>
      <c r="QFV54" s="3579"/>
      <c r="QFW54" s="3579"/>
      <c r="QFX54" s="3579"/>
      <c r="QFY54" s="3579"/>
      <c r="QFZ54" s="3579"/>
      <c r="QGA54" s="3579"/>
      <c r="QGB54" s="3579"/>
      <c r="QGC54" s="3579"/>
      <c r="QGD54" s="3579"/>
      <c r="QGE54" s="3579"/>
      <c r="QGF54" s="3579"/>
      <c r="QGG54" s="3579"/>
      <c r="QGH54" s="3579"/>
      <c r="QGI54" s="3579"/>
      <c r="QGJ54" s="3579"/>
      <c r="QGK54" s="3579"/>
      <c r="QGL54" s="3579"/>
      <c r="QGM54" s="3579"/>
      <c r="QGN54" s="3579"/>
      <c r="QGO54" s="3579"/>
      <c r="QGP54" s="3579"/>
      <c r="QGQ54" s="3579"/>
      <c r="QGR54" s="3579"/>
      <c r="QGS54" s="3579"/>
      <c r="QGT54" s="3579"/>
      <c r="QGU54" s="3579"/>
      <c r="QGV54" s="3579"/>
      <c r="QGW54" s="3579"/>
      <c r="QGX54" s="3579"/>
      <c r="QGY54" s="3579"/>
      <c r="QGZ54" s="3579"/>
      <c r="QHA54" s="3579"/>
      <c r="QHB54" s="3579"/>
      <c r="QHC54" s="3579"/>
      <c r="QHD54" s="3579"/>
      <c r="QHE54" s="3579"/>
      <c r="QHF54" s="3579"/>
      <c r="QHG54" s="3579"/>
      <c r="QHH54" s="3579"/>
      <c r="QHI54" s="3579"/>
      <c r="QHJ54" s="3579"/>
      <c r="QHK54" s="3579"/>
      <c r="QHL54" s="3579"/>
      <c r="QHM54" s="3579"/>
      <c r="QHN54" s="3579"/>
      <c r="QHO54" s="3579"/>
      <c r="QHP54" s="3579"/>
      <c r="QHQ54" s="3579"/>
      <c r="QHR54" s="3579"/>
      <c r="QHS54" s="3579"/>
      <c r="QHT54" s="3579"/>
      <c r="QHU54" s="3579"/>
      <c r="QHV54" s="3579"/>
      <c r="QHW54" s="3579"/>
      <c r="QHX54" s="3579"/>
      <c r="QHY54" s="3579"/>
      <c r="QHZ54" s="3579"/>
      <c r="QIA54" s="3579"/>
      <c r="QIB54" s="3579"/>
      <c r="QIC54" s="3579"/>
      <c r="QID54" s="3579"/>
      <c r="QIE54" s="3579"/>
      <c r="QIF54" s="3579"/>
      <c r="QIG54" s="3579"/>
      <c r="QIH54" s="3579"/>
      <c r="QII54" s="3579"/>
      <c r="QIJ54" s="3579"/>
      <c r="QIK54" s="3579"/>
      <c r="QIL54" s="3579"/>
      <c r="QIM54" s="3579"/>
      <c r="QIN54" s="3579"/>
      <c r="QIO54" s="3579"/>
      <c r="QIP54" s="3579"/>
      <c r="QIQ54" s="3579"/>
      <c r="QIR54" s="3579"/>
      <c r="QIS54" s="3579"/>
      <c r="QIT54" s="3579"/>
      <c r="QIU54" s="3579"/>
      <c r="QIV54" s="3579"/>
      <c r="QIW54" s="3579"/>
      <c r="QIX54" s="3579"/>
      <c r="QIY54" s="3579"/>
      <c r="QIZ54" s="3579"/>
      <c r="QJA54" s="3579"/>
      <c r="QJB54" s="3579"/>
      <c r="QJC54" s="3579"/>
      <c r="QJD54" s="3579"/>
      <c r="QJE54" s="3579"/>
      <c r="QJF54" s="3579"/>
      <c r="QJG54" s="3579"/>
      <c r="QJH54" s="3579"/>
      <c r="QJI54" s="3579"/>
      <c r="QJJ54" s="3579"/>
      <c r="QJK54" s="3579"/>
      <c r="QJL54" s="3579"/>
      <c r="QJM54" s="3579"/>
      <c r="QJN54" s="3579"/>
      <c r="QJO54" s="3579"/>
      <c r="QJP54" s="3579"/>
      <c r="QJQ54" s="3579"/>
      <c r="QJR54" s="3579"/>
      <c r="QJS54" s="3579"/>
      <c r="QJT54" s="3579"/>
      <c r="QJU54" s="3579"/>
      <c r="QJV54" s="3579"/>
      <c r="QJW54" s="3579"/>
      <c r="QJX54" s="3579"/>
      <c r="QJY54" s="3579"/>
      <c r="QJZ54" s="3579"/>
      <c r="QKA54" s="3579"/>
      <c r="QKB54" s="3579"/>
      <c r="QKC54" s="3579"/>
      <c r="QKD54" s="3579"/>
      <c r="QKE54" s="3579"/>
      <c r="QKF54" s="3579"/>
      <c r="QKG54" s="3579"/>
      <c r="QKH54" s="3579"/>
      <c r="QKI54" s="3579"/>
      <c r="QKJ54" s="3579"/>
      <c r="QKK54" s="3579"/>
      <c r="QKL54" s="3579"/>
      <c r="QKM54" s="3579"/>
      <c r="QKN54" s="3579"/>
      <c r="QKO54" s="3579"/>
      <c r="QKP54" s="3579"/>
      <c r="QKQ54" s="3579"/>
      <c r="QKR54" s="3579"/>
      <c r="QKS54" s="3579"/>
      <c r="QKT54" s="3579"/>
      <c r="QKU54" s="3579"/>
      <c r="QKV54" s="3579"/>
      <c r="QKW54" s="3579"/>
      <c r="QKX54" s="3579"/>
      <c r="QKY54" s="3579"/>
      <c r="QKZ54" s="3579"/>
      <c r="QLA54" s="3579"/>
      <c r="QLB54" s="3579"/>
      <c r="QLC54" s="3579"/>
      <c r="QLD54" s="3579"/>
      <c r="QLE54" s="3579"/>
      <c r="QLF54" s="3579"/>
      <c r="QLG54" s="3579"/>
      <c r="QLH54" s="3579"/>
      <c r="QLI54" s="3579"/>
      <c r="QLJ54" s="3579"/>
      <c r="QLK54" s="3579"/>
      <c r="QLL54" s="3579"/>
      <c r="QLM54" s="3579"/>
      <c r="QLN54" s="3579"/>
      <c r="QLO54" s="3579"/>
      <c r="QLP54" s="3579"/>
      <c r="QLQ54" s="3579"/>
      <c r="QLR54" s="3579"/>
      <c r="QLS54" s="3579"/>
      <c r="QLT54" s="3579"/>
      <c r="QLU54" s="3579"/>
      <c r="QLV54" s="3579"/>
      <c r="QLW54" s="3579"/>
      <c r="QLX54" s="3579"/>
      <c r="QLY54" s="3579"/>
      <c r="QLZ54" s="3579"/>
      <c r="QMA54" s="3579"/>
      <c r="QMB54" s="3579"/>
      <c r="QMC54" s="3579"/>
      <c r="QMD54" s="3579"/>
      <c r="QME54" s="3579"/>
      <c r="QMF54" s="3579"/>
      <c r="QMG54" s="3579"/>
      <c r="QMH54" s="3579"/>
      <c r="QMI54" s="3579"/>
      <c r="QMJ54" s="3579"/>
      <c r="QMK54" s="3579"/>
      <c r="QML54" s="3579"/>
      <c r="QMM54" s="3579"/>
      <c r="QMN54" s="3579"/>
      <c r="QMO54" s="3579"/>
      <c r="QMP54" s="3579"/>
      <c r="QMQ54" s="3579"/>
      <c r="QMR54" s="3579"/>
      <c r="QMS54" s="3579"/>
      <c r="QMT54" s="3579"/>
      <c r="QMU54" s="3579"/>
      <c r="QMV54" s="3579"/>
      <c r="QMW54" s="3579"/>
      <c r="QMX54" s="3579"/>
      <c r="QMY54" s="3579"/>
      <c r="QMZ54" s="3579"/>
      <c r="QNA54" s="3579"/>
      <c r="QNB54" s="3579"/>
      <c r="QNC54" s="3579"/>
      <c r="QND54" s="3579"/>
      <c r="QNE54" s="3579"/>
      <c r="QNF54" s="3579"/>
      <c r="QNG54" s="3579"/>
      <c r="QNH54" s="3579"/>
      <c r="QNI54" s="3579"/>
      <c r="QNJ54" s="3579"/>
      <c r="QNK54" s="3579"/>
      <c r="QNL54" s="3579"/>
      <c r="QNM54" s="3579"/>
      <c r="QNN54" s="3579"/>
      <c r="QNO54" s="3579"/>
      <c r="QNP54" s="3579"/>
      <c r="QNQ54" s="3579"/>
      <c r="QNR54" s="3579"/>
      <c r="QNS54" s="3579"/>
      <c r="QNT54" s="3579"/>
      <c r="QNU54" s="3579"/>
      <c r="QNV54" s="3579"/>
      <c r="QNW54" s="3579"/>
      <c r="QNX54" s="3579"/>
      <c r="QNY54" s="3579"/>
      <c r="QNZ54" s="3579"/>
      <c r="QOA54" s="3579"/>
      <c r="QOB54" s="3579"/>
      <c r="QOC54" s="3579"/>
      <c r="QOD54" s="3579"/>
      <c r="QOE54" s="3579"/>
      <c r="QOF54" s="3579"/>
      <c r="QOG54" s="3579"/>
      <c r="QOH54" s="3579"/>
      <c r="QOI54" s="3579"/>
      <c r="QOJ54" s="3579"/>
      <c r="QOK54" s="3579"/>
      <c r="QOL54" s="3579"/>
      <c r="QOM54" s="3579"/>
      <c r="QON54" s="3579"/>
      <c r="QOO54" s="3579"/>
      <c r="QOP54" s="3579"/>
      <c r="QOQ54" s="3579"/>
      <c r="QOR54" s="3579"/>
      <c r="QOS54" s="3579"/>
      <c r="QOT54" s="3579"/>
      <c r="QOU54" s="3579"/>
      <c r="QOV54" s="3579"/>
      <c r="QOW54" s="3579"/>
      <c r="QOX54" s="3579"/>
      <c r="QOY54" s="3579"/>
      <c r="QOZ54" s="3579"/>
      <c r="QPA54" s="3579"/>
      <c r="QPB54" s="3579"/>
      <c r="QPC54" s="3579"/>
      <c r="QPD54" s="3579"/>
      <c r="QPE54" s="3579"/>
      <c r="QPF54" s="3579"/>
      <c r="QPG54" s="3579"/>
      <c r="QPH54" s="3579"/>
      <c r="QPI54" s="3579"/>
      <c r="QPJ54" s="3579"/>
      <c r="QPK54" s="3579"/>
      <c r="QPL54" s="3579"/>
      <c r="QPM54" s="3579"/>
      <c r="QPN54" s="3579"/>
      <c r="QPO54" s="3579"/>
      <c r="QPP54" s="3579"/>
      <c r="QPQ54" s="3579"/>
      <c r="QPR54" s="3579"/>
      <c r="QPS54" s="3579"/>
      <c r="QPT54" s="3579"/>
      <c r="QPU54" s="3579"/>
      <c r="QPV54" s="3579"/>
      <c r="QPW54" s="3579"/>
      <c r="QPX54" s="3579"/>
      <c r="QPY54" s="3579"/>
      <c r="QPZ54" s="3579"/>
      <c r="QQA54" s="3579"/>
      <c r="QQB54" s="3579"/>
      <c r="QQC54" s="3579"/>
      <c r="QQD54" s="3579"/>
      <c r="QQE54" s="3579"/>
      <c r="QQF54" s="3579"/>
      <c r="QQG54" s="3579"/>
      <c r="QQH54" s="3579"/>
      <c r="QQI54" s="3579"/>
      <c r="QQJ54" s="3579"/>
      <c r="QQK54" s="3579"/>
      <c r="QQL54" s="3579"/>
      <c r="QQM54" s="3579"/>
      <c r="QQN54" s="3579"/>
      <c r="QQO54" s="3579"/>
      <c r="QQP54" s="3579"/>
      <c r="QQQ54" s="3579"/>
      <c r="QQR54" s="3579"/>
      <c r="QQS54" s="3579"/>
      <c r="QQT54" s="3579"/>
      <c r="QQU54" s="3579"/>
      <c r="QQV54" s="3579"/>
      <c r="QQW54" s="3579"/>
      <c r="QQX54" s="3579"/>
      <c r="QQY54" s="3579"/>
      <c r="QQZ54" s="3579"/>
      <c r="QRA54" s="3579"/>
      <c r="QRB54" s="3579"/>
      <c r="QRC54" s="3579"/>
      <c r="QRD54" s="3579"/>
      <c r="QRE54" s="3579"/>
      <c r="QRF54" s="3579"/>
      <c r="QRG54" s="3579"/>
      <c r="QRH54" s="3579"/>
      <c r="QRI54" s="3579"/>
      <c r="QRJ54" s="3579"/>
      <c r="QRK54" s="3579"/>
      <c r="QRL54" s="3579"/>
      <c r="QRM54" s="3579"/>
      <c r="QRN54" s="3579"/>
      <c r="QRO54" s="3579"/>
      <c r="QRP54" s="3579"/>
      <c r="QRQ54" s="3579"/>
      <c r="QRR54" s="3579"/>
      <c r="QRS54" s="3579"/>
      <c r="QRT54" s="3579"/>
      <c r="QRU54" s="3579"/>
      <c r="QRV54" s="3579"/>
      <c r="QRW54" s="3579"/>
      <c r="QRX54" s="3579"/>
      <c r="QRY54" s="3579"/>
      <c r="QRZ54" s="3579"/>
      <c r="QSA54" s="3579"/>
      <c r="QSB54" s="3579"/>
      <c r="QSC54" s="3579"/>
      <c r="QSD54" s="3579"/>
      <c r="QSE54" s="3579"/>
      <c r="QSF54" s="3579"/>
      <c r="QSG54" s="3579"/>
      <c r="QSH54" s="3579"/>
      <c r="QSI54" s="3579"/>
      <c r="QSJ54" s="3579"/>
      <c r="QSK54" s="3579"/>
      <c r="QSL54" s="3579"/>
      <c r="QSM54" s="3579"/>
      <c r="QSN54" s="3579"/>
      <c r="QSO54" s="3579"/>
      <c r="QSP54" s="3579"/>
      <c r="QSQ54" s="3579"/>
      <c r="QSR54" s="3579"/>
      <c r="QSS54" s="3579"/>
      <c r="QST54" s="3579"/>
      <c r="QSU54" s="3579"/>
      <c r="QSV54" s="3579"/>
      <c r="QSW54" s="3579"/>
      <c r="QSX54" s="3579"/>
      <c r="QSY54" s="3579"/>
      <c r="QSZ54" s="3579"/>
      <c r="QTA54" s="3579"/>
      <c r="QTB54" s="3579"/>
      <c r="QTC54" s="3579"/>
      <c r="QTD54" s="3579"/>
      <c r="QTE54" s="3579"/>
      <c r="QTF54" s="3579"/>
      <c r="QTG54" s="3579"/>
      <c r="QTH54" s="3579"/>
      <c r="QTI54" s="3579"/>
      <c r="QTJ54" s="3579"/>
      <c r="QTK54" s="3579"/>
      <c r="QTL54" s="3579"/>
      <c r="QTM54" s="3579"/>
      <c r="QTN54" s="3579"/>
      <c r="QTO54" s="3579"/>
      <c r="QTP54" s="3579"/>
      <c r="QTQ54" s="3579"/>
      <c r="QTR54" s="3579"/>
      <c r="QTS54" s="3579"/>
      <c r="QTT54" s="3579"/>
      <c r="QTU54" s="3579"/>
      <c r="QTV54" s="3579"/>
      <c r="QTW54" s="3579"/>
      <c r="QTX54" s="3579"/>
      <c r="QTY54" s="3579"/>
      <c r="QTZ54" s="3579"/>
      <c r="QUA54" s="3579"/>
      <c r="QUB54" s="3579"/>
      <c r="QUC54" s="3579"/>
      <c r="QUD54" s="3579"/>
      <c r="QUE54" s="3579"/>
      <c r="QUF54" s="3579"/>
      <c r="QUG54" s="3579"/>
      <c r="QUH54" s="3579"/>
      <c r="QUI54" s="3579"/>
      <c r="QUJ54" s="3579"/>
      <c r="QUK54" s="3579"/>
      <c r="QUL54" s="3579"/>
      <c r="QUM54" s="3579"/>
      <c r="QUN54" s="3579"/>
      <c r="QUO54" s="3579"/>
      <c r="QUP54" s="3579"/>
      <c r="QUQ54" s="3579"/>
      <c r="QUR54" s="3579"/>
      <c r="QUS54" s="3579"/>
      <c r="QUT54" s="3579"/>
      <c r="QUU54" s="3579"/>
      <c r="QUV54" s="3579"/>
      <c r="QUW54" s="3579"/>
      <c r="QUX54" s="3579"/>
      <c r="QUY54" s="3579"/>
      <c r="QUZ54" s="3579"/>
      <c r="QVA54" s="3579"/>
      <c r="QVB54" s="3579"/>
      <c r="QVC54" s="3579"/>
      <c r="QVD54" s="3579"/>
      <c r="QVE54" s="3579"/>
      <c r="QVF54" s="3579"/>
      <c r="QVG54" s="3579"/>
      <c r="QVH54" s="3579"/>
      <c r="QVI54" s="3579"/>
      <c r="QVJ54" s="3579"/>
      <c r="QVK54" s="3579"/>
      <c r="QVL54" s="3579"/>
      <c r="QVM54" s="3579"/>
      <c r="QVN54" s="3579"/>
      <c r="QVO54" s="3579"/>
      <c r="QVP54" s="3579"/>
      <c r="QVQ54" s="3579"/>
      <c r="QVR54" s="3579"/>
      <c r="QVS54" s="3579"/>
      <c r="QVT54" s="3579"/>
      <c r="QVU54" s="3579"/>
      <c r="QVV54" s="3579"/>
      <c r="QVW54" s="3579"/>
      <c r="QVX54" s="3579"/>
      <c r="QVY54" s="3579"/>
      <c r="QVZ54" s="3579"/>
      <c r="QWA54" s="3579"/>
      <c r="QWB54" s="3579"/>
      <c r="QWC54" s="3579"/>
      <c r="QWD54" s="3579"/>
      <c r="QWE54" s="3579"/>
      <c r="QWF54" s="3579"/>
      <c r="QWG54" s="3579"/>
      <c r="QWH54" s="3579"/>
      <c r="QWI54" s="3579"/>
      <c r="QWJ54" s="3579"/>
      <c r="QWK54" s="3579"/>
      <c r="QWL54" s="3579"/>
      <c r="QWM54" s="3579"/>
      <c r="QWN54" s="3579"/>
      <c r="QWO54" s="3579"/>
      <c r="QWP54" s="3579"/>
      <c r="QWQ54" s="3579"/>
      <c r="QWR54" s="3579"/>
      <c r="QWS54" s="3579"/>
      <c r="QWT54" s="3579"/>
      <c r="QWU54" s="3579"/>
      <c r="QWV54" s="3579"/>
      <c r="QWW54" s="3579"/>
      <c r="QWX54" s="3579"/>
      <c r="QWY54" s="3579"/>
      <c r="QWZ54" s="3579"/>
      <c r="QXA54" s="3579"/>
      <c r="QXB54" s="3579"/>
      <c r="QXC54" s="3579"/>
      <c r="QXD54" s="3579"/>
      <c r="QXE54" s="3579"/>
      <c r="QXF54" s="3579"/>
      <c r="QXG54" s="3579"/>
      <c r="QXH54" s="3579"/>
      <c r="QXI54" s="3579"/>
      <c r="QXJ54" s="3579"/>
      <c r="QXK54" s="3579"/>
      <c r="QXL54" s="3579"/>
      <c r="QXM54" s="3579"/>
      <c r="QXN54" s="3579"/>
      <c r="QXO54" s="3579"/>
      <c r="QXP54" s="3579"/>
      <c r="QXQ54" s="3579"/>
      <c r="QXR54" s="3579"/>
      <c r="QXS54" s="3579"/>
      <c r="QXT54" s="3579"/>
      <c r="QXU54" s="3579"/>
      <c r="QXV54" s="3579"/>
      <c r="QXW54" s="3579"/>
      <c r="QXX54" s="3579"/>
      <c r="QXY54" s="3579"/>
      <c r="QXZ54" s="3579"/>
      <c r="QYA54" s="3579"/>
      <c r="QYB54" s="3579"/>
      <c r="QYC54" s="3579"/>
      <c r="QYD54" s="3579"/>
      <c r="QYE54" s="3579"/>
      <c r="QYF54" s="3579"/>
      <c r="QYG54" s="3579"/>
      <c r="QYH54" s="3579"/>
      <c r="QYI54" s="3579"/>
      <c r="QYJ54" s="3579"/>
      <c r="QYK54" s="3579"/>
      <c r="QYL54" s="3579"/>
      <c r="QYM54" s="3579"/>
      <c r="QYN54" s="3579"/>
      <c r="QYO54" s="3579"/>
      <c r="QYP54" s="3579"/>
      <c r="QYQ54" s="3579"/>
      <c r="QYR54" s="3579"/>
      <c r="QYS54" s="3579"/>
      <c r="QYT54" s="3579"/>
      <c r="QYU54" s="3579"/>
      <c r="QYV54" s="3579"/>
      <c r="QYW54" s="3579"/>
      <c r="QYX54" s="3579"/>
      <c r="QYY54" s="3579"/>
      <c r="QYZ54" s="3579"/>
      <c r="QZA54" s="3579"/>
      <c r="QZB54" s="3579"/>
      <c r="QZC54" s="3579"/>
      <c r="QZD54" s="3579"/>
      <c r="QZE54" s="3579"/>
      <c r="QZF54" s="3579"/>
      <c r="QZG54" s="3579"/>
      <c r="QZH54" s="3579"/>
      <c r="QZI54" s="3579"/>
      <c r="QZJ54" s="3579"/>
      <c r="QZK54" s="3579"/>
      <c r="QZL54" s="3579"/>
      <c r="QZM54" s="3579"/>
      <c r="QZN54" s="3579"/>
      <c r="QZO54" s="3579"/>
      <c r="QZP54" s="3579"/>
      <c r="QZQ54" s="3579"/>
      <c r="QZR54" s="3579"/>
      <c r="QZS54" s="3579"/>
      <c r="QZT54" s="3579"/>
      <c r="QZU54" s="3579"/>
      <c r="QZV54" s="3579"/>
      <c r="QZW54" s="3579"/>
      <c r="QZX54" s="3579"/>
      <c r="QZY54" s="3579"/>
      <c r="QZZ54" s="3579"/>
      <c r="RAA54" s="3579"/>
      <c r="RAB54" s="3579"/>
      <c r="RAC54" s="3579"/>
      <c r="RAD54" s="3579"/>
      <c r="RAE54" s="3579"/>
      <c r="RAF54" s="3579"/>
      <c r="RAG54" s="3579"/>
      <c r="RAH54" s="3579"/>
      <c r="RAI54" s="3579"/>
      <c r="RAJ54" s="3579"/>
      <c r="RAK54" s="3579"/>
      <c r="RAL54" s="3579"/>
      <c r="RAM54" s="3579"/>
      <c r="RAN54" s="3579"/>
      <c r="RAO54" s="3579"/>
      <c r="RAP54" s="3579"/>
      <c r="RAQ54" s="3579"/>
      <c r="RAR54" s="3579"/>
      <c r="RAS54" s="3579"/>
      <c r="RAT54" s="3579"/>
      <c r="RAU54" s="3579"/>
      <c r="RAV54" s="3579"/>
      <c r="RAW54" s="3579"/>
      <c r="RAX54" s="3579"/>
      <c r="RAY54" s="3579"/>
      <c r="RAZ54" s="3579"/>
      <c r="RBA54" s="3579"/>
      <c r="RBB54" s="3579"/>
      <c r="RBC54" s="3579"/>
      <c r="RBD54" s="3579"/>
      <c r="RBE54" s="3579"/>
      <c r="RBF54" s="3579"/>
      <c r="RBG54" s="3579"/>
      <c r="RBH54" s="3579"/>
      <c r="RBI54" s="3579"/>
      <c r="RBJ54" s="3579"/>
      <c r="RBK54" s="3579"/>
      <c r="RBL54" s="3579"/>
      <c r="RBM54" s="3579"/>
      <c r="RBN54" s="3579"/>
      <c r="RBO54" s="3579"/>
      <c r="RBP54" s="3579"/>
      <c r="RBQ54" s="3579"/>
      <c r="RBR54" s="3579"/>
      <c r="RBS54" s="3579"/>
      <c r="RBT54" s="3579"/>
      <c r="RBU54" s="3579"/>
      <c r="RBV54" s="3579"/>
      <c r="RBW54" s="3579"/>
      <c r="RBX54" s="3579"/>
      <c r="RBY54" s="3579"/>
      <c r="RBZ54" s="3579"/>
      <c r="RCA54" s="3579"/>
      <c r="RCB54" s="3579"/>
      <c r="RCC54" s="3579"/>
      <c r="RCD54" s="3579"/>
      <c r="RCE54" s="3579"/>
      <c r="RCF54" s="3579"/>
      <c r="RCG54" s="3579"/>
      <c r="RCH54" s="3579"/>
      <c r="RCI54" s="3579"/>
      <c r="RCJ54" s="3579"/>
      <c r="RCK54" s="3579"/>
      <c r="RCL54" s="3579"/>
      <c r="RCM54" s="3579"/>
      <c r="RCN54" s="3579"/>
      <c r="RCO54" s="3579"/>
      <c r="RCP54" s="3579"/>
      <c r="RCQ54" s="3579"/>
      <c r="RCR54" s="3579"/>
      <c r="RCS54" s="3579"/>
      <c r="RCT54" s="3579"/>
      <c r="RCU54" s="3579"/>
      <c r="RCV54" s="3579"/>
      <c r="RCW54" s="3579"/>
      <c r="RCX54" s="3579"/>
      <c r="RCY54" s="3579"/>
      <c r="RCZ54" s="3579"/>
      <c r="RDA54" s="3579"/>
      <c r="RDB54" s="3579"/>
      <c r="RDC54" s="3579"/>
      <c r="RDD54" s="3579"/>
      <c r="RDE54" s="3579"/>
      <c r="RDF54" s="3579"/>
      <c r="RDG54" s="3579"/>
      <c r="RDH54" s="3579"/>
      <c r="RDI54" s="3579"/>
      <c r="RDJ54" s="3579"/>
      <c r="RDK54" s="3579"/>
      <c r="RDL54" s="3579"/>
      <c r="RDM54" s="3579"/>
      <c r="RDN54" s="3579"/>
      <c r="RDO54" s="3579"/>
      <c r="RDP54" s="3579"/>
      <c r="RDQ54" s="3579"/>
      <c r="RDR54" s="3579"/>
      <c r="RDS54" s="3579"/>
      <c r="RDT54" s="3579"/>
      <c r="RDU54" s="3579"/>
      <c r="RDV54" s="3579"/>
      <c r="RDW54" s="3579"/>
      <c r="RDX54" s="3579"/>
      <c r="RDY54" s="3579"/>
      <c r="RDZ54" s="3579"/>
      <c r="REA54" s="3579"/>
      <c r="REB54" s="3579"/>
      <c r="REC54" s="3579"/>
      <c r="RED54" s="3579"/>
      <c r="REE54" s="3579"/>
      <c r="REF54" s="3579"/>
      <c r="REG54" s="3579"/>
      <c r="REH54" s="3579"/>
      <c r="REI54" s="3579"/>
      <c r="REJ54" s="3579"/>
      <c r="REK54" s="3579"/>
      <c r="REL54" s="3579"/>
      <c r="REM54" s="3579"/>
      <c r="REN54" s="3579"/>
      <c r="REO54" s="3579"/>
      <c r="REP54" s="3579"/>
      <c r="REQ54" s="3579"/>
      <c r="RER54" s="3579"/>
      <c r="RES54" s="3579"/>
      <c r="RET54" s="3579"/>
      <c r="REU54" s="3579"/>
      <c r="REV54" s="3579"/>
      <c r="REW54" s="3579"/>
      <c r="REX54" s="3579"/>
      <c r="REY54" s="3579"/>
      <c r="REZ54" s="3579"/>
      <c r="RFA54" s="3579"/>
      <c r="RFB54" s="3579"/>
      <c r="RFC54" s="3579"/>
      <c r="RFD54" s="3579"/>
      <c r="RFE54" s="3579"/>
      <c r="RFF54" s="3579"/>
      <c r="RFG54" s="3579"/>
      <c r="RFH54" s="3579"/>
      <c r="RFI54" s="3579"/>
      <c r="RFJ54" s="3579"/>
      <c r="RFK54" s="3579"/>
      <c r="RFL54" s="3579"/>
      <c r="RFM54" s="3579"/>
      <c r="RFN54" s="3579"/>
      <c r="RFO54" s="3579"/>
      <c r="RFP54" s="3579"/>
      <c r="RFQ54" s="3579"/>
      <c r="RFR54" s="3579"/>
      <c r="RFS54" s="3579"/>
      <c r="RFT54" s="3579"/>
      <c r="RFU54" s="3579"/>
      <c r="RFV54" s="3579"/>
      <c r="RFW54" s="3579"/>
      <c r="RFX54" s="3579"/>
      <c r="RFY54" s="3579"/>
      <c r="RFZ54" s="3579"/>
      <c r="RGA54" s="3579"/>
      <c r="RGB54" s="3579"/>
      <c r="RGC54" s="3579"/>
      <c r="RGD54" s="3579"/>
      <c r="RGE54" s="3579"/>
      <c r="RGF54" s="3579"/>
      <c r="RGG54" s="3579"/>
      <c r="RGH54" s="3579"/>
      <c r="RGI54" s="3579"/>
      <c r="RGJ54" s="3579"/>
      <c r="RGK54" s="3579"/>
      <c r="RGL54" s="3579"/>
      <c r="RGM54" s="3579"/>
      <c r="RGN54" s="3579"/>
      <c r="RGO54" s="3579"/>
      <c r="RGP54" s="3579"/>
      <c r="RGQ54" s="3579"/>
      <c r="RGR54" s="3579"/>
      <c r="RGS54" s="3579"/>
      <c r="RGT54" s="3579"/>
      <c r="RGU54" s="3579"/>
      <c r="RGV54" s="3579"/>
      <c r="RGW54" s="3579"/>
      <c r="RGX54" s="3579"/>
      <c r="RGY54" s="3579"/>
      <c r="RGZ54" s="3579"/>
      <c r="RHA54" s="3579"/>
      <c r="RHB54" s="3579"/>
      <c r="RHC54" s="3579"/>
      <c r="RHD54" s="3579"/>
      <c r="RHE54" s="3579"/>
      <c r="RHF54" s="3579"/>
      <c r="RHG54" s="3579"/>
      <c r="RHH54" s="3579"/>
      <c r="RHI54" s="3579"/>
      <c r="RHJ54" s="3579"/>
      <c r="RHK54" s="3579"/>
      <c r="RHL54" s="3579"/>
      <c r="RHM54" s="3579"/>
      <c r="RHN54" s="3579"/>
      <c r="RHO54" s="3579"/>
      <c r="RHP54" s="3579"/>
      <c r="RHQ54" s="3579"/>
      <c r="RHR54" s="3579"/>
      <c r="RHS54" s="3579"/>
      <c r="RHT54" s="3579"/>
      <c r="RHU54" s="3579"/>
      <c r="RHV54" s="3579"/>
      <c r="RHW54" s="3579"/>
      <c r="RHX54" s="3579"/>
      <c r="RHY54" s="3579"/>
      <c r="RHZ54" s="3579"/>
      <c r="RIA54" s="3579"/>
      <c r="RIB54" s="3579"/>
      <c r="RIC54" s="3579"/>
      <c r="RID54" s="3579"/>
      <c r="RIE54" s="3579"/>
      <c r="RIF54" s="3579"/>
      <c r="RIG54" s="3579"/>
      <c r="RIH54" s="3579"/>
      <c r="RII54" s="3579"/>
      <c r="RIJ54" s="3579"/>
      <c r="RIK54" s="3579"/>
      <c r="RIL54" s="3579"/>
      <c r="RIM54" s="3579"/>
      <c r="RIN54" s="3579"/>
      <c r="RIO54" s="3579"/>
      <c r="RIP54" s="3579"/>
      <c r="RIQ54" s="3579"/>
      <c r="RIR54" s="3579"/>
      <c r="RIS54" s="3579"/>
      <c r="RIT54" s="3579"/>
      <c r="RIU54" s="3579"/>
      <c r="RIV54" s="3579"/>
      <c r="RIW54" s="3579"/>
      <c r="RIX54" s="3579"/>
      <c r="RIY54" s="3579"/>
      <c r="RIZ54" s="3579"/>
      <c r="RJA54" s="3579"/>
      <c r="RJB54" s="3579"/>
      <c r="RJC54" s="3579"/>
      <c r="RJD54" s="3579"/>
      <c r="RJE54" s="3579"/>
      <c r="RJF54" s="3579"/>
      <c r="RJG54" s="3579"/>
      <c r="RJH54" s="3579"/>
      <c r="RJI54" s="3579"/>
      <c r="RJJ54" s="3579"/>
      <c r="RJK54" s="3579"/>
      <c r="RJL54" s="3579"/>
      <c r="RJM54" s="3579"/>
      <c r="RJN54" s="3579"/>
      <c r="RJO54" s="3579"/>
      <c r="RJP54" s="3579"/>
      <c r="RJQ54" s="3579"/>
      <c r="RJR54" s="3579"/>
      <c r="RJS54" s="3579"/>
      <c r="RJT54" s="3579"/>
      <c r="RJU54" s="3579"/>
      <c r="RJV54" s="3579"/>
      <c r="RJW54" s="3579"/>
      <c r="RJX54" s="3579"/>
      <c r="RJY54" s="3579"/>
      <c r="RJZ54" s="3579"/>
      <c r="RKA54" s="3579"/>
      <c r="RKB54" s="3579"/>
      <c r="RKC54" s="3579"/>
      <c r="RKD54" s="3579"/>
      <c r="RKE54" s="3579"/>
      <c r="RKF54" s="3579"/>
      <c r="RKG54" s="3579"/>
      <c r="RKH54" s="3579"/>
      <c r="RKI54" s="3579"/>
      <c r="RKJ54" s="3579"/>
      <c r="RKK54" s="3579"/>
      <c r="RKL54" s="3579"/>
      <c r="RKM54" s="3579"/>
      <c r="RKN54" s="3579"/>
      <c r="RKO54" s="3579"/>
      <c r="RKP54" s="3579"/>
      <c r="RKQ54" s="3579"/>
      <c r="RKR54" s="3579"/>
      <c r="RKS54" s="3579"/>
      <c r="RKT54" s="3579"/>
      <c r="RKU54" s="3579"/>
      <c r="RKV54" s="3579"/>
      <c r="RKW54" s="3579"/>
      <c r="RKX54" s="3579"/>
      <c r="RKY54" s="3579"/>
      <c r="RKZ54" s="3579"/>
      <c r="RLA54" s="3579"/>
      <c r="RLB54" s="3579"/>
      <c r="RLC54" s="3579"/>
      <c r="RLD54" s="3579"/>
      <c r="RLE54" s="3579"/>
      <c r="RLF54" s="3579"/>
      <c r="RLG54" s="3579"/>
      <c r="RLH54" s="3579"/>
      <c r="RLI54" s="3579"/>
      <c r="RLJ54" s="3579"/>
      <c r="RLK54" s="3579"/>
      <c r="RLL54" s="3579"/>
      <c r="RLM54" s="3579"/>
      <c r="RLN54" s="3579"/>
      <c r="RLO54" s="3579"/>
      <c r="RLP54" s="3579"/>
      <c r="RLQ54" s="3579"/>
      <c r="RLR54" s="3579"/>
      <c r="RLS54" s="3579"/>
      <c r="RLT54" s="3579"/>
      <c r="RLU54" s="3579"/>
      <c r="RLV54" s="3579"/>
      <c r="RLW54" s="3579"/>
      <c r="RLX54" s="3579"/>
      <c r="RLY54" s="3579"/>
      <c r="RLZ54" s="3579"/>
      <c r="RMA54" s="3579"/>
      <c r="RMB54" s="3579"/>
      <c r="RMC54" s="3579"/>
      <c r="RMD54" s="3579"/>
      <c r="RME54" s="3579"/>
      <c r="RMF54" s="3579"/>
      <c r="RMG54" s="3579"/>
      <c r="RMH54" s="3579"/>
      <c r="RMI54" s="3579"/>
      <c r="RMJ54" s="3579"/>
      <c r="RMK54" s="3579"/>
      <c r="RML54" s="3579"/>
      <c r="RMM54" s="3579"/>
      <c r="RMN54" s="3579"/>
      <c r="RMO54" s="3579"/>
      <c r="RMP54" s="3579"/>
      <c r="RMQ54" s="3579"/>
      <c r="RMR54" s="3579"/>
      <c r="RMS54" s="3579"/>
      <c r="RMT54" s="3579"/>
      <c r="RMU54" s="3579"/>
      <c r="RMV54" s="3579"/>
      <c r="RMW54" s="3579"/>
      <c r="RMX54" s="3579"/>
      <c r="RMY54" s="3579"/>
      <c r="RMZ54" s="3579"/>
      <c r="RNA54" s="3579"/>
      <c r="RNB54" s="3579"/>
      <c r="RNC54" s="3579"/>
      <c r="RND54" s="3579"/>
      <c r="RNE54" s="3579"/>
      <c r="RNF54" s="3579"/>
      <c r="RNG54" s="3579"/>
      <c r="RNH54" s="3579"/>
      <c r="RNI54" s="3579"/>
      <c r="RNJ54" s="3579"/>
      <c r="RNK54" s="3579"/>
      <c r="RNL54" s="3579"/>
      <c r="RNM54" s="3579"/>
      <c r="RNN54" s="3579"/>
      <c r="RNO54" s="3579"/>
      <c r="RNP54" s="3579"/>
      <c r="RNQ54" s="3579"/>
      <c r="RNR54" s="3579"/>
      <c r="RNS54" s="3579"/>
      <c r="RNT54" s="3579"/>
      <c r="RNU54" s="3579"/>
      <c r="RNV54" s="3579"/>
      <c r="RNW54" s="3579"/>
      <c r="RNX54" s="3579"/>
      <c r="RNY54" s="3579"/>
      <c r="RNZ54" s="3579"/>
      <c r="ROA54" s="3579"/>
      <c r="ROB54" s="3579"/>
      <c r="ROC54" s="3579"/>
      <c r="ROD54" s="3579"/>
      <c r="ROE54" s="3579"/>
      <c r="ROF54" s="3579"/>
      <c r="ROG54" s="3579"/>
      <c r="ROH54" s="3579"/>
      <c r="ROI54" s="3579"/>
      <c r="ROJ54" s="3579"/>
      <c r="ROK54" s="3579"/>
      <c r="ROL54" s="3579"/>
      <c r="ROM54" s="3579"/>
      <c r="RON54" s="3579"/>
      <c r="ROO54" s="3579"/>
      <c r="ROP54" s="3579"/>
      <c r="ROQ54" s="3579"/>
      <c r="ROR54" s="3579"/>
      <c r="ROS54" s="3579"/>
      <c r="ROT54" s="3579"/>
      <c r="ROU54" s="3579"/>
      <c r="ROV54" s="3579"/>
      <c r="ROW54" s="3579"/>
      <c r="ROX54" s="3579"/>
      <c r="ROY54" s="3579"/>
      <c r="ROZ54" s="3579"/>
      <c r="RPA54" s="3579"/>
      <c r="RPB54" s="3579"/>
      <c r="RPC54" s="3579"/>
      <c r="RPD54" s="3579"/>
      <c r="RPE54" s="3579"/>
      <c r="RPF54" s="3579"/>
      <c r="RPG54" s="3579"/>
      <c r="RPH54" s="3579"/>
      <c r="RPI54" s="3579"/>
      <c r="RPJ54" s="3579"/>
      <c r="RPK54" s="3579"/>
      <c r="RPL54" s="3579"/>
      <c r="RPM54" s="3579"/>
      <c r="RPN54" s="3579"/>
      <c r="RPO54" s="3579"/>
      <c r="RPP54" s="3579"/>
      <c r="RPQ54" s="3579"/>
      <c r="RPR54" s="3579"/>
      <c r="RPS54" s="3579"/>
      <c r="RPT54" s="3579"/>
      <c r="RPU54" s="3579"/>
      <c r="RPV54" s="3579"/>
      <c r="RPW54" s="3579"/>
      <c r="RPX54" s="3579"/>
      <c r="RPY54" s="3579"/>
      <c r="RPZ54" s="3579"/>
      <c r="RQA54" s="3579"/>
      <c r="RQB54" s="3579"/>
      <c r="RQC54" s="3579"/>
      <c r="RQD54" s="3579"/>
      <c r="RQE54" s="3579"/>
      <c r="RQF54" s="3579"/>
      <c r="RQG54" s="3579"/>
      <c r="RQH54" s="3579"/>
      <c r="RQI54" s="3579"/>
      <c r="RQJ54" s="3579"/>
      <c r="RQK54" s="3579"/>
      <c r="RQL54" s="3579"/>
      <c r="RQM54" s="3579"/>
      <c r="RQN54" s="3579"/>
      <c r="RQO54" s="3579"/>
      <c r="RQP54" s="3579"/>
      <c r="RQQ54" s="3579"/>
      <c r="RQR54" s="3579"/>
      <c r="RQS54" s="3579"/>
      <c r="RQT54" s="3579"/>
      <c r="RQU54" s="3579"/>
      <c r="RQV54" s="3579"/>
      <c r="RQW54" s="3579"/>
      <c r="RQX54" s="3579"/>
      <c r="RQY54" s="3579"/>
      <c r="RQZ54" s="3579"/>
      <c r="RRA54" s="3579"/>
      <c r="RRB54" s="3579"/>
      <c r="RRC54" s="3579"/>
      <c r="RRD54" s="3579"/>
      <c r="RRE54" s="3579"/>
      <c r="RRF54" s="3579"/>
      <c r="RRG54" s="3579"/>
      <c r="RRH54" s="3579"/>
      <c r="RRI54" s="3579"/>
      <c r="RRJ54" s="3579"/>
      <c r="RRK54" s="3579"/>
      <c r="RRL54" s="3579"/>
      <c r="RRM54" s="3579"/>
      <c r="RRN54" s="3579"/>
      <c r="RRO54" s="3579"/>
      <c r="RRP54" s="3579"/>
      <c r="RRQ54" s="3579"/>
      <c r="RRR54" s="3579"/>
      <c r="RRS54" s="3579"/>
      <c r="RRT54" s="3579"/>
      <c r="RRU54" s="3579"/>
      <c r="RRV54" s="3579"/>
      <c r="RRW54" s="3579"/>
      <c r="RRX54" s="3579"/>
      <c r="RRY54" s="3579"/>
      <c r="RRZ54" s="3579"/>
      <c r="RSA54" s="3579"/>
      <c r="RSB54" s="3579"/>
      <c r="RSC54" s="3579"/>
      <c r="RSD54" s="3579"/>
      <c r="RSE54" s="3579"/>
      <c r="RSF54" s="3579"/>
      <c r="RSG54" s="3579"/>
      <c r="RSH54" s="3579"/>
      <c r="RSI54" s="3579"/>
      <c r="RSJ54" s="3579"/>
      <c r="RSK54" s="3579"/>
      <c r="RSL54" s="3579"/>
      <c r="RSM54" s="3579"/>
      <c r="RSN54" s="3579"/>
      <c r="RSO54" s="3579"/>
      <c r="RSP54" s="3579"/>
      <c r="RSQ54" s="3579"/>
      <c r="RSR54" s="3579"/>
      <c r="RSS54" s="3579"/>
      <c r="RST54" s="3579"/>
      <c r="RSU54" s="3579"/>
      <c r="RSV54" s="3579"/>
      <c r="RSW54" s="3579"/>
      <c r="RSX54" s="3579"/>
      <c r="RSY54" s="3579"/>
      <c r="RSZ54" s="3579"/>
      <c r="RTA54" s="3579"/>
      <c r="RTB54" s="3579"/>
      <c r="RTC54" s="3579"/>
      <c r="RTD54" s="3579"/>
      <c r="RTE54" s="3579"/>
      <c r="RTF54" s="3579"/>
      <c r="RTG54" s="3579"/>
      <c r="RTH54" s="3579"/>
      <c r="RTI54" s="3579"/>
      <c r="RTJ54" s="3579"/>
      <c r="RTK54" s="3579"/>
      <c r="RTL54" s="3579"/>
      <c r="RTM54" s="3579"/>
      <c r="RTN54" s="3579"/>
      <c r="RTO54" s="3579"/>
      <c r="RTP54" s="3579"/>
      <c r="RTQ54" s="3579"/>
      <c r="RTR54" s="3579"/>
      <c r="RTS54" s="3579"/>
      <c r="RTT54" s="3579"/>
      <c r="RTU54" s="3579"/>
      <c r="RTV54" s="3579"/>
      <c r="RTW54" s="3579"/>
      <c r="RTX54" s="3579"/>
      <c r="RTY54" s="3579"/>
      <c r="RTZ54" s="3579"/>
      <c r="RUA54" s="3579"/>
      <c r="RUB54" s="3579"/>
      <c r="RUC54" s="3579"/>
      <c r="RUD54" s="3579"/>
      <c r="RUE54" s="3579"/>
      <c r="RUF54" s="3579"/>
      <c r="RUG54" s="3579"/>
      <c r="RUH54" s="3579"/>
      <c r="RUI54" s="3579"/>
      <c r="RUJ54" s="3579"/>
      <c r="RUK54" s="3579"/>
      <c r="RUL54" s="3579"/>
      <c r="RUM54" s="3579"/>
      <c r="RUN54" s="3579"/>
      <c r="RUO54" s="3579"/>
      <c r="RUP54" s="3579"/>
      <c r="RUQ54" s="3579"/>
      <c r="RUR54" s="3579"/>
      <c r="RUS54" s="3579"/>
      <c r="RUT54" s="3579"/>
      <c r="RUU54" s="3579"/>
      <c r="RUV54" s="3579"/>
      <c r="RUW54" s="3579"/>
      <c r="RUX54" s="3579"/>
      <c r="RUY54" s="3579"/>
      <c r="RUZ54" s="3579"/>
      <c r="RVA54" s="3579"/>
      <c r="RVB54" s="3579"/>
      <c r="RVC54" s="3579"/>
      <c r="RVD54" s="3579"/>
      <c r="RVE54" s="3579"/>
      <c r="RVF54" s="3579"/>
      <c r="RVG54" s="3579"/>
      <c r="RVH54" s="3579"/>
      <c r="RVI54" s="3579"/>
      <c r="RVJ54" s="3579"/>
      <c r="RVK54" s="3579"/>
      <c r="RVL54" s="3579"/>
      <c r="RVM54" s="3579"/>
      <c r="RVN54" s="3579"/>
      <c r="RVO54" s="3579"/>
      <c r="RVP54" s="3579"/>
      <c r="RVQ54" s="3579"/>
      <c r="RVR54" s="3579"/>
      <c r="RVS54" s="3579"/>
      <c r="RVT54" s="3579"/>
      <c r="RVU54" s="3579"/>
      <c r="RVV54" s="3579"/>
      <c r="RVW54" s="3579"/>
      <c r="RVX54" s="3579"/>
      <c r="RVY54" s="3579"/>
      <c r="RVZ54" s="3579"/>
      <c r="RWA54" s="3579"/>
      <c r="RWB54" s="3579"/>
      <c r="RWC54" s="3579"/>
      <c r="RWD54" s="3579"/>
      <c r="RWE54" s="3579"/>
      <c r="RWF54" s="3579"/>
      <c r="RWG54" s="3579"/>
      <c r="RWH54" s="3579"/>
      <c r="RWI54" s="3579"/>
      <c r="RWJ54" s="3579"/>
      <c r="RWK54" s="3579"/>
      <c r="RWL54" s="3579"/>
      <c r="RWM54" s="3579"/>
      <c r="RWN54" s="3579"/>
      <c r="RWO54" s="3579"/>
      <c r="RWP54" s="3579"/>
      <c r="RWQ54" s="3579"/>
      <c r="RWR54" s="3579"/>
      <c r="RWS54" s="3579"/>
      <c r="RWT54" s="3579"/>
      <c r="RWU54" s="3579"/>
      <c r="RWV54" s="3579"/>
      <c r="RWW54" s="3579"/>
      <c r="RWX54" s="3579"/>
      <c r="RWY54" s="3579"/>
      <c r="RWZ54" s="3579"/>
      <c r="RXA54" s="3579"/>
      <c r="RXB54" s="3579"/>
      <c r="RXC54" s="3579"/>
      <c r="RXD54" s="3579"/>
      <c r="RXE54" s="3579"/>
      <c r="RXF54" s="3579"/>
      <c r="RXG54" s="3579"/>
      <c r="RXH54" s="3579"/>
      <c r="RXI54" s="3579"/>
      <c r="RXJ54" s="3579"/>
      <c r="RXK54" s="3579"/>
      <c r="RXL54" s="3579"/>
      <c r="RXM54" s="3579"/>
      <c r="RXN54" s="3579"/>
      <c r="RXO54" s="3579"/>
      <c r="RXP54" s="3579"/>
      <c r="RXQ54" s="3579"/>
      <c r="RXR54" s="3579"/>
      <c r="RXS54" s="3579"/>
      <c r="RXT54" s="3579"/>
      <c r="RXU54" s="3579"/>
      <c r="RXV54" s="3579"/>
      <c r="RXW54" s="3579"/>
      <c r="RXX54" s="3579"/>
      <c r="RXY54" s="3579"/>
      <c r="RXZ54" s="3579"/>
      <c r="RYA54" s="3579"/>
      <c r="RYB54" s="3579"/>
      <c r="RYC54" s="3579"/>
      <c r="RYD54" s="3579"/>
      <c r="RYE54" s="3579"/>
      <c r="RYF54" s="3579"/>
      <c r="RYG54" s="3579"/>
      <c r="RYH54" s="3579"/>
      <c r="RYI54" s="3579"/>
      <c r="RYJ54" s="3579"/>
      <c r="RYK54" s="3579"/>
      <c r="RYL54" s="3579"/>
      <c r="RYM54" s="3579"/>
      <c r="RYN54" s="3579"/>
      <c r="RYO54" s="3579"/>
      <c r="RYP54" s="3579"/>
      <c r="RYQ54" s="3579"/>
      <c r="RYR54" s="3579"/>
      <c r="RYS54" s="3579"/>
      <c r="RYT54" s="3579"/>
      <c r="RYU54" s="3579"/>
      <c r="RYV54" s="3579"/>
      <c r="RYW54" s="3579"/>
      <c r="RYX54" s="3579"/>
      <c r="RYY54" s="3579"/>
      <c r="RYZ54" s="3579"/>
      <c r="RZA54" s="3579"/>
      <c r="RZB54" s="3579"/>
      <c r="RZC54" s="3579"/>
      <c r="RZD54" s="3579"/>
      <c r="RZE54" s="3579"/>
      <c r="RZF54" s="3579"/>
      <c r="RZG54" s="3579"/>
      <c r="RZH54" s="3579"/>
      <c r="RZI54" s="3579"/>
      <c r="RZJ54" s="3579"/>
      <c r="RZK54" s="3579"/>
      <c r="RZL54" s="3579"/>
      <c r="RZM54" s="3579"/>
      <c r="RZN54" s="3579"/>
      <c r="RZO54" s="3579"/>
      <c r="RZP54" s="3579"/>
      <c r="RZQ54" s="3579"/>
      <c r="RZR54" s="3579"/>
      <c r="RZS54" s="3579"/>
      <c r="RZT54" s="3579"/>
      <c r="RZU54" s="3579"/>
      <c r="RZV54" s="3579"/>
      <c r="RZW54" s="3579"/>
      <c r="RZX54" s="3579"/>
      <c r="RZY54" s="3579"/>
      <c r="RZZ54" s="3579"/>
      <c r="SAA54" s="3579"/>
      <c r="SAB54" s="3579"/>
      <c r="SAC54" s="3579"/>
      <c r="SAD54" s="3579"/>
      <c r="SAE54" s="3579"/>
      <c r="SAF54" s="3579"/>
      <c r="SAG54" s="3579"/>
      <c r="SAH54" s="3579"/>
      <c r="SAI54" s="3579"/>
      <c r="SAJ54" s="3579"/>
      <c r="SAK54" s="3579"/>
      <c r="SAL54" s="3579"/>
      <c r="SAM54" s="3579"/>
      <c r="SAN54" s="3579"/>
      <c r="SAO54" s="3579"/>
      <c r="SAP54" s="3579"/>
      <c r="SAQ54" s="3579"/>
      <c r="SAR54" s="3579"/>
      <c r="SAS54" s="3579"/>
      <c r="SAT54" s="3579"/>
      <c r="SAU54" s="3579"/>
      <c r="SAV54" s="3579"/>
      <c r="SAW54" s="3579"/>
      <c r="SAX54" s="3579"/>
      <c r="SAY54" s="3579"/>
      <c r="SAZ54" s="3579"/>
      <c r="SBA54" s="3579"/>
      <c r="SBB54" s="3579"/>
      <c r="SBC54" s="3579"/>
      <c r="SBD54" s="3579"/>
      <c r="SBE54" s="3579"/>
      <c r="SBF54" s="3579"/>
      <c r="SBG54" s="3579"/>
      <c r="SBH54" s="3579"/>
      <c r="SBI54" s="3579"/>
      <c r="SBJ54" s="3579"/>
      <c r="SBK54" s="3579"/>
      <c r="SBL54" s="3579"/>
      <c r="SBM54" s="3579"/>
      <c r="SBN54" s="3579"/>
      <c r="SBO54" s="3579"/>
      <c r="SBP54" s="3579"/>
      <c r="SBQ54" s="3579"/>
      <c r="SBR54" s="3579"/>
      <c r="SBS54" s="3579"/>
      <c r="SBT54" s="3579"/>
      <c r="SBU54" s="3579"/>
      <c r="SBV54" s="3579"/>
      <c r="SBW54" s="3579"/>
      <c r="SBX54" s="3579"/>
      <c r="SBY54" s="3579"/>
      <c r="SBZ54" s="3579"/>
      <c r="SCA54" s="3579"/>
      <c r="SCB54" s="3579"/>
      <c r="SCC54" s="3579"/>
      <c r="SCD54" s="3579"/>
      <c r="SCE54" s="3579"/>
      <c r="SCF54" s="3579"/>
      <c r="SCG54" s="3579"/>
      <c r="SCH54" s="3579"/>
      <c r="SCI54" s="3579"/>
      <c r="SCJ54" s="3579"/>
      <c r="SCK54" s="3579"/>
      <c r="SCL54" s="3579"/>
      <c r="SCM54" s="3579"/>
      <c r="SCN54" s="3579"/>
      <c r="SCO54" s="3579"/>
      <c r="SCP54" s="3579"/>
      <c r="SCQ54" s="3579"/>
      <c r="SCR54" s="3579"/>
      <c r="SCS54" s="3579"/>
      <c r="SCT54" s="3579"/>
      <c r="SCU54" s="3579"/>
      <c r="SCV54" s="3579"/>
      <c r="SCW54" s="3579"/>
      <c r="SCX54" s="3579"/>
      <c r="SCY54" s="3579"/>
      <c r="SCZ54" s="3579"/>
      <c r="SDA54" s="3579"/>
      <c r="SDB54" s="3579"/>
      <c r="SDC54" s="3579"/>
      <c r="SDD54" s="3579"/>
      <c r="SDE54" s="3579"/>
      <c r="SDF54" s="3579"/>
      <c r="SDG54" s="3579"/>
      <c r="SDH54" s="3579"/>
      <c r="SDI54" s="3579"/>
      <c r="SDJ54" s="3579"/>
      <c r="SDK54" s="3579"/>
      <c r="SDL54" s="3579"/>
      <c r="SDM54" s="3579"/>
      <c r="SDN54" s="3579"/>
      <c r="SDO54" s="3579"/>
      <c r="SDP54" s="3579"/>
      <c r="SDQ54" s="3579"/>
      <c r="SDR54" s="3579"/>
      <c r="SDS54" s="3579"/>
      <c r="SDT54" s="3579"/>
      <c r="SDU54" s="3579"/>
      <c r="SDV54" s="3579"/>
      <c r="SDW54" s="3579"/>
      <c r="SDX54" s="3579"/>
      <c r="SDY54" s="3579"/>
      <c r="SDZ54" s="3579"/>
      <c r="SEA54" s="3579"/>
      <c r="SEB54" s="3579"/>
      <c r="SEC54" s="3579"/>
      <c r="SED54" s="3579"/>
      <c r="SEE54" s="3579"/>
      <c r="SEF54" s="3579"/>
      <c r="SEG54" s="3579"/>
      <c r="SEH54" s="3579"/>
      <c r="SEI54" s="3579"/>
      <c r="SEJ54" s="3579"/>
      <c r="SEK54" s="3579"/>
      <c r="SEL54" s="3579"/>
      <c r="SEM54" s="3579"/>
      <c r="SEN54" s="3579"/>
      <c r="SEO54" s="3579"/>
      <c r="SEP54" s="3579"/>
      <c r="SEQ54" s="3579"/>
      <c r="SER54" s="3579"/>
      <c r="SES54" s="3579"/>
      <c r="SET54" s="3579"/>
      <c r="SEU54" s="3579"/>
      <c r="SEV54" s="3579"/>
      <c r="SEW54" s="3579"/>
      <c r="SEX54" s="3579"/>
      <c r="SEY54" s="3579"/>
      <c r="SEZ54" s="3579"/>
      <c r="SFA54" s="3579"/>
      <c r="SFB54" s="3579"/>
      <c r="SFC54" s="3579"/>
      <c r="SFD54" s="3579"/>
      <c r="SFE54" s="3579"/>
      <c r="SFF54" s="3579"/>
      <c r="SFG54" s="3579"/>
      <c r="SFH54" s="3579"/>
      <c r="SFI54" s="3579"/>
      <c r="SFJ54" s="3579"/>
      <c r="SFK54" s="3579"/>
      <c r="SFL54" s="3579"/>
      <c r="SFM54" s="3579"/>
      <c r="SFN54" s="3579"/>
      <c r="SFO54" s="3579"/>
      <c r="SFP54" s="3579"/>
      <c r="SFQ54" s="3579"/>
      <c r="SFR54" s="3579"/>
      <c r="SFS54" s="3579"/>
      <c r="SFT54" s="3579"/>
      <c r="SFU54" s="3579"/>
      <c r="SFV54" s="3579"/>
      <c r="SFW54" s="3579"/>
      <c r="SFX54" s="3579"/>
      <c r="SFY54" s="3579"/>
      <c r="SFZ54" s="3579"/>
      <c r="SGA54" s="3579"/>
      <c r="SGB54" s="3579"/>
      <c r="SGC54" s="3579"/>
      <c r="SGD54" s="3579"/>
      <c r="SGE54" s="3579"/>
      <c r="SGF54" s="3579"/>
      <c r="SGG54" s="3579"/>
      <c r="SGH54" s="3579"/>
      <c r="SGI54" s="3579"/>
      <c r="SGJ54" s="3579"/>
      <c r="SGK54" s="3579"/>
      <c r="SGL54" s="3579"/>
      <c r="SGM54" s="3579"/>
      <c r="SGN54" s="3579"/>
      <c r="SGO54" s="3579"/>
      <c r="SGP54" s="3579"/>
      <c r="SGQ54" s="3579"/>
      <c r="SGR54" s="3579"/>
      <c r="SGS54" s="3579"/>
      <c r="SGT54" s="3579"/>
      <c r="SGU54" s="3579"/>
      <c r="SGV54" s="3579"/>
      <c r="SGW54" s="3579"/>
      <c r="SGX54" s="3579"/>
      <c r="SGY54" s="3579"/>
      <c r="SGZ54" s="3579"/>
      <c r="SHA54" s="3579"/>
      <c r="SHB54" s="3579"/>
      <c r="SHC54" s="3579"/>
      <c r="SHD54" s="3579"/>
      <c r="SHE54" s="3579"/>
      <c r="SHF54" s="3579"/>
      <c r="SHG54" s="3579"/>
      <c r="SHH54" s="3579"/>
      <c r="SHI54" s="3579"/>
      <c r="SHJ54" s="3579"/>
      <c r="SHK54" s="3579"/>
      <c r="SHL54" s="3579"/>
      <c r="SHM54" s="3579"/>
      <c r="SHN54" s="3579"/>
      <c r="SHO54" s="3579"/>
      <c r="SHP54" s="3579"/>
      <c r="SHQ54" s="3579"/>
      <c r="SHR54" s="3579"/>
      <c r="SHS54" s="3579"/>
      <c r="SHT54" s="3579"/>
      <c r="SHU54" s="3579"/>
      <c r="SHV54" s="3579"/>
      <c r="SHW54" s="3579"/>
      <c r="SHX54" s="3579"/>
      <c r="SHY54" s="3579"/>
      <c r="SHZ54" s="3579"/>
      <c r="SIA54" s="3579"/>
      <c r="SIB54" s="3579"/>
      <c r="SIC54" s="3579"/>
      <c r="SID54" s="3579"/>
      <c r="SIE54" s="3579"/>
      <c r="SIF54" s="3579"/>
      <c r="SIG54" s="3579"/>
      <c r="SIH54" s="3579"/>
      <c r="SII54" s="3579"/>
      <c r="SIJ54" s="3579"/>
      <c r="SIK54" s="3579"/>
      <c r="SIL54" s="3579"/>
      <c r="SIM54" s="3579"/>
      <c r="SIN54" s="3579"/>
      <c r="SIO54" s="3579"/>
      <c r="SIP54" s="3579"/>
      <c r="SIQ54" s="3579"/>
      <c r="SIR54" s="3579"/>
      <c r="SIS54" s="3579"/>
      <c r="SIT54" s="3579"/>
      <c r="SIU54" s="3579"/>
      <c r="SIV54" s="3579"/>
      <c r="SIW54" s="3579"/>
      <c r="SIX54" s="3579"/>
      <c r="SIY54" s="3579"/>
      <c r="SIZ54" s="3579"/>
      <c r="SJA54" s="3579"/>
      <c r="SJB54" s="3579"/>
      <c r="SJC54" s="3579"/>
      <c r="SJD54" s="3579"/>
      <c r="SJE54" s="3579"/>
      <c r="SJF54" s="3579"/>
      <c r="SJG54" s="3579"/>
      <c r="SJH54" s="3579"/>
      <c r="SJI54" s="3579"/>
      <c r="SJJ54" s="3579"/>
      <c r="SJK54" s="3579"/>
      <c r="SJL54" s="3579"/>
      <c r="SJM54" s="3579"/>
      <c r="SJN54" s="3579"/>
      <c r="SJO54" s="3579"/>
      <c r="SJP54" s="3579"/>
      <c r="SJQ54" s="3579"/>
      <c r="SJR54" s="3579"/>
      <c r="SJS54" s="3579"/>
      <c r="SJT54" s="3579"/>
      <c r="SJU54" s="3579"/>
      <c r="SJV54" s="3579"/>
      <c r="SJW54" s="3579"/>
      <c r="SJX54" s="3579"/>
      <c r="SJY54" s="3579"/>
      <c r="SJZ54" s="3579"/>
      <c r="SKA54" s="3579"/>
      <c r="SKB54" s="3579"/>
      <c r="SKC54" s="3579"/>
      <c r="SKD54" s="3579"/>
      <c r="SKE54" s="3579"/>
      <c r="SKF54" s="3579"/>
      <c r="SKG54" s="3579"/>
      <c r="SKH54" s="3579"/>
      <c r="SKI54" s="3579"/>
      <c r="SKJ54" s="3579"/>
      <c r="SKK54" s="3579"/>
      <c r="SKL54" s="3579"/>
      <c r="SKM54" s="3579"/>
      <c r="SKN54" s="3579"/>
      <c r="SKO54" s="3579"/>
      <c r="SKP54" s="3579"/>
      <c r="SKQ54" s="3579"/>
      <c r="SKR54" s="3579"/>
      <c r="SKS54" s="3579"/>
      <c r="SKT54" s="3579"/>
      <c r="SKU54" s="3579"/>
      <c r="SKV54" s="3579"/>
      <c r="SKW54" s="3579"/>
      <c r="SKX54" s="3579"/>
      <c r="SKY54" s="3579"/>
      <c r="SKZ54" s="3579"/>
      <c r="SLA54" s="3579"/>
      <c r="SLB54" s="3579"/>
      <c r="SLC54" s="3579"/>
      <c r="SLD54" s="3579"/>
      <c r="SLE54" s="3579"/>
      <c r="SLF54" s="3579"/>
      <c r="SLG54" s="3579"/>
      <c r="SLH54" s="3579"/>
      <c r="SLI54" s="3579"/>
      <c r="SLJ54" s="3579"/>
      <c r="SLK54" s="3579"/>
      <c r="SLL54" s="3579"/>
      <c r="SLM54" s="3579"/>
      <c r="SLN54" s="3579"/>
      <c r="SLO54" s="3579"/>
      <c r="SLP54" s="3579"/>
      <c r="SLQ54" s="3579"/>
      <c r="SLR54" s="3579"/>
      <c r="SLS54" s="3579"/>
      <c r="SLT54" s="3579"/>
      <c r="SLU54" s="3579"/>
      <c r="SLV54" s="3579"/>
      <c r="SLW54" s="3579"/>
      <c r="SLX54" s="3579"/>
      <c r="SLY54" s="3579"/>
      <c r="SLZ54" s="3579"/>
      <c r="SMA54" s="3579"/>
      <c r="SMB54" s="3579"/>
      <c r="SMC54" s="3579"/>
      <c r="SMD54" s="3579"/>
      <c r="SME54" s="3579"/>
      <c r="SMF54" s="3579"/>
      <c r="SMG54" s="3579"/>
      <c r="SMH54" s="3579"/>
      <c r="SMI54" s="3579"/>
      <c r="SMJ54" s="3579"/>
      <c r="SMK54" s="3579"/>
      <c r="SML54" s="3579"/>
      <c r="SMM54" s="3579"/>
      <c r="SMN54" s="3579"/>
      <c r="SMO54" s="3579"/>
      <c r="SMP54" s="3579"/>
      <c r="SMQ54" s="3579"/>
      <c r="SMR54" s="3579"/>
      <c r="SMS54" s="3579"/>
      <c r="SMT54" s="3579"/>
      <c r="SMU54" s="3579"/>
      <c r="SMV54" s="3579"/>
      <c r="SMW54" s="3579"/>
      <c r="SMX54" s="3579"/>
      <c r="SMY54" s="3579"/>
      <c r="SMZ54" s="3579"/>
      <c r="SNA54" s="3579"/>
      <c r="SNB54" s="3579"/>
      <c r="SNC54" s="3579"/>
      <c r="SND54" s="3579"/>
      <c r="SNE54" s="3579"/>
      <c r="SNF54" s="3579"/>
      <c r="SNG54" s="3579"/>
      <c r="SNH54" s="3579"/>
      <c r="SNI54" s="3579"/>
      <c r="SNJ54" s="3579"/>
      <c r="SNK54" s="3579"/>
      <c r="SNL54" s="3579"/>
      <c r="SNM54" s="3579"/>
      <c r="SNN54" s="3579"/>
      <c r="SNO54" s="3579"/>
      <c r="SNP54" s="3579"/>
      <c r="SNQ54" s="3579"/>
      <c r="SNR54" s="3579"/>
      <c r="SNS54" s="3579"/>
      <c r="SNT54" s="3579"/>
      <c r="SNU54" s="3579"/>
      <c r="SNV54" s="3579"/>
      <c r="SNW54" s="3579"/>
      <c r="SNX54" s="3579"/>
      <c r="SNY54" s="3579"/>
      <c r="SNZ54" s="3579"/>
      <c r="SOA54" s="3579"/>
      <c r="SOB54" s="3579"/>
      <c r="SOC54" s="3579"/>
      <c r="SOD54" s="3579"/>
      <c r="SOE54" s="3579"/>
      <c r="SOF54" s="3579"/>
      <c r="SOG54" s="3579"/>
      <c r="SOH54" s="3579"/>
      <c r="SOI54" s="3579"/>
      <c r="SOJ54" s="3579"/>
      <c r="SOK54" s="3579"/>
      <c r="SOL54" s="3579"/>
      <c r="SOM54" s="3579"/>
      <c r="SON54" s="3579"/>
      <c r="SOO54" s="3579"/>
      <c r="SOP54" s="3579"/>
      <c r="SOQ54" s="3579"/>
      <c r="SOR54" s="3579"/>
      <c r="SOS54" s="3579"/>
      <c r="SOT54" s="3579"/>
      <c r="SOU54" s="3579"/>
      <c r="SOV54" s="3579"/>
      <c r="SOW54" s="3579"/>
      <c r="SOX54" s="3579"/>
      <c r="SOY54" s="3579"/>
      <c r="SOZ54" s="3579"/>
      <c r="SPA54" s="3579"/>
      <c r="SPB54" s="3579"/>
      <c r="SPC54" s="3579"/>
      <c r="SPD54" s="3579"/>
      <c r="SPE54" s="3579"/>
      <c r="SPF54" s="3579"/>
      <c r="SPG54" s="3579"/>
      <c r="SPH54" s="3579"/>
      <c r="SPI54" s="3579"/>
      <c r="SPJ54" s="3579"/>
      <c r="SPK54" s="3579"/>
      <c r="SPL54" s="3579"/>
      <c r="SPM54" s="3579"/>
      <c r="SPN54" s="3579"/>
      <c r="SPO54" s="3579"/>
      <c r="SPP54" s="3579"/>
      <c r="SPQ54" s="3579"/>
      <c r="SPR54" s="3579"/>
      <c r="SPS54" s="3579"/>
      <c r="SPT54" s="3579"/>
      <c r="SPU54" s="3579"/>
      <c r="SPV54" s="3579"/>
      <c r="SPW54" s="3579"/>
      <c r="SPX54" s="3579"/>
      <c r="SPY54" s="3579"/>
      <c r="SPZ54" s="3579"/>
      <c r="SQA54" s="3579"/>
      <c r="SQB54" s="3579"/>
      <c r="SQC54" s="3579"/>
      <c r="SQD54" s="3579"/>
      <c r="SQE54" s="3579"/>
      <c r="SQF54" s="3579"/>
      <c r="SQG54" s="3579"/>
      <c r="SQH54" s="3579"/>
      <c r="SQI54" s="3579"/>
      <c r="SQJ54" s="3579"/>
      <c r="SQK54" s="3579"/>
      <c r="SQL54" s="3579"/>
      <c r="SQM54" s="3579"/>
      <c r="SQN54" s="3579"/>
      <c r="SQO54" s="3579"/>
      <c r="SQP54" s="3579"/>
      <c r="SQQ54" s="3579"/>
      <c r="SQR54" s="3579"/>
      <c r="SQS54" s="3579"/>
      <c r="SQT54" s="3579"/>
      <c r="SQU54" s="3579"/>
      <c r="SQV54" s="3579"/>
      <c r="SQW54" s="3579"/>
      <c r="SQX54" s="3579"/>
      <c r="SQY54" s="3579"/>
      <c r="SQZ54" s="3579"/>
      <c r="SRA54" s="3579"/>
      <c r="SRB54" s="3579"/>
      <c r="SRC54" s="3579"/>
      <c r="SRD54" s="3579"/>
      <c r="SRE54" s="3579"/>
      <c r="SRF54" s="3579"/>
      <c r="SRG54" s="3579"/>
      <c r="SRH54" s="3579"/>
      <c r="SRI54" s="3579"/>
      <c r="SRJ54" s="3579"/>
      <c r="SRK54" s="3579"/>
      <c r="SRL54" s="3579"/>
      <c r="SRM54" s="3579"/>
      <c r="SRN54" s="3579"/>
      <c r="SRO54" s="3579"/>
      <c r="SRP54" s="3579"/>
      <c r="SRQ54" s="3579"/>
      <c r="SRR54" s="3579"/>
      <c r="SRS54" s="3579"/>
      <c r="SRT54" s="3579"/>
      <c r="SRU54" s="3579"/>
      <c r="SRV54" s="3579"/>
      <c r="SRW54" s="3579"/>
      <c r="SRX54" s="3579"/>
      <c r="SRY54" s="3579"/>
      <c r="SRZ54" s="3579"/>
      <c r="SSA54" s="3579"/>
      <c r="SSB54" s="3579"/>
      <c r="SSC54" s="3579"/>
      <c r="SSD54" s="3579"/>
      <c r="SSE54" s="3579"/>
      <c r="SSF54" s="3579"/>
      <c r="SSG54" s="3579"/>
      <c r="SSH54" s="3579"/>
      <c r="SSI54" s="3579"/>
      <c r="SSJ54" s="3579"/>
      <c r="SSK54" s="3579"/>
      <c r="SSL54" s="3579"/>
      <c r="SSM54" s="3579"/>
      <c r="SSN54" s="3579"/>
      <c r="SSO54" s="3579"/>
      <c r="SSP54" s="3579"/>
      <c r="SSQ54" s="3579"/>
      <c r="SSR54" s="3579"/>
      <c r="SSS54" s="3579"/>
      <c r="SST54" s="3579"/>
      <c r="SSU54" s="3579"/>
      <c r="SSV54" s="3579"/>
      <c r="SSW54" s="3579"/>
      <c r="SSX54" s="3579"/>
      <c r="SSY54" s="3579"/>
      <c r="SSZ54" s="3579"/>
      <c r="STA54" s="3579"/>
      <c r="STB54" s="3579"/>
      <c r="STC54" s="3579"/>
      <c r="STD54" s="3579"/>
      <c r="STE54" s="3579"/>
      <c r="STF54" s="3579"/>
      <c r="STG54" s="3579"/>
      <c r="STH54" s="3579"/>
      <c r="STI54" s="3579"/>
      <c r="STJ54" s="3579"/>
      <c r="STK54" s="3579"/>
      <c r="STL54" s="3579"/>
      <c r="STM54" s="3579"/>
      <c r="STN54" s="3579"/>
      <c r="STO54" s="3579"/>
      <c r="STP54" s="3579"/>
      <c r="STQ54" s="3579"/>
      <c r="STR54" s="3579"/>
      <c r="STS54" s="3579"/>
      <c r="STT54" s="3579"/>
      <c r="STU54" s="3579"/>
      <c r="STV54" s="3579"/>
      <c r="STW54" s="3579"/>
      <c r="STX54" s="3579"/>
      <c r="STY54" s="3579"/>
      <c r="STZ54" s="3579"/>
      <c r="SUA54" s="3579"/>
      <c r="SUB54" s="3579"/>
      <c r="SUC54" s="3579"/>
      <c r="SUD54" s="3579"/>
      <c r="SUE54" s="3579"/>
      <c r="SUF54" s="3579"/>
      <c r="SUG54" s="3579"/>
      <c r="SUH54" s="3579"/>
      <c r="SUI54" s="3579"/>
      <c r="SUJ54" s="3579"/>
      <c r="SUK54" s="3579"/>
      <c r="SUL54" s="3579"/>
      <c r="SUM54" s="3579"/>
      <c r="SUN54" s="3579"/>
      <c r="SUO54" s="3579"/>
      <c r="SUP54" s="3579"/>
      <c r="SUQ54" s="3579"/>
      <c r="SUR54" s="3579"/>
      <c r="SUS54" s="3579"/>
      <c r="SUT54" s="3579"/>
      <c r="SUU54" s="3579"/>
      <c r="SUV54" s="3579"/>
      <c r="SUW54" s="3579"/>
      <c r="SUX54" s="3579"/>
      <c r="SUY54" s="3579"/>
      <c r="SUZ54" s="3579"/>
      <c r="SVA54" s="3579"/>
      <c r="SVB54" s="3579"/>
      <c r="SVC54" s="3579"/>
      <c r="SVD54" s="3579"/>
      <c r="SVE54" s="3579"/>
      <c r="SVF54" s="3579"/>
      <c r="SVG54" s="3579"/>
      <c r="SVH54" s="3579"/>
      <c r="SVI54" s="3579"/>
      <c r="SVJ54" s="3579"/>
      <c r="SVK54" s="3579"/>
      <c r="SVL54" s="3579"/>
      <c r="SVM54" s="3579"/>
      <c r="SVN54" s="3579"/>
      <c r="SVO54" s="3579"/>
      <c r="SVP54" s="3579"/>
      <c r="SVQ54" s="3579"/>
      <c r="SVR54" s="3579"/>
      <c r="SVS54" s="3579"/>
      <c r="SVT54" s="3579"/>
      <c r="SVU54" s="3579"/>
      <c r="SVV54" s="3579"/>
      <c r="SVW54" s="3579"/>
      <c r="SVX54" s="3579"/>
      <c r="SVY54" s="3579"/>
      <c r="SVZ54" s="3579"/>
      <c r="SWA54" s="3579"/>
      <c r="SWB54" s="3579"/>
      <c r="SWC54" s="3579"/>
      <c r="SWD54" s="3579"/>
      <c r="SWE54" s="3579"/>
      <c r="SWF54" s="3579"/>
      <c r="SWG54" s="3579"/>
      <c r="SWH54" s="3579"/>
      <c r="SWI54" s="3579"/>
      <c r="SWJ54" s="3579"/>
      <c r="SWK54" s="3579"/>
      <c r="SWL54" s="3579"/>
      <c r="SWM54" s="3579"/>
      <c r="SWN54" s="3579"/>
      <c r="SWO54" s="3579"/>
      <c r="SWP54" s="3579"/>
      <c r="SWQ54" s="3579"/>
      <c r="SWR54" s="3579"/>
      <c r="SWS54" s="3579"/>
      <c r="SWT54" s="3579"/>
      <c r="SWU54" s="3579"/>
      <c r="SWV54" s="3579"/>
      <c r="SWW54" s="3579"/>
      <c r="SWX54" s="3579"/>
      <c r="SWY54" s="3579"/>
      <c r="SWZ54" s="3579"/>
      <c r="SXA54" s="3579"/>
      <c r="SXB54" s="3579"/>
      <c r="SXC54" s="3579"/>
      <c r="SXD54" s="3579"/>
      <c r="SXE54" s="3579"/>
      <c r="SXF54" s="3579"/>
      <c r="SXG54" s="3579"/>
      <c r="SXH54" s="3579"/>
      <c r="SXI54" s="3579"/>
      <c r="SXJ54" s="3579"/>
      <c r="SXK54" s="3579"/>
      <c r="SXL54" s="3579"/>
      <c r="SXM54" s="3579"/>
      <c r="SXN54" s="3579"/>
      <c r="SXO54" s="3579"/>
      <c r="SXP54" s="3579"/>
      <c r="SXQ54" s="3579"/>
      <c r="SXR54" s="3579"/>
      <c r="SXS54" s="3579"/>
      <c r="SXT54" s="3579"/>
      <c r="SXU54" s="3579"/>
      <c r="SXV54" s="3579"/>
      <c r="SXW54" s="3579"/>
      <c r="SXX54" s="3579"/>
      <c r="SXY54" s="3579"/>
      <c r="SXZ54" s="3579"/>
      <c r="SYA54" s="3579"/>
      <c r="SYB54" s="3579"/>
      <c r="SYC54" s="3579"/>
      <c r="SYD54" s="3579"/>
      <c r="SYE54" s="3579"/>
      <c r="SYF54" s="3579"/>
      <c r="SYG54" s="3579"/>
      <c r="SYH54" s="3579"/>
      <c r="SYI54" s="3579"/>
      <c r="SYJ54" s="3579"/>
      <c r="SYK54" s="3579"/>
      <c r="SYL54" s="3579"/>
      <c r="SYM54" s="3579"/>
      <c r="SYN54" s="3579"/>
      <c r="SYO54" s="3579"/>
      <c r="SYP54" s="3579"/>
      <c r="SYQ54" s="3579"/>
      <c r="SYR54" s="3579"/>
      <c r="SYS54" s="3579"/>
      <c r="SYT54" s="3579"/>
      <c r="SYU54" s="3579"/>
      <c r="SYV54" s="3579"/>
      <c r="SYW54" s="3579"/>
      <c r="SYX54" s="3579"/>
      <c r="SYY54" s="3579"/>
      <c r="SYZ54" s="3579"/>
      <c r="SZA54" s="3579"/>
      <c r="SZB54" s="3579"/>
      <c r="SZC54" s="3579"/>
      <c r="SZD54" s="3579"/>
      <c r="SZE54" s="3579"/>
      <c r="SZF54" s="3579"/>
      <c r="SZG54" s="3579"/>
      <c r="SZH54" s="3579"/>
      <c r="SZI54" s="3579"/>
      <c r="SZJ54" s="3579"/>
      <c r="SZK54" s="3579"/>
      <c r="SZL54" s="3579"/>
      <c r="SZM54" s="3579"/>
      <c r="SZN54" s="3579"/>
      <c r="SZO54" s="3579"/>
      <c r="SZP54" s="3579"/>
      <c r="SZQ54" s="3579"/>
      <c r="SZR54" s="3579"/>
      <c r="SZS54" s="3579"/>
      <c r="SZT54" s="3579"/>
      <c r="SZU54" s="3579"/>
      <c r="SZV54" s="3579"/>
      <c r="SZW54" s="3579"/>
      <c r="SZX54" s="3579"/>
      <c r="SZY54" s="3579"/>
      <c r="SZZ54" s="3579"/>
      <c r="TAA54" s="3579"/>
      <c r="TAB54" s="3579"/>
      <c r="TAC54" s="3579"/>
      <c r="TAD54" s="3579"/>
      <c r="TAE54" s="3579"/>
      <c r="TAF54" s="3579"/>
      <c r="TAG54" s="3579"/>
      <c r="TAH54" s="3579"/>
      <c r="TAI54" s="3579"/>
      <c r="TAJ54" s="3579"/>
      <c r="TAK54" s="3579"/>
      <c r="TAL54" s="3579"/>
      <c r="TAM54" s="3579"/>
      <c r="TAN54" s="3579"/>
      <c r="TAO54" s="3579"/>
      <c r="TAP54" s="3579"/>
      <c r="TAQ54" s="3579"/>
      <c r="TAR54" s="3579"/>
      <c r="TAS54" s="3579"/>
      <c r="TAT54" s="3579"/>
      <c r="TAU54" s="3579"/>
      <c r="TAV54" s="3579"/>
      <c r="TAW54" s="3579"/>
      <c r="TAX54" s="3579"/>
      <c r="TAY54" s="3579"/>
      <c r="TAZ54" s="3579"/>
      <c r="TBA54" s="3579"/>
      <c r="TBB54" s="3579"/>
      <c r="TBC54" s="3579"/>
      <c r="TBD54" s="3579"/>
      <c r="TBE54" s="3579"/>
      <c r="TBF54" s="3579"/>
      <c r="TBG54" s="3579"/>
      <c r="TBH54" s="3579"/>
      <c r="TBI54" s="3579"/>
      <c r="TBJ54" s="3579"/>
      <c r="TBK54" s="3579"/>
      <c r="TBL54" s="3579"/>
      <c r="TBM54" s="3579"/>
      <c r="TBN54" s="3579"/>
      <c r="TBO54" s="3579"/>
      <c r="TBP54" s="3579"/>
      <c r="TBQ54" s="3579"/>
      <c r="TBR54" s="3579"/>
      <c r="TBS54" s="3579"/>
      <c r="TBT54" s="3579"/>
      <c r="TBU54" s="3579"/>
      <c r="TBV54" s="3579"/>
      <c r="TBW54" s="3579"/>
      <c r="TBX54" s="3579"/>
      <c r="TBY54" s="3579"/>
      <c r="TBZ54" s="3579"/>
      <c r="TCA54" s="3579"/>
      <c r="TCB54" s="3579"/>
      <c r="TCC54" s="3579"/>
      <c r="TCD54" s="3579"/>
      <c r="TCE54" s="3579"/>
      <c r="TCF54" s="3579"/>
      <c r="TCG54" s="3579"/>
      <c r="TCH54" s="3579"/>
      <c r="TCI54" s="3579"/>
      <c r="TCJ54" s="3579"/>
      <c r="TCK54" s="3579"/>
      <c r="TCL54" s="3579"/>
      <c r="TCM54" s="3579"/>
      <c r="TCN54" s="3579"/>
      <c r="TCO54" s="3579"/>
      <c r="TCP54" s="3579"/>
      <c r="TCQ54" s="3579"/>
      <c r="TCR54" s="3579"/>
      <c r="TCS54" s="3579"/>
      <c r="TCT54" s="3579"/>
      <c r="TCU54" s="3579"/>
      <c r="TCV54" s="3579"/>
      <c r="TCW54" s="3579"/>
      <c r="TCX54" s="3579"/>
      <c r="TCY54" s="3579"/>
      <c r="TCZ54" s="3579"/>
      <c r="TDA54" s="3579"/>
      <c r="TDB54" s="3579"/>
      <c r="TDC54" s="3579"/>
      <c r="TDD54" s="3579"/>
      <c r="TDE54" s="3579"/>
      <c r="TDF54" s="3579"/>
      <c r="TDG54" s="3579"/>
      <c r="TDH54" s="3579"/>
      <c r="TDI54" s="3579"/>
      <c r="TDJ54" s="3579"/>
      <c r="TDK54" s="3579"/>
      <c r="TDL54" s="3579"/>
      <c r="TDM54" s="3579"/>
      <c r="TDN54" s="3579"/>
      <c r="TDO54" s="3579"/>
      <c r="TDP54" s="3579"/>
      <c r="TDQ54" s="3579"/>
      <c r="TDR54" s="3579"/>
      <c r="TDS54" s="3579"/>
      <c r="TDT54" s="3579"/>
      <c r="TDU54" s="3579"/>
      <c r="TDV54" s="3579"/>
      <c r="TDW54" s="3579"/>
      <c r="TDX54" s="3579"/>
      <c r="TDY54" s="3579"/>
      <c r="TDZ54" s="3579"/>
      <c r="TEA54" s="3579"/>
      <c r="TEB54" s="3579"/>
      <c r="TEC54" s="3579"/>
      <c r="TED54" s="3579"/>
      <c r="TEE54" s="3579"/>
      <c r="TEF54" s="3579"/>
      <c r="TEG54" s="3579"/>
      <c r="TEH54" s="3579"/>
      <c r="TEI54" s="3579"/>
      <c r="TEJ54" s="3579"/>
      <c r="TEK54" s="3579"/>
      <c r="TEL54" s="3579"/>
      <c r="TEM54" s="3579"/>
      <c r="TEN54" s="3579"/>
      <c r="TEO54" s="3579"/>
      <c r="TEP54" s="3579"/>
      <c r="TEQ54" s="3579"/>
      <c r="TER54" s="3579"/>
      <c r="TES54" s="3579"/>
      <c r="TET54" s="3579"/>
      <c r="TEU54" s="3579"/>
      <c r="TEV54" s="3579"/>
      <c r="TEW54" s="3579"/>
      <c r="TEX54" s="3579"/>
      <c r="TEY54" s="3579"/>
      <c r="TEZ54" s="3579"/>
      <c r="TFA54" s="3579"/>
      <c r="TFB54" s="3579"/>
      <c r="TFC54" s="3579"/>
      <c r="TFD54" s="3579"/>
      <c r="TFE54" s="3579"/>
      <c r="TFF54" s="3579"/>
      <c r="TFG54" s="3579"/>
      <c r="TFH54" s="3579"/>
      <c r="TFI54" s="3579"/>
      <c r="TFJ54" s="3579"/>
      <c r="TFK54" s="3579"/>
      <c r="TFL54" s="3579"/>
      <c r="TFM54" s="3579"/>
      <c r="TFN54" s="3579"/>
      <c r="TFO54" s="3579"/>
      <c r="TFP54" s="3579"/>
      <c r="TFQ54" s="3579"/>
      <c r="TFR54" s="3579"/>
      <c r="TFS54" s="3579"/>
      <c r="TFT54" s="3579"/>
      <c r="TFU54" s="3579"/>
      <c r="TFV54" s="3579"/>
      <c r="TFW54" s="3579"/>
      <c r="TFX54" s="3579"/>
      <c r="TFY54" s="3579"/>
      <c r="TFZ54" s="3579"/>
      <c r="TGA54" s="3579"/>
      <c r="TGB54" s="3579"/>
      <c r="TGC54" s="3579"/>
      <c r="TGD54" s="3579"/>
      <c r="TGE54" s="3579"/>
      <c r="TGF54" s="3579"/>
      <c r="TGG54" s="3579"/>
      <c r="TGH54" s="3579"/>
      <c r="TGI54" s="3579"/>
      <c r="TGJ54" s="3579"/>
      <c r="TGK54" s="3579"/>
      <c r="TGL54" s="3579"/>
      <c r="TGM54" s="3579"/>
      <c r="TGN54" s="3579"/>
      <c r="TGO54" s="3579"/>
      <c r="TGP54" s="3579"/>
      <c r="TGQ54" s="3579"/>
      <c r="TGR54" s="3579"/>
      <c r="TGS54" s="3579"/>
      <c r="TGT54" s="3579"/>
      <c r="TGU54" s="3579"/>
      <c r="TGV54" s="3579"/>
      <c r="TGW54" s="3579"/>
      <c r="TGX54" s="3579"/>
      <c r="TGY54" s="3579"/>
      <c r="TGZ54" s="3579"/>
      <c r="THA54" s="3579"/>
      <c r="THB54" s="3579"/>
      <c r="THC54" s="3579"/>
      <c r="THD54" s="3579"/>
      <c r="THE54" s="3579"/>
      <c r="THF54" s="3579"/>
      <c r="THG54" s="3579"/>
      <c r="THH54" s="3579"/>
      <c r="THI54" s="3579"/>
      <c r="THJ54" s="3579"/>
      <c r="THK54" s="3579"/>
      <c r="THL54" s="3579"/>
      <c r="THM54" s="3579"/>
      <c r="THN54" s="3579"/>
      <c r="THO54" s="3579"/>
      <c r="THP54" s="3579"/>
      <c r="THQ54" s="3579"/>
      <c r="THR54" s="3579"/>
      <c r="THS54" s="3579"/>
      <c r="THT54" s="3579"/>
      <c r="THU54" s="3579"/>
      <c r="THV54" s="3579"/>
      <c r="THW54" s="3579"/>
      <c r="THX54" s="3579"/>
      <c r="THY54" s="3579"/>
      <c r="THZ54" s="3579"/>
      <c r="TIA54" s="3579"/>
      <c r="TIB54" s="3579"/>
      <c r="TIC54" s="3579"/>
      <c r="TID54" s="3579"/>
      <c r="TIE54" s="3579"/>
      <c r="TIF54" s="3579"/>
      <c r="TIG54" s="3579"/>
      <c r="TIH54" s="3579"/>
      <c r="TII54" s="3579"/>
      <c r="TIJ54" s="3579"/>
      <c r="TIK54" s="3579"/>
      <c r="TIL54" s="3579"/>
      <c r="TIM54" s="3579"/>
      <c r="TIN54" s="3579"/>
      <c r="TIO54" s="3579"/>
      <c r="TIP54" s="3579"/>
      <c r="TIQ54" s="3579"/>
      <c r="TIR54" s="3579"/>
      <c r="TIS54" s="3579"/>
      <c r="TIT54" s="3579"/>
      <c r="TIU54" s="3579"/>
      <c r="TIV54" s="3579"/>
      <c r="TIW54" s="3579"/>
      <c r="TIX54" s="3579"/>
      <c r="TIY54" s="3579"/>
      <c r="TIZ54" s="3579"/>
      <c r="TJA54" s="3579"/>
      <c r="TJB54" s="3579"/>
      <c r="TJC54" s="3579"/>
      <c r="TJD54" s="3579"/>
      <c r="TJE54" s="3579"/>
      <c r="TJF54" s="3579"/>
      <c r="TJG54" s="3579"/>
      <c r="TJH54" s="3579"/>
      <c r="TJI54" s="3579"/>
      <c r="TJJ54" s="3579"/>
      <c r="TJK54" s="3579"/>
      <c r="TJL54" s="3579"/>
      <c r="TJM54" s="3579"/>
      <c r="TJN54" s="3579"/>
      <c r="TJO54" s="3579"/>
      <c r="TJP54" s="3579"/>
      <c r="TJQ54" s="3579"/>
      <c r="TJR54" s="3579"/>
      <c r="TJS54" s="3579"/>
      <c r="TJT54" s="3579"/>
      <c r="TJU54" s="3579"/>
      <c r="TJV54" s="3579"/>
      <c r="TJW54" s="3579"/>
      <c r="TJX54" s="3579"/>
      <c r="TJY54" s="3579"/>
      <c r="TJZ54" s="3579"/>
      <c r="TKA54" s="3579"/>
      <c r="TKB54" s="3579"/>
      <c r="TKC54" s="3579"/>
      <c r="TKD54" s="3579"/>
      <c r="TKE54" s="3579"/>
      <c r="TKF54" s="3579"/>
      <c r="TKG54" s="3579"/>
      <c r="TKH54" s="3579"/>
      <c r="TKI54" s="3579"/>
      <c r="TKJ54" s="3579"/>
      <c r="TKK54" s="3579"/>
      <c r="TKL54" s="3579"/>
      <c r="TKM54" s="3579"/>
      <c r="TKN54" s="3579"/>
      <c r="TKO54" s="3579"/>
      <c r="TKP54" s="3579"/>
      <c r="TKQ54" s="3579"/>
      <c r="TKR54" s="3579"/>
      <c r="TKS54" s="3579"/>
      <c r="TKT54" s="3579"/>
      <c r="TKU54" s="3579"/>
      <c r="TKV54" s="3579"/>
      <c r="TKW54" s="3579"/>
      <c r="TKX54" s="3579"/>
      <c r="TKY54" s="3579"/>
      <c r="TKZ54" s="3579"/>
      <c r="TLA54" s="3579"/>
      <c r="TLB54" s="3579"/>
      <c r="TLC54" s="3579"/>
      <c r="TLD54" s="3579"/>
      <c r="TLE54" s="3579"/>
      <c r="TLF54" s="3579"/>
      <c r="TLG54" s="3579"/>
      <c r="TLH54" s="3579"/>
      <c r="TLI54" s="3579"/>
      <c r="TLJ54" s="3579"/>
      <c r="TLK54" s="3579"/>
      <c r="TLL54" s="3579"/>
      <c r="TLM54" s="3579"/>
      <c r="TLN54" s="3579"/>
      <c r="TLO54" s="3579"/>
      <c r="TLP54" s="3579"/>
      <c r="TLQ54" s="3579"/>
      <c r="TLR54" s="3579"/>
      <c r="TLS54" s="3579"/>
      <c r="TLT54" s="3579"/>
      <c r="TLU54" s="3579"/>
      <c r="TLV54" s="3579"/>
      <c r="TLW54" s="3579"/>
      <c r="TLX54" s="3579"/>
      <c r="TLY54" s="3579"/>
      <c r="TLZ54" s="3579"/>
      <c r="TMA54" s="3579"/>
      <c r="TMB54" s="3579"/>
      <c r="TMC54" s="3579"/>
      <c r="TMD54" s="3579"/>
      <c r="TME54" s="3579"/>
      <c r="TMF54" s="3579"/>
      <c r="TMG54" s="3579"/>
      <c r="TMH54" s="3579"/>
      <c r="TMI54" s="3579"/>
      <c r="TMJ54" s="3579"/>
      <c r="TMK54" s="3579"/>
      <c r="TML54" s="3579"/>
      <c r="TMM54" s="3579"/>
      <c r="TMN54" s="3579"/>
      <c r="TMO54" s="3579"/>
      <c r="TMP54" s="3579"/>
      <c r="TMQ54" s="3579"/>
      <c r="TMR54" s="3579"/>
      <c r="TMS54" s="3579"/>
      <c r="TMT54" s="3579"/>
      <c r="TMU54" s="3579"/>
      <c r="TMV54" s="3579"/>
      <c r="TMW54" s="3579"/>
      <c r="TMX54" s="3579"/>
      <c r="TMY54" s="3579"/>
      <c r="TMZ54" s="3579"/>
      <c r="TNA54" s="3579"/>
      <c r="TNB54" s="3579"/>
      <c r="TNC54" s="3579"/>
      <c r="TND54" s="3579"/>
      <c r="TNE54" s="3579"/>
      <c r="TNF54" s="3579"/>
      <c r="TNG54" s="3579"/>
      <c r="TNH54" s="3579"/>
      <c r="TNI54" s="3579"/>
      <c r="TNJ54" s="3579"/>
      <c r="TNK54" s="3579"/>
      <c r="TNL54" s="3579"/>
      <c r="TNM54" s="3579"/>
      <c r="TNN54" s="3579"/>
      <c r="TNO54" s="3579"/>
      <c r="TNP54" s="3579"/>
      <c r="TNQ54" s="3579"/>
      <c r="TNR54" s="3579"/>
      <c r="TNS54" s="3579"/>
      <c r="TNT54" s="3579"/>
      <c r="TNU54" s="3579"/>
      <c r="TNV54" s="3579"/>
      <c r="TNW54" s="3579"/>
      <c r="TNX54" s="3579"/>
      <c r="TNY54" s="3579"/>
      <c r="TNZ54" s="3579"/>
      <c r="TOA54" s="3579"/>
      <c r="TOB54" s="3579"/>
      <c r="TOC54" s="3579"/>
      <c r="TOD54" s="3579"/>
      <c r="TOE54" s="3579"/>
      <c r="TOF54" s="3579"/>
      <c r="TOG54" s="3579"/>
      <c r="TOH54" s="3579"/>
      <c r="TOI54" s="3579"/>
      <c r="TOJ54" s="3579"/>
      <c r="TOK54" s="3579"/>
      <c r="TOL54" s="3579"/>
      <c r="TOM54" s="3579"/>
      <c r="TON54" s="3579"/>
      <c r="TOO54" s="3579"/>
      <c r="TOP54" s="3579"/>
      <c r="TOQ54" s="3579"/>
      <c r="TOR54" s="3579"/>
      <c r="TOS54" s="3579"/>
      <c r="TOT54" s="3579"/>
      <c r="TOU54" s="3579"/>
      <c r="TOV54" s="3579"/>
      <c r="TOW54" s="3579"/>
      <c r="TOX54" s="3579"/>
      <c r="TOY54" s="3579"/>
      <c r="TOZ54" s="3579"/>
      <c r="TPA54" s="3579"/>
      <c r="TPB54" s="3579"/>
      <c r="TPC54" s="3579"/>
      <c r="TPD54" s="3579"/>
      <c r="TPE54" s="3579"/>
      <c r="TPF54" s="3579"/>
      <c r="TPG54" s="3579"/>
      <c r="TPH54" s="3579"/>
      <c r="TPI54" s="3579"/>
      <c r="TPJ54" s="3579"/>
      <c r="TPK54" s="3579"/>
      <c r="TPL54" s="3579"/>
      <c r="TPM54" s="3579"/>
      <c r="TPN54" s="3579"/>
      <c r="TPO54" s="3579"/>
      <c r="TPP54" s="3579"/>
      <c r="TPQ54" s="3579"/>
      <c r="TPR54" s="3579"/>
      <c r="TPS54" s="3579"/>
      <c r="TPT54" s="3579"/>
      <c r="TPU54" s="3579"/>
      <c r="TPV54" s="3579"/>
      <c r="TPW54" s="3579"/>
      <c r="TPX54" s="3579"/>
      <c r="TPY54" s="3579"/>
      <c r="TPZ54" s="3579"/>
      <c r="TQA54" s="3579"/>
      <c r="TQB54" s="3579"/>
      <c r="TQC54" s="3579"/>
      <c r="TQD54" s="3579"/>
      <c r="TQE54" s="3579"/>
      <c r="TQF54" s="3579"/>
      <c r="TQG54" s="3579"/>
      <c r="TQH54" s="3579"/>
      <c r="TQI54" s="3579"/>
      <c r="TQJ54" s="3579"/>
      <c r="TQK54" s="3579"/>
      <c r="TQL54" s="3579"/>
      <c r="TQM54" s="3579"/>
      <c r="TQN54" s="3579"/>
      <c r="TQO54" s="3579"/>
      <c r="TQP54" s="3579"/>
      <c r="TQQ54" s="3579"/>
      <c r="TQR54" s="3579"/>
      <c r="TQS54" s="3579"/>
      <c r="TQT54" s="3579"/>
      <c r="TQU54" s="3579"/>
      <c r="TQV54" s="3579"/>
      <c r="TQW54" s="3579"/>
      <c r="TQX54" s="3579"/>
      <c r="TQY54" s="3579"/>
      <c r="TQZ54" s="3579"/>
      <c r="TRA54" s="3579"/>
      <c r="TRB54" s="3579"/>
      <c r="TRC54" s="3579"/>
      <c r="TRD54" s="3579"/>
      <c r="TRE54" s="3579"/>
      <c r="TRF54" s="3579"/>
      <c r="TRG54" s="3579"/>
      <c r="TRH54" s="3579"/>
      <c r="TRI54" s="3579"/>
      <c r="TRJ54" s="3579"/>
      <c r="TRK54" s="3579"/>
      <c r="TRL54" s="3579"/>
      <c r="TRM54" s="3579"/>
      <c r="TRN54" s="3579"/>
      <c r="TRO54" s="3579"/>
      <c r="TRP54" s="3579"/>
      <c r="TRQ54" s="3579"/>
      <c r="TRR54" s="3579"/>
      <c r="TRS54" s="3579"/>
      <c r="TRT54" s="3579"/>
      <c r="TRU54" s="3579"/>
      <c r="TRV54" s="3579"/>
      <c r="TRW54" s="3579"/>
      <c r="TRX54" s="3579"/>
      <c r="TRY54" s="3579"/>
      <c r="TRZ54" s="3579"/>
      <c r="TSA54" s="3579"/>
      <c r="TSB54" s="3579"/>
      <c r="TSC54" s="3579"/>
      <c r="TSD54" s="3579"/>
      <c r="TSE54" s="3579"/>
      <c r="TSF54" s="3579"/>
      <c r="TSG54" s="3579"/>
      <c r="TSH54" s="3579"/>
      <c r="TSI54" s="3579"/>
      <c r="TSJ54" s="3579"/>
      <c r="TSK54" s="3579"/>
      <c r="TSL54" s="3579"/>
      <c r="TSM54" s="3579"/>
      <c r="TSN54" s="3579"/>
      <c r="TSO54" s="3579"/>
      <c r="TSP54" s="3579"/>
      <c r="TSQ54" s="3579"/>
      <c r="TSR54" s="3579"/>
      <c r="TSS54" s="3579"/>
      <c r="TST54" s="3579"/>
      <c r="TSU54" s="3579"/>
      <c r="TSV54" s="3579"/>
      <c r="TSW54" s="3579"/>
      <c r="TSX54" s="3579"/>
      <c r="TSY54" s="3579"/>
      <c r="TSZ54" s="3579"/>
      <c r="TTA54" s="3579"/>
      <c r="TTB54" s="3579"/>
      <c r="TTC54" s="3579"/>
      <c r="TTD54" s="3579"/>
      <c r="TTE54" s="3579"/>
      <c r="TTF54" s="3579"/>
      <c r="TTG54" s="3579"/>
      <c r="TTH54" s="3579"/>
      <c r="TTI54" s="3579"/>
      <c r="TTJ54" s="3579"/>
      <c r="TTK54" s="3579"/>
      <c r="TTL54" s="3579"/>
      <c r="TTM54" s="3579"/>
      <c r="TTN54" s="3579"/>
      <c r="TTO54" s="3579"/>
      <c r="TTP54" s="3579"/>
      <c r="TTQ54" s="3579"/>
      <c r="TTR54" s="3579"/>
      <c r="TTS54" s="3579"/>
      <c r="TTT54" s="3579"/>
      <c r="TTU54" s="3579"/>
      <c r="TTV54" s="3579"/>
      <c r="TTW54" s="3579"/>
      <c r="TTX54" s="3579"/>
      <c r="TTY54" s="3579"/>
      <c r="TTZ54" s="3579"/>
      <c r="TUA54" s="3579"/>
      <c r="TUB54" s="3579"/>
      <c r="TUC54" s="3579"/>
      <c r="TUD54" s="3579"/>
      <c r="TUE54" s="3579"/>
      <c r="TUF54" s="3579"/>
      <c r="TUG54" s="3579"/>
      <c r="TUH54" s="3579"/>
      <c r="TUI54" s="3579"/>
      <c r="TUJ54" s="3579"/>
      <c r="TUK54" s="3579"/>
      <c r="TUL54" s="3579"/>
      <c r="TUM54" s="3579"/>
      <c r="TUN54" s="3579"/>
      <c r="TUO54" s="3579"/>
      <c r="TUP54" s="3579"/>
      <c r="TUQ54" s="3579"/>
      <c r="TUR54" s="3579"/>
      <c r="TUS54" s="3579"/>
      <c r="TUT54" s="3579"/>
      <c r="TUU54" s="3579"/>
      <c r="TUV54" s="3579"/>
      <c r="TUW54" s="3579"/>
      <c r="TUX54" s="3579"/>
      <c r="TUY54" s="3579"/>
      <c r="TUZ54" s="3579"/>
      <c r="TVA54" s="3579"/>
      <c r="TVB54" s="3579"/>
      <c r="TVC54" s="3579"/>
      <c r="TVD54" s="3579"/>
      <c r="TVE54" s="3579"/>
      <c r="TVF54" s="3579"/>
      <c r="TVG54" s="3579"/>
      <c r="TVH54" s="3579"/>
      <c r="TVI54" s="3579"/>
      <c r="TVJ54" s="3579"/>
      <c r="TVK54" s="3579"/>
      <c r="TVL54" s="3579"/>
      <c r="TVM54" s="3579"/>
      <c r="TVN54" s="3579"/>
      <c r="TVO54" s="3579"/>
      <c r="TVP54" s="3579"/>
      <c r="TVQ54" s="3579"/>
      <c r="TVR54" s="3579"/>
      <c r="TVS54" s="3579"/>
      <c r="TVT54" s="3579"/>
      <c r="TVU54" s="3579"/>
      <c r="TVV54" s="3579"/>
      <c r="TVW54" s="3579"/>
      <c r="TVX54" s="3579"/>
      <c r="TVY54" s="3579"/>
      <c r="TVZ54" s="3579"/>
      <c r="TWA54" s="3579"/>
      <c r="TWB54" s="3579"/>
      <c r="TWC54" s="3579"/>
      <c r="TWD54" s="3579"/>
      <c r="TWE54" s="3579"/>
      <c r="TWF54" s="3579"/>
      <c r="TWG54" s="3579"/>
      <c r="TWH54" s="3579"/>
      <c r="TWI54" s="3579"/>
      <c r="TWJ54" s="3579"/>
      <c r="TWK54" s="3579"/>
      <c r="TWL54" s="3579"/>
      <c r="TWM54" s="3579"/>
      <c r="TWN54" s="3579"/>
      <c r="TWO54" s="3579"/>
      <c r="TWP54" s="3579"/>
      <c r="TWQ54" s="3579"/>
      <c r="TWR54" s="3579"/>
      <c r="TWS54" s="3579"/>
      <c r="TWT54" s="3579"/>
      <c r="TWU54" s="3579"/>
      <c r="TWV54" s="3579"/>
      <c r="TWW54" s="3579"/>
      <c r="TWX54" s="3579"/>
      <c r="TWY54" s="3579"/>
      <c r="TWZ54" s="3579"/>
      <c r="TXA54" s="3579"/>
      <c r="TXB54" s="3579"/>
      <c r="TXC54" s="3579"/>
      <c r="TXD54" s="3579"/>
      <c r="TXE54" s="3579"/>
      <c r="TXF54" s="3579"/>
      <c r="TXG54" s="3579"/>
      <c r="TXH54" s="3579"/>
      <c r="TXI54" s="3579"/>
      <c r="TXJ54" s="3579"/>
      <c r="TXK54" s="3579"/>
      <c r="TXL54" s="3579"/>
      <c r="TXM54" s="3579"/>
      <c r="TXN54" s="3579"/>
      <c r="TXO54" s="3579"/>
      <c r="TXP54" s="3579"/>
      <c r="TXQ54" s="3579"/>
      <c r="TXR54" s="3579"/>
      <c r="TXS54" s="3579"/>
      <c r="TXT54" s="3579"/>
      <c r="TXU54" s="3579"/>
      <c r="TXV54" s="3579"/>
      <c r="TXW54" s="3579"/>
      <c r="TXX54" s="3579"/>
      <c r="TXY54" s="3579"/>
      <c r="TXZ54" s="3579"/>
      <c r="TYA54" s="3579"/>
      <c r="TYB54" s="3579"/>
      <c r="TYC54" s="3579"/>
      <c r="TYD54" s="3579"/>
      <c r="TYE54" s="3579"/>
      <c r="TYF54" s="3579"/>
      <c r="TYG54" s="3579"/>
      <c r="TYH54" s="3579"/>
      <c r="TYI54" s="3579"/>
      <c r="TYJ54" s="3579"/>
      <c r="TYK54" s="3579"/>
      <c r="TYL54" s="3579"/>
      <c r="TYM54" s="3579"/>
      <c r="TYN54" s="3579"/>
      <c r="TYO54" s="3579"/>
      <c r="TYP54" s="3579"/>
      <c r="TYQ54" s="3579"/>
      <c r="TYR54" s="3579"/>
      <c r="TYS54" s="3579"/>
      <c r="TYT54" s="3579"/>
      <c r="TYU54" s="3579"/>
      <c r="TYV54" s="3579"/>
      <c r="TYW54" s="3579"/>
      <c r="TYX54" s="3579"/>
      <c r="TYY54" s="3579"/>
      <c r="TYZ54" s="3579"/>
      <c r="TZA54" s="3579"/>
      <c r="TZB54" s="3579"/>
      <c r="TZC54" s="3579"/>
      <c r="TZD54" s="3579"/>
      <c r="TZE54" s="3579"/>
      <c r="TZF54" s="3579"/>
      <c r="TZG54" s="3579"/>
      <c r="TZH54" s="3579"/>
      <c r="TZI54" s="3579"/>
      <c r="TZJ54" s="3579"/>
      <c r="TZK54" s="3579"/>
      <c r="TZL54" s="3579"/>
      <c r="TZM54" s="3579"/>
      <c r="TZN54" s="3579"/>
      <c r="TZO54" s="3579"/>
      <c r="TZP54" s="3579"/>
      <c r="TZQ54" s="3579"/>
      <c r="TZR54" s="3579"/>
      <c r="TZS54" s="3579"/>
      <c r="TZT54" s="3579"/>
      <c r="TZU54" s="3579"/>
      <c r="TZV54" s="3579"/>
      <c r="TZW54" s="3579"/>
      <c r="TZX54" s="3579"/>
      <c r="TZY54" s="3579"/>
      <c r="TZZ54" s="3579"/>
      <c r="UAA54" s="3579"/>
      <c r="UAB54" s="3579"/>
      <c r="UAC54" s="3579"/>
      <c r="UAD54" s="3579"/>
      <c r="UAE54" s="3579"/>
      <c r="UAF54" s="3579"/>
      <c r="UAG54" s="3579"/>
      <c r="UAH54" s="3579"/>
      <c r="UAI54" s="3579"/>
      <c r="UAJ54" s="3579"/>
      <c r="UAK54" s="3579"/>
      <c r="UAL54" s="3579"/>
      <c r="UAM54" s="3579"/>
      <c r="UAN54" s="3579"/>
      <c r="UAO54" s="3579"/>
      <c r="UAP54" s="3579"/>
      <c r="UAQ54" s="3579"/>
      <c r="UAR54" s="3579"/>
      <c r="UAS54" s="3579"/>
      <c r="UAT54" s="3579"/>
      <c r="UAU54" s="3579"/>
      <c r="UAV54" s="3579"/>
      <c r="UAW54" s="3579"/>
      <c r="UAX54" s="3579"/>
      <c r="UAY54" s="3579"/>
      <c r="UAZ54" s="3579"/>
      <c r="UBA54" s="3579"/>
      <c r="UBB54" s="3579"/>
      <c r="UBC54" s="3579"/>
      <c r="UBD54" s="3579"/>
      <c r="UBE54" s="3579"/>
      <c r="UBF54" s="3579"/>
      <c r="UBG54" s="3579"/>
      <c r="UBH54" s="3579"/>
      <c r="UBI54" s="3579"/>
      <c r="UBJ54" s="3579"/>
      <c r="UBK54" s="3579"/>
      <c r="UBL54" s="3579"/>
      <c r="UBM54" s="3579"/>
      <c r="UBN54" s="3579"/>
      <c r="UBO54" s="3579"/>
      <c r="UBP54" s="3579"/>
      <c r="UBQ54" s="3579"/>
      <c r="UBR54" s="3579"/>
      <c r="UBS54" s="3579"/>
      <c r="UBT54" s="3579"/>
      <c r="UBU54" s="3579"/>
      <c r="UBV54" s="3579"/>
      <c r="UBW54" s="3579"/>
      <c r="UBX54" s="3579"/>
      <c r="UBY54" s="3579"/>
      <c r="UBZ54" s="3579"/>
      <c r="UCA54" s="3579"/>
      <c r="UCB54" s="3579"/>
      <c r="UCC54" s="3579"/>
      <c r="UCD54" s="3579"/>
      <c r="UCE54" s="3579"/>
      <c r="UCF54" s="3579"/>
      <c r="UCG54" s="3579"/>
      <c r="UCH54" s="3579"/>
      <c r="UCI54" s="3579"/>
      <c r="UCJ54" s="3579"/>
      <c r="UCK54" s="3579"/>
      <c r="UCL54" s="3579"/>
      <c r="UCM54" s="3579"/>
      <c r="UCN54" s="3579"/>
      <c r="UCO54" s="3579"/>
      <c r="UCP54" s="3579"/>
      <c r="UCQ54" s="3579"/>
      <c r="UCR54" s="3579"/>
      <c r="UCS54" s="3579"/>
      <c r="UCT54" s="3579"/>
      <c r="UCU54" s="3579"/>
      <c r="UCV54" s="3579"/>
      <c r="UCW54" s="3579"/>
      <c r="UCX54" s="3579"/>
      <c r="UCY54" s="3579"/>
      <c r="UCZ54" s="3579"/>
      <c r="UDA54" s="3579"/>
      <c r="UDB54" s="3579"/>
      <c r="UDC54" s="3579"/>
      <c r="UDD54" s="3579"/>
      <c r="UDE54" s="3579"/>
      <c r="UDF54" s="3579"/>
      <c r="UDG54" s="3579"/>
      <c r="UDH54" s="3579"/>
      <c r="UDI54" s="3579"/>
      <c r="UDJ54" s="3579"/>
      <c r="UDK54" s="3579"/>
      <c r="UDL54" s="3579"/>
      <c r="UDM54" s="3579"/>
      <c r="UDN54" s="3579"/>
      <c r="UDO54" s="3579"/>
      <c r="UDP54" s="3579"/>
      <c r="UDQ54" s="3579"/>
      <c r="UDR54" s="3579"/>
      <c r="UDS54" s="3579"/>
      <c r="UDT54" s="3579"/>
      <c r="UDU54" s="3579"/>
      <c r="UDV54" s="3579"/>
      <c r="UDW54" s="3579"/>
      <c r="UDX54" s="3579"/>
      <c r="UDY54" s="3579"/>
      <c r="UDZ54" s="3579"/>
      <c r="UEA54" s="3579"/>
      <c r="UEB54" s="3579"/>
      <c r="UEC54" s="3579"/>
      <c r="UED54" s="3579"/>
      <c r="UEE54" s="3579"/>
      <c r="UEF54" s="3579"/>
      <c r="UEG54" s="3579"/>
      <c r="UEH54" s="3579"/>
      <c r="UEI54" s="3579"/>
      <c r="UEJ54" s="3579"/>
      <c r="UEK54" s="3579"/>
      <c r="UEL54" s="3579"/>
      <c r="UEM54" s="3579"/>
      <c r="UEN54" s="3579"/>
      <c r="UEO54" s="3579"/>
      <c r="UEP54" s="3579"/>
      <c r="UEQ54" s="3579"/>
      <c r="UER54" s="3579"/>
      <c r="UES54" s="3579"/>
      <c r="UET54" s="3579"/>
      <c r="UEU54" s="3579"/>
      <c r="UEV54" s="3579"/>
      <c r="UEW54" s="3579"/>
      <c r="UEX54" s="3579"/>
      <c r="UEY54" s="3579"/>
      <c r="UEZ54" s="3579"/>
      <c r="UFA54" s="3579"/>
      <c r="UFB54" s="3579"/>
      <c r="UFC54" s="3579"/>
      <c r="UFD54" s="3579"/>
      <c r="UFE54" s="3579"/>
      <c r="UFF54" s="3579"/>
      <c r="UFG54" s="3579"/>
      <c r="UFH54" s="3579"/>
      <c r="UFI54" s="3579"/>
      <c r="UFJ54" s="3579"/>
      <c r="UFK54" s="3579"/>
      <c r="UFL54" s="3579"/>
      <c r="UFM54" s="3579"/>
      <c r="UFN54" s="3579"/>
      <c r="UFO54" s="3579"/>
      <c r="UFP54" s="3579"/>
      <c r="UFQ54" s="3579"/>
      <c r="UFR54" s="3579"/>
      <c r="UFS54" s="3579"/>
      <c r="UFT54" s="3579"/>
      <c r="UFU54" s="3579"/>
      <c r="UFV54" s="3579"/>
      <c r="UFW54" s="3579"/>
      <c r="UFX54" s="3579"/>
      <c r="UFY54" s="3579"/>
      <c r="UFZ54" s="3579"/>
      <c r="UGA54" s="3579"/>
      <c r="UGB54" s="3579"/>
      <c r="UGC54" s="3579"/>
      <c r="UGD54" s="3579"/>
      <c r="UGE54" s="3579"/>
      <c r="UGF54" s="3579"/>
      <c r="UGG54" s="3579"/>
      <c r="UGH54" s="3579"/>
      <c r="UGI54" s="3579"/>
      <c r="UGJ54" s="3579"/>
      <c r="UGK54" s="3579"/>
      <c r="UGL54" s="3579"/>
      <c r="UGM54" s="3579"/>
      <c r="UGN54" s="3579"/>
      <c r="UGO54" s="3579"/>
      <c r="UGP54" s="3579"/>
      <c r="UGQ54" s="3579"/>
      <c r="UGR54" s="3579"/>
      <c r="UGS54" s="3579"/>
      <c r="UGT54" s="3579"/>
      <c r="UGU54" s="3579"/>
      <c r="UGV54" s="3579"/>
      <c r="UGW54" s="3579"/>
      <c r="UGX54" s="3579"/>
      <c r="UGY54" s="3579"/>
      <c r="UGZ54" s="3579"/>
      <c r="UHA54" s="3579"/>
      <c r="UHB54" s="3579"/>
      <c r="UHC54" s="3579"/>
      <c r="UHD54" s="3579"/>
      <c r="UHE54" s="3579"/>
      <c r="UHF54" s="3579"/>
      <c r="UHG54" s="3579"/>
      <c r="UHH54" s="3579"/>
      <c r="UHI54" s="3579"/>
      <c r="UHJ54" s="3579"/>
      <c r="UHK54" s="3579"/>
      <c r="UHL54" s="3579"/>
      <c r="UHM54" s="3579"/>
      <c r="UHN54" s="3579"/>
      <c r="UHO54" s="3579"/>
      <c r="UHP54" s="3579"/>
      <c r="UHQ54" s="3579"/>
      <c r="UHR54" s="3579"/>
      <c r="UHS54" s="3579"/>
      <c r="UHT54" s="3579"/>
      <c r="UHU54" s="3579"/>
      <c r="UHV54" s="3579"/>
      <c r="UHW54" s="3579"/>
      <c r="UHX54" s="3579"/>
      <c r="UHY54" s="3579"/>
      <c r="UHZ54" s="3579"/>
      <c r="UIA54" s="3579"/>
      <c r="UIB54" s="3579"/>
      <c r="UIC54" s="3579"/>
      <c r="UID54" s="3579"/>
      <c r="UIE54" s="3579"/>
      <c r="UIF54" s="3579"/>
      <c r="UIG54" s="3579"/>
      <c r="UIH54" s="3579"/>
      <c r="UII54" s="3579"/>
      <c r="UIJ54" s="3579"/>
      <c r="UIK54" s="3579"/>
      <c r="UIL54" s="3579"/>
      <c r="UIM54" s="3579"/>
      <c r="UIN54" s="3579"/>
      <c r="UIO54" s="3579"/>
      <c r="UIP54" s="3579"/>
      <c r="UIQ54" s="3579"/>
      <c r="UIR54" s="3579"/>
      <c r="UIS54" s="3579"/>
      <c r="UIT54" s="3579"/>
      <c r="UIU54" s="3579"/>
      <c r="UIV54" s="3579"/>
      <c r="UIW54" s="3579"/>
      <c r="UIX54" s="3579"/>
      <c r="UIY54" s="3579"/>
      <c r="UIZ54" s="3579"/>
      <c r="UJA54" s="3579"/>
      <c r="UJB54" s="3579"/>
      <c r="UJC54" s="3579"/>
      <c r="UJD54" s="3579"/>
      <c r="UJE54" s="3579"/>
      <c r="UJF54" s="3579"/>
      <c r="UJG54" s="3579"/>
      <c r="UJH54" s="3579"/>
      <c r="UJI54" s="3579"/>
      <c r="UJJ54" s="3579"/>
      <c r="UJK54" s="3579"/>
      <c r="UJL54" s="3579"/>
      <c r="UJM54" s="3579"/>
      <c r="UJN54" s="3579"/>
      <c r="UJO54" s="3579"/>
      <c r="UJP54" s="3579"/>
      <c r="UJQ54" s="3579"/>
      <c r="UJR54" s="3579"/>
      <c r="UJS54" s="3579"/>
      <c r="UJT54" s="3579"/>
      <c r="UJU54" s="3579"/>
      <c r="UJV54" s="3579"/>
      <c r="UJW54" s="3579"/>
      <c r="UJX54" s="3579"/>
      <c r="UJY54" s="3579"/>
      <c r="UJZ54" s="3579"/>
      <c r="UKA54" s="3579"/>
      <c r="UKB54" s="3579"/>
      <c r="UKC54" s="3579"/>
      <c r="UKD54" s="3579"/>
      <c r="UKE54" s="3579"/>
      <c r="UKF54" s="3579"/>
      <c r="UKG54" s="3579"/>
      <c r="UKH54" s="3579"/>
      <c r="UKI54" s="3579"/>
      <c r="UKJ54" s="3579"/>
      <c r="UKK54" s="3579"/>
      <c r="UKL54" s="3579"/>
      <c r="UKM54" s="3579"/>
      <c r="UKN54" s="3579"/>
      <c r="UKO54" s="3579"/>
      <c r="UKP54" s="3579"/>
      <c r="UKQ54" s="3579"/>
      <c r="UKR54" s="3579"/>
      <c r="UKS54" s="3579"/>
      <c r="UKT54" s="3579"/>
      <c r="UKU54" s="3579"/>
      <c r="UKV54" s="3579"/>
      <c r="UKW54" s="3579"/>
      <c r="UKX54" s="3579"/>
      <c r="UKY54" s="3579"/>
      <c r="UKZ54" s="3579"/>
      <c r="ULA54" s="3579"/>
      <c r="ULB54" s="3579"/>
      <c r="ULC54" s="3579"/>
      <c r="ULD54" s="3579"/>
      <c r="ULE54" s="3579"/>
      <c r="ULF54" s="3579"/>
      <c r="ULG54" s="3579"/>
      <c r="ULH54" s="3579"/>
      <c r="ULI54" s="3579"/>
      <c r="ULJ54" s="3579"/>
      <c r="ULK54" s="3579"/>
      <c r="ULL54" s="3579"/>
      <c r="ULM54" s="3579"/>
      <c r="ULN54" s="3579"/>
      <c r="ULO54" s="3579"/>
      <c r="ULP54" s="3579"/>
      <c r="ULQ54" s="3579"/>
      <c r="ULR54" s="3579"/>
      <c r="ULS54" s="3579"/>
      <c r="ULT54" s="3579"/>
      <c r="ULU54" s="3579"/>
      <c r="ULV54" s="3579"/>
      <c r="ULW54" s="3579"/>
      <c r="ULX54" s="3579"/>
      <c r="ULY54" s="3579"/>
      <c r="ULZ54" s="3579"/>
      <c r="UMA54" s="3579"/>
      <c r="UMB54" s="3579"/>
      <c r="UMC54" s="3579"/>
      <c r="UMD54" s="3579"/>
      <c r="UME54" s="3579"/>
      <c r="UMF54" s="3579"/>
      <c r="UMG54" s="3579"/>
      <c r="UMH54" s="3579"/>
      <c r="UMI54" s="3579"/>
      <c r="UMJ54" s="3579"/>
      <c r="UMK54" s="3579"/>
      <c r="UML54" s="3579"/>
      <c r="UMM54" s="3579"/>
      <c r="UMN54" s="3579"/>
      <c r="UMO54" s="3579"/>
      <c r="UMP54" s="3579"/>
      <c r="UMQ54" s="3579"/>
      <c r="UMR54" s="3579"/>
      <c r="UMS54" s="3579"/>
      <c r="UMT54" s="3579"/>
      <c r="UMU54" s="3579"/>
      <c r="UMV54" s="3579"/>
      <c r="UMW54" s="3579"/>
      <c r="UMX54" s="3579"/>
      <c r="UMY54" s="3579"/>
      <c r="UMZ54" s="3579"/>
      <c r="UNA54" s="3579"/>
      <c r="UNB54" s="3579"/>
      <c r="UNC54" s="3579"/>
      <c r="UND54" s="3579"/>
      <c r="UNE54" s="3579"/>
      <c r="UNF54" s="3579"/>
      <c r="UNG54" s="3579"/>
      <c r="UNH54" s="3579"/>
      <c r="UNI54" s="3579"/>
      <c r="UNJ54" s="3579"/>
      <c r="UNK54" s="3579"/>
      <c r="UNL54" s="3579"/>
      <c r="UNM54" s="3579"/>
      <c r="UNN54" s="3579"/>
      <c r="UNO54" s="3579"/>
      <c r="UNP54" s="3579"/>
      <c r="UNQ54" s="3579"/>
      <c r="UNR54" s="3579"/>
      <c r="UNS54" s="3579"/>
      <c r="UNT54" s="3579"/>
      <c r="UNU54" s="3579"/>
      <c r="UNV54" s="3579"/>
      <c r="UNW54" s="3579"/>
      <c r="UNX54" s="3579"/>
      <c r="UNY54" s="3579"/>
      <c r="UNZ54" s="3579"/>
      <c r="UOA54" s="3579"/>
      <c r="UOB54" s="3579"/>
      <c r="UOC54" s="3579"/>
      <c r="UOD54" s="3579"/>
      <c r="UOE54" s="3579"/>
      <c r="UOF54" s="3579"/>
      <c r="UOG54" s="3579"/>
      <c r="UOH54" s="3579"/>
      <c r="UOI54" s="3579"/>
      <c r="UOJ54" s="3579"/>
      <c r="UOK54" s="3579"/>
      <c r="UOL54" s="3579"/>
      <c r="UOM54" s="3579"/>
      <c r="UON54" s="3579"/>
      <c r="UOO54" s="3579"/>
      <c r="UOP54" s="3579"/>
      <c r="UOQ54" s="3579"/>
      <c r="UOR54" s="3579"/>
      <c r="UOS54" s="3579"/>
      <c r="UOT54" s="3579"/>
      <c r="UOU54" s="3579"/>
      <c r="UOV54" s="3579"/>
      <c r="UOW54" s="3579"/>
      <c r="UOX54" s="3579"/>
      <c r="UOY54" s="3579"/>
      <c r="UOZ54" s="3579"/>
      <c r="UPA54" s="3579"/>
      <c r="UPB54" s="3579"/>
      <c r="UPC54" s="3579"/>
      <c r="UPD54" s="3579"/>
      <c r="UPE54" s="3579"/>
      <c r="UPF54" s="3579"/>
      <c r="UPG54" s="3579"/>
      <c r="UPH54" s="3579"/>
      <c r="UPI54" s="3579"/>
      <c r="UPJ54" s="3579"/>
      <c r="UPK54" s="3579"/>
      <c r="UPL54" s="3579"/>
      <c r="UPM54" s="3579"/>
      <c r="UPN54" s="3579"/>
      <c r="UPO54" s="3579"/>
      <c r="UPP54" s="3579"/>
      <c r="UPQ54" s="3579"/>
      <c r="UPR54" s="3579"/>
      <c r="UPS54" s="3579"/>
      <c r="UPT54" s="3579"/>
      <c r="UPU54" s="3579"/>
      <c r="UPV54" s="3579"/>
      <c r="UPW54" s="3579"/>
      <c r="UPX54" s="3579"/>
      <c r="UPY54" s="3579"/>
      <c r="UPZ54" s="3579"/>
      <c r="UQA54" s="3579"/>
      <c r="UQB54" s="3579"/>
      <c r="UQC54" s="3579"/>
      <c r="UQD54" s="3579"/>
      <c r="UQE54" s="3579"/>
      <c r="UQF54" s="3579"/>
      <c r="UQG54" s="3579"/>
      <c r="UQH54" s="3579"/>
      <c r="UQI54" s="3579"/>
      <c r="UQJ54" s="3579"/>
      <c r="UQK54" s="3579"/>
      <c r="UQL54" s="3579"/>
      <c r="UQM54" s="3579"/>
      <c r="UQN54" s="3579"/>
      <c r="UQO54" s="3579"/>
      <c r="UQP54" s="3579"/>
      <c r="UQQ54" s="3579"/>
      <c r="UQR54" s="3579"/>
      <c r="UQS54" s="3579"/>
      <c r="UQT54" s="3579"/>
      <c r="UQU54" s="3579"/>
      <c r="UQV54" s="3579"/>
      <c r="UQW54" s="3579"/>
      <c r="UQX54" s="3579"/>
      <c r="UQY54" s="3579"/>
      <c r="UQZ54" s="3579"/>
      <c r="URA54" s="3579"/>
      <c r="URB54" s="3579"/>
      <c r="URC54" s="3579"/>
      <c r="URD54" s="3579"/>
      <c r="URE54" s="3579"/>
      <c r="URF54" s="3579"/>
      <c r="URG54" s="3579"/>
      <c r="URH54" s="3579"/>
      <c r="URI54" s="3579"/>
      <c r="URJ54" s="3579"/>
      <c r="URK54" s="3579"/>
      <c r="URL54" s="3579"/>
      <c r="URM54" s="3579"/>
      <c r="URN54" s="3579"/>
      <c r="URO54" s="3579"/>
      <c r="URP54" s="3579"/>
      <c r="URQ54" s="3579"/>
      <c r="URR54" s="3579"/>
      <c r="URS54" s="3579"/>
      <c r="URT54" s="3579"/>
      <c r="URU54" s="3579"/>
      <c r="URV54" s="3579"/>
      <c r="URW54" s="3579"/>
      <c r="URX54" s="3579"/>
      <c r="URY54" s="3579"/>
      <c r="URZ54" s="3579"/>
      <c r="USA54" s="3579"/>
      <c r="USB54" s="3579"/>
      <c r="USC54" s="3579"/>
      <c r="USD54" s="3579"/>
      <c r="USE54" s="3579"/>
      <c r="USF54" s="3579"/>
      <c r="USG54" s="3579"/>
      <c r="USH54" s="3579"/>
      <c r="USI54" s="3579"/>
      <c r="USJ54" s="3579"/>
      <c r="USK54" s="3579"/>
      <c r="USL54" s="3579"/>
      <c r="USM54" s="3579"/>
      <c r="USN54" s="3579"/>
      <c r="USO54" s="3579"/>
      <c r="USP54" s="3579"/>
      <c r="USQ54" s="3579"/>
      <c r="USR54" s="3579"/>
      <c r="USS54" s="3579"/>
      <c r="UST54" s="3579"/>
      <c r="USU54" s="3579"/>
      <c r="USV54" s="3579"/>
      <c r="USW54" s="3579"/>
      <c r="USX54" s="3579"/>
      <c r="USY54" s="3579"/>
      <c r="USZ54" s="3579"/>
      <c r="UTA54" s="3579"/>
      <c r="UTB54" s="3579"/>
      <c r="UTC54" s="3579"/>
      <c r="UTD54" s="3579"/>
      <c r="UTE54" s="3579"/>
      <c r="UTF54" s="3579"/>
      <c r="UTG54" s="3579"/>
      <c r="UTH54" s="3579"/>
      <c r="UTI54" s="3579"/>
      <c r="UTJ54" s="3579"/>
      <c r="UTK54" s="3579"/>
      <c r="UTL54" s="3579"/>
      <c r="UTM54" s="3579"/>
      <c r="UTN54" s="3579"/>
      <c r="UTO54" s="3579"/>
      <c r="UTP54" s="3579"/>
      <c r="UTQ54" s="3579"/>
      <c r="UTR54" s="3579"/>
      <c r="UTS54" s="3579"/>
      <c r="UTT54" s="3579"/>
      <c r="UTU54" s="3579"/>
      <c r="UTV54" s="3579"/>
      <c r="UTW54" s="3579"/>
      <c r="UTX54" s="3579"/>
      <c r="UTY54" s="3579"/>
      <c r="UTZ54" s="3579"/>
      <c r="UUA54" s="3579"/>
      <c r="UUB54" s="3579"/>
      <c r="UUC54" s="3579"/>
      <c r="UUD54" s="3579"/>
      <c r="UUE54" s="3579"/>
      <c r="UUF54" s="3579"/>
      <c r="UUG54" s="3579"/>
      <c r="UUH54" s="3579"/>
      <c r="UUI54" s="3579"/>
      <c r="UUJ54" s="3579"/>
      <c r="UUK54" s="3579"/>
      <c r="UUL54" s="3579"/>
      <c r="UUM54" s="3579"/>
      <c r="UUN54" s="3579"/>
      <c r="UUO54" s="3579"/>
      <c r="UUP54" s="3579"/>
      <c r="UUQ54" s="3579"/>
      <c r="UUR54" s="3579"/>
      <c r="UUS54" s="3579"/>
      <c r="UUT54" s="3579"/>
      <c r="UUU54" s="3579"/>
      <c r="UUV54" s="3579"/>
      <c r="UUW54" s="3579"/>
      <c r="UUX54" s="3579"/>
      <c r="UUY54" s="3579"/>
      <c r="UUZ54" s="3579"/>
      <c r="UVA54" s="3579"/>
      <c r="UVB54" s="3579"/>
      <c r="UVC54" s="3579"/>
      <c r="UVD54" s="3579"/>
      <c r="UVE54" s="3579"/>
      <c r="UVF54" s="3579"/>
      <c r="UVG54" s="3579"/>
      <c r="UVH54" s="3579"/>
      <c r="UVI54" s="3579"/>
      <c r="UVJ54" s="3579"/>
      <c r="UVK54" s="3579"/>
      <c r="UVL54" s="3579"/>
      <c r="UVM54" s="3579"/>
      <c r="UVN54" s="3579"/>
      <c r="UVO54" s="3579"/>
      <c r="UVP54" s="3579"/>
      <c r="UVQ54" s="3579"/>
      <c r="UVR54" s="3579"/>
      <c r="UVS54" s="3579"/>
      <c r="UVT54" s="3579"/>
      <c r="UVU54" s="3579"/>
      <c r="UVV54" s="3579"/>
      <c r="UVW54" s="3579"/>
      <c r="UVX54" s="3579"/>
      <c r="UVY54" s="3579"/>
      <c r="UVZ54" s="3579"/>
      <c r="UWA54" s="3579"/>
      <c r="UWB54" s="3579"/>
      <c r="UWC54" s="3579"/>
      <c r="UWD54" s="3579"/>
      <c r="UWE54" s="3579"/>
      <c r="UWF54" s="3579"/>
      <c r="UWG54" s="3579"/>
      <c r="UWH54" s="3579"/>
      <c r="UWI54" s="3579"/>
      <c r="UWJ54" s="3579"/>
      <c r="UWK54" s="3579"/>
      <c r="UWL54" s="3579"/>
      <c r="UWM54" s="3579"/>
      <c r="UWN54" s="3579"/>
      <c r="UWO54" s="3579"/>
      <c r="UWP54" s="3579"/>
      <c r="UWQ54" s="3579"/>
      <c r="UWR54" s="3579"/>
      <c r="UWS54" s="3579"/>
      <c r="UWT54" s="3579"/>
      <c r="UWU54" s="3579"/>
      <c r="UWV54" s="3579"/>
      <c r="UWW54" s="3579"/>
      <c r="UWX54" s="3579"/>
      <c r="UWY54" s="3579"/>
      <c r="UWZ54" s="3579"/>
      <c r="UXA54" s="3579"/>
      <c r="UXB54" s="3579"/>
      <c r="UXC54" s="3579"/>
      <c r="UXD54" s="3579"/>
      <c r="UXE54" s="3579"/>
      <c r="UXF54" s="3579"/>
      <c r="UXG54" s="3579"/>
      <c r="UXH54" s="3579"/>
      <c r="UXI54" s="3579"/>
      <c r="UXJ54" s="3579"/>
      <c r="UXK54" s="3579"/>
      <c r="UXL54" s="3579"/>
      <c r="UXM54" s="3579"/>
      <c r="UXN54" s="3579"/>
      <c r="UXO54" s="3579"/>
      <c r="UXP54" s="3579"/>
      <c r="UXQ54" s="3579"/>
      <c r="UXR54" s="3579"/>
      <c r="UXS54" s="3579"/>
      <c r="UXT54" s="3579"/>
      <c r="UXU54" s="3579"/>
      <c r="UXV54" s="3579"/>
      <c r="UXW54" s="3579"/>
      <c r="UXX54" s="3579"/>
      <c r="UXY54" s="3579"/>
      <c r="UXZ54" s="3579"/>
      <c r="UYA54" s="3579"/>
      <c r="UYB54" s="3579"/>
      <c r="UYC54" s="3579"/>
      <c r="UYD54" s="3579"/>
      <c r="UYE54" s="3579"/>
      <c r="UYF54" s="3579"/>
      <c r="UYG54" s="3579"/>
      <c r="UYH54" s="3579"/>
      <c r="UYI54" s="3579"/>
      <c r="UYJ54" s="3579"/>
      <c r="UYK54" s="3579"/>
      <c r="UYL54" s="3579"/>
      <c r="UYM54" s="3579"/>
      <c r="UYN54" s="3579"/>
      <c r="UYO54" s="3579"/>
      <c r="UYP54" s="3579"/>
      <c r="UYQ54" s="3579"/>
      <c r="UYR54" s="3579"/>
      <c r="UYS54" s="3579"/>
      <c r="UYT54" s="3579"/>
      <c r="UYU54" s="3579"/>
      <c r="UYV54" s="3579"/>
      <c r="UYW54" s="3579"/>
      <c r="UYX54" s="3579"/>
      <c r="UYY54" s="3579"/>
      <c r="UYZ54" s="3579"/>
      <c r="UZA54" s="3579"/>
      <c r="UZB54" s="3579"/>
      <c r="UZC54" s="3579"/>
      <c r="UZD54" s="3579"/>
      <c r="UZE54" s="3579"/>
      <c r="UZF54" s="3579"/>
      <c r="UZG54" s="3579"/>
      <c r="UZH54" s="3579"/>
      <c r="UZI54" s="3579"/>
      <c r="UZJ54" s="3579"/>
      <c r="UZK54" s="3579"/>
      <c r="UZL54" s="3579"/>
      <c r="UZM54" s="3579"/>
      <c r="UZN54" s="3579"/>
      <c r="UZO54" s="3579"/>
      <c r="UZP54" s="3579"/>
      <c r="UZQ54" s="3579"/>
      <c r="UZR54" s="3579"/>
      <c r="UZS54" s="3579"/>
      <c r="UZT54" s="3579"/>
      <c r="UZU54" s="3579"/>
      <c r="UZV54" s="3579"/>
      <c r="UZW54" s="3579"/>
      <c r="UZX54" s="3579"/>
      <c r="UZY54" s="3579"/>
      <c r="UZZ54" s="3579"/>
      <c r="VAA54" s="3579"/>
      <c r="VAB54" s="3579"/>
      <c r="VAC54" s="3579"/>
      <c r="VAD54" s="3579"/>
      <c r="VAE54" s="3579"/>
      <c r="VAF54" s="3579"/>
      <c r="VAG54" s="3579"/>
      <c r="VAH54" s="3579"/>
      <c r="VAI54" s="3579"/>
      <c r="VAJ54" s="3579"/>
      <c r="VAK54" s="3579"/>
      <c r="VAL54" s="3579"/>
      <c r="VAM54" s="3579"/>
      <c r="VAN54" s="3579"/>
      <c r="VAO54" s="3579"/>
      <c r="VAP54" s="3579"/>
      <c r="VAQ54" s="3579"/>
      <c r="VAR54" s="3579"/>
      <c r="VAS54" s="3579"/>
      <c r="VAT54" s="3579"/>
      <c r="VAU54" s="3579"/>
      <c r="VAV54" s="3579"/>
      <c r="VAW54" s="3579"/>
      <c r="VAX54" s="3579"/>
      <c r="VAY54" s="3579"/>
      <c r="VAZ54" s="3579"/>
      <c r="VBA54" s="3579"/>
      <c r="VBB54" s="3579"/>
      <c r="VBC54" s="3579"/>
      <c r="VBD54" s="3579"/>
      <c r="VBE54" s="3579"/>
      <c r="VBF54" s="3579"/>
      <c r="VBG54" s="3579"/>
      <c r="VBH54" s="3579"/>
      <c r="VBI54" s="3579"/>
      <c r="VBJ54" s="3579"/>
      <c r="VBK54" s="3579"/>
      <c r="VBL54" s="3579"/>
      <c r="VBM54" s="3579"/>
      <c r="VBN54" s="3579"/>
      <c r="VBO54" s="3579"/>
      <c r="VBP54" s="3579"/>
      <c r="VBQ54" s="3579"/>
      <c r="VBR54" s="3579"/>
      <c r="VBS54" s="3579"/>
      <c r="VBT54" s="3579"/>
      <c r="VBU54" s="3579"/>
      <c r="VBV54" s="3579"/>
      <c r="VBW54" s="3579"/>
      <c r="VBX54" s="3579"/>
      <c r="VBY54" s="3579"/>
      <c r="VBZ54" s="3579"/>
      <c r="VCA54" s="3579"/>
      <c r="VCB54" s="3579"/>
      <c r="VCC54" s="3579"/>
      <c r="VCD54" s="3579"/>
      <c r="VCE54" s="3579"/>
      <c r="VCF54" s="3579"/>
      <c r="VCG54" s="3579"/>
      <c r="VCH54" s="3579"/>
      <c r="VCI54" s="3579"/>
      <c r="VCJ54" s="3579"/>
      <c r="VCK54" s="3579"/>
      <c r="VCL54" s="3579"/>
      <c r="VCM54" s="3579"/>
      <c r="VCN54" s="3579"/>
      <c r="VCO54" s="3579"/>
      <c r="VCP54" s="3579"/>
      <c r="VCQ54" s="3579"/>
      <c r="VCR54" s="3579"/>
      <c r="VCS54" s="3579"/>
      <c r="VCT54" s="3579"/>
      <c r="VCU54" s="3579"/>
      <c r="VCV54" s="3579"/>
      <c r="VCW54" s="3579"/>
      <c r="VCX54" s="3579"/>
      <c r="VCY54" s="3579"/>
      <c r="VCZ54" s="3579"/>
      <c r="VDA54" s="3579"/>
      <c r="VDB54" s="3579"/>
      <c r="VDC54" s="3579"/>
      <c r="VDD54" s="3579"/>
      <c r="VDE54" s="3579"/>
      <c r="VDF54" s="3579"/>
      <c r="VDG54" s="3579"/>
      <c r="VDH54" s="3579"/>
      <c r="VDI54" s="3579"/>
      <c r="VDJ54" s="3579"/>
      <c r="VDK54" s="3579"/>
      <c r="VDL54" s="3579"/>
      <c r="VDM54" s="3579"/>
      <c r="VDN54" s="3579"/>
      <c r="VDO54" s="3579"/>
      <c r="VDP54" s="3579"/>
      <c r="VDQ54" s="3579"/>
      <c r="VDR54" s="3579"/>
      <c r="VDS54" s="3579"/>
      <c r="VDT54" s="3579"/>
      <c r="VDU54" s="3579"/>
      <c r="VDV54" s="3579"/>
      <c r="VDW54" s="3579"/>
      <c r="VDX54" s="3579"/>
      <c r="VDY54" s="3579"/>
      <c r="VDZ54" s="3579"/>
      <c r="VEA54" s="3579"/>
      <c r="VEB54" s="3579"/>
      <c r="VEC54" s="3579"/>
      <c r="VED54" s="3579"/>
      <c r="VEE54" s="3579"/>
      <c r="VEF54" s="3579"/>
      <c r="VEG54" s="3579"/>
      <c r="VEH54" s="3579"/>
      <c r="VEI54" s="3579"/>
      <c r="VEJ54" s="3579"/>
      <c r="VEK54" s="3579"/>
      <c r="VEL54" s="3579"/>
      <c r="VEM54" s="3579"/>
      <c r="VEN54" s="3579"/>
      <c r="VEO54" s="3579"/>
      <c r="VEP54" s="3579"/>
      <c r="VEQ54" s="3579"/>
      <c r="VER54" s="3579"/>
      <c r="VES54" s="3579"/>
      <c r="VET54" s="3579"/>
      <c r="VEU54" s="3579"/>
      <c r="VEV54" s="3579"/>
      <c r="VEW54" s="3579"/>
      <c r="VEX54" s="3579"/>
      <c r="VEY54" s="3579"/>
      <c r="VEZ54" s="3579"/>
      <c r="VFA54" s="3579"/>
      <c r="VFB54" s="3579"/>
      <c r="VFC54" s="3579"/>
      <c r="VFD54" s="3579"/>
      <c r="VFE54" s="3579"/>
      <c r="VFF54" s="3579"/>
      <c r="VFG54" s="3579"/>
      <c r="VFH54" s="3579"/>
      <c r="VFI54" s="3579"/>
      <c r="VFJ54" s="3579"/>
      <c r="VFK54" s="3579"/>
      <c r="VFL54" s="3579"/>
      <c r="VFM54" s="3579"/>
      <c r="VFN54" s="3579"/>
      <c r="VFO54" s="3579"/>
      <c r="VFP54" s="3579"/>
      <c r="VFQ54" s="3579"/>
      <c r="VFR54" s="3579"/>
      <c r="VFS54" s="3579"/>
      <c r="VFT54" s="3579"/>
      <c r="VFU54" s="3579"/>
      <c r="VFV54" s="3579"/>
      <c r="VFW54" s="3579"/>
      <c r="VFX54" s="3579"/>
      <c r="VFY54" s="3579"/>
      <c r="VFZ54" s="3579"/>
      <c r="VGA54" s="3579"/>
      <c r="VGB54" s="3579"/>
      <c r="VGC54" s="3579"/>
      <c r="VGD54" s="3579"/>
      <c r="VGE54" s="3579"/>
      <c r="VGF54" s="3579"/>
      <c r="VGG54" s="3579"/>
      <c r="VGH54" s="3579"/>
      <c r="VGI54" s="3579"/>
      <c r="VGJ54" s="3579"/>
      <c r="VGK54" s="3579"/>
      <c r="VGL54" s="3579"/>
      <c r="VGM54" s="3579"/>
      <c r="VGN54" s="3579"/>
      <c r="VGO54" s="3579"/>
      <c r="VGP54" s="3579"/>
      <c r="VGQ54" s="3579"/>
      <c r="VGR54" s="3579"/>
      <c r="VGS54" s="3579"/>
      <c r="VGT54" s="3579"/>
      <c r="VGU54" s="3579"/>
      <c r="VGV54" s="3579"/>
      <c r="VGW54" s="3579"/>
      <c r="VGX54" s="3579"/>
      <c r="VGY54" s="3579"/>
      <c r="VGZ54" s="3579"/>
      <c r="VHA54" s="3579"/>
      <c r="VHB54" s="3579"/>
      <c r="VHC54" s="3579"/>
      <c r="VHD54" s="3579"/>
      <c r="VHE54" s="3579"/>
      <c r="VHF54" s="3579"/>
      <c r="VHG54" s="3579"/>
      <c r="VHH54" s="3579"/>
      <c r="VHI54" s="3579"/>
      <c r="VHJ54" s="3579"/>
      <c r="VHK54" s="3579"/>
      <c r="VHL54" s="3579"/>
      <c r="VHM54" s="3579"/>
      <c r="VHN54" s="3579"/>
      <c r="VHO54" s="3579"/>
      <c r="VHP54" s="3579"/>
      <c r="VHQ54" s="3579"/>
      <c r="VHR54" s="3579"/>
      <c r="VHS54" s="3579"/>
      <c r="VHT54" s="3579"/>
      <c r="VHU54" s="3579"/>
      <c r="VHV54" s="3579"/>
      <c r="VHW54" s="3579"/>
      <c r="VHX54" s="3579"/>
      <c r="VHY54" s="3579"/>
      <c r="VHZ54" s="3579"/>
      <c r="VIA54" s="3579"/>
      <c r="VIB54" s="3579"/>
      <c r="VIC54" s="3579"/>
      <c r="VID54" s="3579"/>
      <c r="VIE54" s="3579"/>
      <c r="VIF54" s="3579"/>
      <c r="VIG54" s="3579"/>
      <c r="VIH54" s="3579"/>
      <c r="VII54" s="3579"/>
      <c r="VIJ54" s="3579"/>
      <c r="VIK54" s="3579"/>
      <c r="VIL54" s="3579"/>
      <c r="VIM54" s="3579"/>
      <c r="VIN54" s="3579"/>
      <c r="VIO54" s="3579"/>
      <c r="VIP54" s="3579"/>
      <c r="VIQ54" s="3579"/>
      <c r="VIR54" s="3579"/>
      <c r="VIS54" s="3579"/>
      <c r="VIT54" s="3579"/>
      <c r="VIU54" s="3579"/>
      <c r="VIV54" s="3579"/>
      <c r="VIW54" s="3579"/>
      <c r="VIX54" s="3579"/>
      <c r="VIY54" s="3579"/>
      <c r="VIZ54" s="3579"/>
      <c r="VJA54" s="3579"/>
      <c r="VJB54" s="3579"/>
      <c r="VJC54" s="3579"/>
      <c r="VJD54" s="3579"/>
      <c r="VJE54" s="3579"/>
      <c r="VJF54" s="3579"/>
      <c r="VJG54" s="3579"/>
      <c r="VJH54" s="3579"/>
      <c r="VJI54" s="3579"/>
      <c r="VJJ54" s="3579"/>
      <c r="VJK54" s="3579"/>
      <c r="VJL54" s="3579"/>
      <c r="VJM54" s="3579"/>
      <c r="VJN54" s="3579"/>
      <c r="VJO54" s="3579"/>
      <c r="VJP54" s="3579"/>
      <c r="VJQ54" s="3579"/>
      <c r="VJR54" s="3579"/>
      <c r="VJS54" s="3579"/>
      <c r="VJT54" s="3579"/>
      <c r="VJU54" s="3579"/>
      <c r="VJV54" s="3579"/>
      <c r="VJW54" s="3579"/>
      <c r="VJX54" s="3579"/>
      <c r="VJY54" s="3579"/>
      <c r="VJZ54" s="3579"/>
      <c r="VKA54" s="3579"/>
      <c r="VKB54" s="3579"/>
      <c r="VKC54" s="3579"/>
      <c r="VKD54" s="3579"/>
      <c r="VKE54" s="3579"/>
      <c r="VKF54" s="3579"/>
      <c r="VKG54" s="3579"/>
      <c r="VKH54" s="3579"/>
      <c r="VKI54" s="3579"/>
      <c r="VKJ54" s="3579"/>
      <c r="VKK54" s="3579"/>
      <c r="VKL54" s="3579"/>
      <c r="VKM54" s="3579"/>
      <c r="VKN54" s="3579"/>
      <c r="VKO54" s="3579"/>
      <c r="VKP54" s="3579"/>
      <c r="VKQ54" s="3579"/>
      <c r="VKR54" s="3579"/>
      <c r="VKS54" s="3579"/>
      <c r="VKT54" s="3579"/>
      <c r="VKU54" s="3579"/>
      <c r="VKV54" s="3579"/>
      <c r="VKW54" s="3579"/>
      <c r="VKX54" s="3579"/>
      <c r="VKY54" s="3579"/>
      <c r="VKZ54" s="3579"/>
      <c r="VLA54" s="3579"/>
      <c r="VLB54" s="3579"/>
      <c r="VLC54" s="3579"/>
      <c r="VLD54" s="3579"/>
      <c r="VLE54" s="3579"/>
      <c r="VLF54" s="3579"/>
      <c r="VLG54" s="3579"/>
      <c r="VLH54" s="3579"/>
      <c r="VLI54" s="3579"/>
      <c r="VLJ54" s="3579"/>
      <c r="VLK54" s="3579"/>
      <c r="VLL54" s="3579"/>
      <c r="VLM54" s="3579"/>
      <c r="VLN54" s="3579"/>
      <c r="VLO54" s="3579"/>
      <c r="VLP54" s="3579"/>
      <c r="VLQ54" s="3579"/>
      <c r="VLR54" s="3579"/>
      <c r="VLS54" s="3579"/>
      <c r="VLT54" s="3579"/>
      <c r="VLU54" s="3579"/>
      <c r="VLV54" s="3579"/>
      <c r="VLW54" s="3579"/>
      <c r="VLX54" s="3579"/>
      <c r="VLY54" s="3579"/>
      <c r="VLZ54" s="3579"/>
      <c r="VMA54" s="3579"/>
      <c r="VMB54" s="3579"/>
      <c r="VMC54" s="3579"/>
      <c r="VMD54" s="3579"/>
      <c r="VME54" s="3579"/>
      <c r="VMF54" s="3579"/>
      <c r="VMG54" s="3579"/>
      <c r="VMH54" s="3579"/>
      <c r="VMI54" s="3579"/>
      <c r="VMJ54" s="3579"/>
      <c r="VMK54" s="3579"/>
      <c r="VML54" s="3579"/>
      <c r="VMM54" s="3579"/>
      <c r="VMN54" s="3579"/>
      <c r="VMO54" s="3579"/>
      <c r="VMP54" s="3579"/>
      <c r="VMQ54" s="3579"/>
      <c r="VMR54" s="3579"/>
      <c r="VMS54" s="3579"/>
      <c r="VMT54" s="3579"/>
      <c r="VMU54" s="3579"/>
      <c r="VMV54" s="3579"/>
      <c r="VMW54" s="3579"/>
      <c r="VMX54" s="3579"/>
      <c r="VMY54" s="3579"/>
      <c r="VMZ54" s="3579"/>
      <c r="VNA54" s="3579"/>
      <c r="VNB54" s="3579"/>
      <c r="VNC54" s="3579"/>
      <c r="VND54" s="3579"/>
      <c r="VNE54" s="3579"/>
      <c r="VNF54" s="3579"/>
      <c r="VNG54" s="3579"/>
      <c r="VNH54" s="3579"/>
      <c r="VNI54" s="3579"/>
      <c r="VNJ54" s="3579"/>
      <c r="VNK54" s="3579"/>
      <c r="VNL54" s="3579"/>
      <c r="VNM54" s="3579"/>
      <c r="VNN54" s="3579"/>
      <c r="VNO54" s="3579"/>
      <c r="VNP54" s="3579"/>
      <c r="VNQ54" s="3579"/>
      <c r="VNR54" s="3579"/>
      <c r="VNS54" s="3579"/>
      <c r="VNT54" s="3579"/>
      <c r="VNU54" s="3579"/>
      <c r="VNV54" s="3579"/>
      <c r="VNW54" s="3579"/>
      <c r="VNX54" s="3579"/>
      <c r="VNY54" s="3579"/>
      <c r="VNZ54" s="3579"/>
      <c r="VOA54" s="3579"/>
      <c r="VOB54" s="3579"/>
      <c r="VOC54" s="3579"/>
      <c r="VOD54" s="3579"/>
      <c r="VOE54" s="3579"/>
      <c r="VOF54" s="3579"/>
      <c r="VOG54" s="3579"/>
      <c r="VOH54" s="3579"/>
      <c r="VOI54" s="3579"/>
      <c r="VOJ54" s="3579"/>
      <c r="VOK54" s="3579"/>
      <c r="VOL54" s="3579"/>
      <c r="VOM54" s="3579"/>
      <c r="VON54" s="3579"/>
      <c r="VOO54" s="3579"/>
      <c r="VOP54" s="3579"/>
      <c r="VOQ54" s="3579"/>
      <c r="VOR54" s="3579"/>
      <c r="VOS54" s="3579"/>
      <c r="VOT54" s="3579"/>
      <c r="VOU54" s="3579"/>
      <c r="VOV54" s="3579"/>
      <c r="VOW54" s="3579"/>
      <c r="VOX54" s="3579"/>
      <c r="VOY54" s="3579"/>
      <c r="VOZ54" s="3579"/>
      <c r="VPA54" s="3579"/>
      <c r="VPB54" s="3579"/>
      <c r="VPC54" s="3579"/>
      <c r="VPD54" s="3579"/>
      <c r="VPE54" s="3579"/>
      <c r="VPF54" s="3579"/>
      <c r="VPG54" s="3579"/>
      <c r="VPH54" s="3579"/>
      <c r="VPI54" s="3579"/>
      <c r="VPJ54" s="3579"/>
      <c r="VPK54" s="3579"/>
      <c r="VPL54" s="3579"/>
      <c r="VPM54" s="3579"/>
      <c r="VPN54" s="3579"/>
      <c r="VPO54" s="3579"/>
      <c r="VPP54" s="3579"/>
      <c r="VPQ54" s="3579"/>
      <c r="VPR54" s="3579"/>
      <c r="VPS54" s="3579"/>
      <c r="VPT54" s="3579"/>
      <c r="VPU54" s="3579"/>
      <c r="VPV54" s="3579"/>
      <c r="VPW54" s="3579"/>
      <c r="VPX54" s="3579"/>
      <c r="VPY54" s="3579"/>
      <c r="VPZ54" s="3579"/>
      <c r="VQA54" s="3579"/>
      <c r="VQB54" s="3579"/>
      <c r="VQC54" s="3579"/>
      <c r="VQD54" s="3579"/>
      <c r="VQE54" s="3579"/>
      <c r="VQF54" s="3579"/>
      <c r="VQG54" s="3579"/>
      <c r="VQH54" s="3579"/>
      <c r="VQI54" s="3579"/>
      <c r="VQJ54" s="3579"/>
      <c r="VQK54" s="3579"/>
      <c r="VQL54" s="3579"/>
      <c r="VQM54" s="3579"/>
      <c r="VQN54" s="3579"/>
      <c r="VQO54" s="3579"/>
      <c r="VQP54" s="3579"/>
      <c r="VQQ54" s="3579"/>
      <c r="VQR54" s="3579"/>
      <c r="VQS54" s="3579"/>
      <c r="VQT54" s="3579"/>
      <c r="VQU54" s="3579"/>
      <c r="VQV54" s="3579"/>
      <c r="VQW54" s="3579"/>
      <c r="VQX54" s="3579"/>
      <c r="VQY54" s="3579"/>
      <c r="VQZ54" s="3579"/>
      <c r="VRA54" s="3579"/>
      <c r="VRB54" s="3579"/>
      <c r="VRC54" s="3579"/>
      <c r="VRD54" s="3579"/>
      <c r="VRE54" s="3579"/>
      <c r="VRF54" s="3579"/>
      <c r="VRG54" s="3579"/>
      <c r="VRH54" s="3579"/>
      <c r="VRI54" s="3579"/>
      <c r="VRJ54" s="3579"/>
      <c r="VRK54" s="3579"/>
      <c r="VRL54" s="3579"/>
      <c r="VRM54" s="3579"/>
      <c r="VRN54" s="3579"/>
      <c r="VRO54" s="3579"/>
      <c r="VRP54" s="3579"/>
      <c r="VRQ54" s="3579"/>
      <c r="VRR54" s="3579"/>
      <c r="VRS54" s="3579"/>
      <c r="VRT54" s="3579"/>
      <c r="VRU54" s="3579"/>
      <c r="VRV54" s="3579"/>
      <c r="VRW54" s="3579"/>
      <c r="VRX54" s="3579"/>
      <c r="VRY54" s="3579"/>
      <c r="VRZ54" s="3579"/>
      <c r="VSA54" s="3579"/>
      <c r="VSB54" s="3579"/>
      <c r="VSC54" s="3579"/>
      <c r="VSD54" s="3579"/>
      <c r="VSE54" s="3579"/>
      <c r="VSF54" s="3579"/>
      <c r="VSG54" s="3579"/>
      <c r="VSH54" s="3579"/>
      <c r="VSI54" s="3579"/>
      <c r="VSJ54" s="3579"/>
      <c r="VSK54" s="3579"/>
      <c r="VSL54" s="3579"/>
      <c r="VSM54" s="3579"/>
      <c r="VSN54" s="3579"/>
      <c r="VSO54" s="3579"/>
      <c r="VSP54" s="3579"/>
      <c r="VSQ54" s="3579"/>
      <c r="VSR54" s="3579"/>
      <c r="VSS54" s="3579"/>
      <c r="VST54" s="3579"/>
      <c r="VSU54" s="3579"/>
      <c r="VSV54" s="3579"/>
      <c r="VSW54" s="3579"/>
      <c r="VSX54" s="3579"/>
      <c r="VSY54" s="3579"/>
      <c r="VSZ54" s="3579"/>
      <c r="VTA54" s="3579"/>
      <c r="VTB54" s="3579"/>
      <c r="VTC54" s="3579"/>
      <c r="VTD54" s="3579"/>
      <c r="VTE54" s="3579"/>
      <c r="VTF54" s="3579"/>
      <c r="VTG54" s="3579"/>
      <c r="VTH54" s="3579"/>
      <c r="VTI54" s="3579"/>
      <c r="VTJ54" s="3579"/>
      <c r="VTK54" s="3579"/>
      <c r="VTL54" s="3579"/>
      <c r="VTM54" s="3579"/>
      <c r="VTN54" s="3579"/>
      <c r="VTO54" s="3579"/>
      <c r="VTP54" s="3579"/>
      <c r="VTQ54" s="3579"/>
      <c r="VTR54" s="3579"/>
      <c r="VTS54" s="3579"/>
      <c r="VTT54" s="3579"/>
      <c r="VTU54" s="3579"/>
      <c r="VTV54" s="3579"/>
      <c r="VTW54" s="3579"/>
      <c r="VTX54" s="3579"/>
      <c r="VTY54" s="3579"/>
      <c r="VTZ54" s="3579"/>
      <c r="VUA54" s="3579"/>
      <c r="VUB54" s="3579"/>
      <c r="VUC54" s="3579"/>
      <c r="VUD54" s="3579"/>
      <c r="VUE54" s="3579"/>
      <c r="VUF54" s="3579"/>
      <c r="VUG54" s="3579"/>
      <c r="VUH54" s="3579"/>
      <c r="VUI54" s="3579"/>
      <c r="VUJ54" s="3579"/>
      <c r="VUK54" s="3579"/>
      <c r="VUL54" s="3579"/>
      <c r="VUM54" s="3579"/>
      <c r="VUN54" s="3579"/>
      <c r="VUO54" s="3579"/>
      <c r="VUP54" s="3579"/>
      <c r="VUQ54" s="3579"/>
      <c r="VUR54" s="3579"/>
      <c r="VUS54" s="3579"/>
      <c r="VUT54" s="3579"/>
      <c r="VUU54" s="3579"/>
      <c r="VUV54" s="3579"/>
      <c r="VUW54" s="3579"/>
      <c r="VUX54" s="3579"/>
      <c r="VUY54" s="3579"/>
      <c r="VUZ54" s="3579"/>
      <c r="VVA54" s="3579"/>
      <c r="VVB54" s="3579"/>
      <c r="VVC54" s="3579"/>
      <c r="VVD54" s="3579"/>
      <c r="VVE54" s="3579"/>
      <c r="VVF54" s="3579"/>
      <c r="VVG54" s="3579"/>
      <c r="VVH54" s="3579"/>
      <c r="VVI54" s="3579"/>
      <c r="VVJ54" s="3579"/>
      <c r="VVK54" s="3579"/>
      <c r="VVL54" s="3579"/>
      <c r="VVM54" s="3579"/>
      <c r="VVN54" s="3579"/>
      <c r="VVO54" s="3579"/>
      <c r="VVP54" s="3579"/>
      <c r="VVQ54" s="3579"/>
      <c r="VVR54" s="3579"/>
      <c r="VVS54" s="3579"/>
      <c r="VVT54" s="3579"/>
      <c r="VVU54" s="3579"/>
      <c r="VVV54" s="3579"/>
      <c r="VVW54" s="3579"/>
      <c r="VVX54" s="3579"/>
      <c r="VVY54" s="3579"/>
      <c r="VVZ54" s="3579"/>
      <c r="VWA54" s="3579"/>
      <c r="VWB54" s="3579"/>
      <c r="VWC54" s="3579"/>
      <c r="VWD54" s="3579"/>
      <c r="VWE54" s="3579"/>
      <c r="VWF54" s="3579"/>
      <c r="VWG54" s="3579"/>
      <c r="VWH54" s="3579"/>
      <c r="VWI54" s="3579"/>
      <c r="VWJ54" s="3579"/>
      <c r="VWK54" s="3579"/>
      <c r="VWL54" s="3579"/>
      <c r="VWM54" s="3579"/>
      <c r="VWN54" s="3579"/>
      <c r="VWO54" s="3579"/>
      <c r="VWP54" s="3579"/>
      <c r="VWQ54" s="3579"/>
      <c r="VWR54" s="3579"/>
      <c r="VWS54" s="3579"/>
      <c r="VWT54" s="3579"/>
      <c r="VWU54" s="3579"/>
      <c r="VWV54" s="3579"/>
      <c r="VWW54" s="3579"/>
      <c r="VWX54" s="3579"/>
      <c r="VWY54" s="3579"/>
      <c r="VWZ54" s="3579"/>
      <c r="VXA54" s="3579"/>
      <c r="VXB54" s="3579"/>
      <c r="VXC54" s="3579"/>
      <c r="VXD54" s="3579"/>
      <c r="VXE54" s="3579"/>
      <c r="VXF54" s="3579"/>
      <c r="VXG54" s="3579"/>
      <c r="VXH54" s="3579"/>
      <c r="VXI54" s="3579"/>
      <c r="VXJ54" s="3579"/>
      <c r="VXK54" s="3579"/>
      <c r="VXL54" s="3579"/>
      <c r="VXM54" s="3579"/>
      <c r="VXN54" s="3579"/>
      <c r="VXO54" s="3579"/>
      <c r="VXP54" s="3579"/>
      <c r="VXQ54" s="3579"/>
      <c r="VXR54" s="3579"/>
      <c r="VXS54" s="3579"/>
      <c r="VXT54" s="3579"/>
      <c r="VXU54" s="3579"/>
      <c r="VXV54" s="3579"/>
      <c r="VXW54" s="3579"/>
      <c r="VXX54" s="3579"/>
      <c r="VXY54" s="3579"/>
      <c r="VXZ54" s="3579"/>
      <c r="VYA54" s="3579"/>
      <c r="VYB54" s="3579"/>
      <c r="VYC54" s="3579"/>
      <c r="VYD54" s="3579"/>
      <c r="VYE54" s="3579"/>
      <c r="VYF54" s="3579"/>
      <c r="VYG54" s="3579"/>
      <c r="VYH54" s="3579"/>
      <c r="VYI54" s="3579"/>
      <c r="VYJ54" s="3579"/>
      <c r="VYK54" s="3579"/>
      <c r="VYL54" s="3579"/>
      <c r="VYM54" s="3579"/>
      <c r="VYN54" s="3579"/>
      <c r="VYO54" s="3579"/>
      <c r="VYP54" s="3579"/>
      <c r="VYQ54" s="3579"/>
      <c r="VYR54" s="3579"/>
      <c r="VYS54" s="3579"/>
      <c r="VYT54" s="3579"/>
      <c r="VYU54" s="3579"/>
      <c r="VYV54" s="3579"/>
      <c r="VYW54" s="3579"/>
      <c r="VYX54" s="3579"/>
      <c r="VYY54" s="3579"/>
      <c r="VYZ54" s="3579"/>
      <c r="VZA54" s="3579"/>
      <c r="VZB54" s="3579"/>
      <c r="VZC54" s="3579"/>
      <c r="VZD54" s="3579"/>
      <c r="VZE54" s="3579"/>
      <c r="VZF54" s="3579"/>
      <c r="VZG54" s="3579"/>
      <c r="VZH54" s="3579"/>
      <c r="VZI54" s="3579"/>
      <c r="VZJ54" s="3579"/>
      <c r="VZK54" s="3579"/>
      <c r="VZL54" s="3579"/>
      <c r="VZM54" s="3579"/>
      <c r="VZN54" s="3579"/>
      <c r="VZO54" s="3579"/>
      <c r="VZP54" s="3579"/>
      <c r="VZQ54" s="3579"/>
      <c r="VZR54" s="3579"/>
      <c r="VZS54" s="3579"/>
      <c r="VZT54" s="3579"/>
      <c r="VZU54" s="3579"/>
      <c r="VZV54" s="3579"/>
      <c r="VZW54" s="3579"/>
      <c r="VZX54" s="3579"/>
      <c r="VZY54" s="3579"/>
      <c r="VZZ54" s="3579"/>
      <c r="WAA54" s="3579"/>
      <c r="WAB54" s="3579"/>
      <c r="WAC54" s="3579"/>
      <c r="WAD54" s="3579"/>
      <c r="WAE54" s="3579"/>
      <c r="WAF54" s="3579"/>
      <c r="WAG54" s="3579"/>
      <c r="WAH54" s="3579"/>
      <c r="WAI54" s="3579"/>
      <c r="WAJ54" s="3579"/>
      <c r="WAK54" s="3579"/>
      <c r="WAL54" s="3579"/>
      <c r="WAM54" s="3579"/>
      <c r="WAN54" s="3579"/>
      <c r="WAO54" s="3579"/>
      <c r="WAP54" s="3579"/>
      <c r="WAQ54" s="3579"/>
      <c r="WAR54" s="3579"/>
      <c r="WAS54" s="3579"/>
      <c r="WAT54" s="3579"/>
      <c r="WAU54" s="3579"/>
      <c r="WAV54" s="3579"/>
      <c r="WAW54" s="3579"/>
      <c r="WAX54" s="3579"/>
      <c r="WAY54" s="3579"/>
      <c r="WAZ54" s="3579"/>
      <c r="WBA54" s="3579"/>
      <c r="WBB54" s="3579"/>
      <c r="WBC54" s="3579"/>
      <c r="WBD54" s="3579"/>
      <c r="WBE54" s="3579"/>
      <c r="WBF54" s="3579"/>
      <c r="WBG54" s="3579"/>
      <c r="WBH54" s="3579"/>
      <c r="WBI54" s="3579"/>
      <c r="WBJ54" s="3579"/>
      <c r="WBK54" s="3579"/>
      <c r="WBL54" s="3579"/>
      <c r="WBM54" s="3579"/>
      <c r="WBN54" s="3579"/>
      <c r="WBO54" s="3579"/>
      <c r="WBP54" s="3579"/>
      <c r="WBQ54" s="3579"/>
      <c r="WBR54" s="3579"/>
      <c r="WBS54" s="3579"/>
      <c r="WBT54" s="3579"/>
      <c r="WBU54" s="3579"/>
      <c r="WBV54" s="3579"/>
      <c r="WBW54" s="3579"/>
      <c r="WBX54" s="3579"/>
      <c r="WBY54" s="3579"/>
      <c r="WBZ54" s="3579"/>
      <c r="WCA54" s="3579"/>
      <c r="WCB54" s="3579"/>
      <c r="WCC54" s="3579"/>
      <c r="WCD54" s="3579"/>
      <c r="WCE54" s="3579"/>
      <c r="WCF54" s="3579"/>
      <c r="WCG54" s="3579"/>
      <c r="WCH54" s="3579"/>
      <c r="WCI54" s="3579"/>
      <c r="WCJ54" s="3579"/>
      <c r="WCK54" s="3579"/>
      <c r="WCL54" s="3579"/>
      <c r="WCM54" s="3579"/>
      <c r="WCN54" s="3579"/>
      <c r="WCO54" s="3579"/>
      <c r="WCP54" s="3579"/>
      <c r="WCQ54" s="3579"/>
      <c r="WCR54" s="3579"/>
      <c r="WCS54" s="3579"/>
      <c r="WCT54" s="3579"/>
      <c r="WCU54" s="3579"/>
      <c r="WCV54" s="3579"/>
      <c r="WCW54" s="3579"/>
      <c r="WCX54" s="3579"/>
      <c r="WCY54" s="3579"/>
      <c r="WCZ54" s="3579"/>
      <c r="WDA54" s="3579"/>
      <c r="WDB54" s="3579"/>
      <c r="WDC54" s="3579"/>
      <c r="WDD54" s="3579"/>
      <c r="WDE54" s="3579"/>
      <c r="WDF54" s="3579"/>
      <c r="WDG54" s="3579"/>
      <c r="WDH54" s="3579"/>
      <c r="WDI54" s="3579"/>
      <c r="WDJ54" s="3579"/>
      <c r="WDK54" s="3579"/>
      <c r="WDL54" s="3579"/>
      <c r="WDM54" s="3579"/>
      <c r="WDN54" s="3579"/>
      <c r="WDO54" s="3579"/>
      <c r="WDP54" s="3579"/>
      <c r="WDQ54" s="3579"/>
      <c r="WDR54" s="3579"/>
      <c r="WDS54" s="3579"/>
      <c r="WDT54" s="3579"/>
      <c r="WDU54" s="3579"/>
      <c r="WDV54" s="3579"/>
      <c r="WDW54" s="3579"/>
      <c r="WDX54" s="3579"/>
      <c r="WDY54" s="3579"/>
      <c r="WDZ54" s="3579"/>
      <c r="WEA54" s="3579"/>
      <c r="WEB54" s="3579"/>
      <c r="WEC54" s="3579"/>
      <c r="WED54" s="3579"/>
      <c r="WEE54" s="3579"/>
      <c r="WEF54" s="3579"/>
      <c r="WEG54" s="3579"/>
      <c r="WEH54" s="3579"/>
      <c r="WEI54" s="3579"/>
      <c r="WEJ54" s="3579"/>
      <c r="WEK54" s="3579"/>
      <c r="WEL54" s="3579"/>
      <c r="WEM54" s="3579"/>
      <c r="WEN54" s="3579"/>
      <c r="WEO54" s="3579"/>
      <c r="WEP54" s="3579"/>
      <c r="WEQ54" s="3579"/>
      <c r="WER54" s="3579"/>
      <c r="WES54" s="3579"/>
      <c r="WET54" s="3579"/>
      <c r="WEU54" s="3579"/>
      <c r="WEV54" s="3579"/>
      <c r="WEW54" s="3579"/>
      <c r="WEX54" s="3579"/>
      <c r="WEY54" s="3579"/>
      <c r="WEZ54" s="3579"/>
      <c r="WFA54" s="3579"/>
      <c r="WFB54" s="3579"/>
      <c r="WFC54" s="3579"/>
      <c r="WFD54" s="3579"/>
      <c r="WFE54" s="3579"/>
      <c r="WFF54" s="3579"/>
      <c r="WFG54" s="3579"/>
      <c r="WFH54" s="3579"/>
      <c r="WFI54" s="3579"/>
      <c r="WFJ54" s="3579"/>
      <c r="WFK54" s="3579"/>
      <c r="WFL54" s="3579"/>
      <c r="WFM54" s="3579"/>
      <c r="WFN54" s="3579"/>
      <c r="WFO54" s="3579"/>
      <c r="WFP54" s="3579"/>
      <c r="WFQ54" s="3579"/>
      <c r="WFR54" s="3579"/>
      <c r="WFS54" s="3579"/>
      <c r="WFT54" s="3579"/>
      <c r="WFU54" s="3579"/>
      <c r="WFV54" s="3579"/>
      <c r="WFW54" s="3579"/>
      <c r="WFX54" s="3579"/>
      <c r="WFY54" s="3579"/>
      <c r="WFZ54" s="3579"/>
      <c r="WGA54" s="3579"/>
      <c r="WGB54" s="3579"/>
      <c r="WGC54" s="3579"/>
      <c r="WGD54" s="3579"/>
      <c r="WGE54" s="3579"/>
      <c r="WGF54" s="3579"/>
      <c r="WGG54" s="3579"/>
      <c r="WGH54" s="3579"/>
      <c r="WGI54" s="3579"/>
      <c r="WGJ54" s="3579"/>
      <c r="WGK54" s="3579"/>
      <c r="WGL54" s="3579"/>
      <c r="WGM54" s="3579"/>
      <c r="WGN54" s="3579"/>
      <c r="WGO54" s="3579"/>
      <c r="WGP54" s="3579"/>
      <c r="WGQ54" s="3579"/>
      <c r="WGR54" s="3579"/>
      <c r="WGS54" s="3579"/>
      <c r="WGT54" s="3579"/>
      <c r="WGU54" s="3579"/>
      <c r="WGV54" s="3579"/>
      <c r="WGW54" s="3579"/>
      <c r="WGX54" s="3579"/>
      <c r="WGY54" s="3579"/>
      <c r="WGZ54" s="3579"/>
      <c r="WHA54" s="3579"/>
      <c r="WHB54" s="3579"/>
      <c r="WHC54" s="3579"/>
      <c r="WHD54" s="3579"/>
      <c r="WHE54" s="3579"/>
      <c r="WHF54" s="3579"/>
      <c r="WHG54" s="3579"/>
      <c r="WHH54" s="3579"/>
      <c r="WHI54" s="3579"/>
      <c r="WHJ54" s="3579"/>
      <c r="WHK54" s="3579"/>
      <c r="WHL54" s="3579"/>
      <c r="WHM54" s="3579"/>
      <c r="WHN54" s="3579"/>
      <c r="WHO54" s="3579"/>
      <c r="WHP54" s="3579"/>
      <c r="WHQ54" s="3579"/>
      <c r="WHR54" s="3579"/>
      <c r="WHS54" s="3579"/>
      <c r="WHT54" s="3579"/>
      <c r="WHU54" s="3579"/>
      <c r="WHV54" s="3579"/>
      <c r="WHW54" s="3579"/>
      <c r="WHX54" s="3579"/>
      <c r="WHY54" s="3579"/>
      <c r="WHZ54" s="3579"/>
      <c r="WIA54" s="3579"/>
      <c r="WIB54" s="3579"/>
      <c r="WIC54" s="3579"/>
      <c r="WID54" s="3579"/>
      <c r="WIE54" s="3579"/>
      <c r="WIF54" s="3579"/>
      <c r="WIG54" s="3579"/>
      <c r="WIH54" s="3579"/>
      <c r="WII54" s="3579"/>
      <c r="WIJ54" s="3579"/>
      <c r="WIK54" s="3579"/>
      <c r="WIL54" s="3579"/>
      <c r="WIM54" s="3579"/>
      <c r="WIN54" s="3579"/>
      <c r="WIO54" s="3579"/>
      <c r="WIP54" s="3579"/>
      <c r="WIQ54" s="3579"/>
      <c r="WIR54" s="3579"/>
      <c r="WIS54" s="3579"/>
      <c r="WIT54" s="3579"/>
      <c r="WIU54" s="3579"/>
      <c r="WIV54" s="3579"/>
      <c r="WIW54" s="3579"/>
      <c r="WIX54" s="3579"/>
      <c r="WIY54" s="3579"/>
      <c r="WIZ54" s="3579"/>
      <c r="WJA54" s="3579"/>
      <c r="WJB54" s="3579"/>
      <c r="WJC54" s="3579"/>
      <c r="WJD54" s="3579"/>
      <c r="WJE54" s="3579"/>
      <c r="WJF54" s="3579"/>
      <c r="WJG54" s="3579"/>
      <c r="WJH54" s="3579"/>
      <c r="WJI54" s="3579"/>
      <c r="WJJ54" s="3579"/>
      <c r="WJK54" s="3579"/>
      <c r="WJL54" s="3579"/>
      <c r="WJM54" s="3579"/>
      <c r="WJN54" s="3579"/>
      <c r="WJO54" s="3579"/>
      <c r="WJP54" s="3579"/>
      <c r="WJQ54" s="3579"/>
      <c r="WJR54" s="3579"/>
      <c r="WJS54" s="3579"/>
      <c r="WJT54" s="3579"/>
      <c r="WJU54" s="3579"/>
      <c r="WJV54" s="3579"/>
      <c r="WJW54" s="3579"/>
      <c r="WJX54" s="3579"/>
      <c r="WJY54" s="3579"/>
      <c r="WJZ54" s="3579"/>
      <c r="WKA54" s="3579"/>
      <c r="WKB54" s="3579"/>
      <c r="WKC54" s="3579"/>
      <c r="WKD54" s="3579"/>
      <c r="WKE54" s="3579"/>
      <c r="WKF54" s="3579"/>
      <c r="WKG54" s="3579"/>
      <c r="WKH54" s="3579"/>
      <c r="WKI54" s="3579"/>
      <c r="WKJ54" s="3579"/>
      <c r="WKK54" s="3579"/>
      <c r="WKL54" s="3579"/>
      <c r="WKM54" s="3579"/>
      <c r="WKN54" s="3579"/>
      <c r="WKO54" s="3579"/>
      <c r="WKP54" s="3579"/>
      <c r="WKQ54" s="3579"/>
      <c r="WKR54" s="3579"/>
      <c r="WKS54" s="3579"/>
      <c r="WKT54" s="3579"/>
      <c r="WKU54" s="3579"/>
      <c r="WKV54" s="3579"/>
      <c r="WKW54" s="3579"/>
      <c r="WKX54" s="3579"/>
      <c r="WKY54" s="3579"/>
      <c r="WKZ54" s="3579"/>
      <c r="WLA54" s="3579"/>
      <c r="WLB54" s="3579"/>
      <c r="WLC54" s="3579"/>
      <c r="WLD54" s="3579"/>
      <c r="WLE54" s="3579"/>
      <c r="WLF54" s="3579"/>
      <c r="WLG54" s="3579"/>
      <c r="WLH54" s="3579"/>
      <c r="WLI54" s="3579"/>
      <c r="WLJ54" s="3579"/>
      <c r="WLK54" s="3579"/>
      <c r="WLL54" s="3579"/>
      <c r="WLM54" s="3579"/>
      <c r="WLN54" s="3579"/>
      <c r="WLO54" s="3579"/>
      <c r="WLP54" s="3579"/>
      <c r="WLQ54" s="3579"/>
      <c r="WLR54" s="3579"/>
      <c r="WLS54" s="3579"/>
      <c r="WLT54" s="3579"/>
      <c r="WLU54" s="3579"/>
      <c r="WLV54" s="3579"/>
      <c r="WLW54" s="3579"/>
      <c r="WLX54" s="3579"/>
      <c r="WLY54" s="3579"/>
      <c r="WLZ54" s="3579"/>
      <c r="WMA54" s="3579"/>
      <c r="WMB54" s="3579"/>
      <c r="WMC54" s="3579"/>
      <c r="WMD54" s="3579"/>
      <c r="WME54" s="3579"/>
      <c r="WMF54" s="3579"/>
      <c r="WMG54" s="3579"/>
      <c r="WMH54" s="3579"/>
      <c r="WMI54" s="3579"/>
      <c r="WMJ54" s="3579"/>
      <c r="WMK54" s="3579"/>
      <c r="WML54" s="3579"/>
      <c r="WMM54" s="3579"/>
      <c r="WMN54" s="3579"/>
      <c r="WMO54" s="3579"/>
      <c r="WMP54" s="3579"/>
      <c r="WMQ54" s="3579"/>
      <c r="WMR54" s="3579"/>
      <c r="WMS54" s="3579"/>
      <c r="WMT54" s="3579"/>
      <c r="WMU54" s="3579"/>
      <c r="WMV54" s="3579"/>
      <c r="WMW54" s="3579"/>
      <c r="WMX54" s="3579"/>
      <c r="WMY54" s="3579"/>
      <c r="WMZ54" s="3579"/>
      <c r="WNA54" s="3579"/>
      <c r="WNB54" s="3579"/>
      <c r="WNC54" s="3579"/>
      <c r="WND54" s="3579"/>
      <c r="WNE54" s="3579"/>
      <c r="WNF54" s="3579"/>
      <c r="WNG54" s="3579"/>
      <c r="WNH54" s="3579"/>
      <c r="WNI54" s="3579"/>
      <c r="WNJ54" s="3579"/>
      <c r="WNK54" s="3579"/>
      <c r="WNL54" s="3579"/>
      <c r="WNM54" s="3579"/>
      <c r="WNN54" s="3579"/>
      <c r="WNO54" s="3579"/>
      <c r="WNP54" s="3579"/>
      <c r="WNQ54" s="3579"/>
      <c r="WNR54" s="3579"/>
      <c r="WNS54" s="3579"/>
      <c r="WNT54" s="3579"/>
      <c r="WNU54" s="3579"/>
      <c r="WNV54" s="3579"/>
      <c r="WNW54" s="3579"/>
      <c r="WNX54" s="3579"/>
      <c r="WNY54" s="3579"/>
      <c r="WNZ54" s="3579"/>
      <c r="WOA54" s="3579"/>
      <c r="WOB54" s="3579"/>
      <c r="WOC54" s="3579"/>
      <c r="WOD54" s="3579"/>
      <c r="WOE54" s="3579"/>
      <c r="WOF54" s="3579"/>
      <c r="WOG54" s="3579"/>
      <c r="WOH54" s="3579"/>
      <c r="WOI54" s="3579"/>
      <c r="WOJ54" s="3579"/>
      <c r="WOK54" s="3579"/>
      <c r="WOL54" s="3579"/>
      <c r="WOM54" s="3579"/>
      <c r="WON54" s="3579"/>
      <c r="WOO54" s="3579"/>
      <c r="WOP54" s="3579"/>
      <c r="WOQ54" s="3579"/>
      <c r="WOR54" s="3579"/>
      <c r="WOS54" s="3579"/>
      <c r="WOT54" s="3579"/>
      <c r="WOU54" s="3579"/>
      <c r="WOV54" s="3579"/>
      <c r="WOW54" s="3579"/>
      <c r="WOX54" s="3579"/>
      <c r="WOY54" s="3579"/>
      <c r="WOZ54" s="3579"/>
      <c r="WPA54" s="3579"/>
      <c r="WPB54" s="3579"/>
      <c r="WPC54" s="3579"/>
      <c r="WPD54" s="3579"/>
      <c r="WPE54" s="3579"/>
      <c r="WPF54" s="3579"/>
      <c r="WPG54" s="3579"/>
      <c r="WPH54" s="3579"/>
      <c r="WPI54" s="3579"/>
      <c r="WPJ54" s="3579"/>
      <c r="WPK54" s="3579"/>
      <c r="WPL54" s="3579"/>
      <c r="WPM54" s="3579"/>
      <c r="WPN54" s="3579"/>
      <c r="WPO54" s="3579"/>
      <c r="WPP54" s="3579"/>
      <c r="WPQ54" s="3579"/>
      <c r="WPR54" s="3579"/>
      <c r="WPS54" s="3579"/>
      <c r="WPT54" s="3579"/>
      <c r="WPU54" s="3579"/>
      <c r="WPV54" s="3579"/>
      <c r="WPW54" s="3579"/>
      <c r="WPX54" s="3579"/>
      <c r="WPY54" s="3579"/>
      <c r="WPZ54" s="3579"/>
      <c r="WQA54" s="3579"/>
      <c r="WQB54" s="3579"/>
      <c r="WQC54" s="3579"/>
      <c r="WQD54" s="3579"/>
      <c r="WQE54" s="3579"/>
      <c r="WQF54" s="3579"/>
      <c r="WQG54" s="3579"/>
      <c r="WQH54" s="3579"/>
      <c r="WQI54" s="3579"/>
      <c r="WQJ54" s="3579"/>
      <c r="WQK54" s="3579"/>
      <c r="WQL54" s="3579"/>
      <c r="WQM54" s="3579"/>
      <c r="WQN54" s="3579"/>
      <c r="WQO54" s="3579"/>
      <c r="WQP54" s="3579"/>
      <c r="WQQ54" s="3579"/>
      <c r="WQR54" s="3579"/>
      <c r="WQS54" s="3579"/>
      <c r="WQT54" s="3579"/>
      <c r="WQU54" s="3579"/>
      <c r="WQV54" s="3579"/>
      <c r="WQW54" s="3579"/>
      <c r="WQX54" s="3579"/>
      <c r="WQY54" s="3579"/>
      <c r="WQZ54" s="3579"/>
      <c r="WRA54" s="3579"/>
      <c r="WRB54" s="3579"/>
      <c r="WRC54" s="3579"/>
      <c r="WRD54" s="3579"/>
      <c r="WRE54" s="3579"/>
      <c r="WRF54" s="3579"/>
      <c r="WRG54" s="3579"/>
      <c r="WRH54" s="3579"/>
      <c r="WRI54" s="3579"/>
      <c r="WRJ54" s="3579"/>
      <c r="WRK54" s="3579"/>
      <c r="WRL54" s="3579"/>
      <c r="WRM54" s="3579"/>
      <c r="WRN54" s="3579"/>
      <c r="WRO54" s="3579"/>
      <c r="WRP54" s="3579"/>
      <c r="WRQ54" s="3579"/>
      <c r="WRR54" s="3579"/>
      <c r="WRS54" s="3579"/>
      <c r="WRT54" s="3579"/>
      <c r="WRU54" s="3579"/>
      <c r="WRV54" s="3579"/>
      <c r="WRW54" s="3579"/>
      <c r="WRX54" s="3579"/>
      <c r="WRY54" s="3579"/>
      <c r="WRZ54" s="3579"/>
      <c r="WSA54" s="3579"/>
      <c r="WSB54" s="3579"/>
      <c r="WSC54" s="3579"/>
      <c r="WSD54" s="3579"/>
      <c r="WSE54" s="3579"/>
      <c r="WSF54" s="3579"/>
      <c r="WSG54" s="3579"/>
      <c r="WSH54" s="3579"/>
      <c r="WSI54" s="3579"/>
      <c r="WSJ54" s="3579"/>
      <c r="WSK54" s="3579"/>
      <c r="WSL54" s="3579"/>
      <c r="WSM54" s="3579"/>
      <c r="WSN54" s="3579"/>
      <c r="WSO54" s="3579"/>
      <c r="WSP54" s="3579"/>
      <c r="WSQ54" s="3579"/>
      <c r="WSR54" s="3579"/>
      <c r="WSS54" s="3579"/>
      <c r="WST54" s="3579"/>
      <c r="WSU54" s="3579"/>
      <c r="WSV54" s="3579"/>
      <c r="WSW54" s="3579"/>
      <c r="WSX54" s="3579"/>
      <c r="WSY54" s="3579"/>
      <c r="WSZ54" s="3579"/>
      <c r="WTA54" s="3579"/>
      <c r="WTB54" s="3579"/>
      <c r="WTC54" s="3579"/>
      <c r="WTD54" s="3579"/>
      <c r="WTE54" s="3579"/>
      <c r="WTF54" s="3579"/>
      <c r="WTG54" s="3579"/>
      <c r="WTH54" s="3579"/>
      <c r="WTI54" s="3579"/>
      <c r="WTJ54" s="3579"/>
      <c r="WTK54" s="3579"/>
      <c r="WTL54" s="3579"/>
      <c r="WTM54" s="3579"/>
      <c r="WTN54" s="3579"/>
      <c r="WTO54" s="3579"/>
      <c r="WTP54" s="3579"/>
      <c r="WTQ54" s="3579"/>
      <c r="WTR54" s="3579"/>
      <c r="WTS54" s="3579"/>
      <c r="WTT54" s="3579"/>
      <c r="WTU54" s="3579"/>
      <c r="WTV54" s="3579"/>
      <c r="WTW54" s="3579"/>
      <c r="WTX54" s="3579"/>
      <c r="WTY54" s="3579"/>
      <c r="WTZ54" s="3579"/>
      <c r="WUA54" s="3579"/>
      <c r="WUB54" s="3579"/>
      <c r="WUC54" s="3579"/>
      <c r="WUD54" s="3579"/>
      <c r="WUE54" s="3579"/>
      <c r="WUF54" s="3579"/>
      <c r="WUG54" s="3579"/>
      <c r="WUH54" s="3579"/>
      <c r="WUI54" s="3579"/>
      <c r="WUJ54" s="3579"/>
      <c r="WUK54" s="3579"/>
      <c r="WUL54" s="3579"/>
      <c r="WUM54" s="3579"/>
      <c r="WUN54" s="3579"/>
      <c r="WUO54" s="3579"/>
      <c r="WUP54" s="3579"/>
      <c r="WUQ54" s="3579"/>
      <c r="WUR54" s="3579"/>
      <c r="WUS54" s="3579"/>
      <c r="WUT54" s="3579"/>
      <c r="WUU54" s="3579"/>
      <c r="WUV54" s="3579"/>
      <c r="WUW54" s="3579"/>
      <c r="WUX54" s="3579"/>
      <c r="WUY54" s="3579"/>
      <c r="WUZ54" s="3579"/>
      <c r="WVA54" s="3579"/>
      <c r="WVB54" s="3579"/>
      <c r="WVC54" s="3579"/>
      <c r="WVD54" s="3579"/>
      <c r="WVE54" s="3579"/>
      <c r="WVF54" s="3579"/>
      <c r="WVG54" s="3579"/>
      <c r="WVH54" s="3579"/>
      <c r="WVI54" s="3579"/>
      <c r="WVJ54" s="3579"/>
      <c r="WVK54" s="3579"/>
      <c r="WVL54" s="3579"/>
      <c r="WVM54" s="3579"/>
      <c r="WVN54" s="3579"/>
      <c r="WVO54" s="3579"/>
      <c r="WVP54" s="3579"/>
      <c r="WVQ54" s="3579"/>
      <c r="WVR54" s="3579"/>
      <c r="WVS54" s="3579"/>
      <c r="WVT54" s="3579"/>
      <c r="WVU54" s="3579"/>
      <c r="WVV54" s="3579"/>
      <c r="WVW54" s="3579"/>
      <c r="WVX54" s="3579"/>
      <c r="WVY54" s="3579"/>
      <c r="WVZ54" s="3579"/>
      <c r="WWA54" s="3579"/>
      <c r="WWB54" s="3579"/>
      <c r="WWC54" s="3579"/>
      <c r="WWD54" s="3579"/>
      <c r="WWE54" s="3579"/>
      <c r="WWF54" s="3579"/>
      <c r="WWG54" s="3579"/>
      <c r="WWH54" s="3579"/>
      <c r="WWI54" s="3579"/>
      <c r="WWJ54" s="3579"/>
      <c r="WWK54" s="3579"/>
      <c r="WWL54" s="3579"/>
      <c r="WWM54" s="3579"/>
      <c r="WWN54" s="3579"/>
      <c r="WWO54" s="3579"/>
      <c r="WWP54" s="3579"/>
      <c r="WWQ54" s="3579"/>
      <c r="WWR54" s="3579"/>
      <c r="WWS54" s="3579"/>
      <c r="WWT54" s="3579"/>
      <c r="WWU54" s="3579"/>
      <c r="WWV54" s="3579"/>
      <c r="WWW54" s="3579"/>
      <c r="WWX54" s="3579"/>
      <c r="WWY54" s="3579"/>
      <c r="WWZ54" s="3579"/>
      <c r="WXA54" s="3579"/>
      <c r="WXB54" s="3579"/>
      <c r="WXC54" s="3579"/>
      <c r="WXD54" s="3579"/>
      <c r="WXE54" s="3579"/>
      <c r="WXF54" s="3579"/>
      <c r="WXG54" s="3579"/>
      <c r="WXH54" s="3579"/>
      <c r="WXI54" s="3579"/>
      <c r="WXJ54" s="3579"/>
      <c r="WXK54" s="3579"/>
      <c r="WXL54" s="3579"/>
      <c r="WXM54" s="3579"/>
      <c r="WXN54" s="3579"/>
      <c r="WXO54" s="3579"/>
      <c r="WXP54" s="3579"/>
      <c r="WXQ54" s="3579"/>
      <c r="WXR54" s="3579"/>
      <c r="WXS54" s="3579"/>
      <c r="WXT54" s="3579"/>
      <c r="WXU54" s="3579"/>
      <c r="WXV54" s="3579"/>
      <c r="WXW54" s="3579"/>
      <c r="WXX54" s="3579"/>
      <c r="WXY54" s="3579"/>
      <c r="WXZ54" s="3579"/>
      <c r="WYA54" s="3579"/>
      <c r="WYB54" s="3579"/>
      <c r="WYC54" s="3579"/>
      <c r="WYD54" s="3579"/>
      <c r="WYE54" s="3579"/>
      <c r="WYF54" s="3579"/>
      <c r="WYG54" s="3579"/>
      <c r="WYH54" s="3579"/>
      <c r="WYI54" s="3579"/>
      <c r="WYJ54" s="3579"/>
      <c r="WYK54" s="3579"/>
      <c r="WYL54" s="3579"/>
      <c r="WYM54" s="3579"/>
      <c r="WYN54" s="3579"/>
      <c r="WYO54" s="3579"/>
      <c r="WYP54" s="3579"/>
      <c r="WYQ54" s="3579"/>
      <c r="WYR54" s="3579"/>
      <c r="WYS54" s="3579"/>
      <c r="WYT54" s="3579"/>
      <c r="WYU54" s="3579"/>
      <c r="WYV54" s="3579"/>
      <c r="WYW54" s="3579"/>
      <c r="WYX54" s="3579"/>
      <c r="WYY54" s="3579"/>
      <c r="WYZ54" s="3579"/>
      <c r="WZA54" s="3579"/>
      <c r="WZB54" s="3579"/>
      <c r="WZC54" s="3579"/>
      <c r="WZD54" s="3579"/>
      <c r="WZE54" s="3579"/>
      <c r="WZF54" s="3579"/>
      <c r="WZG54" s="3579"/>
      <c r="WZH54" s="3579"/>
      <c r="WZI54" s="3579"/>
      <c r="WZJ54" s="3579"/>
      <c r="WZK54" s="3579"/>
      <c r="WZL54" s="3579"/>
      <c r="WZM54" s="3579"/>
      <c r="WZN54" s="3579"/>
      <c r="WZO54" s="3579"/>
      <c r="WZP54" s="3579"/>
      <c r="WZQ54" s="3579"/>
      <c r="WZR54" s="3579"/>
      <c r="WZS54" s="3579"/>
      <c r="WZT54" s="3579"/>
      <c r="WZU54" s="3579"/>
      <c r="WZV54" s="3579"/>
      <c r="WZW54" s="3579"/>
      <c r="WZX54" s="3579"/>
      <c r="WZY54" s="3579"/>
      <c r="WZZ54" s="3579"/>
      <c r="XAA54" s="3579"/>
      <c r="XAB54" s="3579"/>
      <c r="XAC54" s="3579"/>
      <c r="XAD54" s="3579"/>
      <c r="XAE54" s="3579"/>
      <c r="XAF54" s="3579"/>
      <c r="XAG54" s="3579"/>
      <c r="XAH54" s="3579"/>
      <c r="XAI54" s="3579"/>
      <c r="XAJ54" s="3579"/>
      <c r="XAK54" s="3579"/>
      <c r="XAL54" s="3579"/>
      <c r="XAM54" s="3579"/>
      <c r="XAN54" s="3579"/>
      <c r="XAO54" s="3579"/>
      <c r="XAP54" s="3579"/>
      <c r="XAQ54" s="3579"/>
      <c r="XAR54" s="3579"/>
      <c r="XAS54" s="3579"/>
      <c r="XAT54" s="3579"/>
      <c r="XAU54" s="3579"/>
      <c r="XAV54" s="3579"/>
      <c r="XAW54" s="3579"/>
      <c r="XAX54" s="3579"/>
      <c r="XAY54" s="3579"/>
      <c r="XAZ54" s="3579"/>
      <c r="XBA54" s="3579"/>
      <c r="XBB54" s="3579"/>
      <c r="XBC54" s="3579"/>
      <c r="XBD54" s="3579"/>
      <c r="XBE54" s="3579"/>
      <c r="XBF54" s="3579"/>
      <c r="XBG54" s="3579"/>
      <c r="XBH54" s="3579"/>
      <c r="XBI54" s="3579"/>
      <c r="XBJ54" s="3579"/>
      <c r="XBK54" s="3579"/>
      <c r="XBL54" s="3579"/>
      <c r="XBM54" s="3579"/>
      <c r="XBN54" s="3579"/>
      <c r="XBO54" s="3579"/>
      <c r="XBP54" s="3579"/>
      <c r="XBQ54" s="3579"/>
      <c r="XBR54" s="3579"/>
      <c r="XBS54" s="3579"/>
      <c r="XBT54" s="3579"/>
      <c r="XBU54" s="3579"/>
      <c r="XBV54" s="3579"/>
      <c r="XBW54" s="3579"/>
      <c r="XBX54" s="3579"/>
      <c r="XBY54" s="3579"/>
      <c r="XBZ54" s="3579"/>
      <c r="XCA54" s="3579"/>
      <c r="XCB54" s="3579"/>
      <c r="XCC54" s="3579"/>
      <c r="XCD54" s="3579"/>
      <c r="XCE54" s="3579"/>
      <c r="XCF54" s="3579"/>
      <c r="XCG54" s="3579"/>
      <c r="XCH54" s="3579"/>
      <c r="XCI54" s="3579"/>
      <c r="XCJ54" s="3579"/>
      <c r="XCK54" s="3579"/>
      <c r="XCL54" s="3579"/>
      <c r="XCM54" s="3579"/>
      <c r="XCN54" s="3579"/>
      <c r="XCO54" s="3579"/>
      <c r="XCP54" s="3579"/>
      <c r="XCQ54" s="3579"/>
      <c r="XCR54" s="3579"/>
      <c r="XCS54" s="3579"/>
      <c r="XCT54" s="3579"/>
      <c r="XCU54" s="3579"/>
      <c r="XCV54" s="3579"/>
      <c r="XCW54" s="3579"/>
      <c r="XCX54" s="3579"/>
      <c r="XCY54" s="3579"/>
      <c r="XCZ54" s="3579"/>
      <c r="XDA54" s="3579"/>
      <c r="XDB54" s="3579"/>
      <c r="XDC54" s="3579"/>
      <c r="XDD54" s="3579"/>
      <c r="XDE54" s="3579"/>
      <c r="XDF54" s="3579"/>
      <c r="XDG54" s="3579"/>
      <c r="XDH54" s="3579"/>
      <c r="XDI54" s="3579"/>
      <c r="XDJ54" s="3579"/>
      <c r="XDK54" s="3579"/>
      <c r="XDL54" s="3579"/>
      <c r="XDM54" s="3579"/>
      <c r="XDN54" s="3579"/>
      <c r="XDO54" s="3579"/>
      <c r="XDP54" s="3579"/>
      <c r="XDQ54" s="3579"/>
      <c r="XDR54" s="3579"/>
      <c r="XDS54" s="3579"/>
      <c r="XDT54" s="3579"/>
      <c r="XDU54" s="3579"/>
      <c r="XDV54" s="3579"/>
      <c r="XDW54" s="3579"/>
      <c r="XDX54" s="3579"/>
      <c r="XDY54" s="3579"/>
      <c r="XDZ54" s="3579"/>
      <c r="XEA54" s="3579"/>
      <c r="XEB54" s="3579"/>
      <c r="XEC54" s="3579"/>
      <c r="XED54" s="3579"/>
      <c r="XEE54" s="3579"/>
      <c r="XEF54" s="3579"/>
      <c r="XEG54" s="3579"/>
    </row>
    <row r="55" spans="1:16361" s="1949" customFormat="1" ht="69">
      <c r="A55" s="2255"/>
      <c r="B55" s="2255"/>
      <c r="C55" s="2256"/>
      <c r="D55" s="2244"/>
      <c r="E55" s="2244"/>
      <c r="F55" s="2244"/>
      <c r="G55" s="2244"/>
      <c r="H55" s="2244"/>
      <c r="I55" s="2244"/>
      <c r="J55" s="2398"/>
      <c r="K55" s="2398"/>
      <c r="L55" s="2398"/>
      <c r="M55" s="2398"/>
      <c r="N55" s="2398"/>
      <c r="O55" s="2398"/>
      <c r="P55" s="2398"/>
      <c r="Q55" s="2398"/>
      <c r="R55" s="2398"/>
      <c r="S55" s="250"/>
    </row>
    <row r="70" spans="19:19" ht="32.25" customHeight="1">
      <c r="S70" s="429"/>
    </row>
    <row r="71" spans="19:19" ht="32.25" customHeight="1">
      <c r="S71" s="1950"/>
    </row>
    <row r="72" spans="19:19" ht="32.25" customHeight="1">
      <c r="S72" s="1950"/>
    </row>
    <row r="73" spans="19:19" ht="32.25" customHeight="1">
      <c r="S73" s="1950"/>
    </row>
    <row r="74" spans="19:19" ht="32.25" customHeight="1">
      <c r="S74" s="1951"/>
    </row>
    <row r="75" spans="19:19" ht="32.25" customHeight="1">
      <c r="S75" s="1951"/>
    </row>
    <row r="76" spans="19:19" ht="32.25" customHeight="1">
      <c r="S76" s="1951"/>
    </row>
    <row r="77" spans="19:19" ht="32.25" customHeight="1">
      <c r="S77" s="1951"/>
    </row>
    <row r="78" spans="19:19" ht="32.25" customHeight="1">
      <c r="S78" s="1951"/>
    </row>
    <row r="79" spans="19:19" ht="32.25" customHeight="1">
      <c r="S79" s="1951"/>
    </row>
    <row r="80" spans="19:19" ht="32.25" customHeight="1">
      <c r="S80" s="1951"/>
    </row>
    <row r="81" spans="19:19" ht="32.25" customHeight="1">
      <c r="S81" s="1951"/>
    </row>
    <row r="82" spans="19:19" ht="32.25" customHeight="1">
      <c r="S82" s="1951"/>
    </row>
    <row r="83" spans="19:19" ht="32.25" customHeight="1">
      <c r="S83" s="1951"/>
    </row>
    <row r="84" spans="19:19" ht="32.25" customHeight="1">
      <c r="S84" s="1951"/>
    </row>
    <row r="85" spans="19:19" ht="32.25" customHeight="1">
      <c r="S85" s="1951"/>
    </row>
    <row r="86" spans="19:19" ht="32.25" customHeight="1">
      <c r="S86" s="1951"/>
    </row>
    <row r="87" spans="19:19" ht="32.25" customHeight="1">
      <c r="S87" s="1950"/>
    </row>
    <row r="88" spans="19:19" ht="32.25" customHeight="1">
      <c r="S88" s="1953"/>
    </row>
    <row r="89" spans="19:19" ht="32.25" customHeight="1">
      <c r="S89" s="1949"/>
    </row>
    <row r="90" spans="19:19" ht="32.25" customHeight="1">
      <c r="S90" s="1949"/>
    </row>
    <row r="91" spans="19:19" ht="32.25" customHeight="1">
      <c r="S91" s="1949"/>
    </row>
    <row r="92" spans="19:19" ht="32.25" customHeight="1">
      <c r="S92" s="1949"/>
    </row>
    <row r="93" spans="19:19" ht="32.25" customHeight="1">
      <c r="S93" s="1949"/>
    </row>
    <row r="94" spans="19:19" ht="32.25" customHeight="1">
      <c r="S94" s="1949"/>
    </row>
    <row r="95" spans="19:19" ht="32.25" customHeight="1">
      <c r="S95" s="1949"/>
    </row>
    <row r="96" spans="19:19" ht="32.25" customHeight="1">
      <c r="S96" s="1949"/>
    </row>
    <row r="97" spans="19:19" ht="32.25" customHeight="1">
      <c r="S97" s="1949"/>
    </row>
    <row r="98" spans="19:19" ht="32.25" customHeight="1">
      <c r="S98" s="1949"/>
    </row>
    <row r="99" spans="19:19" ht="32.25" customHeight="1">
      <c r="S99" s="1949"/>
    </row>
    <row r="100" spans="19:19" ht="32.25" customHeight="1">
      <c r="S100" s="1949"/>
    </row>
    <row r="101" spans="19:19" ht="32.25" customHeight="1">
      <c r="S101" s="1949"/>
    </row>
    <row r="102" spans="19:19" ht="32.25" customHeight="1">
      <c r="S102" s="1949"/>
    </row>
    <row r="103" spans="19:19" ht="32.25" customHeight="1">
      <c r="S103" s="1949"/>
    </row>
    <row r="104" spans="19:19" ht="32.25" customHeight="1">
      <c r="S104" s="1949"/>
    </row>
    <row r="105" spans="19:19" ht="32.25" customHeight="1">
      <c r="S105" s="2236"/>
    </row>
    <row r="106" spans="19:19" ht="32.25" customHeight="1">
      <c r="S106" s="1954"/>
    </row>
    <row r="107" spans="19:19" ht="32.25" customHeight="1">
      <c r="S107" s="1955"/>
    </row>
    <row r="108" spans="19:19" ht="32.25" customHeight="1">
      <c r="S108" s="1949"/>
    </row>
    <row r="109" spans="19:19" ht="32.25" customHeight="1">
      <c r="S109" s="1949"/>
    </row>
    <row r="110" spans="19:19" ht="32.25" customHeight="1">
      <c r="S110" s="1949"/>
    </row>
    <row r="111" spans="19:19" ht="32.25" customHeight="1">
      <c r="S111" s="1949"/>
    </row>
    <row r="112" spans="19:19" ht="32.25" customHeight="1">
      <c r="S112" s="1949"/>
    </row>
    <row r="113" spans="19:19" ht="32.25" customHeight="1">
      <c r="S113" s="1949"/>
    </row>
    <row r="114" spans="19:19" ht="32.25" customHeight="1">
      <c r="S114" s="1949"/>
    </row>
    <row r="115" spans="19:19" ht="32.25" customHeight="1">
      <c r="S115" s="1949"/>
    </row>
    <row r="116" spans="19:19" ht="32.25" customHeight="1">
      <c r="S116" s="1949"/>
    </row>
    <row r="117" spans="19:19" ht="32.25" customHeight="1">
      <c r="S117" s="1949"/>
    </row>
    <row r="118" spans="19:19" ht="32.25" customHeight="1">
      <c r="S118" s="1949"/>
    </row>
    <row r="119" spans="19:19" ht="32.25" customHeight="1">
      <c r="S119" s="1949"/>
    </row>
    <row r="120" spans="19:19" ht="32.25" customHeight="1">
      <c r="S120" s="1949"/>
    </row>
    <row r="121" spans="19:19" ht="32.25" customHeight="1">
      <c r="S121" s="1949"/>
    </row>
    <row r="122" spans="19:19" ht="32.25" customHeight="1">
      <c r="S122" s="1949"/>
    </row>
    <row r="123" spans="19:19" ht="32.25" customHeight="1">
      <c r="S123" s="1949"/>
    </row>
    <row r="124" spans="19:19" ht="32.25" customHeight="1">
      <c r="S124" s="1949"/>
    </row>
    <row r="125" spans="19:19" ht="32.25" customHeight="1">
      <c r="S125" s="1949"/>
    </row>
    <row r="126" spans="19:19" ht="32.25" customHeight="1">
      <c r="S126" s="1949"/>
    </row>
    <row r="127" spans="19:19" ht="32.25" customHeight="1">
      <c r="S127" s="1949"/>
    </row>
    <row r="128" spans="19:19" ht="32.25" customHeight="1">
      <c r="S128" s="1949"/>
    </row>
    <row r="129" spans="19:19" ht="32.25" customHeight="1">
      <c r="S129" s="1949"/>
    </row>
    <row r="130" spans="19:19" ht="32.25" customHeight="1">
      <c r="S130" s="1949"/>
    </row>
    <row r="131" spans="19:19" ht="32.25" customHeight="1">
      <c r="S131" s="1949"/>
    </row>
    <row r="132" spans="19:19" ht="32.25" customHeight="1">
      <c r="S132" s="1949"/>
    </row>
    <row r="133" spans="19:19" ht="32.25" customHeight="1">
      <c r="S133" s="1949"/>
    </row>
    <row r="134" spans="19:19" ht="32.25" customHeight="1">
      <c r="S134" s="1956"/>
    </row>
    <row r="135" spans="19:19" ht="32.25" customHeight="1">
      <c r="S135" s="2359"/>
    </row>
    <row r="136" spans="19:19" ht="32.25" customHeight="1">
      <c r="S136" s="1949"/>
    </row>
  </sheetData>
  <sheetProtection selectLockedCells="1" selectUnlockedCells="1"/>
  <mergeCells count="1039">
    <mergeCell ref="XBV54:XCK54"/>
    <mergeCell ref="XCL54:XDA54"/>
    <mergeCell ref="XDB54:XDQ54"/>
    <mergeCell ref="XDR54:XEG54"/>
    <mergeCell ref="WYD54:WYS54"/>
    <mergeCell ref="WYT54:WZI54"/>
    <mergeCell ref="WZJ54:WZY54"/>
    <mergeCell ref="WZZ54:XAO54"/>
    <mergeCell ref="XAP54:XBE54"/>
    <mergeCell ref="XBF54:XBU54"/>
    <mergeCell ref="WUL54:WVA54"/>
    <mergeCell ref="WVB54:WVQ54"/>
    <mergeCell ref="WVR54:WWG54"/>
    <mergeCell ref="WWH54:WWW54"/>
    <mergeCell ref="WWX54:WXM54"/>
    <mergeCell ref="WXN54:WYC54"/>
    <mergeCell ref="WQT54:WRI54"/>
    <mergeCell ref="WRJ54:WRY54"/>
    <mergeCell ref="WRZ54:WSO54"/>
    <mergeCell ref="WSP54:WTE54"/>
    <mergeCell ref="WTF54:WTU54"/>
    <mergeCell ref="WTV54:WUK54"/>
    <mergeCell ref="WNB54:WNQ54"/>
    <mergeCell ref="WNR54:WOG54"/>
    <mergeCell ref="WOH54:WOW54"/>
    <mergeCell ref="WOX54:WPM54"/>
    <mergeCell ref="WPN54:WQC54"/>
    <mergeCell ref="WQD54:WQS54"/>
    <mergeCell ref="WJJ54:WJY54"/>
    <mergeCell ref="WJZ54:WKO54"/>
    <mergeCell ref="WKP54:WLE54"/>
    <mergeCell ref="WLF54:WLU54"/>
    <mergeCell ref="WLV54:WMK54"/>
    <mergeCell ref="WML54:WNA54"/>
    <mergeCell ref="WFR54:WGG54"/>
    <mergeCell ref="WGH54:WGW54"/>
    <mergeCell ref="WGX54:WHM54"/>
    <mergeCell ref="WHN54:WIC54"/>
    <mergeCell ref="WID54:WIS54"/>
    <mergeCell ref="WIT54:WJI54"/>
    <mergeCell ref="WBZ54:WCO54"/>
    <mergeCell ref="WCP54:WDE54"/>
    <mergeCell ref="WDF54:WDU54"/>
    <mergeCell ref="WDV54:WEK54"/>
    <mergeCell ref="WEL54:WFA54"/>
    <mergeCell ref="WFB54:WFQ54"/>
    <mergeCell ref="VYH54:VYW54"/>
    <mergeCell ref="VYX54:VZM54"/>
    <mergeCell ref="VZN54:WAC54"/>
    <mergeCell ref="WAD54:WAS54"/>
    <mergeCell ref="WAT54:WBI54"/>
    <mergeCell ref="WBJ54:WBY54"/>
    <mergeCell ref="VUP54:VVE54"/>
    <mergeCell ref="VVF54:VVU54"/>
    <mergeCell ref="VVV54:VWK54"/>
    <mergeCell ref="VWL54:VXA54"/>
    <mergeCell ref="VXB54:VXQ54"/>
    <mergeCell ref="VXR54:VYG54"/>
    <mergeCell ref="VQX54:VRM54"/>
    <mergeCell ref="VRN54:VSC54"/>
    <mergeCell ref="VSD54:VSS54"/>
    <mergeCell ref="VST54:VTI54"/>
    <mergeCell ref="VTJ54:VTY54"/>
    <mergeCell ref="VTZ54:VUO54"/>
    <mergeCell ref="VNF54:VNU54"/>
    <mergeCell ref="VNV54:VOK54"/>
    <mergeCell ref="VOL54:VPA54"/>
    <mergeCell ref="VPB54:VPQ54"/>
    <mergeCell ref="VPR54:VQG54"/>
    <mergeCell ref="VQH54:VQW54"/>
    <mergeCell ref="VJN54:VKC54"/>
    <mergeCell ref="VKD54:VKS54"/>
    <mergeCell ref="VKT54:VLI54"/>
    <mergeCell ref="VLJ54:VLY54"/>
    <mergeCell ref="VLZ54:VMO54"/>
    <mergeCell ref="VMP54:VNE54"/>
    <mergeCell ref="VFV54:VGK54"/>
    <mergeCell ref="VGL54:VHA54"/>
    <mergeCell ref="VHB54:VHQ54"/>
    <mergeCell ref="VHR54:VIG54"/>
    <mergeCell ref="VIH54:VIW54"/>
    <mergeCell ref="VIX54:VJM54"/>
    <mergeCell ref="VCD54:VCS54"/>
    <mergeCell ref="VCT54:VDI54"/>
    <mergeCell ref="VDJ54:VDY54"/>
    <mergeCell ref="VDZ54:VEO54"/>
    <mergeCell ref="VEP54:VFE54"/>
    <mergeCell ref="VFF54:VFU54"/>
    <mergeCell ref="UYL54:UZA54"/>
    <mergeCell ref="UZB54:UZQ54"/>
    <mergeCell ref="UZR54:VAG54"/>
    <mergeCell ref="VAH54:VAW54"/>
    <mergeCell ref="VAX54:VBM54"/>
    <mergeCell ref="VBN54:VCC54"/>
    <mergeCell ref="UUT54:UVI54"/>
    <mergeCell ref="UVJ54:UVY54"/>
    <mergeCell ref="UVZ54:UWO54"/>
    <mergeCell ref="UWP54:UXE54"/>
    <mergeCell ref="UXF54:UXU54"/>
    <mergeCell ref="UXV54:UYK54"/>
    <mergeCell ref="URB54:URQ54"/>
    <mergeCell ref="URR54:USG54"/>
    <mergeCell ref="USH54:USW54"/>
    <mergeCell ref="USX54:UTM54"/>
    <mergeCell ref="UTN54:UUC54"/>
    <mergeCell ref="UUD54:UUS54"/>
    <mergeCell ref="UNJ54:UNY54"/>
    <mergeCell ref="UNZ54:UOO54"/>
    <mergeCell ref="UOP54:UPE54"/>
    <mergeCell ref="UPF54:UPU54"/>
    <mergeCell ref="UPV54:UQK54"/>
    <mergeCell ref="UQL54:URA54"/>
    <mergeCell ref="UJR54:UKG54"/>
    <mergeCell ref="UKH54:UKW54"/>
    <mergeCell ref="UKX54:ULM54"/>
    <mergeCell ref="ULN54:UMC54"/>
    <mergeCell ref="UMD54:UMS54"/>
    <mergeCell ref="UMT54:UNI54"/>
    <mergeCell ref="UFZ54:UGO54"/>
    <mergeCell ref="UGP54:UHE54"/>
    <mergeCell ref="UHF54:UHU54"/>
    <mergeCell ref="UHV54:UIK54"/>
    <mergeCell ref="UIL54:UJA54"/>
    <mergeCell ref="UJB54:UJQ54"/>
    <mergeCell ref="UCH54:UCW54"/>
    <mergeCell ref="UCX54:UDM54"/>
    <mergeCell ref="UDN54:UEC54"/>
    <mergeCell ref="UED54:UES54"/>
    <mergeCell ref="UET54:UFI54"/>
    <mergeCell ref="UFJ54:UFY54"/>
    <mergeCell ref="TYP54:TZE54"/>
    <mergeCell ref="TZF54:TZU54"/>
    <mergeCell ref="TZV54:UAK54"/>
    <mergeCell ref="UAL54:UBA54"/>
    <mergeCell ref="UBB54:UBQ54"/>
    <mergeCell ref="UBR54:UCG54"/>
    <mergeCell ref="TUX54:TVM54"/>
    <mergeCell ref="TVN54:TWC54"/>
    <mergeCell ref="TWD54:TWS54"/>
    <mergeCell ref="TWT54:TXI54"/>
    <mergeCell ref="TXJ54:TXY54"/>
    <mergeCell ref="TXZ54:TYO54"/>
    <mergeCell ref="TRF54:TRU54"/>
    <mergeCell ref="TRV54:TSK54"/>
    <mergeCell ref="TSL54:TTA54"/>
    <mergeCell ref="TTB54:TTQ54"/>
    <mergeCell ref="TTR54:TUG54"/>
    <mergeCell ref="TUH54:TUW54"/>
    <mergeCell ref="TNN54:TOC54"/>
    <mergeCell ref="TOD54:TOS54"/>
    <mergeCell ref="TOT54:TPI54"/>
    <mergeCell ref="TPJ54:TPY54"/>
    <mergeCell ref="TPZ54:TQO54"/>
    <mergeCell ref="TQP54:TRE54"/>
    <mergeCell ref="TJV54:TKK54"/>
    <mergeCell ref="TKL54:TLA54"/>
    <mergeCell ref="TLB54:TLQ54"/>
    <mergeCell ref="TLR54:TMG54"/>
    <mergeCell ref="TMH54:TMW54"/>
    <mergeCell ref="TMX54:TNM54"/>
    <mergeCell ref="TGD54:TGS54"/>
    <mergeCell ref="TGT54:THI54"/>
    <mergeCell ref="THJ54:THY54"/>
    <mergeCell ref="THZ54:TIO54"/>
    <mergeCell ref="TIP54:TJE54"/>
    <mergeCell ref="TJF54:TJU54"/>
    <mergeCell ref="TCL54:TDA54"/>
    <mergeCell ref="TDB54:TDQ54"/>
    <mergeCell ref="TDR54:TEG54"/>
    <mergeCell ref="TEH54:TEW54"/>
    <mergeCell ref="TEX54:TFM54"/>
    <mergeCell ref="TFN54:TGC54"/>
    <mergeCell ref="SYT54:SZI54"/>
    <mergeCell ref="SZJ54:SZY54"/>
    <mergeCell ref="SZZ54:TAO54"/>
    <mergeCell ref="TAP54:TBE54"/>
    <mergeCell ref="TBF54:TBU54"/>
    <mergeCell ref="TBV54:TCK54"/>
    <mergeCell ref="SVB54:SVQ54"/>
    <mergeCell ref="SVR54:SWG54"/>
    <mergeCell ref="SWH54:SWW54"/>
    <mergeCell ref="SWX54:SXM54"/>
    <mergeCell ref="SXN54:SYC54"/>
    <mergeCell ref="SYD54:SYS54"/>
    <mergeCell ref="SRJ54:SRY54"/>
    <mergeCell ref="SRZ54:SSO54"/>
    <mergeCell ref="SSP54:STE54"/>
    <mergeCell ref="STF54:STU54"/>
    <mergeCell ref="STV54:SUK54"/>
    <mergeCell ref="SUL54:SVA54"/>
    <mergeCell ref="SNR54:SOG54"/>
    <mergeCell ref="SOH54:SOW54"/>
    <mergeCell ref="SOX54:SPM54"/>
    <mergeCell ref="SPN54:SQC54"/>
    <mergeCell ref="SQD54:SQS54"/>
    <mergeCell ref="SQT54:SRI54"/>
    <mergeCell ref="SJZ54:SKO54"/>
    <mergeCell ref="SKP54:SLE54"/>
    <mergeCell ref="SLF54:SLU54"/>
    <mergeCell ref="SLV54:SMK54"/>
    <mergeCell ref="SML54:SNA54"/>
    <mergeCell ref="SNB54:SNQ54"/>
    <mergeCell ref="SGH54:SGW54"/>
    <mergeCell ref="SGX54:SHM54"/>
    <mergeCell ref="SHN54:SIC54"/>
    <mergeCell ref="SID54:SIS54"/>
    <mergeCell ref="SIT54:SJI54"/>
    <mergeCell ref="SJJ54:SJY54"/>
    <mergeCell ref="SCP54:SDE54"/>
    <mergeCell ref="SDF54:SDU54"/>
    <mergeCell ref="SDV54:SEK54"/>
    <mergeCell ref="SEL54:SFA54"/>
    <mergeCell ref="SFB54:SFQ54"/>
    <mergeCell ref="SFR54:SGG54"/>
    <mergeCell ref="RYX54:RZM54"/>
    <mergeCell ref="RZN54:SAC54"/>
    <mergeCell ref="SAD54:SAS54"/>
    <mergeCell ref="SAT54:SBI54"/>
    <mergeCell ref="SBJ54:SBY54"/>
    <mergeCell ref="SBZ54:SCO54"/>
    <mergeCell ref="RVF54:RVU54"/>
    <mergeCell ref="RVV54:RWK54"/>
    <mergeCell ref="RWL54:RXA54"/>
    <mergeCell ref="RXB54:RXQ54"/>
    <mergeCell ref="RXR54:RYG54"/>
    <mergeCell ref="RYH54:RYW54"/>
    <mergeCell ref="RRN54:RSC54"/>
    <mergeCell ref="RSD54:RSS54"/>
    <mergeCell ref="RST54:RTI54"/>
    <mergeCell ref="RTJ54:RTY54"/>
    <mergeCell ref="RTZ54:RUO54"/>
    <mergeCell ref="RUP54:RVE54"/>
    <mergeCell ref="RNV54:ROK54"/>
    <mergeCell ref="ROL54:RPA54"/>
    <mergeCell ref="RPB54:RPQ54"/>
    <mergeCell ref="RPR54:RQG54"/>
    <mergeCell ref="RQH54:RQW54"/>
    <mergeCell ref="RQX54:RRM54"/>
    <mergeCell ref="RKD54:RKS54"/>
    <mergeCell ref="RKT54:RLI54"/>
    <mergeCell ref="RLJ54:RLY54"/>
    <mergeCell ref="RLZ54:RMO54"/>
    <mergeCell ref="RMP54:RNE54"/>
    <mergeCell ref="RNF54:RNU54"/>
    <mergeCell ref="RGL54:RHA54"/>
    <mergeCell ref="RHB54:RHQ54"/>
    <mergeCell ref="RHR54:RIG54"/>
    <mergeCell ref="RIH54:RIW54"/>
    <mergeCell ref="RIX54:RJM54"/>
    <mergeCell ref="RJN54:RKC54"/>
    <mergeCell ref="RCT54:RDI54"/>
    <mergeCell ref="RDJ54:RDY54"/>
    <mergeCell ref="RDZ54:REO54"/>
    <mergeCell ref="REP54:RFE54"/>
    <mergeCell ref="RFF54:RFU54"/>
    <mergeCell ref="RFV54:RGK54"/>
    <mergeCell ref="QZB54:QZQ54"/>
    <mergeCell ref="QZR54:RAG54"/>
    <mergeCell ref="RAH54:RAW54"/>
    <mergeCell ref="RAX54:RBM54"/>
    <mergeCell ref="RBN54:RCC54"/>
    <mergeCell ref="RCD54:RCS54"/>
    <mergeCell ref="QVJ54:QVY54"/>
    <mergeCell ref="QVZ54:QWO54"/>
    <mergeCell ref="QWP54:QXE54"/>
    <mergeCell ref="QXF54:QXU54"/>
    <mergeCell ref="QXV54:QYK54"/>
    <mergeCell ref="QYL54:QZA54"/>
    <mergeCell ref="QRR54:QSG54"/>
    <mergeCell ref="QSH54:QSW54"/>
    <mergeCell ref="QSX54:QTM54"/>
    <mergeCell ref="QTN54:QUC54"/>
    <mergeCell ref="QUD54:QUS54"/>
    <mergeCell ref="QUT54:QVI54"/>
    <mergeCell ref="QNZ54:QOO54"/>
    <mergeCell ref="QOP54:QPE54"/>
    <mergeCell ref="QPF54:QPU54"/>
    <mergeCell ref="QPV54:QQK54"/>
    <mergeCell ref="QQL54:QRA54"/>
    <mergeCell ref="QRB54:QRQ54"/>
    <mergeCell ref="QKH54:QKW54"/>
    <mergeCell ref="QKX54:QLM54"/>
    <mergeCell ref="QLN54:QMC54"/>
    <mergeCell ref="QMD54:QMS54"/>
    <mergeCell ref="QMT54:QNI54"/>
    <mergeCell ref="QNJ54:QNY54"/>
    <mergeCell ref="QGP54:QHE54"/>
    <mergeCell ref="QHF54:QHU54"/>
    <mergeCell ref="QHV54:QIK54"/>
    <mergeCell ref="QIL54:QJA54"/>
    <mergeCell ref="QJB54:QJQ54"/>
    <mergeCell ref="QJR54:QKG54"/>
    <mergeCell ref="QCX54:QDM54"/>
    <mergeCell ref="QDN54:QEC54"/>
    <mergeCell ref="QED54:QES54"/>
    <mergeCell ref="QET54:QFI54"/>
    <mergeCell ref="QFJ54:QFY54"/>
    <mergeCell ref="QFZ54:QGO54"/>
    <mergeCell ref="PZF54:PZU54"/>
    <mergeCell ref="PZV54:QAK54"/>
    <mergeCell ref="QAL54:QBA54"/>
    <mergeCell ref="QBB54:QBQ54"/>
    <mergeCell ref="QBR54:QCG54"/>
    <mergeCell ref="QCH54:QCW54"/>
    <mergeCell ref="PVN54:PWC54"/>
    <mergeCell ref="PWD54:PWS54"/>
    <mergeCell ref="PWT54:PXI54"/>
    <mergeCell ref="PXJ54:PXY54"/>
    <mergeCell ref="PXZ54:PYO54"/>
    <mergeCell ref="PYP54:PZE54"/>
    <mergeCell ref="PRV54:PSK54"/>
    <mergeCell ref="PSL54:PTA54"/>
    <mergeCell ref="PTB54:PTQ54"/>
    <mergeCell ref="PTR54:PUG54"/>
    <mergeCell ref="PUH54:PUW54"/>
    <mergeCell ref="PUX54:PVM54"/>
    <mergeCell ref="POD54:POS54"/>
    <mergeCell ref="POT54:PPI54"/>
    <mergeCell ref="PPJ54:PPY54"/>
    <mergeCell ref="PPZ54:PQO54"/>
    <mergeCell ref="PQP54:PRE54"/>
    <mergeCell ref="PRF54:PRU54"/>
    <mergeCell ref="PKL54:PLA54"/>
    <mergeCell ref="PLB54:PLQ54"/>
    <mergeCell ref="PLR54:PMG54"/>
    <mergeCell ref="PMH54:PMW54"/>
    <mergeCell ref="PMX54:PNM54"/>
    <mergeCell ref="PNN54:POC54"/>
    <mergeCell ref="PGT54:PHI54"/>
    <mergeCell ref="PHJ54:PHY54"/>
    <mergeCell ref="PHZ54:PIO54"/>
    <mergeCell ref="PIP54:PJE54"/>
    <mergeCell ref="PJF54:PJU54"/>
    <mergeCell ref="PJV54:PKK54"/>
    <mergeCell ref="PDB54:PDQ54"/>
    <mergeCell ref="PDR54:PEG54"/>
    <mergeCell ref="PEH54:PEW54"/>
    <mergeCell ref="PEX54:PFM54"/>
    <mergeCell ref="PFN54:PGC54"/>
    <mergeCell ref="PGD54:PGS54"/>
    <mergeCell ref="OZJ54:OZY54"/>
    <mergeCell ref="OZZ54:PAO54"/>
    <mergeCell ref="PAP54:PBE54"/>
    <mergeCell ref="PBF54:PBU54"/>
    <mergeCell ref="PBV54:PCK54"/>
    <mergeCell ref="PCL54:PDA54"/>
    <mergeCell ref="OVR54:OWG54"/>
    <mergeCell ref="OWH54:OWW54"/>
    <mergeCell ref="OWX54:OXM54"/>
    <mergeCell ref="OXN54:OYC54"/>
    <mergeCell ref="OYD54:OYS54"/>
    <mergeCell ref="OYT54:OZI54"/>
    <mergeCell ref="ORZ54:OSO54"/>
    <mergeCell ref="OSP54:OTE54"/>
    <mergeCell ref="OTF54:OTU54"/>
    <mergeCell ref="OTV54:OUK54"/>
    <mergeCell ref="OUL54:OVA54"/>
    <mergeCell ref="OVB54:OVQ54"/>
    <mergeCell ref="OOH54:OOW54"/>
    <mergeCell ref="OOX54:OPM54"/>
    <mergeCell ref="OPN54:OQC54"/>
    <mergeCell ref="OQD54:OQS54"/>
    <mergeCell ref="OQT54:ORI54"/>
    <mergeCell ref="ORJ54:ORY54"/>
    <mergeCell ref="OKP54:OLE54"/>
    <mergeCell ref="OLF54:OLU54"/>
    <mergeCell ref="OLV54:OMK54"/>
    <mergeCell ref="OML54:ONA54"/>
    <mergeCell ref="ONB54:ONQ54"/>
    <mergeCell ref="ONR54:OOG54"/>
    <mergeCell ref="OGX54:OHM54"/>
    <mergeCell ref="OHN54:OIC54"/>
    <mergeCell ref="OID54:OIS54"/>
    <mergeCell ref="OIT54:OJI54"/>
    <mergeCell ref="OJJ54:OJY54"/>
    <mergeCell ref="OJZ54:OKO54"/>
    <mergeCell ref="ODF54:ODU54"/>
    <mergeCell ref="ODV54:OEK54"/>
    <mergeCell ref="OEL54:OFA54"/>
    <mergeCell ref="OFB54:OFQ54"/>
    <mergeCell ref="OFR54:OGG54"/>
    <mergeCell ref="OGH54:OGW54"/>
    <mergeCell ref="NZN54:OAC54"/>
    <mergeCell ref="OAD54:OAS54"/>
    <mergeCell ref="OAT54:OBI54"/>
    <mergeCell ref="OBJ54:OBY54"/>
    <mergeCell ref="OBZ54:OCO54"/>
    <mergeCell ref="OCP54:ODE54"/>
    <mergeCell ref="NVV54:NWK54"/>
    <mergeCell ref="NWL54:NXA54"/>
    <mergeCell ref="NXB54:NXQ54"/>
    <mergeCell ref="NXR54:NYG54"/>
    <mergeCell ref="NYH54:NYW54"/>
    <mergeCell ref="NYX54:NZM54"/>
    <mergeCell ref="NSD54:NSS54"/>
    <mergeCell ref="NST54:NTI54"/>
    <mergeCell ref="NTJ54:NTY54"/>
    <mergeCell ref="NTZ54:NUO54"/>
    <mergeCell ref="NUP54:NVE54"/>
    <mergeCell ref="NVF54:NVU54"/>
    <mergeCell ref="NOL54:NPA54"/>
    <mergeCell ref="NPB54:NPQ54"/>
    <mergeCell ref="NPR54:NQG54"/>
    <mergeCell ref="NQH54:NQW54"/>
    <mergeCell ref="NQX54:NRM54"/>
    <mergeCell ref="NRN54:NSC54"/>
    <mergeCell ref="NKT54:NLI54"/>
    <mergeCell ref="NLJ54:NLY54"/>
    <mergeCell ref="NLZ54:NMO54"/>
    <mergeCell ref="NMP54:NNE54"/>
    <mergeCell ref="NNF54:NNU54"/>
    <mergeCell ref="NNV54:NOK54"/>
    <mergeCell ref="NHB54:NHQ54"/>
    <mergeCell ref="NHR54:NIG54"/>
    <mergeCell ref="NIH54:NIW54"/>
    <mergeCell ref="NIX54:NJM54"/>
    <mergeCell ref="NJN54:NKC54"/>
    <mergeCell ref="NKD54:NKS54"/>
    <mergeCell ref="NDJ54:NDY54"/>
    <mergeCell ref="NDZ54:NEO54"/>
    <mergeCell ref="NEP54:NFE54"/>
    <mergeCell ref="NFF54:NFU54"/>
    <mergeCell ref="NFV54:NGK54"/>
    <mergeCell ref="NGL54:NHA54"/>
    <mergeCell ref="MZR54:NAG54"/>
    <mergeCell ref="NAH54:NAW54"/>
    <mergeCell ref="NAX54:NBM54"/>
    <mergeCell ref="NBN54:NCC54"/>
    <mergeCell ref="NCD54:NCS54"/>
    <mergeCell ref="NCT54:NDI54"/>
    <mergeCell ref="MVZ54:MWO54"/>
    <mergeCell ref="MWP54:MXE54"/>
    <mergeCell ref="MXF54:MXU54"/>
    <mergeCell ref="MXV54:MYK54"/>
    <mergeCell ref="MYL54:MZA54"/>
    <mergeCell ref="MZB54:MZQ54"/>
    <mergeCell ref="MSH54:MSW54"/>
    <mergeCell ref="MSX54:MTM54"/>
    <mergeCell ref="MTN54:MUC54"/>
    <mergeCell ref="MUD54:MUS54"/>
    <mergeCell ref="MUT54:MVI54"/>
    <mergeCell ref="MVJ54:MVY54"/>
    <mergeCell ref="MOP54:MPE54"/>
    <mergeCell ref="MPF54:MPU54"/>
    <mergeCell ref="MPV54:MQK54"/>
    <mergeCell ref="MQL54:MRA54"/>
    <mergeCell ref="MRB54:MRQ54"/>
    <mergeCell ref="MRR54:MSG54"/>
    <mergeCell ref="MKX54:MLM54"/>
    <mergeCell ref="MLN54:MMC54"/>
    <mergeCell ref="MMD54:MMS54"/>
    <mergeCell ref="MMT54:MNI54"/>
    <mergeCell ref="MNJ54:MNY54"/>
    <mergeCell ref="MNZ54:MOO54"/>
    <mergeCell ref="MHF54:MHU54"/>
    <mergeCell ref="MHV54:MIK54"/>
    <mergeCell ref="MIL54:MJA54"/>
    <mergeCell ref="MJB54:MJQ54"/>
    <mergeCell ref="MJR54:MKG54"/>
    <mergeCell ref="MKH54:MKW54"/>
    <mergeCell ref="MDN54:MEC54"/>
    <mergeCell ref="MED54:MES54"/>
    <mergeCell ref="MET54:MFI54"/>
    <mergeCell ref="MFJ54:MFY54"/>
    <mergeCell ref="MFZ54:MGO54"/>
    <mergeCell ref="MGP54:MHE54"/>
    <mergeCell ref="LZV54:MAK54"/>
    <mergeCell ref="MAL54:MBA54"/>
    <mergeCell ref="MBB54:MBQ54"/>
    <mergeCell ref="MBR54:MCG54"/>
    <mergeCell ref="MCH54:MCW54"/>
    <mergeCell ref="MCX54:MDM54"/>
    <mergeCell ref="LWD54:LWS54"/>
    <mergeCell ref="LWT54:LXI54"/>
    <mergeCell ref="LXJ54:LXY54"/>
    <mergeCell ref="LXZ54:LYO54"/>
    <mergeCell ref="LYP54:LZE54"/>
    <mergeCell ref="LZF54:LZU54"/>
    <mergeCell ref="LSL54:LTA54"/>
    <mergeCell ref="LTB54:LTQ54"/>
    <mergeCell ref="LTR54:LUG54"/>
    <mergeCell ref="LUH54:LUW54"/>
    <mergeCell ref="LUX54:LVM54"/>
    <mergeCell ref="LVN54:LWC54"/>
    <mergeCell ref="LOT54:LPI54"/>
    <mergeCell ref="LPJ54:LPY54"/>
    <mergeCell ref="LPZ54:LQO54"/>
    <mergeCell ref="LQP54:LRE54"/>
    <mergeCell ref="LRF54:LRU54"/>
    <mergeCell ref="LRV54:LSK54"/>
    <mergeCell ref="LLB54:LLQ54"/>
    <mergeCell ref="LLR54:LMG54"/>
    <mergeCell ref="LMH54:LMW54"/>
    <mergeCell ref="LMX54:LNM54"/>
    <mergeCell ref="LNN54:LOC54"/>
    <mergeCell ref="LOD54:LOS54"/>
    <mergeCell ref="LHJ54:LHY54"/>
    <mergeCell ref="LHZ54:LIO54"/>
    <mergeCell ref="LIP54:LJE54"/>
    <mergeCell ref="LJF54:LJU54"/>
    <mergeCell ref="LJV54:LKK54"/>
    <mergeCell ref="LKL54:LLA54"/>
    <mergeCell ref="LDR54:LEG54"/>
    <mergeCell ref="LEH54:LEW54"/>
    <mergeCell ref="LEX54:LFM54"/>
    <mergeCell ref="LFN54:LGC54"/>
    <mergeCell ref="LGD54:LGS54"/>
    <mergeCell ref="LGT54:LHI54"/>
    <mergeCell ref="KZZ54:LAO54"/>
    <mergeCell ref="LAP54:LBE54"/>
    <mergeCell ref="LBF54:LBU54"/>
    <mergeCell ref="LBV54:LCK54"/>
    <mergeCell ref="LCL54:LDA54"/>
    <mergeCell ref="LDB54:LDQ54"/>
    <mergeCell ref="KWH54:KWW54"/>
    <mergeCell ref="KWX54:KXM54"/>
    <mergeCell ref="KXN54:KYC54"/>
    <mergeCell ref="KYD54:KYS54"/>
    <mergeCell ref="KYT54:KZI54"/>
    <mergeCell ref="KZJ54:KZY54"/>
    <mergeCell ref="KSP54:KTE54"/>
    <mergeCell ref="KTF54:KTU54"/>
    <mergeCell ref="KTV54:KUK54"/>
    <mergeCell ref="KUL54:KVA54"/>
    <mergeCell ref="KVB54:KVQ54"/>
    <mergeCell ref="KVR54:KWG54"/>
    <mergeCell ref="KOX54:KPM54"/>
    <mergeCell ref="KPN54:KQC54"/>
    <mergeCell ref="KQD54:KQS54"/>
    <mergeCell ref="KQT54:KRI54"/>
    <mergeCell ref="KRJ54:KRY54"/>
    <mergeCell ref="KRZ54:KSO54"/>
    <mergeCell ref="KLF54:KLU54"/>
    <mergeCell ref="KLV54:KMK54"/>
    <mergeCell ref="KML54:KNA54"/>
    <mergeCell ref="KNB54:KNQ54"/>
    <mergeCell ref="KNR54:KOG54"/>
    <mergeCell ref="KOH54:KOW54"/>
    <mergeCell ref="KHN54:KIC54"/>
    <mergeCell ref="KID54:KIS54"/>
    <mergeCell ref="KIT54:KJI54"/>
    <mergeCell ref="KJJ54:KJY54"/>
    <mergeCell ref="KJZ54:KKO54"/>
    <mergeCell ref="KKP54:KLE54"/>
    <mergeCell ref="KDV54:KEK54"/>
    <mergeCell ref="KEL54:KFA54"/>
    <mergeCell ref="KFB54:KFQ54"/>
    <mergeCell ref="KFR54:KGG54"/>
    <mergeCell ref="KGH54:KGW54"/>
    <mergeCell ref="KGX54:KHM54"/>
    <mergeCell ref="KAD54:KAS54"/>
    <mergeCell ref="KAT54:KBI54"/>
    <mergeCell ref="KBJ54:KBY54"/>
    <mergeCell ref="KBZ54:KCO54"/>
    <mergeCell ref="KCP54:KDE54"/>
    <mergeCell ref="KDF54:KDU54"/>
    <mergeCell ref="JWL54:JXA54"/>
    <mergeCell ref="JXB54:JXQ54"/>
    <mergeCell ref="JXR54:JYG54"/>
    <mergeCell ref="JYH54:JYW54"/>
    <mergeCell ref="JYX54:JZM54"/>
    <mergeCell ref="JZN54:KAC54"/>
    <mergeCell ref="JST54:JTI54"/>
    <mergeCell ref="JTJ54:JTY54"/>
    <mergeCell ref="JTZ54:JUO54"/>
    <mergeCell ref="JUP54:JVE54"/>
    <mergeCell ref="JVF54:JVU54"/>
    <mergeCell ref="JVV54:JWK54"/>
    <mergeCell ref="JPB54:JPQ54"/>
    <mergeCell ref="JPR54:JQG54"/>
    <mergeCell ref="JQH54:JQW54"/>
    <mergeCell ref="JQX54:JRM54"/>
    <mergeCell ref="JRN54:JSC54"/>
    <mergeCell ref="JSD54:JSS54"/>
    <mergeCell ref="JLJ54:JLY54"/>
    <mergeCell ref="JLZ54:JMO54"/>
    <mergeCell ref="JMP54:JNE54"/>
    <mergeCell ref="JNF54:JNU54"/>
    <mergeCell ref="JNV54:JOK54"/>
    <mergeCell ref="JOL54:JPA54"/>
    <mergeCell ref="JHR54:JIG54"/>
    <mergeCell ref="JIH54:JIW54"/>
    <mergeCell ref="JIX54:JJM54"/>
    <mergeCell ref="JJN54:JKC54"/>
    <mergeCell ref="JKD54:JKS54"/>
    <mergeCell ref="JKT54:JLI54"/>
    <mergeCell ref="JDZ54:JEO54"/>
    <mergeCell ref="JEP54:JFE54"/>
    <mergeCell ref="JFF54:JFU54"/>
    <mergeCell ref="JFV54:JGK54"/>
    <mergeCell ref="JGL54:JHA54"/>
    <mergeCell ref="JHB54:JHQ54"/>
    <mergeCell ref="JAH54:JAW54"/>
    <mergeCell ref="JAX54:JBM54"/>
    <mergeCell ref="JBN54:JCC54"/>
    <mergeCell ref="JCD54:JCS54"/>
    <mergeCell ref="JCT54:JDI54"/>
    <mergeCell ref="JDJ54:JDY54"/>
    <mergeCell ref="IWP54:IXE54"/>
    <mergeCell ref="IXF54:IXU54"/>
    <mergeCell ref="IXV54:IYK54"/>
    <mergeCell ref="IYL54:IZA54"/>
    <mergeCell ref="IZB54:IZQ54"/>
    <mergeCell ref="IZR54:JAG54"/>
    <mergeCell ref="ISX54:ITM54"/>
    <mergeCell ref="ITN54:IUC54"/>
    <mergeCell ref="IUD54:IUS54"/>
    <mergeCell ref="IUT54:IVI54"/>
    <mergeCell ref="IVJ54:IVY54"/>
    <mergeCell ref="IVZ54:IWO54"/>
    <mergeCell ref="IPF54:IPU54"/>
    <mergeCell ref="IPV54:IQK54"/>
    <mergeCell ref="IQL54:IRA54"/>
    <mergeCell ref="IRB54:IRQ54"/>
    <mergeCell ref="IRR54:ISG54"/>
    <mergeCell ref="ISH54:ISW54"/>
    <mergeCell ref="ILN54:IMC54"/>
    <mergeCell ref="IMD54:IMS54"/>
    <mergeCell ref="IMT54:INI54"/>
    <mergeCell ref="INJ54:INY54"/>
    <mergeCell ref="INZ54:IOO54"/>
    <mergeCell ref="IOP54:IPE54"/>
    <mergeCell ref="IHV54:IIK54"/>
    <mergeCell ref="IIL54:IJA54"/>
    <mergeCell ref="IJB54:IJQ54"/>
    <mergeCell ref="IJR54:IKG54"/>
    <mergeCell ref="IKH54:IKW54"/>
    <mergeCell ref="IKX54:ILM54"/>
    <mergeCell ref="IED54:IES54"/>
    <mergeCell ref="IET54:IFI54"/>
    <mergeCell ref="IFJ54:IFY54"/>
    <mergeCell ref="IFZ54:IGO54"/>
    <mergeCell ref="IGP54:IHE54"/>
    <mergeCell ref="IHF54:IHU54"/>
    <mergeCell ref="IAL54:IBA54"/>
    <mergeCell ref="IBB54:IBQ54"/>
    <mergeCell ref="IBR54:ICG54"/>
    <mergeCell ref="ICH54:ICW54"/>
    <mergeCell ref="ICX54:IDM54"/>
    <mergeCell ref="IDN54:IEC54"/>
    <mergeCell ref="HWT54:HXI54"/>
    <mergeCell ref="HXJ54:HXY54"/>
    <mergeCell ref="HXZ54:HYO54"/>
    <mergeCell ref="HYP54:HZE54"/>
    <mergeCell ref="HZF54:HZU54"/>
    <mergeCell ref="HZV54:IAK54"/>
    <mergeCell ref="HTB54:HTQ54"/>
    <mergeCell ref="HTR54:HUG54"/>
    <mergeCell ref="HUH54:HUW54"/>
    <mergeCell ref="HUX54:HVM54"/>
    <mergeCell ref="HVN54:HWC54"/>
    <mergeCell ref="HWD54:HWS54"/>
    <mergeCell ref="HPJ54:HPY54"/>
    <mergeCell ref="HPZ54:HQO54"/>
    <mergeCell ref="HQP54:HRE54"/>
    <mergeCell ref="HRF54:HRU54"/>
    <mergeCell ref="HRV54:HSK54"/>
    <mergeCell ref="HSL54:HTA54"/>
    <mergeCell ref="HLR54:HMG54"/>
    <mergeCell ref="HMH54:HMW54"/>
    <mergeCell ref="HMX54:HNM54"/>
    <mergeCell ref="HNN54:HOC54"/>
    <mergeCell ref="HOD54:HOS54"/>
    <mergeCell ref="HOT54:HPI54"/>
    <mergeCell ref="HHZ54:HIO54"/>
    <mergeCell ref="HIP54:HJE54"/>
    <mergeCell ref="HJF54:HJU54"/>
    <mergeCell ref="HJV54:HKK54"/>
    <mergeCell ref="HKL54:HLA54"/>
    <mergeCell ref="HLB54:HLQ54"/>
    <mergeCell ref="HEH54:HEW54"/>
    <mergeCell ref="HEX54:HFM54"/>
    <mergeCell ref="HFN54:HGC54"/>
    <mergeCell ref="HGD54:HGS54"/>
    <mergeCell ref="HGT54:HHI54"/>
    <mergeCell ref="HHJ54:HHY54"/>
    <mergeCell ref="HAP54:HBE54"/>
    <mergeCell ref="HBF54:HBU54"/>
    <mergeCell ref="HBV54:HCK54"/>
    <mergeCell ref="HCL54:HDA54"/>
    <mergeCell ref="HDB54:HDQ54"/>
    <mergeCell ref="HDR54:HEG54"/>
    <mergeCell ref="GWX54:GXM54"/>
    <mergeCell ref="GXN54:GYC54"/>
    <mergeCell ref="GYD54:GYS54"/>
    <mergeCell ref="GYT54:GZI54"/>
    <mergeCell ref="GZJ54:GZY54"/>
    <mergeCell ref="GZZ54:HAO54"/>
    <mergeCell ref="GTF54:GTU54"/>
    <mergeCell ref="GTV54:GUK54"/>
    <mergeCell ref="GUL54:GVA54"/>
    <mergeCell ref="GVB54:GVQ54"/>
    <mergeCell ref="GVR54:GWG54"/>
    <mergeCell ref="GWH54:GWW54"/>
    <mergeCell ref="GPN54:GQC54"/>
    <mergeCell ref="GQD54:GQS54"/>
    <mergeCell ref="GQT54:GRI54"/>
    <mergeCell ref="GRJ54:GRY54"/>
    <mergeCell ref="GRZ54:GSO54"/>
    <mergeCell ref="GSP54:GTE54"/>
    <mergeCell ref="GLV54:GMK54"/>
    <mergeCell ref="GML54:GNA54"/>
    <mergeCell ref="GNB54:GNQ54"/>
    <mergeCell ref="GNR54:GOG54"/>
    <mergeCell ref="GOH54:GOW54"/>
    <mergeCell ref="GOX54:GPM54"/>
    <mergeCell ref="GID54:GIS54"/>
    <mergeCell ref="GIT54:GJI54"/>
    <mergeCell ref="GJJ54:GJY54"/>
    <mergeCell ref="GJZ54:GKO54"/>
    <mergeCell ref="GKP54:GLE54"/>
    <mergeCell ref="GLF54:GLU54"/>
    <mergeCell ref="GEL54:GFA54"/>
    <mergeCell ref="GFB54:GFQ54"/>
    <mergeCell ref="GFR54:GGG54"/>
    <mergeCell ref="GGH54:GGW54"/>
    <mergeCell ref="GGX54:GHM54"/>
    <mergeCell ref="GHN54:GIC54"/>
    <mergeCell ref="GAT54:GBI54"/>
    <mergeCell ref="GBJ54:GBY54"/>
    <mergeCell ref="GBZ54:GCO54"/>
    <mergeCell ref="GCP54:GDE54"/>
    <mergeCell ref="GDF54:GDU54"/>
    <mergeCell ref="GDV54:GEK54"/>
    <mergeCell ref="FXB54:FXQ54"/>
    <mergeCell ref="FXR54:FYG54"/>
    <mergeCell ref="FYH54:FYW54"/>
    <mergeCell ref="FYX54:FZM54"/>
    <mergeCell ref="FZN54:GAC54"/>
    <mergeCell ref="GAD54:GAS54"/>
    <mergeCell ref="FTJ54:FTY54"/>
    <mergeCell ref="FTZ54:FUO54"/>
    <mergeCell ref="FUP54:FVE54"/>
    <mergeCell ref="FVF54:FVU54"/>
    <mergeCell ref="FVV54:FWK54"/>
    <mergeCell ref="FWL54:FXA54"/>
    <mergeCell ref="FPR54:FQG54"/>
    <mergeCell ref="FQH54:FQW54"/>
    <mergeCell ref="FQX54:FRM54"/>
    <mergeCell ref="FRN54:FSC54"/>
    <mergeCell ref="FSD54:FSS54"/>
    <mergeCell ref="FST54:FTI54"/>
    <mergeCell ref="FLZ54:FMO54"/>
    <mergeCell ref="FMP54:FNE54"/>
    <mergeCell ref="FNF54:FNU54"/>
    <mergeCell ref="FNV54:FOK54"/>
    <mergeCell ref="FOL54:FPA54"/>
    <mergeCell ref="FPB54:FPQ54"/>
    <mergeCell ref="FIH54:FIW54"/>
    <mergeCell ref="FIX54:FJM54"/>
    <mergeCell ref="FJN54:FKC54"/>
    <mergeCell ref="FKD54:FKS54"/>
    <mergeCell ref="FKT54:FLI54"/>
    <mergeCell ref="FLJ54:FLY54"/>
    <mergeCell ref="FEP54:FFE54"/>
    <mergeCell ref="FFF54:FFU54"/>
    <mergeCell ref="FFV54:FGK54"/>
    <mergeCell ref="FGL54:FHA54"/>
    <mergeCell ref="FHB54:FHQ54"/>
    <mergeCell ref="FHR54:FIG54"/>
    <mergeCell ref="FAX54:FBM54"/>
    <mergeCell ref="FBN54:FCC54"/>
    <mergeCell ref="FCD54:FCS54"/>
    <mergeCell ref="FCT54:FDI54"/>
    <mergeCell ref="FDJ54:FDY54"/>
    <mergeCell ref="FDZ54:FEO54"/>
    <mergeCell ref="EXF54:EXU54"/>
    <mergeCell ref="EXV54:EYK54"/>
    <mergeCell ref="EYL54:EZA54"/>
    <mergeCell ref="EZB54:EZQ54"/>
    <mergeCell ref="EZR54:FAG54"/>
    <mergeCell ref="FAH54:FAW54"/>
    <mergeCell ref="ETN54:EUC54"/>
    <mergeCell ref="EUD54:EUS54"/>
    <mergeCell ref="EUT54:EVI54"/>
    <mergeCell ref="EVJ54:EVY54"/>
    <mergeCell ref="EVZ54:EWO54"/>
    <mergeCell ref="EWP54:EXE54"/>
    <mergeCell ref="EPV54:EQK54"/>
    <mergeCell ref="EQL54:ERA54"/>
    <mergeCell ref="ERB54:ERQ54"/>
    <mergeCell ref="ERR54:ESG54"/>
    <mergeCell ref="ESH54:ESW54"/>
    <mergeCell ref="ESX54:ETM54"/>
    <mergeCell ref="EMD54:EMS54"/>
    <mergeCell ref="EMT54:ENI54"/>
    <mergeCell ref="ENJ54:ENY54"/>
    <mergeCell ref="ENZ54:EOO54"/>
    <mergeCell ref="EOP54:EPE54"/>
    <mergeCell ref="EPF54:EPU54"/>
    <mergeCell ref="EIL54:EJA54"/>
    <mergeCell ref="EJB54:EJQ54"/>
    <mergeCell ref="EJR54:EKG54"/>
    <mergeCell ref="EKH54:EKW54"/>
    <mergeCell ref="EKX54:ELM54"/>
    <mergeCell ref="ELN54:EMC54"/>
    <mergeCell ref="EET54:EFI54"/>
    <mergeCell ref="EFJ54:EFY54"/>
    <mergeCell ref="EFZ54:EGO54"/>
    <mergeCell ref="EGP54:EHE54"/>
    <mergeCell ref="EHF54:EHU54"/>
    <mergeCell ref="EHV54:EIK54"/>
    <mergeCell ref="EBB54:EBQ54"/>
    <mergeCell ref="EBR54:ECG54"/>
    <mergeCell ref="ECH54:ECW54"/>
    <mergeCell ref="ECX54:EDM54"/>
    <mergeCell ref="EDN54:EEC54"/>
    <mergeCell ref="EED54:EES54"/>
    <mergeCell ref="DXJ54:DXY54"/>
    <mergeCell ref="DXZ54:DYO54"/>
    <mergeCell ref="DYP54:DZE54"/>
    <mergeCell ref="DZF54:DZU54"/>
    <mergeCell ref="DZV54:EAK54"/>
    <mergeCell ref="EAL54:EBA54"/>
    <mergeCell ref="DTR54:DUG54"/>
    <mergeCell ref="DUH54:DUW54"/>
    <mergeCell ref="DUX54:DVM54"/>
    <mergeCell ref="DVN54:DWC54"/>
    <mergeCell ref="DWD54:DWS54"/>
    <mergeCell ref="DWT54:DXI54"/>
    <mergeCell ref="DPZ54:DQO54"/>
    <mergeCell ref="DQP54:DRE54"/>
    <mergeCell ref="DRF54:DRU54"/>
    <mergeCell ref="DRV54:DSK54"/>
    <mergeCell ref="DSL54:DTA54"/>
    <mergeCell ref="DTB54:DTQ54"/>
    <mergeCell ref="DMH54:DMW54"/>
    <mergeCell ref="DMX54:DNM54"/>
    <mergeCell ref="DNN54:DOC54"/>
    <mergeCell ref="DOD54:DOS54"/>
    <mergeCell ref="DOT54:DPI54"/>
    <mergeCell ref="DPJ54:DPY54"/>
    <mergeCell ref="DIP54:DJE54"/>
    <mergeCell ref="DJF54:DJU54"/>
    <mergeCell ref="DJV54:DKK54"/>
    <mergeCell ref="DKL54:DLA54"/>
    <mergeCell ref="DLB54:DLQ54"/>
    <mergeCell ref="DLR54:DMG54"/>
    <mergeCell ref="DEX54:DFM54"/>
    <mergeCell ref="DFN54:DGC54"/>
    <mergeCell ref="DGD54:DGS54"/>
    <mergeCell ref="DGT54:DHI54"/>
    <mergeCell ref="DHJ54:DHY54"/>
    <mergeCell ref="DHZ54:DIO54"/>
    <mergeCell ref="DBF54:DBU54"/>
    <mergeCell ref="DBV54:DCK54"/>
    <mergeCell ref="DCL54:DDA54"/>
    <mergeCell ref="DDB54:DDQ54"/>
    <mergeCell ref="DDR54:DEG54"/>
    <mergeCell ref="DEH54:DEW54"/>
    <mergeCell ref="CXN54:CYC54"/>
    <mergeCell ref="CYD54:CYS54"/>
    <mergeCell ref="CYT54:CZI54"/>
    <mergeCell ref="CZJ54:CZY54"/>
    <mergeCell ref="CZZ54:DAO54"/>
    <mergeCell ref="DAP54:DBE54"/>
    <mergeCell ref="CTV54:CUK54"/>
    <mergeCell ref="CUL54:CVA54"/>
    <mergeCell ref="CVB54:CVQ54"/>
    <mergeCell ref="CVR54:CWG54"/>
    <mergeCell ref="CWH54:CWW54"/>
    <mergeCell ref="CWX54:CXM54"/>
    <mergeCell ref="CQD54:CQS54"/>
    <mergeCell ref="CQT54:CRI54"/>
    <mergeCell ref="CRJ54:CRY54"/>
    <mergeCell ref="CRZ54:CSO54"/>
    <mergeCell ref="CSP54:CTE54"/>
    <mergeCell ref="CTF54:CTU54"/>
    <mergeCell ref="CML54:CNA54"/>
    <mergeCell ref="CNB54:CNQ54"/>
    <mergeCell ref="CNR54:COG54"/>
    <mergeCell ref="COH54:COW54"/>
    <mergeCell ref="COX54:CPM54"/>
    <mergeCell ref="CPN54:CQC54"/>
    <mergeCell ref="CIT54:CJI54"/>
    <mergeCell ref="CJJ54:CJY54"/>
    <mergeCell ref="CJZ54:CKO54"/>
    <mergeCell ref="CKP54:CLE54"/>
    <mergeCell ref="CLF54:CLU54"/>
    <mergeCell ref="CLV54:CMK54"/>
    <mergeCell ref="CFB54:CFQ54"/>
    <mergeCell ref="CFR54:CGG54"/>
    <mergeCell ref="CGH54:CGW54"/>
    <mergeCell ref="CGX54:CHM54"/>
    <mergeCell ref="CHN54:CIC54"/>
    <mergeCell ref="CID54:CIS54"/>
    <mergeCell ref="CBJ54:CBY54"/>
    <mergeCell ref="CBZ54:CCO54"/>
    <mergeCell ref="CCP54:CDE54"/>
    <mergeCell ref="CDF54:CDU54"/>
    <mergeCell ref="CDV54:CEK54"/>
    <mergeCell ref="CEL54:CFA54"/>
    <mergeCell ref="BXR54:BYG54"/>
    <mergeCell ref="BYH54:BYW54"/>
    <mergeCell ref="BYX54:BZM54"/>
    <mergeCell ref="BZN54:CAC54"/>
    <mergeCell ref="CAD54:CAS54"/>
    <mergeCell ref="CAT54:CBI54"/>
    <mergeCell ref="BTZ54:BUO54"/>
    <mergeCell ref="BUP54:BVE54"/>
    <mergeCell ref="BVF54:BVU54"/>
    <mergeCell ref="BVV54:BWK54"/>
    <mergeCell ref="BWL54:BXA54"/>
    <mergeCell ref="BXB54:BXQ54"/>
    <mergeCell ref="BQH54:BQW54"/>
    <mergeCell ref="BQX54:BRM54"/>
    <mergeCell ref="BRN54:BSC54"/>
    <mergeCell ref="BSD54:BSS54"/>
    <mergeCell ref="BST54:BTI54"/>
    <mergeCell ref="BTJ54:BTY54"/>
    <mergeCell ref="BMP54:BNE54"/>
    <mergeCell ref="BNF54:BNU54"/>
    <mergeCell ref="BNV54:BOK54"/>
    <mergeCell ref="BOL54:BPA54"/>
    <mergeCell ref="BPB54:BPQ54"/>
    <mergeCell ref="BPR54:BQG54"/>
    <mergeCell ref="BIX54:BJM54"/>
    <mergeCell ref="BJN54:BKC54"/>
    <mergeCell ref="BKD54:BKS54"/>
    <mergeCell ref="BKT54:BLI54"/>
    <mergeCell ref="BLJ54:BLY54"/>
    <mergeCell ref="BLZ54:BMO54"/>
    <mergeCell ref="BFF54:BFU54"/>
    <mergeCell ref="BFV54:BGK54"/>
    <mergeCell ref="BGL54:BHA54"/>
    <mergeCell ref="BHB54:BHQ54"/>
    <mergeCell ref="BHR54:BIG54"/>
    <mergeCell ref="BIH54:BIW54"/>
    <mergeCell ref="BBN54:BCC54"/>
    <mergeCell ref="BCD54:BCS54"/>
    <mergeCell ref="BCT54:BDI54"/>
    <mergeCell ref="BDJ54:BDY54"/>
    <mergeCell ref="BDZ54:BEO54"/>
    <mergeCell ref="BEP54:BFE54"/>
    <mergeCell ref="AXV54:AYK54"/>
    <mergeCell ref="AYL54:AZA54"/>
    <mergeCell ref="AZB54:AZQ54"/>
    <mergeCell ref="AZR54:BAG54"/>
    <mergeCell ref="BAH54:BAW54"/>
    <mergeCell ref="BAX54:BBM54"/>
    <mergeCell ref="AUD54:AUS54"/>
    <mergeCell ref="AUT54:AVI54"/>
    <mergeCell ref="AVJ54:AVY54"/>
    <mergeCell ref="AVZ54:AWO54"/>
    <mergeCell ref="AWP54:AXE54"/>
    <mergeCell ref="AXF54:AXU54"/>
    <mergeCell ref="AQL54:ARA54"/>
    <mergeCell ref="ARB54:ARQ54"/>
    <mergeCell ref="ARR54:ASG54"/>
    <mergeCell ref="ASH54:ASW54"/>
    <mergeCell ref="ASX54:ATM54"/>
    <mergeCell ref="ATN54:AUC54"/>
    <mergeCell ref="AMT54:ANI54"/>
    <mergeCell ref="ANJ54:ANY54"/>
    <mergeCell ref="ANZ54:AOO54"/>
    <mergeCell ref="AOP54:APE54"/>
    <mergeCell ref="APF54:APU54"/>
    <mergeCell ref="APV54:AQK54"/>
    <mergeCell ref="AJB54:AJQ54"/>
    <mergeCell ref="AJR54:AKG54"/>
    <mergeCell ref="AKH54:AKW54"/>
    <mergeCell ref="AKX54:ALM54"/>
    <mergeCell ref="ALN54:AMC54"/>
    <mergeCell ref="AMD54:AMS54"/>
    <mergeCell ref="AFJ54:AFY54"/>
    <mergeCell ref="AFZ54:AGO54"/>
    <mergeCell ref="AGP54:AHE54"/>
    <mergeCell ref="AHF54:AHU54"/>
    <mergeCell ref="AHV54:AIK54"/>
    <mergeCell ref="AIL54:AJA54"/>
    <mergeCell ref="ABR54:ACG54"/>
    <mergeCell ref="ACH54:ACW54"/>
    <mergeCell ref="ACX54:ADM54"/>
    <mergeCell ref="ADN54:AEC54"/>
    <mergeCell ref="AED54:AES54"/>
    <mergeCell ref="AET54:AFI54"/>
    <mergeCell ref="XZ54:YO54"/>
    <mergeCell ref="YP54:ZE54"/>
    <mergeCell ref="ZF54:ZU54"/>
    <mergeCell ref="ZV54:AAK54"/>
    <mergeCell ref="AAL54:ABA54"/>
    <mergeCell ref="ABB54:ABQ54"/>
    <mergeCell ref="UH54:UW54"/>
    <mergeCell ref="UX54:VM54"/>
    <mergeCell ref="VN54:WC54"/>
    <mergeCell ref="WD54:WS54"/>
    <mergeCell ref="WT54:XI54"/>
    <mergeCell ref="XJ54:XY54"/>
    <mergeCell ref="QP54:RE54"/>
    <mergeCell ref="RF54:RU54"/>
    <mergeCell ref="RV54:SK54"/>
    <mergeCell ref="SL54:TA54"/>
    <mergeCell ref="TB54:TQ54"/>
    <mergeCell ref="TR54:UG54"/>
    <mergeCell ref="MX54:NM54"/>
    <mergeCell ref="NN54:OC54"/>
    <mergeCell ref="OD54:OS54"/>
    <mergeCell ref="OT54:PI54"/>
    <mergeCell ref="PJ54:PY54"/>
    <mergeCell ref="PZ54:QO54"/>
    <mergeCell ref="JF54:JU54"/>
    <mergeCell ref="JV54:KK54"/>
    <mergeCell ref="KL54:LA54"/>
    <mergeCell ref="LB54:LQ54"/>
    <mergeCell ref="LR54:MG54"/>
    <mergeCell ref="MH54:MW54"/>
    <mergeCell ref="FN54:GC54"/>
    <mergeCell ref="GD54:GS54"/>
    <mergeCell ref="GT54:HI54"/>
    <mergeCell ref="HJ54:HY54"/>
    <mergeCell ref="HZ54:IO54"/>
    <mergeCell ref="IP54:JE54"/>
    <mergeCell ref="BV54:CK54"/>
    <mergeCell ref="CL54:DA54"/>
    <mergeCell ref="DB54:DQ54"/>
    <mergeCell ref="DR54:EG54"/>
    <mergeCell ref="EH54:EW54"/>
    <mergeCell ref="EX54:FM54"/>
    <mergeCell ref="A54:R54"/>
    <mergeCell ref="T54:Y54"/>
    <mergeCell ref="Z54:AO54"/>
    <mergeCell ref="AP54:BE54"/>
    <mergeCell ref="BF54:BU54"/>
    <mergeCell ref="J7:P7"/>
    <mergeCell ref="L21:P21"/>
    <mergeCell ref="A2:R2"/>
    <mergeCell ref="A3:R3"/>
    <mergeCell ref="A4:R4"/>
    <mergeCell ref="C18:R18"/>
    <mergeCell ref="B19:C19"/>
    <mergeCell ref="B6:D6"/>
    <mergeCell ref="C13:I13"/>
    <mergeCell ref="D19:J19"/>
    <mergeCell ref="D30:R32"/>
    <mergeCell ref="D16:R16"/>
    <mergeCell ref="B30:C30"/>
    <mergeCell ref="B33:C33"/>
    <mergeCell ref="B34:C34"/>
    <mergeCell ref="P34:R34"/>
  </mergeCells>
  <printOptions horizontalCentered="1" verticalCentered="1"/>
  <pageMargins left="0" right="0" top="0" bottom="0" header="0" footer="0"/>
  <pageSetup paperSize="9" scale="46" fitToWidth="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J38"/>
  <sheetViews>
    <sheetView rightToLeft="1" view="pageBreakPreview" topLeftCell="A22" zoomScale="40" zoomScaleNormal="30" zoomScaleSheetLayoutView="40" workbookViewId="0">
      <selection activeCell="E12" sqref="E12"/>
    </sheetView>
  </sheetViews>
  <sheetFormatPr defaultColWidth="2" defaultRowHeight="39.75"/>
  <cols>
    <col min="1" max="1" width="7.125" style="562" customWidth="1"/>
    <col min="2" max="2" width="7.75" style="820" customWidth="1"/>
    <col min="3" max="3" width="11.375" style="820" customWidth="1"/>
    <col min="4" max="4" width="134.75" style="250" customWidth="1"/>
    <col min="5" max="5" width="26.375" style="249" bestFit="1" customWidth="1"/>
    <col min="6" max="6" width="3.5" style="249" customWidth="1"/>
    <col min="7" max="7" width="27" style="249" customWidth="1"/>
    <col min="8" max="8" width="0.125" style="250" customWidth="1"/>
    <col min="9" max="10" width="2" style="250" hidden="1" customWidth="1"/>
    <col min="11" max="11" width="8" style="250" customWidth="1"/>
    <col min="12" max="12" width="2" style="250"/>
    <col min="13" max="13" width="0.125" style="250" customWidth="1"/>
    <col min="14" max="16384" width="2" style="250"/>
  </cols>
  <sheetData>
    <row r="1" spans="1:10" s="439" customFormat="1" ht="44.25" customHeight="1">
      <c r="A1" s="3626" t="s">
        <v>612</v>
      </c>
      <c r="B1" s="3626"/>
      <c r="C1" s="3626"/>
      <c r="D1" s="3626"/>
      <c r="E1" s="3626"/>
      <c r="F1" s="3626"/>
      <c r="G1" s="3626"/>
      <c r="H1" s="2851"/>
      <c r="I1" s="2851"/>
      <c r="J1" s="2851"/>
    </row>
    <row r="2" spans="1:10" s="439" customFormat="1" ht="44.25" customHeight="1">
      <c r="A2" s="3626" t="str">
        <f>مفروضات!A2</f>
        <v>يادداشت هاي توضيحي صورت هاي مالي</v>
      </c>
      <c r="B2" s="3626"/>
      <c r="C2" s="3626"/>
      <c r="D2" s="3626"/>
      <c r="E2" s="3626"/>
      <c r="F2" s="3626"/>
      <c r="G2" s="3626"/>
      <c r="H2" s="2851"/>
      <c r="I2" s="2851"/>
      <c r="J2" s="2851"/>
    </row>
    <row r="3" spans="1:10" s="439" customFormat="1" ht="44.25" customHeight="1">
      <c r="A3" s="3626" t="str">
        <f>mafrozat!A3</f>
        <v xml:space="preserve"> سال مالي منتهي به 29 اسفند 1402</v>
      </c>
      <c r="B3" s="3626"/>
      <c r="C3" s="3626"/>
      <c r="D3" s="3626"/>
      <c r="E3" s="3626"/>
      <c r="F3" s="3626"/>
      <c r="G3" s="3626"/>
      <c r="H3" s="2851"/>
      <c r="I3" s="2851"/>
      <c r="J3" s="2851"/>
    </row>
    <row r="4" spans="1:10" s="439" customFormat="1" ht="44.25" customHeight="1">
      <c r="A4" s="3300"/>
      <c r="B4" s="2882"/>
      <c r="C4" s="2882"/>
      <c r="D4" s="2882"/>
      <c r="E4" s="2882"/>
      <c r="F4" s="2882"/>
      <c r="G4" s="2882"/>
      <c r="H4" s="2851"/>
      <c r="I4" s="2851"/>
      <c r="J4" s="2851"/>
    </row>
    <row r="5" spans="1:10" s="439" customFormat="1" ht="44.25" customHeight="1">
      <c r="A5" s="3300"/>
      <c r="B5" s="2882"/>
      <c r="C5" s="2882"/>
      <c r="D5" s="2882"/>
      <c r="E5" s="2882"/>
      <c r="F5" s="2882"/>
      <c r="G5" s="2882"/>
      <c r="H5" s="2851"/>
      <c r="I5" s="2851"/>
      <c r="J5" s="2851"/>
    </row>
    <row r="6" spans="1:10" s="439" customFormat="1" ht="44.25" customHeight="1">
      <c r="A6" s="3300"/>
      <c r="B6" s="2882"/>
      <c r="C6" s="2882"/>
      <c r="D6" s="2882"/>
      <c r="E6" s="2882"/>
      <c r="F6" s="2882"/>
      <c r="G6" s="2882"/>
      <c r="H6" s="2851"/>
      <c r="I6" s="2851"/>
      <c r="J6" s="2851"/>
    </row>
    <row r="7" spans="1:10">
      <c r="B7" s="1467"/>
      <c r="C7" s="1467"/>
      <c r="D7" s="258"/>
    </row>
    <row r="8" spans="1:10" s="169" customFormat="1" ht="65.25">
      <c r="A8" s="2442"/>
      <c r="B8" s="3627" t="s">
        <v>2424</v>
      </c>
      <c r="C8" s="3627"/>
      <c r="D8" s="2877" t="s">
        <v>1396</v>
      </c>
      <c r="E8" s="605"/>
      <c r="F8" s="2852"/>
      <c r="G8" s="2852"/>
    </row>
    <row r="9" spans="1:10" s="169" customFormat="1" ht="54" customHeight="1">
      <c r="A9" s="2442"/>
      <c r="B9" s="2848"/>
      <c r="C9" s="2848"/>
      <c r="D9" s="2847"/>
      <c r="E9" s="2852"/>
      <c r="F9" s="2852"/>
      <c r="G9" s="2852" t="s">
        <v>1879</v>
      </c>
    </row>
    <row r="10" spans="1:10" ht="54" customHeight="1">
      <c r="A10" s="2444"/>
      <c r="B10" s="1467"/>
      <c r="C10" s="2847"/>
      <c r="D10" s="2847"/>
      <c r="E10" s="2853">
        <v>1402</v>
      </c>
      <c r="F10" s="2854"/>
      <c r="G10" s="2853">
        <v>1401</v>
      </c>
    </row>
    <row r="11" spans="1:10" ht="54" customHeight="1">
      <c r="A11" s="2444"/>
      <c r="B11" s="1467"/>
      <c r="C11" s="2847"/>
      <c r="D11" s="2876" t="s">
        <v>2473</v>
      </c>
      <c r="E11" s="2855">
        <f>E33</f>
        <v>61723758</v>
      </c>
      <c r="F11" s="2855"/>
      <c r="G11" s="2855">
        <v>55647734</v>
      </c>
    </row>
    <row r="12" spans="1:10" ht="54" customHeight="1">
      <c r="A12" s="2444"/>
      <c r="B12" s="1467"/>
      <c r="C12" s="2847"/>
      <c r="D12" s="2876" t="s">
        <v>2609</v>
      </c>
      <c r="E12" s="2855">
        <f>'26'!N26</f>
        <v>33928935</v>
      </c>
      <c r="F12" s="2855"/>
      <c r="G12" s="2855">
        <v>8266777</v>
      </c>
    </row>
    <row r="13" spans="1:10" ht="54" customHeight="1">
      <c r="A13" s="2444"/>
      <c r="B13" s="1467"/>
      <c r="C13" s="2847"/>
      <c r="D13" s="2876" t="s">
        <v>2610</v>
      </c>
      <c r="E13" s="2856">
        <f>-('26'!L27)</f>
        <v>777615</v>
      </c>
      <c r="F13" s="2855"/>
      <c r="G13" s="2856">
        <v>847135</v>
      </c>
    </row>
    <row r="14" spans="1:10" ht="54" customHeight="1" thickBot="1">
      <c r="A14" s="2444"/>
      <c r="B14" s="1467"/>
      <c r="C14" s="2847"/>
      <c r="D14" s="2847"/>
      <c r="E14" s="2857">
        <f>SUM(E11:E13)</f>
        <v>96430308</v>
      </c>
      <c r="F14" s="2855"/>
      <c r="G14" s="2857">
        <f>SUM(G11:G13)</f>
        <v>64761646</v>
      </c>
    </row>
    <row r="15" spans="1:10" ht="54" customHeight="1" thickTop="1">
      <c r="A15" s="2444"/>
      <c r="B15" s="1467"/>
      <c r="C15" s="2847"/>
      <c r="D15" s="2847"/>
      <c r="E15" s="2855"/>
      <c r="F15" s="2855"/>
      <c r="G15" s="2855"/>
    </row>
    <row r="16" spans="1:10" ht="54" customHeight="1">
      <c r="B16" s="1467"/>
      <c r="C16" s="1467"/>
      <c r="D16" s="258"/>
    </row>
    <row r="17" spans="1:8" s="169" customFormat="1" ht="54" customHeight="1">
      <c r="A17" s="562"/>
      <c r="B17" s="2878"/>
      <c r="C17" s="2879" t="s">
        <v>1927</v>
      </c>
      <c r="D17" s="2883" t="s">
        <v>2558</v>
      </c>
      <c r="E17" s="605"/>
      <c r="F17" s="605"/>
      <c r="G17" s="605"/>
      <c r="H17" s="173"/>
    </row>
    <row r="18" spans="1:8" s="169" customFormat="1" ht="54" customHeight="1">
      <c r="A18" s="562"/>
      <c r="B18" s="1467"/>
      <c r="C18" s="2849"/>
      <c r="D18" s="2850"/>
      <c r="E18" s="605"/>
      <c r="F18" s="605"/>
      <c r="G18" s="605"/>
      <c r="H18" s="173"/>
    </row>
    <row r="19" spans="1:8" s="169" customFormat="1" ht="54" customHeight="1">
      <c r="A19" s="562"/>
      <c r="B19" s="1467"/>
      <c r="C19" s="2849"/>
      <c r="D19" s="2850"/>
      <c r="E19" s="3625" t="s">
        <v>1879</v>
      </c>
      <c r="F19" s="3625"/>
      <c r="G19" s="3625"/>
      <c r="H19" s="173"/>
    </row>
    <row r="20" spans="1:8" ht="54" customHeight="1">
      <c r="B20" s="1467"/>
      <c r="C20" s="1467"/>
      <c r="D20" s="258"/>
      <c r="E20" s="2858">
        <v>1402</v>
      </c>
      <c r="F20" s="2859"/>
      <c r="G20" s="2853">
        <v>1401</v>
      </c>
    </row>
    <row r="21" spans="1:8" ht="54" customHeight="1">
      <c r="B21" s="1467"/>
      <c r="C21" s="1467"/>
      <c r="D21" s="258"/>
      <c r="E21" s="2860"/>
      <c r="F21" s="2861"/>
      <c r="G21" s="2860"/>
    </row>
    <row r="22" spans="1:8" ht="54" customHeight="1">
      <c r="B22" s="1467"/>
      <c r="C22" s="1467"/>
      <c r="D22" s="2880" t="s">
        <v>1207</v>
      </c>
      <c r="E22" s="2862">
        <f>G33</f>
        <v>55647734</v>
      </c>
      <c r="F22" s="2863"/>
      <c r="G22" s="2864">
        <v>24119382</v>
      </c>
    </row>
    <row r="23" spans="1:8" ht="54" hidden="1" customHeight="1">
      <c r="B23" s="1467"/>
      <c r="C23" s="1467"/>
      <c r="D23" s="2880" t="s">
        <v>2300</v>
      </c>
      <c r="E23" s="2865">
        <v>0</v>
      </c>
      <c r="F23" s="2866"/>
      <c r="G23" s="2867">
        <v>0</v>
      </c>
    </row>
    <row r="24" spans="1:8" ht="54" customHeight="1">
      <c r="B24" s="1467"/>
      <c r="C24" s="1467"/>
      <c r="D24" s="2880" t="s">
        <v>2685</v>
      </c>
      <c r="E24" s="2865">
        <v>-41979759</v>
      </c>
      <c r="F24" s="2866"/>
      <c r="G24" s="2868">
        <v>-9811680</v>
      </c>
    </row>
    <row r="25" spans="1:8" ht="54" customHeight="1">
      <c r="B25" s="1467"/>
      <c r="C25" s="1467"/>
      <c r="D25" s="2880" t="s">
        <v>2528</v>
      </c>
      <c r="E25" s="2862">
        <v>47271097</v>
      </c>
      <c r="F25" s="2863"/>
      <c r="G25" s="2868">
        <v>41979759</v>
      </c>
    </row>
    <row r="26" spans="1:8" ht="54" customHeight="1">
      <c r="B26" s="1467"/>
      <c r="C26" s="1467"/>
      <c r="D26" s="2880" t="s">
        <v>2529</v>
      </c>
      <c r="E26" s="2862"/>
      <c r="F26" s="2863"/>
      <c r="G26" s="2864">
        <v>2853920</v>
      </c>
    </row>
    <row r="27" spans="1:8" ht="79.5">
      <c r="B27" s="1467"/>
      <c r="C27" s="1467"/>
      <c r="D27" s="2881" t="s">
        <v>2550</v>
      </c>
      <c r="E27" s="2865">
        <v>767897</v>
      </c>
      <c r="F27" s="2866"/>
      <c r="G27" s="2867">
        <v>-767896</v>
      </c>
    </row>
    <row r="28" spans="1:8">
      <c r="B28" s="1467"/>
      <c r="C28" s="1467"/>
      <c r="D28" s="2881" t="s">
        <v>2728</v>
      </c>
      <c r="E28" s="2865">
        <v>179880</v>
      </c>
      <c r="F28" s="2866"/>
      <c r="G28" s="2867">
        <v>0</v>
      </c>
    </row>
    <row r="29" spans="1:8" ht="72.75" customHeight="1">
      <c r="B29" s="1467"/>
      <c r="C29" s="1467"/>
      <c r="D29" s="2880" t="s">
        <v>2310</v>
      </c>
      <c r="E29" s="2869">
        <v>108597</v>
      </c>
      <c r="F29" s="2863"/>
      <c r="G29" s="2870">
        <v>7274249</v>
      </c>
    </row>
    <row r="30" spans="1:8" ht="54" customHeight="1">
      <c r="B30" s="1467"/>
      <c r="C30" s="1467"/>
      <c r="D30" s="249"/>
    </row>
    <row r="31" spans="1:8" ht="54" customHeight="1">
      <c r="A31" s="562">
        <v>100201</v>
      </c>
      <c r="B31" s="2053"/>
      <c r="C31" s="1467"/>
      <c r="D31" s="249"/>
      <c r="E31" s="2871">
        <f>-SUMIF('1402'!$B$6:$B$590,$A31,'1402'!$W$6:$W$590)-'1402'!W5</f>
        <v>61723758</v>
      </c>
      <c r="F31" s="2872">
        <f>-SUMIF('94'!$A$3:$A$476,$A31,'94'!$R$3:$R$476)</f>
        <v>4397098</v>
      </c>
      <c r="G31" s="2871">
        <f>SUM(G22:G29)</f>
        <v>65647734</v>
      </c>
    </row>
    <row r="32" spans="1:8" ht="54" customHeight="1">
      <c r="B32" s="2053"/>
      <c r="C32" s="1467"/>
      <c r="D32" s="2880" t="s">
        <v>2382</v>
      </c>
      <c r="E32" s="2873">
        <v>0</v>
      </c>
      <c r="F32" s="2872"/>
      <c r="G32" s="2868">
        <v>-10000000</v>
      </c>
    </row>
    <row r="33" spans="1:10" ht="54" customHeight="1" thickBot="1">
      <c r="B33" s="2053"/>
      <c r="C33" s="1467"/>
      <c r="D33" s="258"/>
      <c r="E33" s="2874">
        <f>SUM(E31:E32)</f>
        <v>61723758</v>
      </c>
      <c r="F33" s="2872"/>
      <c r="G33" s="2874">
        <f>SUM(G31:G32)</f>
        <v>55647734</v>
      </c>
    </row>
    <row r="34" spans="1:10" ht="54" customHeight="1" thickTop="1">
      <c r="B34" s="1467"/>
      <c r="C34" s="1467"/>
      <c r="D34" s="1322"/>
      <c r="E34" s="2875">
        <f>SUM(E22:E27)</f>
        <v>61706969</v>
      </c>
      <c r="F34" s="2859"/>
      <c r="G34" s="2875">
        <v>7825432</v>
      </c>
    </row>
    <row r="38" spans="1:10" ht="91.5" customHeight="1">
      <c r="A38" s="3410">
        <v>27</v>
      </c>
      <c r="B38" s="3410"/>
      <c r="C38" s="3410"/>
      <c r="D38" s="3410"/>
      <c r="E38" s="3410"/>
      <c r="F38" s="3410"/>
      <c r="G38" s="3410"/>
      <c r="H38" s="482"/>
      <c r="I38" s="482"/>
      <c r="J38" s="482"/>
    </row>
  </sheetData>
  <mergeCells count="6">
    <mergeCell ref="A38:G38"/>
    <mergeCell ref="E19:G19"/>
    <mergeCell ref="A1:G1"/>
    <mergeCell ref="A2:G2"/>
    <mergeCell ref="A3:G3"/>
    <mergeCell ref="B8:C8"/>
  </mergeCells>
  <printOptions horizontalCentered="1" verticalCentered="1"/>
  <pageMargins left="0" right="0" top="0" bottom="0" header="0" footer="0"/>
  <pageSetup paperSize="9" scale="40" orientation="portrait" r:id="rId1"/>
  <colBreaks count="1" manualBreakCount="1">
    <brk id="25" max="34"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P74"/>
  <sheetViews>
    <sheetView rightToLeft="1" view="pageBreakPreview" topLeftCell="A28" zoomScale="40" zoomScaleNormal="46" zoomScaleSheetLayoutView="40" workbookViewId="0">
      <selection activeCell="T47" sqref="T47"/>
    </sheetView>
  </sheetViews>
  <sheetFormatPr defaultColWidth="1.375" defaultRowHeight="21"/>
  <cols>
    <col min="1" max="1" width="2.75" style="847" customWidth="1"/>
    <col min="2" max="2" width="11.25" style="819" customWidth="1"/>
    <col min="3" max="3" width="7.375" style="819" customWidth="1"/>
    <col min="4" max="4" width="19.25" style="819" customWidth="1"/>
    <col min="5" max="5" width="0.5" style="103" customWidth="1"/>
    <col min="6" max="6" width="16.5" style="103" customWidth="1"/>
    <col min="7" max="7" width="4" style="103" customWidth="1"/>
    <col min="8" max="8" width="27.5" style="103" customWidth="1"/>
    <col min="9" max="9" width="3" style="103" customWidth="1"/>
    <col min="10" max="10" width="28.375" style="103" bestFit="1" customWidth="1"/>
    <col min="11" max="11" width="3.25" style="103" customWidth="1"/>
    <col min="12" max="12" width="25.125" style="103" customWidth="1"/>
    <col min="13" max="13" width="2.125" style="103" customWidth="1"/>
    <col min="14" max="14" width="23.75" style="103" customWidth="1"/>
    <col min="15" max="15" width="3" style="103" customWidth="1"/>
    <col min="16" max="16" width="22.875" style="103" customWidth="1"/>
    <col min="17" max="17" width="2.125" style="103" customWidth="1"/>
    <col min="18" max="18" width="22.875" style="103" customWidth="1"/>
    <col min="19" max="19" width="2.125" style="103" customWidth="1"/>
    <col min="20" max="20" width="34.375" style="103" customWidth="1"/>
    <col min="21" max="21" width="3.125" style="103" customWidth="1"/>
    <col min="22" max="22" width="23.75" style="103" customWidth="1"/>
    <col min="23" max="23" width="3.625" style="103" customWidth="1"/>
    <col min="24" max="24" width="23.375" style="104" customWidth="1"/>
    <col min="25" max="25" width="16.25" style="103" customWidth="1"/>
    <col min="26" max="26" width="26.75" style="103" hidden="1" customWidth="1"/>
    <col min="27" max="27" width="27.375" style="103" customWidth="1"/>
    <col min="28" max="30" width="27.375" customWidth="1"/>
    <col min="31" max="49" width="27.375" style="103" customWidth="1"/>
    <col min="50" max="16384" width="1.375" style="103"/>
  </cols>
  <sheetData>
    <row r="1" spans="1:30" ht="11.25" customHeight="1"/>
    <row r="2" spans="1:30" ht="71.25" customHeight="1">
      <c r="A2" s="3633" t="str">
        <f>مفروضات!A1</f>
        <v>شركت خطوط لوله و مخابرات نفت ايران (سهامي خاص)</v>
      </c>
      <c r="B2" s="3633"/>
      <c r="C2" s="3633"/>
      <c r="D2" s="3633"/>
      <c r="E2" s="3633"/>
      <c r="F2" s="3633"/>
      <c r="G2" s="3633"/>
      <c r="H2" s="3633"/>
      <c r="I2" s="3633"/>
      <c r="J2" s="3633"/>
      <c r="K2" s="3633"/>
      <c r="L2" s="3633"/>
      <c r="M2" s="3633"/>
      <c r="N2" s="3633"/>
      <c r="O2" s="3633"/>
      <c r="P2" s="3633"/>
      <c r="Q2" s="3633"/>
      <c r="R2" s="3633"/>
      <c r="S2" s="3633"/>
      <c r="T2" s="3633"/>
      <c r="U2" s="3633"/>
      <c r="V2" s="3633"/>
      <c r="W2" s="3633"/>
      <c r="X2" s="3633"/>
      <c r="Y2" s="3633"/>
      <c r="Z2" s="3633"/>
    </row>
    <row r="3" spans="1:30" ht="71.25" customHeight="1">
      <c r="A3" s="3633" t="str">
        <f>مفروضات!A2</f>
        <v>يادداشت هاي توضيحي صورت هاي مالي</v>
      </c>
      <c r="B3" s="3633"/>
      <c r="C3" s="3633"/>
      <c r="D3" s="3633"/>
      <c r="E3" s="3633"/>
      <c r="F3" s="3633"/>
      <c r="G3" s="3633"/>
      <c r="H3" s="3633"/>
      <c r="I3" s="3633"/>
      <c r="J3" s="3633"/>
      <c r="K3" s="3633"/>
      <c r="L3" s="3633"/>
      <c r="M3" s="3633"/>
      <c r="N3" s="3633"/>
      <c r="O3" s="3633"/>
      <c r="P3" s="3633"/>
      <c r="Q3" s="3633"/>
      <c r="R3" s="3633"/>
      <c r="S3" s="3633"/>
      <c r="T3" s="3633"/>
      <c r="U3" s="3633"/>
      <c r="V3" s="3633"/>
      <c r="W3" s="3633"/>
      <c r="X3" s="3633"/>
      <c r="Y3" s="3633"/>
      <c r="Z3" s="3633"/>
    </row>
    <row r="4" spans="1:30" ht="71.25" customHeight="1">
      <c r="A4" s="3633" t="str">
        <f>mafrozat!A3</f>
        <v xml:space="preserve"> سال مالي منتهي به 29 اسفند 1402</v>
      </c>
      <c r="B4" s="3633"/>
      <c r="C4" s="3633"/>
      <c r="D4" s="3633"/>
      <c r="E4" s="3633"/>
      <c r="F4" s="3633"/>
      <c r="G4" s="3633"/>
      <c r="H4" s="3633"/>
      <c r="I4" s="3633"/>
      <c r="J4" s="3633"/>
      <c r="K4" s="3633"/>
      <c r="L4" s="3633"/>
      <c r="M4" s="3633"/>
      <c r="N4" s="3633"/>
      <c r="O4" s="3633"/>
      <c r="P4" s="3633"/>
      <c r="Q4" s="3633"/>
      <c r="R4" s="3633"/>
      <c r="S4" s="3633"/>
      <c r="T4" s="3633"/>
      <c r="U4" s="3633"/>
      <c r="V4" s="3633"/>
      <c r="W4" s="3633"/>
      <c r="X4" s="3633"/>
      <c r="Y4" s="3633"/>
      <c r="Z4" s="3633"/>
    </row>
    <row r="5" spans="1:30" ht="71.25" customHeight="1">
      <c r="A5" s="2884"/>
      <c r="B5" s="2884"/>
      <c r="C5" s="2884"/>
      <c r="D5" s="2884"/>
      <c r="E5" s="2884"/>
      <c r="F5" s="2884"/>
      <c r="G5" s="2884"/>
      <c r="H5" s="2884"/>
      <c r="I5" s="2884"/>
      <c r="J5" s="2884"/>
      <c r="K5" s="2884"/>
      <c r="L5" s="2884"/>
      <c r="M5" s="2884"/>
      <c r="N5" s="2884"/>
      <c r="O5" s="2884"/>
      <c r="P5" s="2884"/>
      <c r="Q5" s="2884"/>
      <c r="R5" s="2884"/>
      <c r="S5" s="2884"/>
      <c r="T5" s="2884"/>
      <c r="U5" s="2884"/>
      <c r="V5" s="2884"/>
      <c r="W5" s="2884"/>
      <c r="X5" s="2884"/>
      <c r="Y5" s="2884"/>
      <c r="Z5" s="2884"/>
    </row>
    <row r="6" spans="1:30" ht="71.25" customHeight="1">
      <c r="A6" s="2884"/>
      <c r="B6" s="2884"/>
      <c r="C6" s="2884"/>
      <c r="D6" s="2884"/>
      <c r="E6" s="2884"/>
      <c r="F6" s="2884"/>
      <c r="G6" s="2884"/>
      <c r="H6" s="2884"/>
      <c r="I6" s="2884"/>
      <c r="J6" s="2884"/>
      <c r="K6" s="2884"/>
      <c r="L6" s="2884"/>
      <c r="M6" s="2884"/>
      <c r="N6" s="2884"/>
      <c r="O6" s="2884"/>
      <c r="P6" s="2884"/>
      <c r="Q6" s="2884"/>
      <c r="R6" s="2884"/>
      <c r="S6" s="2884"/>
      <c r="T6" s="2884"/>
      <c r="U6" s="2884"/>
      <c r="V6" s="2884"/>
      <c r="W6" s="2884"/>
      <c r="X6" s="2884"/>
      <c r="Y6" s="2884"/>
      <c r="Z6" s="2884"/>
    </row>
    <row r="7" spans="1:30" ht="49.5" customHeight="1">
      <c r="A7" s="2430"/>
      <c r="B7" s="2430"/>
      <c r="C7" s="2430"/>
      <c r="D7" s="2430"/>
      <c r="E7" s="2430"/>
      <c r="F7" s="2430"/>
      <c r="G7" s="2430"/>
      <c r="H7" s="2430"/>
      <c r="I7" s="2430"/>
      <c r="J7" s="2430"/>
      <c r="K7" s="2430"/>
      <c r="L7" s="2430"/>
      <c r="M7" s="2430"/>
      <c r="N7" s="2430"/>
      <c r="O7" s="2430"/>
      <c r="P7" s="2430"/>
      <c r="Q7" s="2430"/>
      <c r="R7" s="2430"/>
      <c r="S7" s="2430"/>
      <c r="T7" s="2430"/>
      <c r="U7" s="2430"/>
      <c r="V7" s="2430"/>
      <c r="W7" s="2430"/>
      <c r="X7" s="2430"/>
      <c r="Y7" s="2430"/>
      <c r="Z7" s="2430"/>
    </row>
    <row r="8" spans="1:30" ht="49.5" customHeight="1">
      <c r="A8" s="2430"/>
      <c r="B8" s="2430"/>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row>
    <row r="9" spans="1:30" ht="45" customHeight="1">
      <c r="A9" s="103"/>
      <c r="B9" s="2886"/>
      <c r="C9" s="2885" t="s">
        <v>2530</v>
      </c>
      <c r="D9" s="2885" t="s">
        <v>2331</v>
      </c>
      <c r="E9" s="2885"/>
      <c r="F9" s="2886"/>
      <c r="G9" s="2888"/>
      <c r="H9" s="2888"/>
      <c r="I9" s="2888"/>
      <c r="J9" s="2888"/>
      <c r="K9" s="2888"/>
      <c r="L9" s="2888"/>
      <c r="M9" s="2888"/>
      <c r="N9" s="2888"/>
      <c r="O9" s="2888"/>
      <c r="P9" s="2888"/>
      <c r="Q9" s="2888"/>
      <c r="R9" s="2888"/>
      <c r="S9" s="2888"/>
      <c r="T9" s="1166"/>
      <c r="U9" s="1166"/>
      <c r="V9" s="1166"/>
      <c r="W9" s="2888"/>
      <c r="X9" s="2889"/>
      <c r="Y9" s="2888"/>
      <c r="Z9" s="2888"/>
    </row>
    <row r="10" spans="1:30" ht="39.75">
      <c r="B10" s="2890"/>
      <c r="C10" s="2890"/>
      <c r="D10" s="2890"/>
      <c r="E10" s="2431"/>
      <c r="F10" s="2431"/>
      <c r="G10" s="2431"/>
      <c r="H10" s="2431"/>
      <c r="I10" s="2431"/>
      <c r="J10" s="2431"/>
      <c r="K10" s="2431"/>
      <c r="L10" s="2431"/>
      <c r="M10" s="2431"/>
      <c r="N10" s="2431"/>
      <c r="O10" s="2431"/>
      <c r="P10" s="2431"/>
      <c r="Q10" s="2431"/>
      <c r="R10" s="2431"/>
      <c r="S10" s="2431"/>
      <c r="T10" s="2431"/>
      <c r="U10" s="2431"/>
      <c r="V10" s="2431"/>
      <c r="W10" s="2431"/>
      <c r="X10" s="2889"/>
      <c r="Y10" s="2431"/>
      <c r="Z10" s="2431"/>
    </row>
    <row r="11" spans="1:30" ht="45" customHeight="1">
      <c r="A11" s="103"/>
      <c r="B11" s="2886"/>
      <c r="C11" s="2887"/>
      <c r="D11" s="2896" t="s">
        <v>2531</v>
      </c>
      <c r="E11" s="2148"/>
      <c r="F11" s="2148" t="s">
        <v>2348</v>
      </c>
      <c r="G11" s="2148"/>
      <c r="H11" s="2897"/>
      <c r="I11" s="1212"/>
      <c r="J11" s="1212"/>
      <c r="K11" s="1212"/>
      <c r="L11" s="1212"/>
      <c r="M11" s="2148"/>
      <c r="N11" s="2148"/>
      <c r="O11" s="2898"/>
      <c r="P11" s="2898"/>
      <c r="Q11" s="2898"/>
      <c r="R11" s="2899"/>
      <c r="S11" s="1212"/>
      <c r="T11" s="3632" t="s">
        <v>1879</v>
      </c>
      <c r="U11" s="3632"/>
      <c r="V11" s="3632"/>
      <c r="W11" s="1212"/>
      <c r="X11" s="2900"/>
      <c r="Y11" s="1212"/>
      <c r="Z11" s="1212"/>
    </row>
    <row r="12" spans="1:30" s="2161" customFormat="1" ht="45" customHeight="1">
      <c r="B12" s="2886"/>
      <c r="C12" s="2887"/>
      <c r="D12" s="2148"/>
      <c r="E12" s="2148"/>
      <c r="F12" s="2901"/>
      <c r="G12" s="2902"/>
      <c r="H12" s="2902"/>
      <c r="I12" s="2902"/>
      <c r="J12" s="2902"/>
      <c r="K12" s="2902"/>
      <c r="L12" s="2902"/>
      <c r="M12" s="1212"/>
      <c r="N12" s="1212"/>
      <c r="O12" s="1212"/>
      <c r="P12" s="1212"/>
      <c r="Q12" s="1212"/>
      <c r="R12" s="1212"/>
      <c r="S12" s="1212"/>
      <c r="T12" s="2903">
        <v>1402</v>
      </c>
      <c r="U12" s="2904"/>
      <c r="V12" s="2903">
        <v>1401</v>
      </c>
      <c r="W12" s="1212"/>
      <c r="X12" s="2900"/>
      <c r="Y12" s="1212"/>
      <c r="Z12" s="1212"/>
      <c r="AB12" s="2162"/>
      <c r="AC12" s="2162"/>
      <c r="AD12" s="2162"/>
    </row>
    <row r="13" spans="1:30" s="2161" customFormat="1" ht="45" customHeight="1">
      <c r="B13" s="2886"/>
      <c r="C13" s="2887"/>
      <c r="D13" s="2148"/>
      <c r="E13" s="2148"/>
      <c r="F13" s="2905" t="s">
        <v>2536</v>
      </c>
      <c r="G13" s="2905"/>
      <c r="H13" s="1212"/>
      <c r="I13" s="1212"/>
      <c r="J13" s="1212"/>
      <c r="K13" s="1212"/>
      <c r="L13" s="1212"/>
      <c r="M13" s="1212"/>
      <c r="N13" s="1212"/>
      <c r="O13" s="1212"/>
      <c r="P13" s="1212"/>
      <c r="Q13" s="1212"/>
      <c r="R13" s="1212"/>
      <c r="S13" s="1212"/>
      <c r="T13" s="2906">
        <f>V18</f>
        <v>181912</v>
      </c>
      <c r="U13" s="2905"/>
      <c r="V13" s="2905">
        <v>689997</v>
      </c>
      <c r="W13" s="1212"/>
      <c r="X13" s="2900"/>
      <c r="Y13" s="1212"/>
      <c r="Z13" s="1212"/>
      <c r="AB13" s="2162"/>
      <c r="AC13" s="2162"/>
      <c r="AD13" s="2162"/>
    </row>
    <row r="14" spans="1:30" s="2161" customFormat="1" ht="45" customHeight="1">
      <c r="B14" s="2886"/>
      <c r="C14" s="2887"/>
      <c r="D14" s="2148"/>
      <c r="E14" s="2905"/>
      <c r="F14" s="2905" t="s">
        <v>2345</v>
      </c>
      <c r="G14" s="1212"/>
      <c r="H14" s="2905"/>
      <c r="I14" s="1212"/>
      <c r="J14" s="1212"/>
      <c r="K14" s="1212"/>
      <c r="L14" s="1212"/>
      <c r="M14" s="1212"/>
      <c r="N14" s="1212"/>
      <c r="O14" s="1212"/>
      <c r="P14" s="1212"/>
      <c r="Q14" s="1212"/>
      <c r="R14" s="1212"/>
      <c r="S14" s="1212"/>
      <c r="T14" s="2905">
        <v>21156</v>
      </c>
      <c r="U14" s="2905"/>
      <c r="V14" s="2905">
        <v>0</v>
      </c>
      <c r="W14" s="1212"/>
      <c r="X14" s="2900"/>
      <c r="Y14" s="1212"/>
      <c r="Z14" s="1212"/>
      <c r="AB14" s="2162"/>
      <c r="AC14" s="2162"/>
      <c r="AD14" s="2162"/>
    </row>
    <row r="15" spans="1:30" s="2161" customFormat="1" ht="45" customHeight="1">
      <c r="B15" s="2886"/>
      <c r="C15" s="2887"/>
      <c r="D15" s="2148"/>
      <c r="E15" s="2905"/>
      <c r="F15" s="2905" t="s">
        <v>2469</v>
      </c>
      <c r="G15" s="1212"/>
      <c r="H15" s="2905"/>
      <c r="I15" s="1212"/>
      <c r="J15" s="1212"/>
      <c r="K15" s="1212"/>
      <c r="L15" s="1212"/>
      <c r="M15" s="1212"/>
      <c r="N15" s="1212"/>
      <c r="O15" s="1212"/>
      <c r="P15" s="1212"/>
      <c r="Q15" s="1212"/>
      <c r="R15" s="1212"/>
      <c r="S15" s="1212"/>
      <c r="T15" s="2905">
        <v>1600000</v>
      </c>
      <c r="U15" s="2905"/>
      <c r="V15" s="2905">
        <v>120141</v>
      </c>
      <c r="W15" s="1212"/>
      <c r="X15" s="2900"/>
      <c r="Y15" s="1212"/>
      <c r="Z15" s="1212"/>
      <c r="AB15" s="2162"/>
      <c r="AC15" s="2162"/>
      <c r="AD15" s="2162"/>
    </row>
    <row r="16" spans="1:30" s="2161" customFormat="1" ht="45" customHeight="1">
      <c r="B16" s="2886"/>
      <c r="C16" s="2887"/>
      <c r="D16" s="2148"/>
      <c r="E16" s="2905"/>
      <c r="F16" s="2905" t="s">
        <v>2470</v>
      </c>
      <c r="G16" s="1212"/>
      <c r="H16" s="2905"/>
      <c r="I16" s="1212"/>
      <c r="J16" s="1212"/>
      <c r="K16" s="1212"/>
      <c r="L16" s="1212"/>
      <c r="M16" s="1212"/>
      <c r="N16" s="1212"/>
      <c r="O16" s="1212"/>
      <c r="P16" s="1212"/>
      <c r="Q16" s="1212"/>
      <c r="R16" s="1212"/>
      <c r="S16" s="1212"/>
      <c r="T16" s="2905">
        <v>0</v>
      </c>
      <c r="U16" s="2905"/>
      <c r="V16" s="2905">
        <v>-603802</v>
      </c>
      <c r="W16" s="1212"/>
      <c r="X16" s="2900"/>
      <c r="Y16" s="1212"/>
      <c r="Z16" s="1212"/>
      <c r="AB16" s="2162"/>
      <c r="AC16" s="2162"/>
      <c r="AD16" s="2162"/>
    </row>
    <row r="17" spans="1:32" s="2161" customFormat="1" ht="45" customHeight="1">
      <c r="B17" s="2886"/>
      <c r="C17" s="2887"/>
      <c r="D17" s="2148"/>
      <c r="E17" s="2260"/>
      <c r="F17" s="2905" t="s">
        <v>2346</v>
      </c>
      <c r="G17" s="2905"/>
      <c r="H17" s="1212"/>
      <c r="I17" s="1212"/>
      <c r="J17" s="1212"/>
      <c r="K17" s="1212"/>
      <c r="L17" s="1212"/>
      <c r="M17" s="1212"/>
      <c r="N17" s="1212"/>
      <c r="O17" s="1212"/>
      <c r="P17" s="1212"/>
      <c r="Q17" s="1212"/>
      <c r="R17" s="1212"/>
      <c r="S17" s="1212"/>
      <c r="T17" s="2907">
        <v>0</v>
      </c>
      <c r="U17" s="2905"/>
      <c r="V17" s="2907">
        <v>-24424</v>
      </c>
      <c r="W17" s="1212"/>
      <c r="X17" s="2900"/>
      <c r="Y17" s="1212"/>
      <c r="Z17" s="1212"/>
      <c r="AB17" s="2162"/>
      <c r="AC17" s="2162"/>
      <c r="AD17" s="2162"/>
    </row>
    <row r="18" spans="1:32" s="2161" customFormat="1" ht="45" customHeight="1">
      <c r="B18" s="2886"/>
      <c r="C18" s="2887"/>
      <c r="D18" s="2148"/>
      <c r="E18" s="2905"/>
      <c r="F18" s="2905"/>
      <c r="G18" s="1212"/>
      <c r="H18" s="2905"/>
      <c r="I18" s="1212"/>
      <c r="J18" s="1212"/>
      <c r="K18" s="1212"/>
      <c r="L18" s="1212"/>
      <c r="M18" s="1212"/>
      <c r="N18" s="1212"/>
      <c r="O18" s="1212"/>
      <c r="P18" s="1212"/>
      <c r="Q18" s="1212"/>
      <c r="R18" s="1212"/>
      <c r="S18" s="1212"/>
      <c r="T18" s="2905">
        <f>-'1402'!W457</f>
        <v>1803068</v>
      </c>
      <c r="U18" s="2905"/>
      <c r="V18" s="2905">
        <f>SUM(V13:V17)</f>
        <v>181912</v>
      </c>
      <c r="W18" s="1212"/>
      <c r="X18" s="2900"/>
      <c r="Y18" s="1212"/>
      <c r="Z18" s="1212"/>
      <c r="AB18" s="2162"/>
      <c r="AC18" s="2162"/>
      <c r="AD18" s="2162"/>
    </row>
    <row r="19" spans="1:32" s="2161" customFormat="1" ht="45" customHeight="1">
      <c r="B19" s="2886"/>
      <c r="C19" s="2887"/>
      <c r="D19" s="2148"/>
      <c r="E19" s="2260"/>
      <c r="F19" s="2905" t="s">
        <v>2352</v>
      </c>
      <c r="G19" s="2905"/>
      <c r="H19" s="1212"/>
      <c r="I19" s="1212"/>
      <c r="J19" s="1212"/>
      <c r="K19" s="1212"/>
      <c r="L19" s="1212"/>
      <c r="M19" s="1212"/>
      <c r="N19" s="1212"/>
      <c r="O19" s="1212"/>
      <c r="P19" s="1212"/>
      <c r="Q19" s="1212"/>
      <c r="R19" s="1212"/>
      <c r="S19" s="1212"/>
      <c r="T19" s="2907">
        <v>-216814</v>
      </c>
      <c r="U19" s="1212"/>
      <c r="V19" s="2907">
        <v>-95000</v>
      </c>
      <c r="W19" s="1212"/>
      <c r="X19" s="2900"/>
      <c r="Y19" s="1212"/>
      <c r="Z19" s="1212"/>
      <c r="AB19" s="2162"/>
      <c r="AC19" s="2162"/>
      <c r="AD19" s="2162"/>
    </row>
    <row r="20" spans="1:32" s="2161" customFormat="1" ht="45" customHeight="1" thickBot="1">
      <c r="B20" s="2886"/>
      <c r="C20" s="2887"/>
      <c r="E20" s="2148"/>
      <c r="F20" s="2897"/>
      <c r="G20" s="1212"/>
      <c r="H20" s="1212"/>
      <c r="I20" s="1212"/>
      <c r="J20" s="1212"/>
      <c r="K20" s="1212"/>
      <c r="L20" s="1212"/>
      <c r="M20" s="1212"/>
      <c r="N20" s="1212"/>
      <c r="O20" s="1212"/>
      <c r="P20" s="1212"/>
      <c r="Q20" s="1212"/>
      <c r="R20" s="1212"/>
      <c r="S20" s="1212"/>
      <c r="T20" s="2908">
        <f>SUM(T18:T19)</f>
        <v>1586254</v>
      </c>
      <c r="U20" s="1212"/>
      <c r="V20" s="2908">
        <f>SUM(V18:V19)</f>
        <v>86912</v>
      </c>
      <c r="W20" s="1212"/>
      <c r="X20" s="2900"/>
      <c r="Y20" s="1212"/>
      <c r="Z20" s="1212"/>
      <c r="AB20" s="2162"/>
      <c r="AC20" s="2162"/>
      <c r="AD20" s="2162"/>
    </row>
    <row r="21" spans="1:32" s="2161" customFormat="1" ht="154.5" customHeight="1" thickTop="1">
      <c r="B21" s="2886"/>
      <c r="C21" s="2887"/>
      <c r="D21" s="2148" t="s">
        <v>2532</v>
      </c>
      <c r="E21" s="3642" t="s">
        <v>2677</v>
      </c>
      <c r="F21" s="3642"/>
      <c r="G21" s="3642"/>
      <c r="H21" s="3642"/>
      <c r="I21" s="3642"/>
      <c r="J21" s="3642"/>
      <c r="K21" s="3642"/>
      <c r="L21" s="3642"/>
      <c r="M21" s="3642"/>
      <c r="N21" s="3642"/>
      <c r="O21" s="3642"/>
      <c r="P21" s="3642"/>
      <c r="Q21" s="3642"/>
      <c r="R21" s="3642"/>
      <c r="S21" s="3642"/>
      <c r="T21" s="3642"/>
      <c r="U21" s="3642"/>
      <c r="V21" s="3642"/>
      <c r="W21" s="3642"/>
      <c r="X21" s="3642"/>
      <c r="Y21" s="3642"/>
      <c r="Z21" s="2909"/>
      <c r="AA21" s="2689"/>
      <c r="AB21" s="2689"/>
      <c r="AC21" s="2689"/>
      <c r="AD21" s="2689"/>
      <c r="AE21" s="2689"/>
      <c r="AF21" s="2689"/>
    </row>
    <row r="22" spans="1:32" ht="45" customHeight="1">
      <c r="A22" s="103"/>
      <c r="B22" s="2890"/>
      <c r="C22" s="2890"/>
      <c r="D22" s="2897"/>
      <c r="E22" s="2148" t="s">
        <v>2533</v>
      </c>
      <c r="F22" s="2148" t="s">
        <v>2347</v>
      </c>
      <c r="G22" s="2148"/>
      <c r="H22" s="2897"/>
      <c r="I22" s="1212"/>
      <c r="J22" s="1212"/>
      <c r="K22" s="1212"/>
      <c r="L22" s="1212"/>
      <c r="M22" s="1212"/>
      <c r="N22" s="1212"/>
      <c r="O22" s="1212"/>
      <c r="P22" s="1212"/>
      <c r="Q22" s="1212"/>
      <c r="R22" s="1212"/>
      <c r="S22" s="1212"/>
      <c r="T22" s="2905"/>
      <c r="U22" s="1212"/>
      <c r="V22" s="2905"/>
      <c r="W22" s="1212"/>
      <c r="X22" s="2900"/>
      <c r="Y22" s="1212"/>
      <c r="Z22" s="1212"/>
    </row>
    <row r="23" spans="1:32" ht="45" customHeight="1">
      <c r="A23" s="103"/>
      <c r="B23" s="2886"/>
      <c r="C23" s="2887"/>
      <c r="D23" s="2148"/>
      <c r="E23" s="2148"/>
      <c r="F23" s="2897"/>
      <c r="G23" s="1212"/>
      <c r="H23" s="1212"/>
      <c r="I23" s="1212"/>
      <c r="J23" s="1212"/>
      <c r="K23" s="1212"/>
      <c r="L23" s="1212"/>
      <c r="M23" s="1212"/>
      <c r="N23" s="1212"/>
      <c r="O23" s="1212"/>
      <c r="P23" s="1212"/>
      <c r="Q23" s="1212"/>
      <c r="R23" s="1212"/>
      <c r="S23" s="1212"/>
      <c r="T23" s="3632" t="s">
        <v>1879</v>
      </c>
      <c r="U23" s="3632"/>
      <c r="V23" s="3632"/>
      <c r="W23" s="1212"/>
      <c r="X23" s="2900"/>
      <c r="Y23" s="1212"/>
      <c r="Z23" s="1212"/>
    </row>
    <row r="24" spans="1:32" ht="48" thickBot="1">
      <c r="B24" s="2891"/>
      <c r="C24" s="2891"/>
      <c r="D24" s="2910"/>
      <c r="E24" s="2911"/>
      <c r="F24" s="2912"/>
      <c r="G24" s="2913"/>
      <c r="H24" s="2914"/>
      <c r="I24" s="2914"/>
      <c r="J24" s="2914"/>
      <c r="K24" s="2914"/>
      <c r="L24" s="2915">
        <v>1402</v>
      </c>
      <c r="M24" s="2916"/>
      <c r="N24" s="2914"/>
      <c r="O24" s="2914"/>
      <c r="P24" s="2914"/>
      <c r="Q24" s="2914"/>
      <c r="R24" s="2914"/>
      <c r="S24" s="2914"/>
      <c r="T24" s="2917"/>
      <c r="U24" s="2911"/>
      <c r="V24" s="2918">
        <v>1401</v>
      </c>
      <c r="W24" s="2911"/>
      <c r="X24" s="2919"/>
      <c r="Y24" s="2260"/>
      <c r="Z24" s="2260"/>
    </row>
    <row r="25" spans="1:32" ht="48" thickBot="1">
      <c r="B25" s="2891"/>
      <c r="C25" s="2891"/>
      <c r="D25" s="2910"/>
      <c r="E25" s="2911"/>
      <c r="F25" s="3634" t="s">
        <v>639</v>
      </c>
      <c r="G25" s="2920"/>
      <c r="H25" s="3636" t="s">
        <v>709</v>
      </c>
      <c r="I25" s="2920"/>
      <c r="J25" s="3638" t="s">
        <v>1275</v>
      </c>
      <c r="K25" s="2920"/>
      <c r="L25" s="3640" t="s">
        <v>713</v>
      </c>
      <c r="M25" s="3640"/>
      <c r="N25" s="3640"/>
      <c r="O25" s="3640"/>
      <c r="P25" s="3640"/>
      <c r="Q25" s="3640"/>
      <c r="R25" s="3640"/>
      <c r="S25" s="3640"/>
      <c r="T25" s="3640"/>
      <c r="U25" s="2911"/>
      <c r="V25" s="3638" t="s">
        <v>1733</v>
      </c>
      <c r="W25" s="2911"/>
      <c r="X25" s="3628" t="s">
        <v>1163</v>
      </c>
      <c r="Y25" s="3628"/>
      <c r="Z25" s="3628"/>
    </row>
    <row r="26" spans="1:32" s="104" customFormat="1" ht="48" thickBot="1">
      <c r="A26" s="2565"/>
      <c r="B26" s="2892"/>
      <c r="C26" s="2892"/>
      <c r="D26" s="2921"/>
      <c r="E26" s="2922"/>
      <c r="F26" s="3635"/>
      <c r="G26" s="2923"/>
      <c r="H26" s="3637"/>
      <c r="I26" s="2923"/>
      <c r="J26" s="3639"/>
      <c r="K26" s="2923"/>
      <c r="L26" s="2924" t="s">
        <v>710</v>
      </c>
      <c r="M26" s="2923"/>
      <c r="N26" s="2924" t="s">
        <v>711</v>
      </c>
      <c r="O26" s="2923"/>
      <c r="P26" s="2924" t="s">
        <v>632</v>
      </c>
      <c r="Q26" s="2923"/>
      <c r="R26" s="2924" t="s">
        <v>1276</v>
      </c>
      <c r="S26" s="2925"/>
      <c r="T26" s="2924" t="s">
        <v>1897</v>
      </c>
      <c r="U26" s="2926"/>
      <c r="V26" s="3639"/>
      <c r="W26" s="2927"/>
      <c r="X26" s="3641"/>
      <c r="Y26" s="3641"/>
      <c r="Z26" s="3641"/>
      <c r="AB26" s="2542"/>
      <c r="AC26" s="2542"/>
      <c r="AD26" s="2542"/>
    </row>
    <row r="27" spans="1:32" s="105" customFormat="1" ht="47.25">
      <c r="A27" s="1204"/>
      <c r="B27" s="2894"/>
      <c r="C27" s="2894"/>
      <c r="D27" s="2932"/>
      <c r="E27" s="2929"/>
      <c r="F27" s="2928">
        <v>1400</v>
      </c>
      <c r="G27" s="2929"/>
      <c r="H27" s="2905">
        <v>247086</v>
      </c>
      <c r="I27" s="2929"/>
      <c r="J27" s="2905">
        <v>247086</v>
      </c>
      <c r="K27" s="2929"/>
      <c r="L27" s="2898">
        <v>61771</v>
      </c>
      <c r="M27" s="2929"/>
      <c r="N27" s="2905">
        <v>884577</v>
      </c>
      <c r="O27" s="2905"/>
      <c r="P27" s="2905">
        <v>0</v>
      </c>
      <c r="Q27" s="2905"/>
      <c r="R27" s="2905">
        <v>0</v>
      </c>
      <c r="S27" s="2905"/>
      <c r="T27" s="2905">
        <f>181912+600000</f>
        <v>781912</v>
      </c>
      <c r="U27" s="2930"/>
      <c r="V27" s="2905">
        <v>181912</v>
      </c>
      <c r="W27" s="2929"/>
      <c r="X27" s="3628" t="s">
        <v>2356</v>
      </c>
      <c r="Y27" s="3628"/>
      <c r="Z27" s="3628"/>
    </row>
    <row r="28" spans="1:32" s="105" customFormat="1" ht="47.25">
      <c r="A28" s="1204"/>
      <c r="B28" s="2894"/>
      <c r="C28" s="2894"/>
      <c r="D28" s="2932"/>
      <c r="E28" s="2929"/>
      <c r="F28" s="2928">
        <v>1401</v>
      </c>
      <c r="G28" s="2929"/>
      <c r="H28" s="2905">
        <v>-1685687</v>
      </c>
      <c r="I28" s="2929"/>
      <c r="J28" s="2905">
        <v>0</v>
      </c>
      <c r="K28" s="2929"/>
      <c r="L28" s="2905">
        <v>0</v>
      </c>
      <c r="M28" s="2929"/>
      <c r="N28" s="2905">
        <v>1481253</v>
      </c>
      <c r="O28" s="2905"/>
      <c r="P28" s="2905">
        <v>0</v>
      </c>
      <c r="Q28" s="2905"/>
      <c r="R28" s="2905">
        <v>0</v>
      </c>
      <c r="S28" s="2905"/>
      <c r="T28" s="2905">
        <v>1000000</v>
      </c>
      <c r="U28" s="2930"/>
      <c r="V28" s="2905">
        <v>0</v>
      </c>
      <c r="W28" s="2929"/>
      <c r="X28" s="3628" t="s">
        <v>2356</v>
      </c>
      <c r="Y28" s="3628"/>
      <c r="Z28" s="3628"/>
    </row>
    <row r="29" spans="1:32" s="105" customFormat="1" ht="47.25" hidden="1">
      <c r="A29" s="1204"/>
      <c r="B29" s="2894"/>
      <c r="C29" s="2894"/>
      <c r="D29" s="2932"/>
      <c r="E29" s="2929"/>
      <c r="F29" s="2928"/>
      <c r="G29" s="2929"/>
      <c r="H29" s="2905"/>
      <c r="I29" s="2929"/>
      <c r="J29" s="2905"/>
      <c r="K29" s="2929"/>
      <c r="L29" s="2905"/>
      <c r="M29" s="2929"/>
      <c r="N29" s="2905"/>
      <c r="O29" s="2905"/>
      <c r="P29" s="2905"/>
      <c r="Q29" s="2905"/>
      <c r="R29" s="2905"/>
      <c r="S29" s="2905"/>
      <c r="T29" s="2905"/>
      <c r="U29" s="2930"/>
      <c r="V29" s="2905"/>
      <c r="W29" s="2929"/>
      <c r="X29" s="3628"/>
      <c r="Y29" s="3628"/>
      <c r="Z29" s="3628"/>
    </row>
    <row r="30" spans="1:32" s="105" customFormat="1" ht="47.25" hidden="1">
      <c r="A30" s="1204"/>
      <c r="B30" s="2894"/>
      <c r="C30" s="2894"/>
      <c r="D30" s="2932"/>
      <c r="E30" s="2929"/>
      <c r="F30" s="2928"/>
      <c r="G30" s="2929"/>
      <c r="H30" s="2905"/>
      <c r="I30" s="2929"/>
      <c r="J30" s="2905"/>
      <c r="K30" s="2929"/>
      <c r="L30" s="2905"/>
      <c r="M30" s="2929"/>
      <c r="N30" s="2905"/>
      <c r="O30" s="2905"/>
      <c r="P30" s="2905"/>
      <c r="Q30" s="2905"/>
      <c r="R30" s="2905"/>
      <c r="S30" s="2905"/>
      <c r="T30" s="2905"/>
      <c r="U30" s="2930"/>
      <c r="V30" s="2905"/>
      <c r="W30" s="2929"/>
      <c r="X30" s="3628"/>
      <c r="Y30" s="3628"/>
      <c r="Z30" s="2931"/>
    </row>
    <row r="31" spans="1:32" s="105" customFormat="1" ht="47.25" hidden="1">
      <c r="A31" s="1204"/>
      <c r="B31" s="2894"/>
      <c r="C31" s="2894"/>
      <c r="D31" s="2932"/>
      <c r="E31" s="2929"/>
      <c r="F31" s="2928"/>
      <c r="G31" s="2929"/>
      <c r="H31" s="2905"/>
      <c r="I31" s="2929"/>
      <c r="J31" s="2905"/>
      <c r="K31" s="2929"/>
      <c r="L31" s="2905"/>
      <c r="M31" s="2929"/>
      <c r="N31" s="2905"/>
      <c r="O31" s="2905"/>
      <c r="P31" s="2905"/>
      <c r="Q31" s="2905"/>
      <c r="R31" s="2905"/>
      <c r="S31" s="2905"/>
      <c r="T31" s="2905">
        <f>L31</f>
        <v>0</v>
      </c>
      <c r="U31" s="2930"/>
      <c r="V31" s="2905">
        <v>0</v>
      </c>
      <c r="W31" s="2929"/>
      <c r="X31" s="3628"/>
      <c r="Y31" s="3628"/>
      <c r="Z31" s="2931"/>
    </row>
    <row r="32" spans="1:32" s="105" customFormat="1" ht="47.25">
      <c r="A32" s="1204"/>
      <c r="B32" s="2894"/>
      <c r="C32" s="2894"/>
      <c r="D32" s="2932"/>
      <c r="E32" s="2929"/>
      <c r="F32" s="2928">
        <v>1402</v>
      </c>
      <c r="G32" s="2929"/>
      <c r="H32" s="2905">
        <v>84624</v>
      </c>
      <c r="I32" s="2929"/>
      <c r="J32" s="2905">
        <f>H32</f>
        <v>84624</v>
      </c>
      <c r="K32" s="2929"/>
      <c r="L32" s="2905">
        <v>21156</v>
      </c>
      <c r="M32" s="2929"/>
      <c r="N32" s="2905">
        <v>0</v>
      </c>
      <c r="O32" s="2905"/>
      <c r="P32" s="2905">
        <v>0</v>
      </c>
      <c r="Q32" s="2905"/>
      <c r="R32" s="2905">
        <v>71814</v>
      </c>
      <c r="S32" s="2905"/>
      <c r="T32" s="2905">
        <f>L32</f>
        <v>21156</v>
      </c>
      <c r="U32" s="2930"/>
      <c r="V32" s="2905">
        <v>0</v>
      </c>
      <c r="W32" s="2929"/>
      <c r="X32" s="3628" t="s">
        <v>2682</v>
      </c>
      <c r="Y32" s="3628"/>
      <c r="Z32" s="3264"/>
    </row>
    <row r="33" spans="1:42" s="105" customFormat="1" ht="47.25">
      <c r="A33" s="1204">
        <v>602</v>
      </c>
      <c r="B33" s="2894"/>
      <c r="C33" s="2894"/>
      <c r="D33" s="2932"/>
      <c r="E33" s="2933"/>
      <c r="F33" s="2928"/>
      <c r="G33" s="2930"/>
      <c r="H33" s="2930"/>
      <c r="I33" s="2930"/>
      <c r="J33" s="2930"/>
      <c r="K33" s="2930"/>
      <c r="L33" s="2930"/>
      <c r="M33" s="2929"/>
      <c r="N33" s="2905"/>
      <c r="O33" s="2905"/>
      <c r="P33" s="2905"/>
      <c r="Q33" s="2905"/>
      <c r="R33" s="2905"/>
      <c r="S33" s="2905"/>
      <c r="T33" s="2934">
        <f>SUM(T27:T32)</f>
        <v>1803068</v>
      </c>
      <c r="U33" s="2930"/>
      <c r="V33" s="2934">
        <f>SUM(V27:V28)</f>
        <v>181912</v>
      </c>
      <c r="W33" s="2929"/>
      <c r="X33" s="2931"/>
      <c r="Y33" s="2931"/>
      <c r="Z33" s="2931"/>
    </row>
    <row r="34" spans="1:42" s="105" customFormat="1" ht="42" customHeight="1">
      <c r="A34" s="1204"/>
      <c r="B34" s="2894"/>
      <c r="C34" s="2894"/>
      <c r="D34" s="2935"/>
      <c r="E34" s="2930"/>
      <c r="F34" s="2905" t="s">
        <v>2352</v>
      </c>
      <c r="G34" s="2905"/>
      <c r="H34" s="2905"/>
      <c r="I34" s="2936"/>
      <c r="J34" s="2937"/>
      <c r="K34" s="2930"/>
      <c r="L34" s="2930"/>
      <c r="M34" s="2929"/>
      <c r="N34" s="2905"/>
      <c r="O34" s="2905"/>
      <c r="P34" s="2905"/>
      <c r="Q34" s="2905"/>
      <c r="R34" s="2905"/>
      <c r="S34" s="2905"/>
      <c r="T34" s="2938">
        <v>-216814</v>
      </c>
      <c r="U34" s="2905"/>
      <c r="V34" s="2939">
        <f>'22'!I38</f>
        <v>-95000</v>
      </c>
      <c r="W34" s="2929"/>
      <c r="X34" s="2929"/>
      <c r="Y34" s="2940"/>
      <c r="Z34" s="2941"/>
    </row>
    <row r="35" spans="1:42" ht="43.5" customHeight="1" thickBot="1">
      <c r="B35" s="2890"/>
      <c r="C35" s="2890"/>
      <c r="D35" s="2942"/>
      <c r="E35" s="2260"/>
      <c r="F35" s="2260"/>
      <c r="G35" s="2260"/>
      <c r="H35" s="2260"/>
      <c r="I35" s="2260"/>
      <c r="J35" s="2260"/>
      <c r="K35" s="2260"/>
      <c r="L35" s="2260"/>
      <c r="M35" s="2260"/>
      <c r="N35" s="2260"/>
      <c r="O35" s="2260"/>
      <c r="P35" s="2260"/>
      <c r="Q35" s="2260"/>
      <c r="R35" s="2260"/>
      <c r="S35" s="2260"/>
      <c r="T35" s="2943">
        <f>SUM(T33:T34)</f>
        <v>1586254</v>
      </c>
      <c r="U35" s="2260"/>
      <c r="V35" s="2943">
        <f>SUM(V33:V34)</f>
        <v>86912</v>
      </c>
      <c r="W35" s="2260"/>
      <c r="X35" s="2919"/>
      <c r="Y35" s="2260"/>
      <c r="Z35" s="2260"/>
    </row>
    <row r="36" spans="1:42" ht="22.5" customHeight="1" thickTop="1">
      <c r="A36" s="970"/>
      <c r="B36" s="2890"/>
      <c r="C36" s="2890"/>
      <c r="D36" s="2942"/>
      <c r="E36" s="2260"/>
      <c r="F36" s="2260"/>
      <c r="G36" s="2260"/>
      <c r="H36" s="2260"/>
      <c r="I36" s="2260"/>
      <c r="J36" s="2260"/>
      <c r="K36" s="2260"/>
      <c r="L36" s="2260"/>
      <c r="M36" s="2260"/>
      <c r="N36" s="2260"/>
      <c r="O36" s="2260"/>
      <c r="P36" s="2260"/>
      <c r="Q36" s="2260"/>
      <c r="R36" s="2260"/>
      <c r="S36" s="2260"/>
      <c r="T36" s="2260"/>
      <c r="U36" s="2260"/>
      <c r="V36" s="2260"/>
      <c r="W36" s="2260"/>
      <c r="X36" s="2919"/>
      <c r="Y36" s="2260"/>
      <c r="Z36" s="2260"/>
    </row>
    <row r="37" spans="1:42" s="105" customFormat="1" ht="3" customHeight="1">
      <c r="A37" s="1204"/>
      <c r="B37" s="2895"/>
      <c r="C37" s="2431"/>
      <c r="D37" s="2260"/>
      <c r="E37" s="2260"/>
      <c r="F37" s="2260"/>
      <c r="G37" s="2260"/>
      <c r="H37" s="2260"/>
      <c r="I37" s="2260"/>
      <c r="J37" s="2260"/>
      <c r="K37" s="2260"/>
      <c r="L37" s="2260"/>
      <c r="M37" s="2260"/>
      <c r="N37" s="2260"/>
      <c r="O37" s="2260"/>
      <c r="P37" s="2260"/>
      <c r="Q37" s="2260"/>
      <c r="R37" s="2260"/>
      <c r="S37" s="2260"/>
      <c r="T37" s="2260"/>
      <c r="U37" s="2260"/>
      <c r="V37" s="2260"/>
      <c r="W37" s="2260"/>
      <c r="X37" s="2919"/>
      <c r="Y37" s="2260"/>
      <c r="Z37" s="2260"/>
    </row>
    <row r="38" spans="1:42" s="105" customFormat="1" ht="3" customHeight="1">
      <c r="A38" s="1204"/>
      <c r="B38" s="2895"/>
      <c r="C38" s="2431"/>
      <c r="D38" s="2260"/>
      <c r="E38" s="2260"/>
      <c r="F38" s="2260"/>
      <c r="G38" s="2260"/>
      <c r="H38" s="2260"/>
      <c r="I38" s="2260"/>
      <c r="J38" s="2260"/>
      <c r="K38" s="2260"/>
      <c r="L38" s="2260"/>
      <c r="M38" s="2260"/>
      <c r="N38" s="2260"/>
      <c r="O38" s="2260"/>
      <c r="P38" s="2260"/>
      <c r="Q38" s="2260"/>
      <c r="R38" s="2260"/>
      <c r="S38" s="2260"/>
      <c r="T38" s="2260"/>
      <c r="U38" s="2260"/>
      <c r="V38" s="2260"/>
      <c r="W38" s="2260"/>
      <c r="X38" s="2919"/>
      <c r="Y38" s="2260"/>
      <c r="Z38" s="2260"/>
    </row>
    <row r="39" spans="1:42" ht="69" customHeight="1">
      <c r="B39" s="2890"/>
      <c r="C39" s="2893"/>
      <c r="D39" s="843" t="s">
        <v>2534</v>
      </c>
      <c r="E39" s="2944"/>
      <c r="F39" s="3631" t="s">
        <v>2806</v>
      </c>
      <c r="G39" s="3631"/>
      <c r="H39" s="3631"/>
      <c r="I39" s="3631"/>
      <c r="J39" s="3631"/>
      <c r="K39" s="3631"/>
      <c r="L39" s="3631"/>
      <c r="M39" s="3631"/>
      <c r="N39" s="3631"/>
      <c r="O39" s="3631"/>
      <c r="P39" s="3631"/>
      <c r="Q39" s="3631"/>
      <c r="R39" s="3631"/>
      <c r="S39" s="3631"/>
      <c r="T39" s="3631"/>
      <c r="U39" s="3631"/>
      <c r="V39" s="3631"/>
      <c r="W39" s="3631"/>
      <c r="X39" s="3631"/>
      <c r="Y39" s="3631"/>
      <c r="Z39" s="3631"/>
    </row>
    <row r="40" spans="1:42" ht="86.25" customHeight="1">
      <c r="B40" s="2890"/>
      <c r="C40" s="2893"/>
      <c r="D40" s="843" t="s">
        <v>2535</v>
      </c>
      <c r="E40" s="2944"/>
      <c r="F40" s="3631" t="s">
        <v>2807</v>
      </c>
      <c r="G40" s="3631"/>
      <c r="H40" s="3631"/>
      <c r="I40" s="3631"/>
      <c r="J40" s="3631"/>
      <c r="K40" s="3631"/>
      <c r="L40" s="3631"/>
      <c r="M40" s="3631"/>
      <c r="N40" s="3631"/>
      <c r="O40" s="3631"/>
      <c r="P40" s="3631"/>
      <c r="Q40" s="3631"/>
      <c r="R40" s="3631"/>
      <c r="S40" s="3631"/>
      <c r="T40" s="3631"/>
      <c r="U40" s="3631"/>
      <c r="V40" s="3631"/>
      <c r="W40" s="3631"/>
      <c r="X40" s="3631"/>
      <c r="Y40" s="3631"/>
      <c r="Z40" s="3631"/>
    </row>
    <row r="41" spans="1:42" ht="90" customHeight="1">
      <c r="B41" s="2890"/>
      <c r="C41" s="2893"/>
      <c r="D41" s="843" t="s">
        <v>2757</v>
      </c>
      <c r="E41" s="2944"/>
      <c r="F41" s="3631" t="s">
        <v>2824</v>
      </c>
      <c r="G41" s="3631"/>
      <c r="H41" s="3631"/>
      <c r="I41" s="3631"/>
      <c r="J41" s="3631"/>
      <c r="K41" s="3631"/>
      <c r="L41" s="3631"/>
      <c r="M41" s="3631"/>
      <c r="N41" s="3631"/>
      <c r="O41" s="3631"/>
      <c r="P41" s="3631"/>
      <c r="Q41" s="3631"/>
      <c r="R41" s="3631"/>
      <c r="S41" s="3631"/>
      <c r="T41" s="3631"/>
      <c r="U41" s="3631"/>
      <c r="V41" s="3631"/>
      <c r="W41" s="3631"/>
      <c r="X41" s="3631"/>
      <c r="Y41" s="3631"/>
      <c r="Z41" s="3631"/>
    </row>
    <row r="42" spans="1:42" ht="83.25" customHeight="1">
      <c r="B42" s="2890"/>
      <c r="C42" s="2700"/>
      <c r="D42" s="2945"/>
      <c r="E42" s="106"/>
      <c r="F42" s="2946"/>
      <c r="G42" s="2946"/>
      <c r="H42" s="2946"/>
      <c r="I42" s="2946"/>
      <c r="J42" s="2946"/>
      <c r="K42" s="2946"/>
      <c r="L42" s="2946"/>
      <c r="M42" s="2946"/>
      <c r="N42" s="2946"/>
      <c r="O42" s="2946"/>
      <c r="P42" s="2946"/>
      <c r="Q42" s="2946"/>
      <c r="R42" s="2946"/>
      <c r="S42" s="2946"/>
      <c r="T42" s="3632" t="s">
        <v>1879</v>
      </c>
      <c r="U42" s="3632"/>
      <c r="V42" s="3632"/>
      <c r="W42" s="3632"/>
      <c r="X42" s="3632"/>
      <c r="Y42" s="3632"/>
      <c r="Z42" s="3632"/>
      <c r="AA42" s="107"/>
    </row>
    <row r="43" spans="1:42" ht="93" customHeight="1">
      <c r="B43" s="2890"/>
      <c r="C43" s="2890"/>
      <c r="D43" s="2942"/>
      <c r="E43" s="2260"/>
      <c r="F43" s="2260"/>
      <c r="G43" s="2260"/>
      <c r="H43" s="2260"/>
      <c r="I43" s="2260"/>
      <c r="J43" s="2260"/>
      <c r="K43" s="2260"/>
      <c r="L43" s="2260"/>
      <c r="M43" s="2260"/>
      <c r="N43" s="2260"/>
      <c r="O43" s="2260"/>
      <c r="P43" s="843"/>
      <c r="Q43" s="106"/>
      <c r="R43" s="2947" t="s">
        <v>1646</v>
      </c>
      <c r="S43" s="886"/>
      <c r="T43" s="2948" t="s">
        <v>2825</v>
      </c>
      <c r="U43" s="886"/>
      <c r="V43" s="2948" t="s">
        <v>1904</v>
      </c>
      <c r="W43" s="886"/>
      <c r="X43" s="2947" t="s">
        <v>1652</v>
      </c>
      <c r="Y43" s="886"/>
      <c r="Z43" s="2260"/>
      <c r="AB43" s="103"/>
      <c r="AC43" s="103"/>
      <c r="AD43" s="103"/>
      <c r="AF43" s="875"/>
      <c r="AG43" s="875"/>
      <c r="AH43" s="875"/>
      <c r="AI43" s="875"/>
      <c r="AJ43" s="875"/>
      <c r="AK43" s="875"/>
      <c r="AL43" s="875"/>
      <c r="AM43" s="107"/>
      <c r="AN43"/>
      <c r="AO43"/>
      <c r="AP43"/>
    </row>
    <row r="44" spans="1:42" ht="32.25" customHeight="1">
      <c r="B44" s="2890"/>
      <c r="C44" s="2890"/>
      <c r="D44" s="2942"/>
      <c r="E44" s="2260"/>
      <c r="F44" s="2260"/>
      <c r="G44" s="2260"/>
      <c r="H44" s="2260"/>
      <c r="I44" s="2260"/>
      <c r="J44" s="2260"/>
      <c r="K44" s="2260"/>
      <c r="L44" s="2260"/>
      <c r="M44" s="2260"/>
      <c r="N44" s="2260"/>
      <c r="O44" s="2260"/>
      <c r="P44" s="843"/>
      <c r="Q44" s="106"/>
      <c r="R44" s="2949"/>
      <c r="S44" s="886"/>
      <c r="T44" s="2950"/>
      <c r="U44" s="886"/>
      <c r="V44" s="2950"/>
      <c r="W44" s="886"/>
      <c r="X44" s="2950"/>
      <c r="Y44" s="886"/>
      <c r="Z44" s="2260"/>
      <c r="AB44" s="103"/>
      <c r="AC44" s="103"/>
      <c r="AD44" s="103"/>
      <c r="AF44" s="886"/>
      <c r="AG44" s="886"/>
      <c r="AH44" s="886"/>
      <c r="AI44" s="886"/>
      <c r="AJ44" s="886"/>
      <c r="AK44" s="886"/>
      <c r="AL44" s="886"/>
      <c r="AM44" s="107"/>
      <c r="AN44"/>
      <c r="AO44"/>
      <c r="AP44"/>
    </row>
    <row r="45" spans="1:42" s="878" customFormat="1" ht="43.5" customHeight="1">
      <c r="A45" s="1192"/>
      <c r="D45" s="2951"/>
      <c r="E45" s="2951"/>
      <c r="F45" s="2951"/>
      <c r="G45" s="2951"/>
      <c r="H45" s="2951"/>
      <c r="I45" s="2951"/>
      <c r="J45" s="2951"/>
      <c r="K45" s="2951"/>
      <c r="L45" s="2951"/>
      <c r="M45" s="2951"/>
      <c r="N45" s="2951"/>
      <c r="O45" s="2951"/>
      <c r="P45" s="2951"/>
      <c r="Q45" s="2951"/>
      <c r="R45" s="2952">
        <v>1400</v>
      </c>
      <c r="S45" s="2951"/>
      <c r="T45" s="2953">
        <v>-781912</v>
      </c>
      <c r="U45" s="2954"/>
      <c r="V45" s="2905">
        <v>884577</v>
      </c>
      <c r="W45" s="2954"/>
      <c r="X45" s="2953">
        <f>V45+T45</f>
        <v>102665</v>
      </c>
      <c r="Y45" s="2951"/>
      <c r="Z45" s="2951"/>
    </row>
    <row r="46" spans="1:42" s="878" customFormat="1" ht="43.5" customHeight="1">
      <c r="A46" s="1192"/>
      <c r="D46" s="2951"/>
      <c r="E46" s="2951"/>
      <c r="F46" s="2951"/>
      <c r="G46" s="2951"/>
      <c r="H46" s="2951"/>
      <c r="I46" s="2951"/>
      <c r="J46" s="2951"/>
      <c r="K46" s="2951"/>
      <c r="L46" s="2951"/>
      <c r="M46" s="2951"/>
      <c r="N46" s="2951"/>
      <c r="O46" s="2951"/>
      <c r="P46" s="2951"/>
      <c r="Q46" s="2951"/>
      <c r="R46" s="2952">
        <v>1401</v>
      </c>
      <c r="S46" s="2951"/>
      <c r="T46" s="2953">
        <v>-1071814</v>
      </c>
      <c r="U46" s="2954"/>
      <c r="V46" s="2905">
        <v>1481253</v>
      </c>
      <c r="W46" s="2954"/>
      <c r="X46" s="2953">
        <f>V46+T46</f>
        <v>409439</v>
      </c>
      <c r="Y46" s="2951"/>
      <c r="Z46" s="2951"/>
    </row>
    <row r="47" spans="1:42" s="878" customFormat="1" ht="43.5" customHeight="1" thickBot="1">
      <c r="A47" s="1192"/>
      <c r="D47" s="2951"/>
      <c r="E47" s="2951"/>
      <c r="F47" s="2951"/>
      <c r="G47" s="2951"/>
      <c r="H47" s="2951"/>
      <c r="I47" s="2951"/>
      <c r="J47" s="2951"/>
      <c r="K47" s="2951"/>
      <c r="L47" s="2951"/>
      <c r="M47" s="2951"/>
      <c r="N47" s="2955"/>
      <c r="O47" s="2955"/>
      <c r="P47" s="2955"/>
      <c r="Q47" s="2951"/>
      <c r="R47" s="2951"/>
      <c r="S47" s="2951"/>
      <c r="T47" s="2908">
        <f>SUM(T45:T46)</f>
        <v>-1853726</v>
      </c>
      <c r="U47" s="2954" t="e">
        <f>SUM(#REF!)</f>
        <v>#REF!</v>
      </c>
      <c r="V47" s="2908">
        <f>SUM(V45:V46)</f>
        <v>2365830</v>
      </c>
      <c r="W47" s="2954"/>
      <c r="X47" s="2908">
        <f>SUM(X45:X46)</f>
        <v>512104</v>
      </c>
      <c r="Y47" s="2951"/>
      <c r="Z47" s="2951"/>
    </row>
    <row r="48" spans="1:42" s="878" customFormat="1" ht="15" customHeight="1" thickTop="1">
      <c r="A48" s="1192"/>
      <c r="D48" s="2951"/>
      <c r="E48" s="2951"/>
      <c r="F48" s="2951"/>
      <c r="G48" s="2951"/>
      <c r="H48" s="2951"/>
      <c r="I48" s="2951"/>
      <c r="J48" s="2951"/>
      <c r="K48" s="2951"/>
      <c r="L48" s="2951"/>
      <c r="M48" s="2951"/>
      <c r="N48" s="2955"/>
      <c r="O48" s="2955"/>
      <c r="P48" s="2955"/>
      <c r="Q48" s="2951"/>
      <c r="R48" s="2951"/>
      <c r="S48" s="2951"/>
      <c r="T48" s="2905"/>
      <c r="U48" s="2954"/>
      <c r="V48" s="2905"/>
      <c r="W48" s="2954"/>
      <c r="X48" s="2905"/>
      <c r="Y48" s="2951"/>
      <c r="Z48" s="2951"/>
    </row>
    <row r="49" spans="1:30" s="878" customFormat="1" ht="37.5" customHeight="1">
      <c r="A49" s="1192"/>
      <c r="N49" s="1192"/>
      <c r="O49" s="1192"/>
      <c r="P49" s="1192" t="s">
        <v>2537</v>
      </c>
      <c r="T49" s="1166"/>
      <c r="U49" s="1191"/>
      <c r="V49" s="1166"/>
      <c r="W49" s="1191"/>
      <c r="X49" s="1166"/>
    </row>
    <row r="50" spans="1:30" ht="0.75" customHeight="1">
      <c r="B50" s="103"/>
      <c r="C50" s="103"/>
      <c r="D50" s="103"/>
      <c r="X50" s="103"/>
    </row>
    <row r="51" spans="1:30" ht="108" customHeight="1">
      <c r="B51" s="3629">
        <v>28</v>
      </c>
      <c r="C51" s="3629"/>
      <c r="D51" s="3629"/>
      <c r="E51" s="3629"/>
      <c r="F51" s="3629"/>
      <c r="G51" s="3629"/>
      <c r="H51" s="3629"/>
      <c r="I51" s="3629"/>
      <c r="J51" s="3629"/>
      <c r="K51" s="3629"/>
      <c r="L51" s="3629"/>
      <c r="M51" s="3629"/>
      <c r="N51" s="3629"/>
      <c r="O51" s="3629"/>
      <c r="P51" s="3629"/>
      <c r="Q51" s="3629"/>
      <c r="R51" s="3629"/>
      <c r="S51" s="3629"/>
      <c r="T51" s="3629"/>
      <c r="U51" s="3629"/>
      <c r="V51" s="3629"/>
      <c r="W51" s="3629"/>
      <c r="X51" s="3629"/>
      <c r="Y51" s="3629"/>
      <c r="Z51" s="3629"/>
      <c r="AA51" s="107"/>
    </row>
    <row r="53" spans="1:30" ht="211.5" customHeight="1">
      <c r="C53" s="832" t="s">
        <v>1511</v>
      </c>
      <c r="D53" s="3630" t="s">
        <v>1514</v>
      </c>
      <c r="E53" s="3630"/>
      <c r="F53" s="3630"/>
      <c r="G53" s="3630"/>
      <c r="H53" s="3630"/>
      <c r="I53" s="3630"/>
      <c r="J53" s="3630"/>
      <c r="K53" s="3630"/>
      <c r="L53" s="3630"/>
      <c r="M53" s="3630"/>
      <c r="N53" s="3630"/>
      <c r="O53" s="3630"/>
      <c r="P53" s="3630"/>
      <c r="Q53" s="3630"/>
      <c r="R53" s="3630"/>
      <c r="S53" s="3630"/>
      <c r="T53" s="3630"/>
      <c r="U53" s="3630"/>
      <c r="V53" s="3630"/>
      <c r="W53" s="3630"/>
      <c r="X53" s="3630"/>
      <c r="Y53" s="3630"/>
      <c r="Z53" s="3630"/>
      <c r="AA53" s="107"/>
    </row>
    <row r="56" spans="1:30">
      <c r="N56" s="847"/>
      <c r="O56" s="847"/>
      <c r="P56" s="847"/>
    </row>
    <row r="60" spans="1:30">
      <c r="AB60" s="103"/>
      <c r="AC60" s="103"/>
      <c r="AD60" s="103"/>
    </row>
    <row r="62" spans="1:30">
      <c r="H62" s="1104"/>
    </row>
    <row r="74" spans="10:10">
      <c r="J74" s="103">
        <v>-7717613</v>
      </c>
    </row>
  </sheetData>
  <mergeCells count="24">
    <mergeCell ref="A2:Z2"/>
    <mergeCell ref="A3:Z3"/>
    <mergeCell ref="A4:Z4"/>
    <mergeCell ref="X28:Z28"/>
    <mergeCell ref="F25:F26"/>
    <mergeCell ref="H25:H26"/>
    <mergeCell ref="J25:J26"/>
    <mergeCell ref="L25:T25"/>
    <mergeCell ref="V25:V26"/>
    <mergeCell ref="X25:Z26"/>
    <mergeCell ref="X27:Z27"/>
    <mergeCell ref="T11:V11"/>
    <mergeCell ref="E21:Y21"/>
    <mergeCell ref="T23:V23"/>
    <mergeCell ref="X29:Z29"/>
    <mergeCell ref="B51:Z51"/>
    <mergeCell ref="D53:Z53"/>
    <mergeCell ref="X30:Y30"/>
    <mergeCell ref="F39:Z39"/>
    <mergeCell ref="F41:Z41"/>
    <mergeCell ref="X31:Y31"/>
    <mergeCell ref="F40:Z40"/>
    <mergeCell ref="T42:Z42"/>
    <mergeCell ref="X32:Y32"/>
  </mergeCells>
  <printOptions horizontalCentered="1" verticalCentered="1"/>
  <pageMargins left="0" right="0" top="0.17" bottom="0" header="0.17" footer="0"/>
  <pageSetup paperSize="9" scale="27" orientation="portrait" r:id="rId1"/>
  <colBreaks count="1" manualBreakCount="1">
    <brk id="26" max="3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AR51"/>
  <sheetViews>
    <sheetView rightToLeft="1" view="pageBreakPreview" topLeftCell="A25" zoomScale="60" zoomScaleNormal="80" workbookViewId="0">
      <selection activeCell="E34" sqref="E34:P34"/>
    </sheetView>
  </sheetViews>
  <sheetFormatPr defaultColWidth="2" defaultRowHeight="21"/>
  <cols>
    <col min="1" max="1" width="10" style="562" customWidth="1"/>
    <col min="2" max="2" width="7.75" style="820" customWidth="1"/>
    <col min="3" max="3" width="4.125" style="820" customWidth="1"/>
    <col min="4" max="4" width="6" style="250" customWidth="1"/>
    <col min="5" max="5" width="36.625" style="250" customWidth="1"/>
    <col min="6" max="6" width="24.5" style="250" bestFit="1" customWidth="1"/>
    <col min="7" max="7" width="2.375" style="250" customWidth="1"/>
    <col min="8" max="8" width="28.875" style="250" bestFit="1" customWidth="1"/>
    <col min="9" max="9" width="2.125" style="250" customWidth="1"/>
    <col min="10" max="10" width="25.25" style="250" bestFit="1" customWidth="1"/>
    <col min="11" max="11" width="1.625" style="250" customWidth="1"/>
    <col min="12" max="12" width="7" style="250" customWidth="1"/>
    <col min="13" max="13" width="3.5" style="250" customWidth="1"/>
    <col min="14" max="14" width="24" style="250" bestFit="1" customWidth="1"/>
    <col min="15" max="15" width="2.75" style="250" customWidth="1"/>
    <col min="16" max="16" width="40.125" style="250" customWidth="1"/>
    <col min="17" max="17" width="0.625" style="250" customWidth="1"/>
    <col min="18" max="18" width="0.125" style="250" customWidth="1"/>
    <col min="19" max="20" width="2" style="250" hidden="1" customWidth="1"/>
    <col min="21" max="22" width="2" style="250"/>
    <col min="23" max="23" width="0.125" style="250" customWidth="1"/>
    <col min="24" max="16384" width="2" style="250"/>
  </cols>
  <sheetData>
    <row r="1" spans="1:20" ht="27.75" customHeight="1">
      <c r="A1" s="3643" t="s">
        <v>612</v>
      </c>
      <c r="B1" s="3643"/>
      <c r="C1" s="3643"/>
      <c r="D1" s="3643"/>
      <c r="E1" s="3643"/>
      <c r="F1" s="3643"/>
      <c r="G1" s="3643"/>
      <c r="H1" s="3643"/>
      <c r="I1" s="3643"/>
      <c r="J1" s="3643"/>
      <c r="K1" s="3643"/>
      <c r="L1" s="3643"/>
      <c r="M1" s="3643"/>
      <c r="N1" s="3643"/>
      <c r="O1" s="3643"/>
      <c r="P1" s="3643"/>
      <c r="Q1" s="3643"/>
      <c r="R1" s="482"/>
      <c r="S1" s="482"/>
      <c r="T1" s="482"/>
    </row>
    <row r="2" spans="1:20" ht="29.25" customHeight="1">
      <c r="A2" s="3643" t="str">
        <f>مفروضات!A2</f>
        <v>يادداشت هاي توضيحي صورت هاي مالي</v>
      </c>
      <c r="B2" s="3643"/>
      <c r="C2" s="3643"/>
      <c r="D2" s="3643"/>
      <c r="E2" s="3643"/>
      <c r="F2" s="3643"/>
      <c r="G2" s="3643"/>
      <c r="H2" s="3643"/>
      <c r="I2" s="3643"/>
      <c r="J2" s="3643"/>
      <c r="K2" s="3643"/>
      <c r="L2" s="3643"/>
      <c r="M2" s="3643"/>
      <c r="N2" s="3643"/>
      <c r="O2" s="3643"/>
      <c r="P2" s="3643"/>
      <c r="Q2" s="3643"/>
      <c r="R2" s="482"/>
      <c r="S2" s="482"/>
      <c r="T2" s="482"/>
    </row>
    <row r="3" spans="1:20" ht="32.25" customHeight="1">
      <c r="A3" s="3643" t="str">
        <f>mafrozat!A3</f>
        <v xml:space="preserve"> سال مالي منتهي به 29 اسفند 1402</v>
      </c>
      <c r="B3" s="3643"/>
      <c r="C3" s="3643"/>
      <c r="D3" s="3643"/>
      <c r="E3" s="3643"/>
      <c r="F3" s="3643"/>
      <c r="G3" s="3643"/>
      <c r="H3" s="3643"/>
      <c r="I3" s="3643"/>
      <c r="J3" s="3643"/>
      <c r="K3" s="3643"/>
      <c r="L3" s="3643"/>
      <c r="M3" s="3643"/>
      <c r="N3" s="3643"/>
      <c r="O3" s="3643"/>
      <c r="P3" s="3643"/>
      <c r="Q3" s="3643"/>
      <c r="R3" s="482"/>
      <c r="S3" s="482"/>
      <c r="T3" s="482"/>
    </row>
    <row r="5" spans="1:20" s="1825" customFormat="1" ht="43.5">
      <c r="A5" s="2057"/>
      <c r="B5" s="2956">
        <v>-19</v>
      </c>
      <c r="C5" s="2957" t="s">
        <v>530</v>
      </c>
      <c r="D5" s="2958"/>
      <c r="E5" s="2958"/>
      <c r="F5" s="1823"/>
      <c r="G5" s="1823"/>
      <c r="H5" s="1823"/>
      <c r="I5" s="1823"/>
      <c r="J5" s="1823"/>
      <c r="K5" s="1823"/>
      <c r="L5" s="1824"/>
      <c r="M5" s="1824"/>
      <c r="N5" s="3644" t="s">
        <v>1879</v>
      </c>
      <c r="O5" s="3644"/>
      <c r="P5" s="3644"/>
    </row>
    <row r="6" spans="1:20" s="1825" customFormat="1" ht="37.5" customHeight="1">
      <c r="A6" s="2057"/>
      <c r="B6" s="931"/>
      <c r="C6" s="2959"/>
      <c r="D6" s="2959"/>
      <c r="E6" s="2959"/>
      <c r="F6" s="2960"/>
      <c r="G6" s="2960"/>
      <c r="H6" s="2960"/>
      <c r="I6" s="2960"/>
      <c r="J6" s="2960"/>
      <c r="K6" s="2960"/>
      <c r="L6" s="2961"/>
      <c r="M6" s="2961"/>
      <c r="N6" s="2962">
        <v>1402</v>
      </c>
      <c r="O6" s="1479"/>
      <c r="P6" s="2963">
        <v>1401</v>
      </c>
    </row>
    <row r="7" spans="1:20" s="1825" customFormat="1" ht="37.5" customHeight="1">
      <c r="A7" s="2057"/>
      <c r="B7" s="931"/>
      <c r="C7" s="1479"/>
      <c r="D7" s="1479"/>
      <c r="E7" s="1479"/>
      <c r="F7" s="2964"/>
      <c r="G7" s="2964"/>
      <c r="H7" s="2964"/>
      <c r="I7" s="2964"/>
      <c r="J7" s="2964"/>
      <c r="K7" s="2961"/>
      <c r="L7" s="2965"/>
      <c r="M7" s="2965"/>
      <c r="N7" s="2966"/>
      <c r="O7" s="2959"/>
      <c r="P7" s="2966"/>
    </row>
    <row r="8" spans="1:20" s="1825" customFormat="1" ht="37.5" customHeight="1">
      <c r="A8" s="2057"/>
      <c r="B8" s="931"/>
      <c r="C8" s="2967"/>
      <c r="D8" s="2967" t="s">
        <v>635</v>
      </c>
      <c r="E8" s="2967"/>
      <c r="F8" s="2968"/>
      <c r="G8" s="2968"/>
      <c r="H8" s="2968"/>
      <c r="I8" s="2968"/>
      <c r="J8" s="2968"/>
      <c r="K8" s="1147"/>
      <c r="L8" s="2968"/>
      <c r="M8" s="2968"/>
      <c r="N8" s="2968">
        <f>P11</f>
        <v>9884176</v>
      </c>
      <c r="O8" s="1479"/>
      <c r="P8" s="2968">
        <v>9163508</v>
      </c>
    </row>
    <row r="9" spans="1:20" s="1825" customFormat="1" ht="37.5" customHeight="1">
      <c r="A9" s="2057"/>
      <c r="B9" s="931"/>
      <c r="C9" s="2967"/>
      <c r="D9" s="2967" t="s">
        <v>1288</v>
      </c>
      <c r="E9" s="2967"/>
      <c r="F9" s="2968"/>
      <c r="G9" s="2968"/>
      <c r="H9" s="2968"/>
      <c r="I9" s="2968"/>
      <c r="J9" s="2968"/>
      <c r="K9" s="1147"/>
      <c r="L9" s="2968"/>
      <c r="M9" s="2968"/>
      <c r="N9" s="2968">
        <f>N11-N8-N10</f>
        <v>-672753</v>
      </c>
      <c r="O9" s="1479"/>
      <c r="P9" s="2968">
        <v>-665063</v>
      </c>
    </row>
    <row r="10" spans="1:20" s="1825" customFormat="1" ht="37.5" customHeight="1">
      <c r="A10" s="2057"/>
      <c r="B10" s="931"/>
      <c r="C10" s="2967"/>
      <c r="D10" s="2967" t="s">
        <v>636</v>
      </c>
      <c r="E10" s="2967"/>
      <c r="F10" s="2969"/>
      <c r="G10" s="2969"/>
      <c r="H10" s="2968"/>
      <c r="I10" s="2968"/>
      <c r="J10" s="2968"/>
      <c r="K10" s="1147"/>
      <c r="L10" s="2968"/>
      <c r="M10" s="2968"/>
      <c r="N10" s="2968">
        <v>3424910</v>
      </c>
      <c r="O10" s="1479"/>
      <c r="P10" s="2968">
        <v>1385731</v>
      </c>
    </row>
    <row r="11" spans="1:20" s="1825" customFormat="1" ht="37.5" customHeight="1" thickBot="1">
      <c r="A11" s="2057">
        <v>1301</v>
      </c>
      <c r="B11" s="931"/>
      <c r="C11" s="2967"/>
      <c r="D11" s="2967" t="s">
        <v>637</v>
      </c>
      <c r="E11" s="2967"/>
      <c r="F11" s="2968"/>
      <c r="G11" s="2968"/>
      <c r="H11" s="2968"/>
      <c r="I11" s="2968"/>
      <c r="J11" s="2968"/>
      <c r="K11" s="2968"/>
      <c r="L11" s="2968"/>
      <c r="M11" s="2968"/>
      <c r="N11" s="2970">
        <f>-SUMIF('1402'!$B$4:$B$590,A11,'1402'!$W$4:$W$590)</f>
        <v>12636333</v>
      </c>
      <c r="O11" s="1479"/>
      <c r="P11" s="2970">
        <f>SUM(P8:P10)</f>
        <v>9884176</v>
      </c>
    </row>
    <row r="12" spans="1:20" s="1825" customFormat="1" ht="37.5" customHeight="1" thickTop="1">
      <c r="A12" s="2057"/>
      <c r="B12" s="931"/>
      <c r="C12" s="2967"/>
      <c r="D12" s="2967"/>
      <c r="E12" s="2967"/>
      <c r="F12" s="2968"/>
      <c r="G12" s="2968"/>
      <c r="H12" s="2968"/>
      <c r="I12" s="2968"/>
      <c r="J12" s="2968"/>
      <c r="K12" s="2968"/>
      <c r="L12" s="2968"/>
      <c r="M12" s="2968"/>
      <c r="N12" s="2968"/>
      <c r="O12" s="1479"/>
      <c r="P12" s="2968"/>
    </row>
    <row r="13" spans="1:20" s="1825" customFormat="1" ht="54" customHeight="1">
      <c r="A13" s="2057"/>
      <c r="B13" s="2971">
        <v>-20</v>
      </c>
      <c r="C13" s="1479" t="s">
        <v>2475</v>
      </c>
      <c r="D13" s="2972"/>
      <c r="E13" s="2972"/>
      <c r="F13" s="2968"/>
      <c r="G13" s="2968"/>
      <c r="H13" s="2968"/>
      <c r="I13" s="2968"/>
      <c r="J13" s="2968"/>
      <c r="K13" s="2973"/>
      <c r="L13" s="2973"/>
      <c r="M13" s="2968"/>
      <c r="N13" s="3644" t="s">
        <v>1879</v>
      </c>
      <c r="O13" s="3644"/>
      <c r="P13" s="3644"/>
    </row>
    <row r="14" spans="1:20" s="1825" customFormat="1" ht="54" customHeight="1">
      <c r="A14" s="2057"/>
      <c r="B14" s="2971"/>
      <c r="C14" s="3646" t="s">
        <v>2538</v>
      </c>
      <c r="D14" s="3646"/>
      <c r="E14" s="2974" t="s">
        <v>2457</v>
      </c>
      <c r="F14" s="2974"/>
      <c r="G14" s="2968"/>
      <c r="H14" s="2968"/>
      <c r="I14" s="2968"/>
      <c r="J14" s="2968"/>
      <c r="K14" s="2973"/>
      <c r="L14" s="2973"/>
      <c r="M14" s="2968"/>
      <c r="N14" s="2962">
        <v>1402</v>
      </c>
      <c r="O14" s="1479"/>
      <c r="P14" s="2963">
        <v>1401</v>
      </c>
    </row>
    <row r="15" spans="1:20" s="1825" customFormat="1" ht="54" customHeight="1">
      <c r="A15" s="2057"/>
      <c r="B15" s="2971"/>
      <c r="C15" s="1479"/>
      <c r="D15" s="2972"/>
      <c r="E15" s="2975" t="s">
        <v>2589</v>
      </c>
      <c r="F15" s="2968"/>
      <c r="G15" s="2968"/>
      <c r="H15" s="2968"/>
      <c r="I15" s="2968"/>
      <c r="J15" s="2968"/>
      <c r="K15" s="2973"/>
      <c r="L15" s="2973"/>
      <c r="M15" s="2968"/>
      <c r="N15" s="1457">
        <v>0</v>
      </c>
      <c r="O15" s="2959"/>
      <c r="P15" s="2968">
        <v>-25662158</v>
      </c>
    </row>
    <row r="16" spans="1:20" s="1825" customFormat="1" ht="54" customHeight="1" thickBot="1">
      <c r="A16" s="2057"/>
      <c r="B16" s="2971"/>
      <c r="C16" s="1479"/>
      <c r="D16" s="2972"/>
      <c r="E16" s="2972"/>
      <c r="F16" s="2968"/>
      <c r="G16" s="2968"/>
      <c r="H16" s="2968"/>
      <c r="I16" s="2968"/>
      <c r="J16" s="2968"/>
      <c r="K16" s="2973"/>
      <c r="L16" s="2973"/>
      <c r="M16" s="2968"/>
      <c r="N16" s="2982">
        <v>0</v>
      </c>
      <c r="O16" s="2959"/>
      <c r="P16" s="2976">
        <f>SUM(P15:P15)</f>
        <v>-25662158</v>
      </c>
    </row>
    <row r="17" spans="1:44" s="1825" customFormat="1" ht="37.5" customHeight="1" thickTop="1">
      <c r="A17" s="2057"/>
      <c r="B17" s="2971"/>
      <c r="C17" s="1479"/>
      <c r="D17" s="2972"/>
      <c r="E17" s="2972"/>
      <c r="F17" s="2968"/>
      <c r="G17" s="2968"/>
      <c r="H17" s="2968"/>
      <c r="I17" s="2968"/>
      <c r="J17" s="2968"/>
      <c r="K17" s="2973"/>
      <c r="L17" s="2973"/>
      <c r="M17" s="2968"/>
      <c r="N17" s="2968"/>
      <c r="O17" s="1479"/>
      <c r="P17" s="2968"/>
    </row>
    <row r="18" spans="1:44" s="1825" customFormat="1" ht="37.5" customHeight="1">
      <c r="A18" s="2057"/>
      <c r="B18" s="2971"/>
      <c r="C18" s="1479"/>
      <c r="D18" s="2972"/>
      <c r="E18" s="2972"/>
      <c r="F18" s="2968"/>
      <c r="G18" s="2968"/>
      <c r="H18" s="2968"/>
      <c r="I18" s="2968"/>
      <c r="J18" s="2968"/>
      <c r="K18" s="2973"/>
      <c r="L18" s="2973"/>
      <c r="M18" s="2968"/>
      <c r="N18" s="2968"/>
      <c r="O18" s="1479"/>
      <c r="P18" s="1479"/>
    </row>
    <row r="19" spans="1:44" ht="78.75" customHeight="1">
      <c r="B19" s="3648" t="s">
        <v>2539</v>
      </c>
      <c r="C19" s="3648"/>
      <c r="D19" s="3648"/>
      <c r="E19" s="3647" t="s">
        <v>2544</v>
      </c>
      <c r="F19" s="3647"/>
      <c r="G19" s="3647"/>
      <c r="H19" s="3647"/>
      <c r="I19" s="3647"/>
      <c r="J19" s="3647"/>
      <c r="K19" s="3647"/>
      <c r="L19" s="3647"/>
      <c r="M19" s="3647"/>
      <c r="N19" s="3647"/>
      <c r="O19" s="3647"/>
      <c r="P19" s="3647"/>
      <c r="Q19" s="792"/>
      <c r="R19" s="792"/>
    </row>
    <row r="20" spans="1:44" ht="41.25" customHeight="1">
      <c r="A20" s="1573"/>
      <c r="B20" s="3645" t="s">
        <v>2540</v>
      </c>
      <c r="C20" s="3645"/>
      <c r="D20" s="3645"/>
      <c r="E20" s="2279" t="s">
        <v>2718</v>
      </c>
      <c r="F20" s="2273"/>
      <c r="G20" s="2273"/>
      <c r="H20" s="2279"/>
      <c r="I20" s="2273"/>
      <c r="J20" s="2279"/>
      <c r="K20" s="2273"/>
      <c r="L20" s="2279"/>
      <c r="M20" s="2273"/>
      <c r="N20" s="2279"/>
      <c r="O20" s="2273"/>
      <c r="P20" s="2163"/>
      <c r="Q20" s="792"/>
      <c r="R20" s="792"/>
    </row>
    <row r="21" spans="1:44" ht="58.5" customHeight="1">
      <c r="A21" s="1573"/>
      <c r="B21" s="2981"/>
      <c r="C21" s="2981"/>
      <c r="D21" s="2981"/>
      <c r="E21" s="2279"/>
      <c r="F21" s="2273"/>
      <c r="G21" s="2273"/>
      <c r="H21" s="2279"/>
      <c r="I21" s="2273"/>
      <c r="J21" s="2279"/>
      <c r="K21" s="2273"/>
      <c r="L21" s="2279"/>
      <c r="M21" s="2273"/>
      <c r="N21" s="3178" t="s">
        <v>1879</v>
      </c>
      <c r="O21" s="2273"/>
      <c r="P21" s="2163"/>
      <c r="Q21" s="792"/>
      <c r="R21" s="792"/>
    </row>
    <row r="22" spans="1:44" ht="79.5" customHeight="1">
      <c r="A22" s="1573"/>
      <c r="B22" s="2971"/>
      <c r="C22" s="2279"/>
      <c r="D22" s="2273"/>
      <c r="E22" s="2279"/>
      <c r="F22" s="2987" t="s">
        <v>2719</v>
      </c>
      <c r="G22" s="2977"/>
      <c r="H22" s="2978" t="s">
        <v>2467</v>
      </c>
      <c r="I22" s="2273"/>
      <c r="J22" s="2979"/>
      <c r="K22" s="2273"/>
      <c r="L22" s="2979"/>
      <c r="M22" s="2980"/>
      <c r="N22" s="2983" t="s">
        <v>2720</v>
      </c>
      <c r="O22" s="2273"/>
      <c r="P22" s="2163"/>
      <c r="Q22" s="792"/>
      <c r="R22" s="792"/>
    </row>
    <row r="23" spans="1:44" ht="37.5" customHeight="1">
      <c r="A23" s="1573"/>
      <c r="B23" s="2971"/>
      <c r="C23" s="2279" t="s">
        <v>1799</v>
      </c>
      <c r="D23" s="2273"/>
      <c r="E23" s="2279"/>
      <c r="F23" s="2273"/>
      <c r="G23" s="2273"/>
      <c r="H23" s="2279"/>
      <c r="I23" s="2273"/>
      <c r="J23" s="2979"/>
      <c r="K23" s="2273"/>
      <c r="L23" s="2279"/>
      <c r="M23" s="2273"/>
      <c r="N23" s="2968"/>
      <c r="O23" s="2273"/>
      <c r="P23" s="2163"/>
      <c r="Q23" s="792"/>
      <c r="R23" s="792"/>
      <c r="AH23" s="3351" t="s">
        <v>2327</v>
      </c>
      <c r="AI23" s="3351"/>
      <c r="AJ23" s="3351"/>
      <c r="AK23" s="3351"/>
      <c r="AL23" s="3351"/>
      <c r="AM23" s="3351"/>
      <c r="AN23" s="3351"/>
      <c r="AO23" s="3351"/>
      <c r="AP23" s="3351"/>
      <c r="AQ23" s="3351"/>
      <c r="AR23" s="3351"/>
    </row>
    <row r="24" spans="1:44" ht="37.5" customHeight="1">
      <c r="A24" s="1573"/>
      <c r="B24" s="2971"/>
      <c r="C24" s="2279"/>
      <c r="D24" s="2273" t="s">
        <v>2289</v>
      </c>
      <c r="E24" s="2279"/>
      <c r="F24" s="2968">
        <v>-64761646</v>
      </c>
      <c r="G24" s="2968"/>
      <c r="H24" s="2968">
        <v>-25662158</v>
      </c>
      <c r="I24" s="2273"/>
      <c r="J24" s="2968"/>
      <c r="K24" s="2273"/>
      <c r="L24" s="2279"/>
      <c r="M24" s="2273"/>
      <c r="N24" s="2968">
        <f>H24+F24</f>
        <v>-90423804</v>
      </c>
      <c r="O24" s="2273"/>
      <c r="P24" s="2163"/>
      <c r="Q24" s="792"/>
      <c r="R24" s="792"/>
    </row>
    <row r="25" spans="1:44" ht="37.5" customHeight="1">
      <c r="A25" s="1573"/>
      <c r="B25" s="2971"/>
      <c r="C25" s="2279"/>
      <c r="D25" s="2273" t="s">
        <v>1892</v>
      </c>
      <c r="E25" s="2279"/>
      <c r="F25" s="2968">
        <v>-86912</v>
      </c>
      <c r="G25" s="2968"/>
      <c r="H25" s="2968">
        <v>-1600000</v>
      </c>
      <c r="I25" s="2273"/>
      <c r="J25" s="2968"/>
      <c r="K25" s="2273"/>
      <c r="L25" s="2279"/>
      <c r="M25" s="2273"/>
      <c r="N25" s="2968">
        <f>H25+F25</f>
        <v>-1686912</v>
      </c>
      <c r="O25" s="2273"/>
      <c r="P25" s="2163"/>
      <c r="Q25" s="792"/>
      <c r="R25" s="792"/>
    </row>
    <row r="26" spans="1:44" ht="37.5" customHeight="1">
      <c r="A26" s="1573"/>
      <c r="B26" s="2971"/>
      <c r="C26" s="2279"/>
      <c r="D26" s="2273" t="s">
        <v>2468</v>
      </c>
      <c r="E26" s="2279"/>
      <c r="F26" s="2968">
        <v>17790511</v>
      </c>
      <c r="G26" s="2968"/>
      <c r="H26" s="2968">
        <v>27262158</v>
      </c>
      <c r="I26" s="2273"/>
      <c r="J26" s="2968"/>
      <c r="K26" s="2273"/>
      <c r="L26" s="2279"/>
      <c r="M26" s="2273"/>
      <c r="N26" s="2968">
        <f>H26+F26</f>
        <v>45052669</v>
      </c>
      <c r="O26" s="2273"/>
      <c r="P26" s="2163"/>
      <c r="Q26" s="792"/>
      <c r="R26" s="792"/>
    </row>
    <row r="27" spans="1:44" ht="37.5" customHeight="1">
      <c r="A27" s="1573"/>
      <c r="B27" s="2971"/>
      <c r="C27" s="2279"/>
      <c r="D27" s="2273"/>
      <c r="E27" s="2279"/>
      <c r="F27" s="2968"/>
      <c r="G27" s="2968"/>
      <c r="H27" s="2968"/>
      <c r="I27" s="2273"/>
      <c r="J27" s="2968"/>
      <c r="K27" s="2273"/>
      <c r="L27" s="2279"/>
      <c r="M27" s="2273"/>
      <c r="N27" s="2968"/>
      <c r="O27" s="2273"/>
      <c r="P27" s="2163"/>
      <c r="Q27" s="792"/>
      <c r="R27" s="792"/>
    </row>
    <row r="28" spans="1:44" ht="78.75" customHeight="1">
      <c r="A28" s="1573"/>
      <c r="B28" s="2971"/>
      <c r="C28" s="2279"/>
      <c r="D28" s="2273"/>
      <c r="E28" s="2279"/>
      <c r="F28" s="2987" t="s">
        <v>2831</v>
      </c>
      <c r="G28" s="2977"/>
      <c r="H28" s="2978" t="s">
        <v>2467</v>
      </c>
      <c r="I28" s="2273"/>
      <c r="J28" s="2979"/>
      <c r="K28" s="2273"/>
      <c r="L28" s="2979"/>
      <c r="M28" s="2980"/>
      <c r="N28" s="2983" t="s">
        <v>2832</v>
      </c>
      <c r="O28" s="2273"/>
      <c r="P28" s="2163"/>
      <c r="Q28" s="792"/>
      <c r="R28" s="792"/>
    </row>
    <row r="29" spans="1:44" ht="42.75" customHeight="1">
      <c r="A29" s="1573"/>
      <c r="B29" s="2971"/>
      <c r="C29" s="2279"/>
      <c r="D29" s="2273" t="s">
        <v>2477</v>
      </c>
      <c r="E29" s="2279"/>
      <c r="F29" s="2968">
        <v>-33137375</v>
      </c>
      <c r="G29" s="2968"/>
      <c r="H29" s="2968">
        <v>-25662158</v>
      </c>
      <c r="I29" s="2273"/>
      <c r="J29" s="2968"/>
      <c r="K29" s="2273"/>
      <c r="L29" s="2279"/>
      <c r="M29" s="2273"/>
      <c r="N29" s="2968">
        <f>H29+F29</f>
        <v>-58799533</v>
      </c>
      <c r="O29" s="2273"/>
      <c r="P29" s="2163"/>
      <c r="Q29" s="792"/>
      <c r="R29" s="792"/>
    </row>
    <row r="30" spans="1:44" ht="42.75" customHeight="1">
      <c r="A30" s="1573"/>
      <c r="B30" s="2971"/>
      <c r="C30" s="2279"/>
      <c r="D30" s="2273" t="s">
        <v>1892</v>
      </c>
      <c r="E30" s="2279"/>
      <c r="F30" s="2968">
        <v>0</v>
      </c>
      <c r="G30" s="2968"/>
      <c r="H30" s="2968">
        <v>-1600000</v>
      </c>
      <c r="I30" s="2273"/>
      <c r="J30" s="2968"/>
      <c r="K30" s="2273"/>
      <c r="L30" s="2279"/>
      <c r="M30" s="2273"/>
      <c r="N30" s="2968">
        <f>H30+F30</f>
        <v>-1600000</v>
      </c>
      <c r="O30" s="2273"/>
      <c r="P30" s="2163"/>
      <c r="Q30" s="792"/>
      <c r="R30" s="792"/>
    </row>
    <row r="31" spans="1:44" ht="37.5" customHeight="1">
      <c r="A31" s="1573"/>
      <c r="B31" s="2971"/>
      <c r="C31" s="2279"/>
      <c r="D31" s="2273" t="s">
        <v>2476</v>
      </c>
      <c r="E31" s="2279"/>
      <c r="F31" s="2968">
        <v>16104824</v>
      </c>
      <c r="G31" s="2968"/>
      <c r="H31" s="2968">
        <v>27262158</v>
      </c>
      <c r="I31" s="2273"/>
      <c r="J31" s="2968"/>
      <c r="K31" s="2273"/>
      <c r="L31" s="2279"/>
      <c r="M31" s="2273"/>
      <c r="N31" s="2968">
        <f>H31+F31</f>
        <v>43366982</v>
      </c>
      <c r="O31" s="2273"/>
      <c r="P31" s="2163"/>
      <c r="Q31" s="792"/>
      <c r="R31" s="792"/>
    </row>
    <row r="32" spans="1:44" ht="37.5" customHeight="1">
      <c r="A32" s="1573"/>
      <c r="B32" s="2971"/>
      <c r="C32" s="2279"/>
      <c r="D32" s="2273"/>
      <c r="E32" s="2279"/>
      <c r="F32" s="2968"/>
      <c r="G32" s="2968"/>
      <c r="H32" s="2968"/>
      <c r="I32" s="2273"/>
      <c r="J32" s="2968"/>
      <c r="K32" s="2273"/>
      <c r="L32" s="2279"/>
      <c r="M32" s="2273"/>
      <c r="N32" s="2968"/>
      <c r="O32" s="2273"/>
      <c r="P32" s="2163"/>
      <c r="Q32" s="792"/>
      <c r="R32" s="792"/>
    </row>
    <row r="33" spans="1:18" ht="37.5" customHeight="1">
      <c r="A33" s="1573"/>
      <c r="B33" s="2971"/>
      <c r="C33" s="2279"/>
      <c r="D33" s="2273"/>
      <c r="E33" s="2279"/>
      <c r="F33" s="2968"/>
      <c r="G33" s="2968"/>
      <c r="H33" s="2968"/>
      <c r="I33" s="2273"/>
      <c r="J33" s="2968"/>
      <c r="K33" s="2273"/>
      <c r="L33" s="2279"/>
      <c r="M33" s="2273"/>
      <c r="N33" s="2968"/>
      <c r="O33" s="2273"/>
      <c r="P33" s="2163"/>
      <c r="Q33" s="792"/>
      <c r="R33" s="792"/>
    </row>
    <row r="34" spans="1:18" ht="37.5" customHeight="1">
      <c r="A34" s="1573"/>
      <c r="B34" s="3645" t="s">
        <v>2590</v>
      </c>
      <c r="C34" s="3645"/>
      <c r="D34" s="3645"/>
      <c r="E34" s="2279"/>
      <c r="F34" s="2968"/>
      <c r="G34" s="2968"/>
      <c r="H34" s="2968"/>
      <c r="I34" s="2273"/>
      <c r="J34" s="2968"/>
      <c r="K34" s="2273"/>
      <c r="L34" s="2279"/>
      <c r="M34" s="2273"/>
      <c r="N34" s="2968"/>
      <c r="O34" s="2273"/>
      <c r="P34" s="2163"/>
      <c r="Q34" s="792"/>
      <c r="R34" s="792"/>
    </row>
    <row r="35" spans="1:18" ht="36.75" customHeight="1">
      <c r="A35" s="1573"/>
      <c r="B35" s="3645"/>
      <c r="C35" s="3645"/>
      <c r="D35" s="3645"/>
      <c r="E35" s="605"/>
      <c r="F35" s="1826"/>
      <c r="G35" s="1826"/>
      <c r="H35" s="1826"/>
      <c r="I35" s="972"/>
      <c r="J35" s="1826"/>
      <c r="K35" s="972"/>
      <c r="L35" s="1430"/>
      <c r="M35" s="972"/>
      <c r="N35" s="1826"/>
      <c r="O35" s="972"/>
      <c r="P35" s="2180"/>
      <c r="Q35" s="792"/>
      <c r="R35" s="792"/>
    </row>
    <row r="36" spans="1:18" ht="27.75" customHeight="1">
      <c r="A36" s="1573"/>
      <c r="B36" s="2690"/>
      <c r="C36" s="2690"/>
      <c r="D36" s="2690"/>
      <c r="E36" s="1430"/>
      <c r="F36" s="1826"/>
      <c r="G36" s="1826"/>
      <c r="H36" s="1826"/>
      <c r="I36" s="972"/>
      <c r="J36" s="1826"/>
      <c r="K36" s="972"/>
      <c r="L36" s="1430"/>
      <c r="M36" s="972"/>
      <c r="N36" s="1826"/>
      <c r="O36" s="972"/>
      <c r="P36" s="2180"/>
      <c r="Q36" s="792"/>
      <c r="R36" s="792"/>
    </row>
    <row r="37" spans="1:18" ht="27.75" customHeight="1">
      <c r="A37" s="1573"/>
      <c r="B37" s="2690"/>
      <c r="C37" s="2690"/>
      <c r="D37" s="2690"/>
      <c r="E37" s="1430"/>
      <c r="F37" s="1826"/>
      <c r="G37" s="1826"/>
      <c r="H37" s="1826"/>
      <c r="I37" s="972"/>
      <c r="J37" s="1826"/>
      <c r="K37" s="972"/>
      <c r="L37" s="1430"/>
      <c r="M37" s="972"/>
      <c r="N37" s="1826"/>
      <c r="O37" s="972"/>
      <c r="P37" s="2180"/>
      <c r="Q37" s="792"/>
      <c r="R37" s="792"/>
    </row>
    <row r="51" spans="1:20" ht="91.5" customHeight="1">
      <c r="A51" s="3410">
        <v>29</v>
      </c>
      <c r="B51" s="3410"/>
      <c r="C51" s="3410"/>
      <c r="D51" s="3410"/>
      <c r="E51" s="3410"/>
      <c r="F51" s="3410"/>
      <c r="G51" s="3410"/>
      <c r="H51" s="3410"/>
      <c r="I51" s="3410"/>
      <c r="J51" s="3410"/>
      <c r="K51" s="3410"/>
      <c r="L51" s="3410"/>
      <c r="M51" s="3410"/>
      <c r="N51" s="3410"/>
      <c r="O51" s="3410"/>
      <c r="P51" s="3410"/>
      <c r="Q51" s="482"/>
      <c r="R51" s="482"/>
      <c r="S51" s="482"/>
      <c r="T51" s="482"/>
    </row>
  </sheetData>
  <mergeCells count="13">
    <mergeCell ref="AH23:AR23"/>
    <mergeCell ref="B34:D34"/>
    <mergeCell ref="C14:D14"/>
    <mergeCell ref="B35:D35"/>
    <mergeCell ref="A51:P51"/>
    <mergeCell ref="E19:P19"/>
    <mergeCell ref="B19:D19"/>
    <mergeCell ref="B20:D20"/>
    <mergeCell ref="A1:Q1"/>
    <mergeCell ref="A2:Q2"/>
    <mergeCell ref="A3:Q3"/>
    <mergeCell ref="N5:P5"/>
    <mergeCell ref="N13:P13"/>
  </mergeCells>
  <printOptions horizontalCentered="1" verticalCentered="1"/>
  <pageMargins left="0" right="0" top="0" bottom="0" header="0" footer="0"/>
  <pageSetup paperSize="9" scale="39" orientation="portrait" r:id="rId1"/>
  <colBreaks count="1" manualBreakCount="1">
    <brk id="16" max="5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S43"/>
  <sheetViews>
    <sheetView rightToLeft="1" view="pageBreakPreview" topLeftCell="A6" zoomScale="50" zoomScaleNormal="40" zoomScaleSheetLayoutView="50" workbookViewId="0">
      <selection activeCell="O24" sqref="O24"/>
    </sheetView>
  </sheetViews>
  <sheetFormatPr defaultColWidth="1.375" defaultRowHeight="34.5" customHeight="1"/>
  <cols>
    <col min="1" max="1" width="3.75" style="1203" customWidth="1"/>
    <col min="2" max="2" width="12.5" style="1439" customWidth="1"/>
    <col min="3" max="3" width="8.875" style="1439" customWidth="1"/>
    <col min="4" max="4" width="29.25" style="1439" customWidth="1"/>
    <col min="5" max="5" width="20.25" style="1439" customWidth="1"/>
    <col min="6" max="6" width="2.125" style="1439" customWidth="1"/>
    <col min="7" max="7" width="18" style="1439" customWidth="1"/>
    <col min="8" max="8" width="3.25" style="1439" customWidth="1"/>
    <col min="9" max="9" width="16.875" style="1439" customWidth="1"/>
    <col min="10" max="10" width="33" style="1439" customWidth="1"/>
    <col min="11" max="11" width="23" style="1439" customWidth="1"/>
    <col min="12" max="12" width="3" style="1439" customWidth="1"/>
    <col min="13" max="13" width="23.375" style="1439" customWidth="1"/>
    <col min="14" max="14" width="0.625" style="1439" customWidth="1"/>
    <col min="15" max="15" width="22.625" style="1439" customWidth="1"/>
    <col min="16" max="16" width="1.375" style="1439"/>
    <col min="17" max="17" width="19.875" style="1439" customWidth="1"/>
    <col min="18" max="16384" width="1.375" style="1439"/>
  </cols>
  <sheetData>
    <row r="1" spans="1:14" s="224" customFormat="1" ht="40.5" customHeight="1">
      <c r="A1" s="3654" t="s">
        <v>612</v>
      </c>
      <c r="B1" s="3654"/>
      <c r="C1" s="3654"/>
      <c r="D1" s="3654"/>
      <c r="E1" s="3654"/>
      <c r="F1" s="3654"/>
      <c r="G1" s="3654"/>
      <c r="H1" s="3654"/>
      <c r="I1" s="3654"/>
      <c r="J1" s="3654"/>
      <c r="K1" s="3654"/>
      <c r="L1" s="3654"/>
      <c r="M1" s="3654"/>
      <c r="N1" s="3654"/>
    </row>
    <row r="2" spans="1:14" s="224" customFormat="1" ht="40.5" customHeight="1">
      <c r="A2" s="3654" t="str">
        <f>مفروضات!A2</f>
        <v>يادداشت هاي توضيحي صورت هاي مالي</v>
      </c>
      <c r="B2" s="3654"/>
      <c r="C2" s="3654"/>
      <c r="D2" s="3654"/>
      <c r="E2" s="3654"/>
      <c r="F2" s="3654"/>
      <c r="G2" s="3654"/>
      <c r="H2" s="3654"/>
      <c r="I2" s="3654"/>
      <c r="J2" s="3654"/>
      <c r="K2" s="3654"/>
      <c r="L2" s="3654"/>
      <c r="M2" s="3654"/>
      <c r="N2" s="3654"/>
    </row>
    <row r="3" spans="1:14" s="224" customFormat="1" ht="40.5" customHeight="1">
      <c r="A3" s="3654" t="str">
        <f>mafrozat!A3</f>
        <v xml:space="preserve"> سال مالي منتهي به 29 اسفند 1402</v>
      </c>
      <c r="B3" s="3654"/>
      <c r="C3" s="3654"/>
      <c r="D3" s="3654"/>
      <c r="E3" s="3654"/>
      <c r="F3" s="3654"/>
      <c r="G3" s="3654"/>
      <c r="H3" s="3654"/>
      <c r="I3" s="3654"/>
      <c r="J3" s="3654"/>
      <c r="K3" s="3654"/>
      <c r="L3" s="3654"/>
      <c r="M3" s="3654"/>
      <c r="N3" s="3654"/>
    </row>
    <row r="4" spans="1:14" s="226" customFormat="1" ht="160.5" customHeight="1">
      <c r="A4" s="1356"/>
      <c r="C4" s="1193"/>
      <c r="D4" s="1128"/>
      <c r="E4" s="1193"/>
      <c r="F4" s="1193"/>
      <c r="G4" s="1193"/>
      <c r="H4" s="175"/>
      <c r="I4" s="175"/>
      <c r="J4" s="175"/>
      <c r="K4" s="175"/>
      <c r="L4" s="1193"/>
      <c r="M4" s="1194"/>
    </row>
    <row r="5" spans="1:14" s="250" customFormat="1" ht="85.5" customHeight="1">
      <c r="A5" s="1573"/>
      <c r="B5" s="1199">
        <v>-21</v>
      </c>
      <c r="C5" s="3651" t="s">
        <v>1931</v>
      </c>
      <c r="D5" s="3651"/>
      <c r="E5" s="1195"/>
      <c r="F5" s="1195"/>
      <c r="G5" s="1195"/>
      <c r="H5" s="1195"/>
      <c r="I5" s="1195"/>
      <c r="J5" s="1196"/>
      <c r="K5" s="1196"/>
      <c r="L5" s="1196"/>
      <c r="M5" s="1196"/>
    </row>
    <row r="6" spans="1:14" s="250" customFormat="1" ht="30.75" customHeight="1">
      <c r="A6" s="1573"/>
      <c r="C6" s="1635"/>
      <c r="D6" s="1636"/>
      <c r="E6" s="1637"/>
      <c r="F6" s="1637"/>
      <c r="G6" s="1637"/>
      <c r="H6" s="1637"/>
      <c r="I6" s="1638"/>
      <c r="J6" s="1638"/>
      <c r="K6" s="3653" t="s">
        <v>1879</v>
      </c>
      <c r="L6" s="3653"/>
      <c r="M6" s="3653"/>
    </row>
    <row r="7" spans="1:14" s="250" customFormat="1" ht="62.25" customHeight="1">
      <c r="A7" s="1573"/>
      <c r="C7" s="1639"/>
      <c r="D7" s="1640"/>
      <c r="E7" s="1640"/>
      <c r="F7" s="1640"/>
      <c r="G7" s="1640"/>
      <c r="H7" s="1640"/>
      <c r="I7" s="1641"/>
      <c r="J7" s="1642"/>
      <c r="K7" s="1559">
        <v>1402</v>
      </c>
      <c r="L7" s="1456"/>
      <c r="M7" s="1459">
        <v>1401</v>
      </c>
    </row>
    <row r="8" spans="1:14" s="250" customFormat="1" ht="30.75" hidden="1" customHeight="1">
      <c r="A8" s="1573"/>
      <c r="C8" s="1197"/>
      <c r="D8" s="1638"/>
      <c r="E8" s="1638"/>
      <c r="F8" s="1638"/>
      <c r="G8" s="1638"/>
      <c r="H8" s="1638"/>
      <c r="I8" s="1638"/>
      <c r="J8" s="1638"/>
      <c r="K8" s="1631"/>
      <c r="L8" s="1456"/>
      <c r="M8" s="1631"/>
    </row>
    <row r="9" spans="1:14" s="250" customFormat="1" ht="39.75" customHeight="1">
      <c r="A9" s="1573"/>
      <c r="C9" s="1197"/>
      <c r="D9" s="1643" t="s">
        <v>2050</v>
      </c>
      <c r="E9" s="1644"/>
      <c r="F9" s="1644"/>
      <c r="G9" s="1644"/>
      <c r="H9" s="1644"/>
      <c r="I9" s="1645"/>
      <c r="J9" s="1644"/>
      <c r="K9" s="1457">
        <f>'سود و زیان'!G18</f>
        <v>63467.5</v>
      </c>
      <c r="L9" s="1456"/>
      <c r="M9" s="1457">
        <v>-1685686.5</v>
      </c>
    </row>
    <row r="10" spans="1:14" s="250" customFormat="1" ht="39.75" hidden="1" customHeight="1">
      <c r="A10" s="1573"/>
      <c r="C10" s="1197"/>
      <c r="D10" s="1643" t="s">
        <v>1867</v>
      </c>
      <c r="E10" s="1644"/>
      <c r="F10" s="1644"/>
      <c r="G10" s="1644"/>
      <c r="H10" s="1644"/>
      <c r="I10" s="1645"/>
      <c r="J10" s="1644"/>
      <c r="K10" s="1457"/>
      <c r="L10" s="1456"/>
      <c r="M10" s="1457"/>
    </row>
    <row r="11" spans="1:14" s="250" customFormat="1" ht="39" customHeight="1">
      <c r="A11" s="1573"/>
      <c r="C11" s="1197"/>
      <c r="D11" s="1643" t="s">
        <v>2045</v>
      </c>
      <c r="E11" s="1644"/>
      <c r="F11" s="1644"/>
      <c r="G11" s="1644"/>
      <c r="H11" s="1644"/>
      <c r="I11" s="1645"/>
      <c r="J11" s="1644"/>
      <c r="K11" s="1457">
        <v>21156</v>
      </c>
      <c r="L11" s="1456"/>
      <c r="M11" s="1457">
        <v>0</v>
      </c>
    </row>
    <row r="12" spans="1:14" s="250" customFormat="1" ht="39.75" hidden="1" customHeight="1">
      <c r="A12" s="1573"/>
      <c r="C12" s="1197"/>
      <c r="D12" s="1643" t="s">
        <v>1880</v>
      </c>
      <c r="E12" s="1644"/>
      <c r="F12" s="1644"/>
      <c r="G12" s="1644"/>
      <c r="H12" s="1644"/>
      <c r="I12" s="1645"/>
      <c r="J12" s="1644"/>
      <c r="K12" s="1457">
        <v>0</v>
      </c>
      <c r="L12" s="1456"/>
      <c r="M12" s="1457">
        <v>0</v>
      </c>
    </row>
    <row r="13" spans="1:14" s="250" customFormat="1" ht="39.75" customHeight="1">
      <c r="A13" s="1573"/>
      <c r="C13" s="1197"/>
      <c r="D13" s="1643" t="s">
        <v>1881</v>
      </c>
      <c r="E13" s="1644"/>
      <c r="F13" s="1644"/>
      <c r="G13" s="1644"/>
      <c r="H13" s="1644"/>
      <c r="I13" s="1645"/>
      <c r="J13" s="1644"/>
      <c r="K13" s="1457">
        <f>'29'!N11-'29'!P11</f>
        <v>2752157</v>
      </c>
      <c r="L13" s="1456"/>
      <c r="M13" s="1457">
        <v>720668</v>
      </c>
    </row>
    <row r="14" spans="1:14" s="250" customFormat="1" ht="39.75" customHeight="1">
      <c r="A14" s="1573"/>
      <c r="C14" s="1197"/>
      <c r="D14" s="1643" t="s">
        <v>1467</v>
      </c>
      <c r="E14" s="1644"/>
      <c r="F14" s="1644"/>
      <c r="G14" s="1644"/>
      <c r="H14" s="1644"/>
      <c r="I14" s="1645"/>
      <c r="J14" s="1644"/>
      <c r="K14" s="1457">
        <f>'12'!H25+'12'!T25+10357-1274</f>
        <v>2989297</v>
      </c>
      <c r="L14" s="1456"/>
      <c r="M14" s="1457">
        <v>2740276</v>
      </c>
    </row>
    <row r="15" spans="1:14" s="250" customFormat="1" ht="39.75" customHeight="1">
      <c r="A15" s="1573"/>
      <c r="C15" s="1197"/>
      <c r="D15" s="1643"/>
      <c r="E15" s="1644"/>
      <c r="F15" s="1644"/>
      <c r="G15" s="1644"/>
      <c r="H15" s="1644"/>
      <c r="I15" s="1645"/>
      <c r="J15" s="1644"/>
      <c r="K15" s="1646">
        <f>SUM(K11:K14)+K9</f>
        <v>5826077.5</v>
      </c>
      <c r="L15" s="1456"/>
      <c r="M15" s="1646">
        <f>SUM(M11:M14)+M9</f>
        <v>1775257.5</v>
      </c>
    </row>
    <row r="16" spans="1:14" s="250" customFormat="1" ht="39.75" customHeight="1">
      <c r="A16" s="1573"/>
      <c r="C16" s="1197"/>
      <c r="D16" s="1643" t="s">
        <v>1988</v>
      </c>
      <c r="E16" s="1644"/>
      <c r="F16" s="1644"/>
      <c r="G16" s="1644"/>
      <c r="H16" s="1644"/>
      <c r="I16" s="1645"/>
      <c r="J16" s="1644"/>
      <c r="K16" s="1457">
        <f>-('وضعیت مالی'!G15+'وضعیت مالی'!G20-'وضعیت مالی'!I20-'وضعیت مالی'!I15+'صورت جریان نقدی'!H21)</f>
        <v>-27370919</v>
      </c>
      <c r="L16" s="1456"/>
      <c r="M16" s="1457">
        <v>-3155719</v>
      </c>
    </row>
    <row r="17" spans="1:19" s="250" customFormat="1" ht="39.75" customHeight="1">
      <c r="A17" s="1573"/>
      <c r="C17" s="1197"/>
      <c r="D17" s="1643" t="s">
        <v>1962</v>
      </c>
      <c r="E17" s="1644"/>
      <c r="F17" s="1644"/>
      <c r="G17" s="1644"/>
      <c r="H17" s="1644"/>
      <c r="I17" s="1645"/>
      <c r="J17" s="1644"/>
      <c r="K17" s="1457">
        <f>-('وضعیت مالی'!G19-'وضعیت مالی'!I19)</f>
        <v>-1132721</v>
      </c>
      <c r="L17" s="1456"/>
      <c r="M17" s="1457">
        <v>-204234</v>
      </c>
      <c r="Q17" s="250" t="s">
        <v>1947</v>
      </c>
    </row>
    <row r="18" spans="1:19" s="250" customFormat="1" ht="39.75" customHeight="1">
      <c r="A18" s="970" t="s">
        <v>2063</v>
      </c>
      <c r="C18" s="1197"/>
      <c r="D18" s="1643" t="s">
        <v>1963</v>
      </c>
      <c r="E18" s="1644"/>
      <c r="F18" s="1644"/>
      <c r="G18" s="1644"/>
      <c r="H18" s="1644"/>
      <c r="I18" s="1645"/>
      <c r="J18" s="1644"/>
      <c r="K18" s="1457">
        <f>'وضعیت مالی'!I18-'وضعیت مالی'!G18</f>
        <v>-90325</v>
      </c>
      <c r="L18" s="1456"/>
      <c r="M18" s="1457">
        <v>-139476</v>
      </c>
      <c r="Q18" s="1511" t="e">
        <f>'24'!#REF!+'وضعیت مالی'!R34</f>
        <v>#REF!</v>
      </c>
    </row>
    <row r="19" spans="1:19" s="250" customFormat="1" ht="37.5" customHeight="1">
      <c r="A19" s="1573"/>
      <c r="C19" s="1197"/>
      <c r="D19" s="1643" t="s">
        <v>2278</v>
      </c>
      <c r="E19" s="1644"/>
      <c r="F19" s="1644"/>
      <c r="G19" s="1644"/>
      <c r="H19" s="1644"/>
      <c r="I19" s="1645"/>
      <c r="J19" s="1644"/>
      <c r="K19" s="1457">
        <v>22858334.5</v>
      </c>
      <c r="L19" s="1456"/>
      <c r="M19" s="1457">
        <v>3669606</v>
      </c>
      <c r="O19" s="1457"/>
      <c r="Q19" s="1511" t="e">
        <f>'24'!#REF!+'وضعیت مالی'!R35</f>
        <v>#REF!</v>
      </c>
    </row>
    <row r="20" spans="1:19" s="250" customFormat="1" ht="39.75" hidden="1" customHeight="1" thickBot="1">
      <c r="A20" s="1573"/>
      <c r="C20" s="1197"/>
      <c r="D20" s="1643" t="s">
        <v>1964</v>
      </c>
      <c r="E20" s="1644"/>
      <c r="F20" s="1644"/>
      <c r="G20" s="1644"/>
      <c r="H20" s="1644"/>
      <c r="I20" s="1645"/>
      <c r="J20" s="1644"/>
      <c r="K20" s="1457"/>
      <c r="L20" s="1456"/>
      <c r="M20" s="1457"/>
      <c r="O20" s="1648">
        <f>K19+K20</f>
        <v>22858334.5</v>
      </c>
      <c r="Q20" s="1648">
        <f>+M19+M20</f>
        <v>3669606</v>
      </c>
      <c r="S20" s="1648"/>
    </row>
    <row r="21" spans="1:19" s="250" customFormat="1" ht="39.75" hidden="1" customHeight="1" thickBot="1">
      <c r="A21" s="1573"/>
      <c r="C21" s="1197"/>
      <c r="D21" s="1643" t="s">
        <v>1965</v>
      </c>
      <c r="E21" s="1644"/>
      <c r="F21" s="1644"/>
      <c r="G21" s="1644"/>
      <c r="H21" s="1644"/>
      <c r="I21" s="1645"/>
      <c r="J21" s="1644"/>
      <c r="K21" s="1647"/>
      <c r="L21" s="1456"/>
      <c r="M21" s="1647">
        <v>0</v>
      </c>
      <c r="O21" s="1648">
        <f>'صورت جریان نقدی'!H30</f>
        <v>0</v>
      </c>
      <c r="Q21" s="1648">
        <f>M22-1434881</f>
        <v>510553.5</v>
      </c>
    </row>
    <row r="22" spans="1:19" s="250" customFormat="1" ht="39.75" customHeight="1" thickBot="1">
      <c r="A22" s="562"/>
      <c r="C22" s="1197"/>
      <c r="D22" s="1643" t="s">
        <v>1878</v>
      </c>
      <c r="E22" s="1649"/>
      <c r="F22" s="1649"/>
      <c r="G22" s="1649"/>
      <c r="H22" s="1649"/>
      <c r="I22" s="1649"/>
      <c r="J22" s="1649"/>
      <c r="K22" s="1650">
        <f>K15+K16+K17+K18+K19+K20+K21</f>
        <v>90447</v>
      </c>
      <c r="L22" s="1651">
        <f>L9+L15+L16+L17+L18+L19+L20+L21</f>
        <v>0</v>
      </c>
      <c r="M22" s="1650">
        <f>M15+M16+M17+M18+M19+M20+M21</f>
        <v>1945434.5</v>
      </c>
    </row>
    <row r="23" spans="1:19" s="820" customFormat="1" ht="35.25" customHeight="1" thickTop="1">
      <c r="C23" s="1782"/>
      <c r="D23" s="1783"/>
      <c r="E23" s="1784"/>
      <c r="F23" s="1784"/>
      <c r="G23" s="1784"/>
      <c r="H23" s="1784"/>
      <c r="I23" s="1784"/>
      <c r="J23" s="1784"/>
      <c r="K23" s="1785"/>
      <c r="L23" s="1785"/>
      <c r="M23" s="1785"/>
    </row>
    <row r="24" spans="1:19" ht="72.75" customHeight="1">
      <c r="A24" s="369"/>
      <c r="B24" s="1438">
        <v>-22</v>
      </c>
      <c r="C24" s="3651" t="s">
        <v>1928</v>
      </c>
      <c r="D24" s="3651"/>
      <c r="E24" s="1198"/>
      <c r="F24" s="1198"/>
      <c r="G24" s="1198"/>
      <c r="H24" s="1198"/>
      <c r="I24" s="1198"/>
      <c r="J24" s="1198"/>
      <c r="K24" s="3653" t="s">
        <v>1879</v>
      </c>
      <c r="L24" s="3653"/>
      <c r="M24" s="3653"/>
    </row>
    <row r="25" spans="1:19" s="250" customFormat="1" ht="30.75" customHeight="1">
      <c r="A25" s="562"/>
      <c r="C25" s="1197"/>
      <c r="D25" s="1392"/>
      <c r="E25" s="1198"/>
      <c r="F25" s="1198"/>
      <c r="G25" s="1198"/>
      <c r="H25" s="1198"/>
      <c r="I25" s="1198"/>
      <c r="J25" s="1198"/>
      <c r="K25" s="1802">
        <v>1402</v>
      </c>
      <c r="L25" s="1456"/>
      <c r="M25" s="1802">
        <v>1401</v>
      </c>
    </row>
    <row r="26" spans="1:19" s="250" customFormat="1" ht="53.25" customHeight="1" thickBot="1">
      <c r="A26" s="562"/>
      <c r="C26" s="1632" t="s">
        <v>2808</v>
      </c>
      <c r="D26" s="1392"/>
      <c r="E26" s="1198"/>
      <c r="F26" s="1198"/>
      <c r="G26" s="1198"/>
      <c r="H26" s="1198"/>
      <c r="I26" s="1198"/>
      <c r="J26" s="1198"/>
      <c r="K26" s="1633">
        <f>'15'!W17+'صورت جریان نقدی'!H15+'15'!W19+'15'!W18</f>
        <v>25735246</v>
      </c>
      <c r="L26" s="1634"/>
      <c r="M26" s="1633">
        <v>67781132</v>
      </c>
    </row>
    <row r="27" spans="1:19" ht="35.25" customHeight="1" thickTop="1">
      <c r="A27" s="369"/>
      <c r="C27" s="1197"/>
      <c r="D27" s="1392"/>
      <c r="E27" s="1198"/>
      <c r="F27" s="1198"/>
      <c r="G27" s="1198"/>
      <c r="H27" s="1198"/>
      <c r="I27" s="1198"/>
      <c r="J27" s="1198"/>
      <c r="K27" s="1458"/>
      <c r="L27" s="1458"/>
      <c r="M27" s="1458"/>
    </row>
    <row r="28" spans="1:19" s="250" customFormat="1" ht="44.25" customHeight="1">
      <c r="A28" s="820"/>
      <c r="B28" s="486" t="s">
        <v>2334</v>
      </c>
      <c r="C28" s="484"/>
      <c r="D28" s="487"/>
      <c r="E28" s="487"/>
      <c r="F28" s="487"/>
      <c r="G28" s="487"/>
      <c r="H28" s="487"/>
      <c r="I28" s="487"/>
      <c r="J28" s="487"/>
      <c r="K28" s="487"/>
      <c r="L28" s="484"/>
      <c r="M28" s="484"/>
      <c r="N28" s="484"/>
      <c r="O28" s="484"/>
      <c r="P28" s="484"/>
      <c r="Q28" s="484"/>
    </row>
    <row r="29" spans="1:19" s="250" customFormat="1" ht="54" customHeight="1">
      <c r="A29" s="973"/>
      <c r="B29" s="1460" t="s">
        <v>2335</v>
      </c>
      <c r="C29" s="1397"/>
      <c r="D29" s="1398"/>
      <c r="E29" s="487"/>
      <c r="F29" s="487"/>
      <c r="G29" s="487"/>
      <c r="H29" s="487"/>
      <c r="I29" s="487"/>
      <c r="J29" s="487"/>
      <c r="K29" s="487"/>
      <c r="L29" s="484"/>
      <c r="M29" s="484"/>
      <c r="N29" s="484"/>
      <c r="O29" s="484"/>
      <c r="P29" s="484"/>
      <c r="Q29" s="484"/>
    </row>
    <row r="30" spans="1:19" s="250" customFormat="1" ht="302.25" customHeight="1">
      <c r="A30" s="820"/>
      <c r="B30" s="3652" t="s">
        <v>2809</v>
      </c>
      <c r="C30" s="3652"/>
      <c r="D30" s="3652"/>
      <c r="E30" s="3652"/>
      <c r="F30" s="3652"/>
      <c r="G30" s="3652"/>
      <c r="H30" s="3652"/>
      <c r="I30" s="3652"/>
      <c r="J30" s="3652"/>
      <c r="K30" s="3652"/>
      <c r="L30" s="3652"/>
      <c r="M30" s="3652"/>
      <c r="N30" s="3652"/>
      <c r="O30" s="484"/>
      <c r="P30" s="484"/>
      <c r="Q30" s="484"/>
    </row>
    <row r="31" spans="1:19" s="1464" customFormat="1" ht="54.75" customHeight="1">
      <c r="A31" s="1461"/>
      <c r="B31" s="3656" t="s">
        <v>2336</v>
      </c>
      <c r="C31" s="3656"/>
      <c r="D31" s="3656"/>
      <c r="E31" s="1462"/>
      <c r="F31" s="1462"/>
      <c r="G31" s="1462"/>
      <c r="H31" s="1462"/>
      <c r="I31" s="1462"/>
      <c r="J31" s="1462"/>
      <c r="K31" s="1462"/>
      <c r="L31" s="1462"/>
      <c r="M31" s="1462"/>
      <c r="N31" s="1462"/>
      <c r="O31" s="1463"/>
      <c r="P31" s="1463"/>
      <c r="Q31" s="1463"/>
    </row>
    <row r="32" spans="1:19" s="1464" customFormat="1" ht="47.25" customHeight="1">
      <c r="A32" s="1461"/>
      <c r="B32" s="1652"/>
      <c r="C32" s="3655" t="s">
        <v>1887</v>
      </c>
      <c r="D32" s="3655"/>
      <c r="E32" s="3655"/>
      <c r="F32" s="3655"/>
      <c r="G32" s="3655"/>
      <c r="H32" s="3655"/>
      <c r="I32" s="1653"/>
      <c r="J32" s="1653"/>
      <c r="K32" s="3653" t="s">
        <v>1879</v>
      </c>
      <c r="L32" s="3653"/>
      <c r="M32" s="3653"/>
      <c r="N32" s="1462"/>
      <c r="O32" s="1463"/>
      <c r="P32" s="1463"/>
      <c r="Q32" s="1463"/>
    </row>
    <row r="33" spans="1:17" s="250" customFormat="1" ht="75" customHeight="1">
      <c r="A33" s="820"/>
      <c r="B33" s="1654"/>
      <c r="C33" s="1655"/>
      <c r="D33" s="1656"/>
      <c r="E33" s="1656"/>
      <c r="F33" s="1656"/>
      <c r="G33" s="1656"/>
      <c r="J33" s="1658"/>
      <c r="K33" s="1657" t="str">
        <f>mafrozat!A8</f>
        <v>1402/12/29</v>
      </c>
      <c r="L33" s="1658"/>
      <c r="M33" s="1657" t="s">
        <v>2210</v>
      </c>
      <c r="O33" s="484"/>
      <c r="P33" s="484"/>
      <c r="Q33" s="484"/>
    </row>
    <row r="34" spans="1:17" s="250" customFormat="1" ht="46.5" customHeight="1">
      <c r="A34" s="820"/>
      <c r="B34" s="1654"/>
      <c r="C34" s="1655"/>
      <c r="D34" s="1656"/>
      <c r="E34" s="1656"/>
      <c r="F34" s="1656"/>
      <c r="G34" s="1656"/>
      <c r="J34" s="1658"/>
      <c r="K34" s="1656"/>
      <c r="L34" s="1658"/>
      <c r="M34" s="1656"/>
      <c r="O34" s="484"/>
      <c r="P34" s="484"/>
      <c r="Q34" s="484"/>
    </row>
    <row r="35" spans="1:17" s="250" customFormat="1" ht="46.5" customHeight="1">
      <c r="A35" s="820"/>
      <c r="B35" s="1654"/>
      <c r="C35" s="1655"/>
      <c r="D35" s="1656" t="s">
        <v>1816</v>
      </c>
      <c r="E35" s="1656"/>
      <c r="F35" s="1656"/>
      <c r="G35" s="1656"/>
      <c r="J35" s="1466"/>
      <c r="K35" s="1466">
        <f>'وضعیت مالی'!G41</f>
        <v>157387856</v>
      </c>
      <c r="L35" s="1466"/>
      <c r="M35" s="1466">
        <v>111046204</v>
      </c>
      <c r="O35" s="484"/>
      <c r="P35" s="484"/>
      <c r="Q35" s="484"/>
    </row>
    <row r="36" spans="1:17" s="250" customFormat="1" ht="46.5" customHeight="1" thickBot="1">
      <c r="A36" s="820"/>
      <c r="B36" s="1654"/>
      <c r="C36" s="1655"/>
      <c r="D36" s="1656" t="s">
        <v>1807</v>
      </c>
      <c r="E36" s="1656"/>
      <c r="F36" s="1656"/>
      <c r="G36" s="1656"/>
      <c r="J36" s="1466"/>
      <c r="K36" s="1659">
        <f>-'وضعیت مالی'!G21</f>
        <v>-781955</v>
      </c>
      <c r="L36" s="1660"/>
      <c r="M36" s="1659">
        <v>-1610502</v>
      </c>
      <c r="O36" s="484"/>
      <c r="P36" s="484"/>
      <c r="Q36" s="484"/>
    </row>
    <row r="37" spans="1:17" s="250" customFormat="1" ht="46.5" customHeight="1" thickTop="1" thickBot="1">
      <c r="A37" s="820"/>
      <c r="B37" s="1654"/>
      <c r="C37" s="1655"/>
      <c r="D37" s="1656" t="s">
        <v>1888</v>
      </c>
      <c r="E37" s="1656"/>
      <c r="F37" s="1656"/>
      <c r="G37" s="1656"/>
      <c r="J37" s="1466"/>
      <c r="K37" s="1659">
        <f>SUM(K35:K36)</f>
        <v>156605901</v>
      </c>
      <c r="L37" s="1466"/>
      <c r="M37" s="1659">
        <f>SUM(M35:M36)</f>
        <v>109435702</v>
      </c>
      <c r="O37" s="484"/>
      <c r="P37" s="484"/>
      <c r="Q37" s="484"/>
    </row>
    <row r="38" spans="1:17" s="250" customFormat="1" ht="46.5" customHeight="1" thickTop="1" thickBot="1">
      <c r="A38" s="820"/>
      <c r="B38" s="1654"/>
      <c r="C38" s="1655"/>
      <c r="D38" s="1656" t="s">
        <v>1889</v>
      </c>
      <c r="E38" s="1656"/>
      <c r="F38" s="1656"/>
      <c r="G38" s="1656"/>
      <c r="J38" s="1466"/>
      <c r="K38" s="1659">
        <f>'وضعیت مالی'!G31</f>
        <v>-23028776.5</v>
      </c>
      <c r="L38" s="1466"/>
      <c r="M38" s="1659">
        <v>-5787774</v>
      </c>
      <c r="O38" s="484"/>
      <c r="P38" s="484"/>
      <c r="Q38" s="484"/>
    </row>
    <row r="39" spans="1:17" s="250" customFormat="1" ht="46.5" customHeight="1" thickTop="1" thickBot="1">
      <c r="A39" s="820"/>
      <c r="B39" s="1654"/>
      <c r="C39" s="1655"/>
      <c r="D39" s="3649" t="s">
        <v>1890</v>
      </c>
      <c r="E39" s="3649"/>
      <c r="F39" s="3649"/>
      <c r="G39" s="1656"/>
      <c r="J39" s="1466"/>
      <c r="K39" s="2181">
        <f>K37/K38</f>
        <v>-6.8004438273131882</v>
      </c>
      <c r="L39" s="1466"/>
      <c r="M39" s="2182">
        <f>M37/M38</f>
        <v>-18.908081414374507</v>
      </c>
      <c r="O39" s="484"/>
      <c r="P39" s="484"/>
      <c r="Q39" s="484"/>
    </row>
    <row r="40" spans="1:17" s="250" customFormat="1" ht="46.5" customHeight="1" thickTop="1">
      <c r="A40" s="820"/>
      <c r="B40" s="1654"/>
      <c r="C40" s="1655"/>
      <c r="D40" s="1656"/>
      <c r="E40" s="1656"/>
      <c r="F40" s="1656"/>
      <c r="G40" s="1656"/>
      <c r="J40" s="1466"/>
      <c r="K40" s="1466"/>
      <c r="L40" s="1466"/>
      <c r="M40" s="1466"/>
      <c r="O40" s="484"/>
      <c r="P40" s="484"/>
      <c r="Q40" s="484"/>
    </row>
    <row r="41" spans="1:17" s="250" customFormat="1" ht="46.5" customHeight="1">
      <c r="A41" s="820"/>
      <c r="B41" s="1393"/>
      <c r="C41" s="1440"/>
      <c r="D41" s="1465"/>
      <c r="E41" s="1465"/>
      <c r="F41" s="1465"/>
      <c r="G41" s="1465"/>
      <c r="J41" s="1466"/>
      <c r="K41" s="1466"/>
      <c r="L41" s="1466"/>
      <c r="M41" s="1466"/>
      <c r="O41" s="484"/>
      <c r="P41" s="484"/>
      <c r="Q41" s="484"/>
    </row>
    <row r="42" spans="1:17" s="250" customFormat="1" ht="130.5" customHeight="1">
      <c r="A42" s="3650">
        <v>30</v>
      </c>
      <c r="B42" s="3650"/>
      <c r="C42" s="3650"/>
      <c r="D42" s="3650"/>
      <c r="E42" s="3650"/>
      <c r="F42" s="3650"/>
      <c r="G42" s="3650"/>
      <c r="H42" s="3650"/>
      <c r="I42" s="3650"/>
      <c r="J42" s="3650"/>
      <c r="K42" s="3650"/>
      <c r="L42" s="3650"/>
      <c r="M42" s="3650"/>
      <c r="O42" s="484"/>
      <c r="P42" s="484"/>
      <c r="Q42" s="484"/>
    </row>
    <row r="43" spans="1:17" s="250" customFormat="1" ht="46.5" customHeight="1">
      <c r="A43" s="820"/>
      <c r="B43" s="1393"/>
      <c r="C43" s="1440"/>
      <c r="D43" s="1465"/>
      <c r="E43" s="1465"/>
      <c r="F43" s="1465"/>
      <c r="G43" s="1465"/>
      <c r="J43" s="1466"/>
      <c r="K43" s="1466"/>
      <c r="L43" s="1466"/>
      <c r="M43" s="1466"/>
      <c r="O43" s="484"/>
      <c r="P43" s="484"/>
      <c r="Q43" s="484"/>
    </row>
  </sheetData>
  <mergeCells count="13">
    <mergeCell ref="A1:N1"/>
    <mergeCell ref="A2:N2"/>
    <mergeCell ref="A3:N3"/>
    <mergeCell ref="C32:H32"/>
    <mergeCell ref="B31:D31"/>
    <mergeCell ref="D39:F39"/>
    <mergeCell ref="A42:M42"/>
    <mergeCell ref="C5:D5"/>
    <mergeCell ref="C24:D24"/>
    <mergeCell ref="B30:N30"/>
    <mergeCell ref="K6:M6"/>
    <mergeCell ref="K24:M24"/>
    <mergeCell ref="K32:M32"/>
  </mergeCells>
  <pageMargins left="0" right="0.74803149606299213" top="0.27559055118110237" bottom="0.15748031496062992" header="0.19685039370078741" footer="0.15748031496062992"/>
  <pageSetup paperSize="9" scale="3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43"/>
  <sheetViews>
    <sheetView rightToLeft="1" view="pageBreakPreview" topLeftCell="A25" zoomScale="40" zoomScaleNormal="40" zoomScaleSheetLayoutView="40" workbookViewId="0">
      <selection activeCell="F28" sqref="F28:H28"/>
    </sheetView>
  </sheetViews>
  <sheetFormatPr defaultColWidth="11" defaultRowHeight="21"/>
  <cols>
    <col min="1" max="1" width="13.75" style="820" customWidth="1"/>
    <col min="2" max="2" width="32.125" style="250" customWidth="1"/>
    <col min="3" max="3" width="7" style="250" customWidth="1"/>
    <col min="4" max="4" width="16.125" style="250" customWidth="1"/>
    <col min="5" max="5" width="8" style="250" customWidth="1"/>
    <col min="6" max="6" width="21.25" style="250" customWidth="1"/>
    <col min="7" max="7" width="6.25" style="250" customWidth="1"/>
    <col min="8" max="8" width="23.25" style="250" customWidth="1"/>
    <col min="9" max="9" width="4.25" style="250" customWidth="1"/>
    <col min="10" max="10" width="27.625" style="250" customWidth="1"/>
    <col min="11" max="11" width="4.75" style="250" customWidth="1"/>
    <col min="12" max="12" width="10.875" style="250" customWidth="1"/>
    <col min="13" max="13" width="4.625" style="250" customWidth="1"/>
    <col min="14" max="14" width="26.625" style="250" customWidth="1"/>
    <col min="15" max="15" width="13.125" style="250" customWidth="1"/>
    <col min="16" max="16" width="29" style="250" customWidth="1"/>
    <col min="17" max="17" width="11.375" style="250" customWidth="1"/>
    <col min="18" max="18" width="24.375" style="250" customWidth="1"/>
    <col min="19" max="16384" width="11" style="250"/>
  </cols>
  <sheetData>
    <row r="1" spans="1:21" ht="47.25" customHeight="1">
      <c r="A1" s="3669" t="s">
        <v>612</v>
      </c>
      <c r="B1" s="3669"/>
      <c r="C1" s="3669"/>
      <c r="D1" s="3669"/>
      <c r="E1" s="3669"/>
      <c r="F1" s="3669"/>
      <c r="G1" s="3669"/>
      <c r="H1" s="3669"/>
      <c r="I1" s="3669"/>
      <c r="J1" s="3669"/>
      <c r="K1" s="3669"/>
      <c r="L1" s="3669"/>
      <c r="M1" s="3669"/>
      <c r="N1" s="3669"/>
      <c r="O1" s="3669"/>
      <c r="P1" s="3669"/>
      <c r="Q1" s="3669"/>
      <c r="R1" s="484"/>
      <c r="S1" s="484"/>
    </row>
    <row r="2" spans="1:21" ht="47.25" customHeight="1">
      <c r="A2" s="3669" t="s">
        <v>1489</v>
      </c>
      <c r="B2" s="3669"/>
      <c r="C2" s="3669"/>
      <c r="D2" s="3669"/>
      <c r="E2" s="3669"/>
      <c r="F2" s="3669"/>
      <c r="G2" s="3669"/>
      <c r="H2" s="3669"/>
      <c r="I2" s="3669"/>
      <c r="J2" s="3669"/>
      <c r="K2" s="3669"/>
      <c r="L2" s="3669"/>
      <c r="M2" s="3669"/>
      <c r="N2" s="3669"/>
      <c r="O2" s="3669"/>
      <c r="P2" s="3669"/>
      <c r="Q2" s="3669"/>
      <c r="R2" s="484"/>
      <c r="S2" s="484"/>
    </row>
    <row r="3" spans="1:21" ht="47.25" customHeight="1">
      <c r="A3" s="3669" t="str">
        <f>mafrozat!A3</f>
        <v xml:space="preserve"> سال مالي منتهي به 29 اسفند 1402</v>
      </c>
      <c r="B3" s="3669"/>
      <c r="C3" s="3669"/>
      <c r="D3" s="3669"/>
      <c r="E3" s="3669"/>
      <c r="F3" s="3669"/>
      <c r="G3" s="3669"/>
      <c r="H3" s="3669"/>
      <c r="I3" s="3669"/>
      <c r="J3" s="3669"/>
      <c r="K3" s="3669"/>
      <c r="L3" s="3669"/>
      <c r="M3" s="3669"/>
      <c r="N3" s="3669"/>
      <c r="O3" s="3669"/>
      <c r="P3" s="3669"/>
      <c r="Q3" s="3669"/>
      <c r="R3" s="484"/>
      <c r="S3" s="484"/>
    </row>
    <row r="4" spans="1:21" ht="16.5" customHeight="1">
      <c r="B4" s="485"/>
      <c r="C4" s="485"/>
      <c r="D4" s="485"/>
      <c r="E4" s="485"/>
      <c r="F4" s="485"/>
      <c r="G4" s="485"/>
      <c r="H4" s="485"/>
      <c r="I4" s="485"/>
      <c r="J4" s="485"/>
      <c r="K4" s="485"/>
      <c r="L4" s="485"/>
      <c r="M4" s="485"/>
      <c r="N4" s="485"/>
      <c r="O4" s="485"/>
      <c r="P4" s="485"/>
      <c r="Q4" s="484"/>
      <c r="R4" s="484" t="e">
        <f>'15'!#REF!</f>
        <v>#REF!</v>
      </c>
      <c r="S4" s="484"/>
    </row>
    <row r="5" spans="1:21" s="1730" customFormat="1" ht="16.5" customHeight="1">
      <c r="A5" s="1203"/>
      <c r="B5" s="1729"/>
      <c r="C5" s="3651"/>
      <c r="D5" s="3651"/>
      <c r="E5" s="1195"/>
      <c r="F5" s="1195"/>
      <c r="G5" s="1195"/>
      <c r="H5" s="1195"/>
      <c r="I5" s="1195"/>
      <c r="J5" s="1196"/>
      <c r="K5" s="1196"/>
      <c r="L5" s="1196"/>
      <c r="M5" s="1196"/>
      <c r="N5" s="1196"/>
      <c r="O5" s="1196"/>
    </row>
    <row r="6" spans="1:21" ht="327.75" customHeight="1">
      <c r="B6" s="3667" t="s">
        <v>2442</v>
      </c>
      <c r="C6" s="3668"/>
      <c r="D6" s="3668"/>
      <c r="E6" s="3668"/>
      <c r="F6" s="3668"/>
      <c r="G6" s="3668"/>
      <c r="H6" s="3668"/>
      <c r="I6" s="3668"/>
      <c r="J6" s="3668"/>
      <c r="K6" s="3668"/>
      <c r="L6" s="3668"/>
      <c r="M6" s="3668"/>
      <c r="N6" s="3668"/>
      <c r="O6" s="3668"/>
      <c r="P6" s="3668"/>
      <c r="Q6" s="491"/>
      <c r="R6" s="484"/>
      <c r="S6" s="484"/>
      <c r="T6" s="484"/>
      <c r="U6" s="484"/>
    </row>
    <row r="7" spans="1:21" ht="255" customHeight="1">
      <c r="B7" s="3667" t="s">
        <v>2443</v>
      </c>
      <c r="C7" s="3668"/>
      <c r="D7" s="3668"/>
      <c r="E7" s="3668"/>
      <c r="F7" s="3668"/>
      <c r="G7" s="3668"/>
      <c r="H7" s="3668"/>
      <c r="I7" s="3668"/>
      <c r="J7" s="3668"/>
      <c r="K7" s="3668"/>
      <c r="L7" s="3668"/>
      <c r="M7" s="3668"/>
      <c r="N7" s="3668"/>
      <c r="O7" s="3668"/>
      <c r="P7" s="3668"/>
      <c r="Q7" s="491"/>
      <c r="R7" s="484"/>
      <c r="S7" s="484"/>
      <c r="T7" s="484"/>
      <c r="U7" s="484"/>
    </row>
    <row r="8" spans="1:21" ht="408.75" customHeight="1">
      <c r="B8" s="3662" t="s">
        <v>2573</v>
      </c>
      <c r="C8" s="3663"/>
      <c r="D8" s="3663"/>
      <c r="E8" s="3663"/>
      <c r="F8" s="3663"/>
      <c r="G8" s="3663"/>
      <c r="H8" s="3663"/>
      <c r="I8" s="3663"/>
      <c r="J8" s="3663"/>
      <c r="K8" s="3663"/>
      <c r="L8" s="3663"/>
      <c r="M8" s="3663"/>
      <c r="N8" s="3663"/>
      <c r="O8" s="3663"/>
      <c r="P8" s="3663"/>
      <c r="Q8" s="492"/>
      <c r="R8" s="484"/>
      <c r="S8" s="484"/>
      <c r="T8" s="484"/>
      <c r="U8" s="484"/>
    </row>
    <row r="9" spans="1:21" ht="30" customHeight="1">
      <c r="B9" s="1794"/>
      <c r="C9" s="1795"/>
      <c r="D9" s="1795"/>
      <c r="E9" s="1795"/>
      <c r="F9" s="1795"/>
      <c r="G9" s="1795"/>
      <c r="H9" s="1795"/>
      <c r="I9" s="1795"/>
      <c r="J9" s="1795"/>
      <c r="K9" s="1795"/>
      <c r="L9" s="1795"/>
      <c r="M9" s="2098"/>
      <c r="N9" s="1732" t="s">
        <v>1879</v>
      </c>
      <c r="O9" s="1795"/>
      <c r="P9" s="1732"/>
      <c r="Q9" s="492"/>
      <c r="R9" s="484"/>
      <c r="S9" s="484"/>
      <c r="T9" s="484"/>
      <c r="U9" s="484"/>
    </row>
    <row r="10" spans="1:21" ht="39.75" customHeight="1">
      <c r="B10" s="3664" t="s">
        <v>1938</v>
      </c>
      <c r="C10" s="3664"/>
      <c r="D10" s="3664"/>
      <c r="E10" s="1510"/>
      <c r="F10" s="3664" t="s">
        <v>1939</v>
      </c>
      <c r="G10" s="3664"/>
      <c r="H10" s="3664"/>
      <c r="J10" s="3664" t="s">
        <v>1940</v>
      </c>
      <c r="K10" s="3664"/>
      <c r="L10" s="3664"/>
      <c r="M10" s="2097"/>
      <c r="N10" s="2590" t="s">
        <v>1941</v>
      </c>
      <c r="O10" s="1510"/>
      <c r="P10" s="2592"/>
      <c r="Q10" s="1838"/>
      <c r="R10" s="1837"/>
      <c r="S10" s="484"/>
      <c r="T10" s="484"/>
      <c r="U10" s="484"/>
    </row>
    <row r="11" spans="1:21" ht="39.75" hidden="1" customHeight="1">
      <c r="B11" s="3665"/>
      <c r="C11" s="3665"/>
      <c r="D11" s="3665"/>
      <c r="E11" s="1510"/>
      <c r="F11" s="3666"/>
      <c r="G11" s="3666"/>
      <c r="H11" s="3666"/>
      <c r="I11" s="1511"/>
      <c r="J11" s="3666"/>
      <c r="K11" s="3666"/>
      <c r="L11" s="3666"/>
      <c r="M11" s="2096"/>
      <c r="N11" s="2096"/>
      <c r="O11" s="1512"/>
      <c r="P11" s="2593"/>
      <c r="Q11" s="1836"/>
      <c r="R11" s="1836"/>
      <c r="S11" s="484"/>
      <c r="T11" s="484"/>
      <c r="U11" s="484"/>
    </row>
    <row r="12" spans="1:21" ht="39.75" hidden="1" customHeight="1">
      <c r="B12" s="3659" t="s">
        <v>152</v>
      </c>
      <c r="C12" s="3659"/>
      <c r="D12" s="3659"/>
      <c r="E12" s="1731"/>
      <c r="F12" s="3657">
        <f>'20'!J69</f>
        <v>0</v>
      </c>
      <c r="G12" s="3657"/>
      <c r="H12" s="3657"/>
      <c r="I12" s="1731"/>
      <c r="J12" s="3658" t="s">
        <v>712</v>
      </c>
      <c r="K12" s="3658"/>
      <c r="L12" s="3658"/>
      <c r="M12" s="2095"/>
      <c r="N12" s="2095"/>
      <c r="O12" s="1731"/>
      <c r="P12" s="1735" t="s">
        <v>712</v>
      </c>
      <c r="Q12" s="1736"/>
      <c r="R12" s="1736"/>
      <c r="S12" s="484"/>
      <c r="T12" s="484"/>
      <c r="U12" s="484"/>
    </row>
    <row r="13" spans="1:21" ht="39.75" customHeight="1">
      <c r="A13" s="3660" t="s">
        <v>2058</v>
      </c>
      <c r="B13" s="3660"/>
      <c r="C13" s="3660"/>
      <c r="D13" s="3660"/>
      <c r="E13" s="2233"/>
      <c r="F13" s="3657">
        <f>'20'!J53</f>
        <v>326526</v>
      </c>
      <c r="G13" s="3657"/>
      <c r="H13" s="3657"/>
      <c r="I13" s="2233"/>
      <c r="J13" s="3657">
        <f t="shared" ref="J13:J26" si="0">F13</f>
        <v>326526</v>
      </c>
      <c r="K13" s="3657"/>
      <c r="L13" s="3657"/>
      <c r="M13" s="2231"/>
      <c r="N13" s="2594">
        <v>0</v>
      </c>
      <c r="O13" s="2233"/>
      <c r="P13" s="2232"/>
      <c r="Q13" s="2232"/>
      <c r="R13" s="2232"/>
      <c r="S13" s="484"/>
      <c r="T13" s="484"/>
      <c r="U13" s="484"/>
    </row>
    <row r="14" spans="1:21" ht="39.75" customHeight="1">
      <c r="A14" s="3660" t="s">
        <v>2455</v>
      </c>
      <c r="B14" s="3660"/>
      <c r="C14" s="3660"/>
      <c r="D14" s="3660"/>
      <c r="E14" s="2196"/>
      <c r="F14" s="3657">
        <f>'20'!J54</f>
        <v>345032</v>
      </c>
      <c r="G14" s="3657"/>
      <c r="H14" s="3657"/>
      <c r="I14" s="2661"/>
      <c r="J14" s="3657">
        <f t="shared" ref="J14:J22" si="1">F14</f>
        <v>345032</v>
      </c>
      <c r="K14" s="3657"/>
      <c r="L14" s="3657"/>
      <c r="M14" s="2660"/>
      <c r="N14" s="2594">
        <v>0</v>
      </c>
      <c r="O14" s="2661"/>
      <c r="P14" s="2660"/>
      <c r="Q14" s="1736"/>
      <c r="R14" s="1736"/>
      <c r="S14" s="484"/>
      <c r="T14" s="484"/>
      <c r="U14" s="484"/>
    </row>
    <row r="15" spans="1:21" ht="39.75" customHeight="1">
      <c r="A15" s="3660" t="s">
        <v>2721</v>
      </c>
      <c r="B15" s="3660" t="s">
        <v>2721</v>
      </c>
      <c r="C15" s="3660" t="s">
        <v>2721</v>
      </c>
      <c r="D15" s="3660" t="s">
        <v>2721</v>
      </c>
      <c r="E15" s="2196"/>
      <c r="F15" s="3657">
        <f>'20'!J41</f>
        <v>5897682</v>
      </c>
      <c r="G15" s="3657"/>
      <c r="H15" s="3657"/>
      <c r="I15" s="3266"/>
      <c r="J15" s="3657">
        <f t="shared" si="1"/>
        <v>5897682</v>
      </c>
      <c r="K15" s="3657"/>
      <c r="L15" s="3657"/>
      <c r="M15" s="3265"/>
      <c r="N15" s="2594">
        <v>0</v>
      </c>
      <c r="O15" s="3266"/>
      <c r="P15" s="3265"/>
      <c r="Q15" s="1736"/>
      <c r="R15" s="1736"/>
      <c r="S15" s="484"/>
      <c r="T15" s="484"/>
      <c r="U15" s="484"/>
    </row>
    <row r="16" spans="1:21" ht="39.75" customHeight="1">
      <c r="A16" s="3660" t="s">
        <v>1875</v>
      </c>
      <c r="B16" s="3660" t="s">
        <v>1875</v>
      </c>
      <c r="C16" s="3660" t="s">
        <v>1875</v>
      </c>
      <c r="D16" s="3660" t="s">
        <v>1875</v>
      </c>
      <c r="E16" s="2196"/>
      <c r="F16" s="3657">
        <f>'20'!J42</f>
        <v>4964941</v>
      </c>
      <c r="G16" s="3657"/>
      <c r="H16" s="3657"/>
      <c r="I16" s="3266"/>
      <c r="J16" s="3657">
        <f t="shared" si="1"/>
        <v>4964941</v>
      </c>
      <c r="K16" s="3657"/>
      <c r="L16" s="3657"/>
      <c r="M16" s="3265"/>
      <c r="N16" s="2594">
        <v>0</v>
      </c>
      <c r="O16" s="3266"/>
      <c r="P16" s="3265"/>
      <c r="Q16" s="1736"/>
      <c r="R16" s="1736"/>
      <c r="S16" s="484"/>
      <c r="T16" s="484"/>
      <c r="U16" s="484"/>
    </row>
    <row r="17" spans="1:21" ht="39.75" customHeight="1">
      <c r="A17" s="3660" t="s">
        <v>1776</v>
      </c>
      <c r="B17" s="3660" t="s">
        <v>1776</v>
      </c>
      <c r="C17" s="3660" t="s">
        <v>1776</v>
      </c>
      <c r="D17" s="3660" t="s">
        <v>1776</v>
      </c>
      <c r="E17" s="2196"/>
      <c r="F17" s="3657">
        <f>'20'!J43</f>
        <v>1500013</v>
      </c>
      <c r="G17" s="3657"/>
      <c r="H17" s="3657"/>
      <c r="I17" s="3266"/>
      <c r="J17" s="3657">
        <f t="shared" si="1"/>
        <v>1500013</v>
      </c>
      <c r="K17" s="3657"/>
      <c r="L17" s="3657"/>
      <c r="M17" s="3265"/>
      <c r="N17" s="2594">
        <v>0</v>
      </c>
      <c r="O17" s="3266"/>
      <c r="P17" s="3265"/>
      <c r="Q17" s="1736"/>
      <c r="R17" s="1736"/>
      <c r="S17" s="484"/>
      <c r="T17" s="484"/>
      <c r="U17" s="484"/>
    </row>
    <row r="18" spans="1:21" ht="39.75" customHeight="1">
      <c r="A18" s="3660" t="s">
        <v>2588</v>
      </c>
      <c r="B18" s="3660" t="s">
        <v>2588</v>
      </c>
      <c r="C18" s="3660" t="s">
        <v>2588</v>
      </c>
      <c r="D18" s="3660" t="s">
        <v>2588</v>
      </c>
      <c r="E18" s="2196"/>
      <c r="F18" s="3657">
        <f>'20'!J44</f>
        <v>715950</v>
      </c>
      <c r="G18" s="3657"/>
      <c r="H18" s="3657"/>
      <c r="I18" s="3266"/>
      <c r="J18" s="3657">
        <f t="shared" si="1"/>
        <v>715950</v>
      </c>
      <c r="K18" s="3657"/>
      <c r="L18" s="3657"/>
      <c r="M18" s="3265"/>
      <c r="N18" s="2594">
        <v>0</v>
      </c>
      <c r="O18" s="3266"/>
      <c r="P18" s="3265"/>
      <c r="Q18" s="1736"/>
      <c r="R18" s="1736"/>
      <c r="S18" s="484"/>
      <c r="T18" s="484"/>
      <c r="U18" s="484"/>
    </row>
    <row r="19" spans="1:21" ht="39.75" customHeight="1">
      <c r="A19" s="3660" t="s">
        <v>2722</v>
      </c>
      <c r="B19" s="3660" t="s">
        <v>2722</v>
      </c>
      <c r="C19" s="3660" t="s">
        <v>2722</v>
      </c>
      <c r="D19" s="3660" t="s">
        <v>2722</v>
      </c>
      <c r="E19" s="2196"/>
      <c r="F19" s="3657">
        <f>'20'!J55</f>
        <v>6246</v>
      </c>
      <c r="G19" s="3657"/>
      <c r="H19" s="3657"/>
      <c r="I19" s="3266"/>
      <c r="J19" s="3657">
        <f t="shared" si="1"/>
        <v>6246</v>
      </c>
      <c r="K19" s="3657"/>
      <c r="L19" s="3657"/>
      <c r="M19" s="3265"/>
      <c r="N19" s="2594">
        <v>0</v>
      </c>
      <c r="O19" s="3266"/>
      <c r="P19" s="3265"/>
      <c r="Q19" s="1736"/>
      <c r="R19" s="1736"/>
      <c r="S19" s="484"/>
      <c r="T19" s="484"/>
      <c r="U19" s="484"/>
    </row>
    <row r="20" spans="1:21" ht="39.75" customHeight="1">
      <c r="A20" s="3660" t="s">
        <v>2372</v>
      </c>
      <c r="B20" s="3660"/>
      <c r="C20" s="3660"/>
      <c r="D20" s="3660"/>
      <c r="E20" s="2196"/>
      <c r="F20" s="3657">
        <f>'20'!J45</f>
        <v>142119</v>
      </c>
      <c r="G20" s="3657"/>
      <c r="H20" s="3657"/>
      <c r="I20" s="2661"/>
      <c r="J20" s="3657">
        <f t="shared" si="1"/>
        <v>142119</v>
      </c>
      <c r="K20" s="3657"/>
      <c r="L20" s="3657"/>
      <c r="M20" s="2660"/>
      <c r="N20" s="2594">
        <v>0</v>
      </c>
      <c r="O20" s="2661"/>
      <c r="P20" s="2660"/>
      <c r="Q20" s="1736"/>
      <c r="R20" s="1736"/>
      <c r="S20" s="484"/>
      <c r="T20" s="484"/>
      <c r="U20" s="484"/>
    </row>
    <row r="21" spans="1:21" ht="39.75" customHeight="1">
      <c r="A21" s="3660" t="s">
        <v>2371</v>
      </c>
      <c r="B21" s="3660"/>
      <c r="C21" s="3660"/>
      <c r="D21" s="3660"/>
      <c r="E21" s="2196"/>
      <c r="F21" s="3657">
        <f>'20'!J46</f>
        <v>26920</v>
      </c>
      <c r="G21" s="3657"/>
      <c r="H21" s="3657"/>
      <c r="I21" s="2661"/>
      <c r="J21" s="3657">
        <f t="shared" si="1"/>
        <v>26920</v>
      </c>
      <c r="K21" s="3657"/>
      <c r="L21" s="3657"/>
      <c r="M21" s="2660"/>
      <c r="N21" s="2594">
        <v>0</v>
      </c>
      <c r="O21" s="2661"/>
      <c r="P21" s="2660"/>
      <c r="Q21" s="1736"/>
      <c r="R21" s="1736"/>
      <c r="S21" s="484"/>
      <c r="T21" s="484"/>
      <c r="U21" s="484"/>
    </row>
    <row r="22" spans="1:21" ht="39.75" customHeight="1">
      <c r="A22" s="3660" t="s">
        <v>2275</v>
      </c>
      <c r="B22" s="3660"/>
      <c r="C22" s="3660"/>
      <c r="D22" s="3660"/>
      <c r="E22" s="2196"/>
      <c r="F22" s="3657">
        <f>'20'!J33</f>
        <v>1268259</v>
      </c>
      <c r="G22" s="3657"/>
      <c r="H22" s="3657"/>
      <c r="I22" s="2233"/>
      <c r="J22" s="3657">
        <f t="shared" si="1"/>
        <v>1268259</v>
      </c>
      <c r="K22" s="3657"/>
      <c r="L22" s="3657"/>
      <c r="M22" s="2232"/>
      <c r="N22" s="2594">
        <v>0</v>
      </c>
      <c r="O22" s="2233"/>
      <c r="P22" s="2575"/>
      <c r="Q22" s="1736"/>
      <c r="R22" s="1736"/>
      <c r="S22" s="484"/>
      <c r="T22" s="484"/>
      <c r="U22" s="484"/>
    </row>
    <row r="23" spans="1:21" ht="39.75" customHeight="1">
      <c r="A23" s="3660" t="s">
        <v>2276</v>
      </c>
      <c r="B23" s="3660" t="s">
        <v>677</v>
      </c>
      <c r="C23" s="3660"/>
      <c r="D23" s="3660"/>
      <c r="E23" s="2196"/>
      <c r="F23" s="3657">
        <f>'20'!J34</f>
        <v>7359853</v>
      </c>
      <c r="G23" s="3657"/>
      <c r="H23" s="3657"/>
      <c r="I23" s="2233"/>
      <c r="J23" s="3657">
        <f t="shared" si="0"/>
        <v>7359853</v>
      </c>
      <c r="K23" s="3657"/>
      <c r="L23" s="3657"/>
      <c r="M23" s="2232"/>
      <c r="N23" s="2594">
        <v>0</v>
      </c>
      <c r="O23" s="2233"/>
      <c r="P23" s="2575"/>
      <c r="Q23" s="1736"/>
      <c r="R23" s="1736"/>
      <c r="S23" s="484"/>
      <c r="T23" s="484"/>
      <c r="U23" s="484"/>
    </row>
    <row r="24" spans="1:21" ht="39.75" customHeight="1">
      <c r="A24" s="3234"/>
      <c r="B24" s="3234" t="s">
        <v>2676</v>
      </c>
      <c r="C24" s="3234"/>
      <c r="D24" s="3234"/>
      <c r="E24" s="2196"/>
      <c r="F24" s="3657">
        <f>'20'!J32</f>
        <v>1968451</v>
      </c>
      <c r="G24" s="3657"/>
      <c r="H24" s="3657"/>
      <c r="I24" s="3233"/>
      <c r="J24" s="3657">
        <f>F24</f>
        <v>1968451</v>
      </c>
      <c r="K24" s="3657"/>
      <c r="L24" s="3657"/>
      <c r="M24" s="3232"/>
      <c r="N24" s="2594">
        <v>0</v>
      </c>
      <c r="O24" s="3233"/>
      <c r="P24" s="3232"/>
      <c r="Q24" s="1736"/>
      <c r="R24" s="1736"/>
      <c r="S24" s="484"/>
      <c r="T24" s="484"/>
      <c r="U24" s="484"/>
    </row>
    <row r="25" spans="1:21" ht="39.75" customHeight="1">
      <c r="A25" s="3660" t="s">
        <v>2516</v>
      </c>
      <c r="B25" s="3660"/>
      <c r="C25" s="3660"/>
      <c r="D25" s="3660"/>
      <c r="E25" s="2158"/>
      <c r="F25" s="3657">
        <f>'20'!J59</f>
        <v>584480</v>
      </c>
      <c r="G25" s="3657"/>
      <c r="H25" s="3657"/>
      <c r="I25" s="2233"/>
      <c r="J25" s="3657">
        <f>F25</f>
        <v>584480</v>
      </c>
      <c r="K25" s="3657"/>
      <c r="L25" s="3657"/>
      <c r="M25" s="2232"/>
      <c r="N25" s="2594">
        <v>0</v>
      </c>
      <c r="O25" s="2233"/>
      <c r="P25" s="2575"/>
      <c r="Q25" s="1736"/>
      <c r="R25" s="1736"/>
      <c r="S25" s="484"/>
      <c r="T25" s="484"/>
      <c r="U25" s="484"/>
    </row>
    <row r="26" spans="1:21" ht="45.75" customHeight="1">
      <c r="A26" s="3660" t="s">
        <v>2551</v>
      </c>
      <c r="B26" s="3660"/>
      <c r="C26" s="3660"/>
      <c r="D26" s="3660"/>
      <c r="E26" s="2201"/>
      <c r="F26" s="3657">
        <f>'20'!J35</f>
        <v>312</v>
      </c>
      <c r="G26" s="3657"/>
      <c r="H26" s="3657"/>
      <c r="I26" s="2233"/>
      <c r="J26" s="3657">
        <f t="shared" si="0"/>
        <v>312</v>
      </c>
      <c r="K26" s="3657"/>
      <c r="L26" s="3657"/>
      <c r="M26" s="2232"/>
      <c r="N26" s="2594">
        <v>0</v>
      </c>
      <c r="O26" s="2233"/>
      <c r="P26" s="2575"/>
      <c r="Q26" s="1736"/>
      <c r="R26" s="1736"/>
      <c r="S26" s="484"/>
      <c r="T26" s="484"/>
      <c r="U26" s="484"/>
    </row>
    <row r="27" spans="1:21" ht="45.75" customHeight="1">
      <c r="A27" s="3256"/>
      <c r="B27" s="3256" t="s">
        <v>2705</v>
      </c>
      <c r="C27" s="3256"/>
      <c r="D27" s="3256"/>
      <c r="E27" s="2201"/>
      <c r="F27" s="3657">
        <f>'20'!J57</f>
        <v>12285</v>
      </c>
      <c r="G27" s="3657"/>
      <c r="H27" s="3657"/>
      <c r="I27" s="3257"/>
      <c r="J27" s="3657">
        <f>F27</f>
        <v>12285</v>
      </c>
      <c r="K27" s="3657"/>
      <c r="L27" s="3657"/>
      <c r="M27" s="3255"/>
      <c r="N27" s="2594">
        <v>0</v>
      </c>
      <c r="O27" s="3257"/>
      <c r="P27" s="3255"/>
      <c r="Q27" s="1736"/>
      <c r="R27" s="1736"/>
      <c r="S27" s="484"/>
      <c r="T27" s="484"/>
      <c r="U27" s="484"/>
    </row>
    <row r="28" spans="1:21" ht="39.75" customHeight="1">
      <c r="A28" s="3660" t="s">
        <v>1935</v>
      </c>
      <c r="B28" s="3660"/>
      <c r="C28" s="3660"/>
      <c r="D28" s="3660"/>
      <c r="E28" s="2661"/>
      <c r="F28" s="3661">
        <f>'20'!J56+'20'!J58+'20'!J60+'20'!J47</f>
        <v>261884</v>
      </c>
      <c r="G28" s="3661"/>
      <c r="H28" s="3661"/>
      <c r="I28" s="2661"/>
      <c r="J28" s="3661">
        <f>F28</f>
        <v>261884</v>
      </c>
      <c r="K28" s="3661"/>
      <c r="L28" s="3661"/>
      <c r="M28" s="2659"/>
      <c r="N28" s="2594">
        <v>0</v>
      </c>
      <c r="O28" s="2661"/>
      <c r="P28" s="2660"/>
      <c r="Q28" s="2660"/>
      <c r="R28" s="2660"/>
      <c r="S28" s="484"/>
      <c r="T28" s="484"/>
      <c r="U28" s="484"/>
    </row>
    <row r="29" spans="1:21" ht="39.75" customHeight="1" thickBot="1">
      <c r="B29" s="3660" t="s">
        <v>679</v>
      </c>
      <c r="C29" s="3660"/>
      <c r="D29" s="3660"/>
      <c r="E29" s="1731"/>
      <c r="F29" s="3670">
        <f>SUM(F13:H28)</f>
        <v>25380953</v>
      </c>
      <c r="G29" s="3670"/>
      <c r="H29" s="3670"/>
      <c r="I29" s="1731"/>
      <c r="J29" s="3670">
        <f>F29</f>
        <v>25380953</v>
      </c>
      <c r="K29" s="3670"/>
      <c r="L29" s="3670"/>
      <c r="M29" s="2094"/>
      <c r="N29" s="2595">
        <v>0</v>
      </c>
      <c r="O29" s="1731"/>
      <c r="P29" s="2591"/>
      <c r="Q29" s="1735"/>
      <c r="R29" s="1735"/>
      <c r="S29" s="484"/>
      <c r="T29" s="484"/>
      <c r="U29" s="484"/>
    </row>
    <row r="30" spans="1:21" ht="50.25" hidden="1" customHeight="1">
      <c r="B30" s="3671" t="s">
        <v>679</v>
      </c>
      <c r="C30" s="3671"/>
      <c r="D30" s="3671"/>
      <c r="E30" s="1731"/>
      <c r="F30" s="3657">
        <f>SUM(F12:H29)</f>
        <v>50761906</v>
      </c>
      <c r="G30" s="3657"/>
      <c r="H30" s="3657"/>
      <c r="I30" s="1959"/>
      <c r="J30" s="3658" t="s">
        <v>712</v>
      </c>
      <c r="K30" s="3658"/>
      <c r="L30" s="3658"/>
      <c r="M30" s="2095"/>
      <c r="N30" s="2095"/>
      <c r="O30" s="1959"/>
      <c r="P30" s="1958" t="s">
        <v>712</v>
      </c>
      <c r="Q30" s="1735"/>
      <c r="R30" s="1735"/>
      <c r="S30" s="484"/>
      <c r="T30" s="484"/>
      <c r="U30" s="484"/>
    </row>
    <row r="31" spans="1:21" ht="258" customHeight="1" thickTop="1">
      <c r="B31" s="3672" t="s">
        <v>2337</v>
      </c>
      <c r="C31" s="3672"/>
      <c r="D31" s="3672"/>
      <c r="E31" s="3672"/>
      <c r="F31" s="3672"/>
      <c r="G31" s="3672"/>
      <c r="H31" s="3672"/>
      <c r="I31" s="3672"/>
      <c r="J31" s="3672"/>
      <c r="K31" s="3672"/>
      <c r="L31" s="3672"/>
      <c r="M31" s="3672"/>
      <c r="N31" s="3672"/>
      <c r="O31" s="3672"/>
      <c r="P31" s="3672"/>
      <c r="Q31" s="495"/>
      <c r="R31" s="495"/>
      <c r="S31" s="495"/>
      <c r="T31" s="495"/>
      <c r="U31" s="495"/>
    </row>
    <row r="32" spans="1:21" ht="37.5" customHeight="1">
      <c r="B32" s="1731"/>
      <c r="C32" s="1731"/>
      <c r="D32" s="1731"/>
      <c r="E32" s="1731"/>
      <c r="F32" s="1731"/>
      <c r="G32" s="1731"/>
      <c r="I32" s="1510"/>
      <c r="J32" s="1510"/>
      <c r="K32" s="1731"/>
      <c r="L32" s="1510"/>
      <c r="M32" s="1510"/>
      <c r="N32" s="1510"/>
      <c r="O32" s="1510"/>
      <c r="P32" s="1732" t="s">
        <v>1879</v>
      </c>
      <c r="Q32" s="495"/>
      <c r="R32" s="495"/>
      <c r="S32" s="495"/>
      <c r="T32" s="495"/>
      <c r="U32" s="495"/>
    </row>
    <row r="33" spans="1:21" s="258" customFormat="1" ht="51" customHeight="1">
      <c r="A33" s="1467"/>
      <c r="B33" s="3673" t="str">
        <f>mafrozat!A8</f>
        <v>1402/12/29</v>
      </c>
      <c r="C33" s="3673"/>
      <c r="D33" s="3673"/>
      <c r="E33" s="1469"/>
      <c r="F33" s="3673" t="s">
        <v>1910</v>
      </c>
      <c r="G33" s="3673"/>
      <c r="H33" s="3673"/>
      <c r="I33" s="1469"/>
      <c r="J33" s="3673" t="s">
        <v>1911</v>
      </c>
      <c r="K33" s="3673"/>
      <c r="L33" s="3673"/>
      <c r="M33" s="2103"/>
      <c r="N33" s="2093" t="s">
        <v>2287</v>
      </c>
      <c r="O33" s="1469"/>
      <c r="P33" s="1468" t="s">
        <v>679</v>
      </c>
      <c r="Q33" s="1470"/>
      <c r="R33" s="1470"/>
      <c r="S33" s="1470"/>
      <c r="T33" s="1470"/>
      <c r="U33" s="1470"/>
    </row>
    <row r="34" spans="1:21" ht="38.25" customHeight="1">
      <c r="A34" s="970" t="s">
        <v>2064</v>
      </c>
      <c r="B34" s="3675" t="s">
        <v>2314</v>
      </c>
      <c r="C34" s="3675"/>
      <c r="D34" s="3675"/>
      <c r="E34" s="1471"/>
      <c r="F34" s="3657">
        <f>'24'!P32</f>
        <v>24723338</v>
      </c>
      <c r="G34" s="3657"/>
      <c r="H34" s="3657"/>
      <c r="I34" s="1471"/>
      <c r="J34" s="3658" t="s">
        <v>712</v>
      </c>
      <c r="K34" s="3658"/>
      <c r="L34" s="3658"/>
      <c r="M34" s="2095"/>
      <c r="N34" s="1733"/>
      <c r="O34" s="1471"/>
      <c r="P34" s="1733">
        <f>F34</f>
        <v>24723338</v>
      </c>
      <c r="Q34" s="495"/>
      <c r="R34" s="484"/>
      <c r="S34" s="484"/>
      <c r="T34" s="484"/>
      <c r="U34" s="484"/>
    </row>
    <row r="35" spans="1:21" ht="38.25" customHeight="1">
      <c r="B35" s="3675" t="s">
        <v>1891</v>
      </c>
      <c r="C35" s="3675"/>
      <c r="D35" s="3675"/>
      <c r="E35" s="1471"/>
      <c r="F35" s="3657">
        <f>'24'!P46</f>
        <v>22011623</v>
      </c>
      <c r="G35" s="3657"/>
      <c r="H35" s="3657"/>
      <c r="I35" s="1471"/>
      <c r="J35" s="3658" t="s">
        <v>712</v>
      </c>
      <c r="K35" s="3658"/>
      <c r="L35" s="3658"/>
      <c r="M35" s="2094"/>
      <c r="N35" s="2985" t="s">
        <v>712</v>
      </c>
      <c r="O35" s="1471"/>
      <c r="P35" s="1733">
        <f>F35</f>
        <v>22011623</v>
      </c>
      <c r="Q35" s="495"/>
      <c r="R35" s="495"/>
      <c r="S35" s="802"/>
      <c r="T35" s="802"/>
      <c r="U35" s="802"/>
    </row>
    <row r="36" spans="1:21" ht="38.25" customHeight="1">
      <c r="A36" s="970"/>
      <c r="B36" s="3675" t="s">
        <v>2289</v>
      </c>
      <c r="C36" s="3675"/>
      <c r="D36" s="3675"/>
      <c r="E36" s="1471"/>
      <c r="F36" s="3657">
        <v>0</v>
      </c>
      <c r="G36" s="3657"/>
      <c r="H36" s="3657"/>
      <c r="I36" s="1471"/>
      <c r="J36" s="3658" t="s">
        <v>712</v>
      </c>
      <c r="K36" s="3658"/>
      <c r="L36" s="3658"/>
      <c r="M36" s="2095"/>
      <c r="N36" s="1733">
        <f>'27'!E14</f>
        <v>96430308</v>
      </c>
      <c r="O36" s="1471"/>
      <c r="P36" s="1733">
        <f>'27'!E14</f>
        <v>96430308</v>
      </c>
      <c r="Q36" s="495"/>
      <c r="R36" s="484"/>
      <c r="S36" s="484"/>
      <c r="T36" s="484"/>
      <c r="U36" s="484"/>
    </row>
    <row r="37" spans="1:21" ht="38.25" customHeight="1">
      <c r="A37" s="970"/>
      <c r="B37" s="3675" t="s">
        <v>2286</v>
      </c>
      <c r="C37" s="3675"/>
      <c r="D37" s="3675"/>
      <c r="E37" s="1471"/>
      <c r="F37" s="3657">
        <f>'28'!T20</f>
        <v>1586254</v>
      </c>
      <c r="G37" s="3657"/>
      <c r="H37" s="3657"/>
      <c r="I37" s="1471"/>
      <c r="J37" s="3658" t="s">
        <v>712</v>
      </c>
      <c r="K37" s="3658"/>
      <c r="L37" s="3658"/>
      <c r="M37" s="2095"/>
      <c r="N37" s="2095" t="s">
        <v>712</v>
      </c>
      <c r="O37" s="1471"/>
      <c r="P37" s="1733">
        <f>F37</f>
        <v>1586254</v>
      </c>
      <c r="Q37" s="495"/>
      <c r="R37" s="484"/>
      <c r="S37" s="484"/>
      <c r="T37" s="484"/>
      <c r="U37" s="484"/>
    </row>
    <row r="38" spans="1:21" ht="38.25" hidden="1" customHeight="1">
      <c r="B38" s="3677"/>
      <c r="C38" s="3677"/>
      <c r="D38" s="3677"/>
      <c r="E38" s="1471"/>
      <c r="F38" s="3661"/>
      <c r="G38" s="3661"/>
      <c r="H38" s="3661"/>
      <c r="I38" s="1471"/>
      <c r="J38" s="3658" t="s">
        <v>712</v>
      </c>
      <c r="K38" s="3658"/>
      <c r="L38" s="3658"/>
      <c r="M38" s="2095"/>
      <c r="N38" s="2095"/>
      <c r="O38" s="1471"/>
      <c r="P38" s="1733"/>
      <c r="Q38" s="495"/>
      <c r="R38" s="484"/>
      <c r="S38" s="484"/>
      <c r="T38" s="484"/>
      <c r="U38" s="484"/>
    </row>
    <row r="39" spans="1:21" ht="38.25" customHeight="1" thickBot="1">
      <c r="B39" s="3674" t="s">
        <v>679</v>
      </c>
      <c r="C39" s="3674"/>
      <c r="D39" s="3674"/>
      <c r="E39" s="1471"/>
      <c r="F39" s="3674">
        <f>SUM(F34:H38)</f>
        <v>48321215</v>
      </c>
      <c r="G39" s="3674"/>
      <c r="H39" s="3674"/>
      <c r="I39" s="1471"/>
      <c r="J39" s="3676" t="s">
        <v>712</v>
      </c>
      <c r="K39" s="3676"/>
      <c r="L39" s="3676"/>
      <c r="M39" s="2094"/>
      <c r="N39" s="1734">
        <f>SUM(N36:N38)</f>
        <v>96430308</v>
      </c>
      <c r="O39" s="1471"/>
      <c r="P39" s="1734">
        <f>'24'!P32+'24'!P46+'28'!T20+'27'!E14</f>
        <v>144751523</v>
      </c>
      <c r="Q39" s="495"/>
      <c r="R39" s="484"/>
      <c r="S39" s="484"/>
      <c r="T39" s="484"/>
      <c r="U39" s="484"/>
    </row>
    <row r="40" spans="1:21" ht="12" customHeight="1" thickTop="1">
      <c r="C40" s="928"/>
      <c r="D40" s="948"/>
      <c r="E40" s="948"/>
      <c r="F40" s="948"/>
      <c r="G40" s="948"/>
      <c r="H40" s="495"/>
      <c r="I40" s="1715"/>
      <c r="J40" s="1715"/>
      <c r="K40" s="1715"/>
      <c r="L40" s="1715"/>
      <c r="M40" s="1715"/>
      <c r="N40" s="1715"/>
      <c r="O40" s="929"/>
      <c r="P40" s="930"/>
      <c r="Q40" s="495"/>
      <c r="R40" s="484"/>
      <c r="S40" s="484"/>
      <c r="T40" s="484"/>
      <c r="U40" s="484"/>
    </row>
    <row r="41" spans="1:21" ht="12" customHeight="1">
      <c r="B41" s="495"/>
      <c r="C41" s="928"/>
      <c r="D41" s="948"/>
      <c r="E41" s="948"/>
      <c r="F41" s="948"/>
      <c r="G41" s="948"/>
      <c r="H41" s="1715"/>
      <c r="I41" s="1715"/>
      <c r="J41" s="1715"/>
      <c r="K41" s="1715"/>
      <c r="L41" s="1715"/>
      <c r="M41" s="1715"/>
      <c r="N41" s="1715"/>
      <c r="O41" s="929"/>
      <c r="P41" s="930"/>
      <c r="Q41" s="495"/>
      <c r="R41" s="484"/>
      <c r="S41" s="484"/>
      <c r="T41" s="484"/>
      <c r="U41" s="484"/>
    </row>
    <row r="42" spans="1:21" ht="106.5" customHeight="1">
      <c r="B42" s="495"/>
      <c r="C42" s="928"/>
      <c r="D42" s="948"/>
      <c r="E42" s="948"/>
      <c r="F42" s="948"/>
      <c r="G42" s="948"/>
      <c r="H42" s="929"/>
      <c r="I42" s="929"/>
      <c r="J42" s="929"/>
      <c r="K42" s="929"/>
      <c r="L42" s="929"/>
      <c r="M42" s="929"/>
      <c r="N42" s="929"/>
      <c r="O42" s="929"/>
      <c r="P42" s="930"/>
      <c r="Q42" s="495"/>
      <c r="R42" s="484"/>
      <c r="S42" s="484"/>
      <c r="T42" s="484"/>
      <c r="U42" s="484"/>
    </row>
    <row r="43" spans="1:21" ht="43.5" customHeight="1">
      <c r="A43" s="3532">
        <v>31</v>
      </c>
      <c r="B43" s="3532"/>
      <c r="C43" s="3532"/>
      <c r="D43" s="3532"/>
      <c r="E43" s="3532"/>
      <c r="F43" s="3532"/>
      <c r="G43" s="3532"/>
      <c r="H43" s="3532"/>
      <c r="I43" s="3532"/>
      <c r="J43" s="3532"/>
      <c r="K43" s="3532"/>
      <c r="L43" s="3532"/>
      <c r="M43" s="3532"/>
      <c r="N43" s="3532"/>
      <c r="O43" s="3532"/>
      <c r="P43" s="3532"/>
      <c r="Q43" s="3532"/>
    </row>
  </sheetData>
  <mergeCells count="91">
    <mergeCell ref="F19:H19"/>
    <mergeCell ref="J15:L15"/>
    <mergeCell ref="J16:L16"/>
    <mergeCell ref="J17:L17"/>
    <mergeCell ref="J18:L18"/>
    <mergeCell ref="J19:L19"/>
    <mergeCell ref="F37:H37"/>
    <mergeCell ref="J37:L37"/>
    <mergeCell ref="B36:D36"/>
    <mergeCell ref="F36:H36"/>
    <mergeCell ref="J36:L36"/>
    <mergeCell ref="A43:Q43"/>
    <mergeCell ref="F33:H33"/>
    <mergeCell ref="F34:H34"/>
    <mergeCell ref="F35:H35"/>
    <mergeCell ref="F38:H38"/>
    <mergeCell ref="F39:H39"/>
    <mergeCell ref="J33:L33"/>
    <mergeCell ref="B34:D34"/>
    <mergeCell ref="J34:L34"/>
    <mergeCell ref="J35:L35"/>
    <mergeCell ref="J38:L38"/>
    <mergeCell ref="J39:L39"/>
    <mergeCell ref="B35:D35"/>
    <mergeCell ref="B38:D38"/>
    <mergeCell ref="B39:D39"/>
    <mergeCell ref="B37:D37"/>
    <mergeCell ref="B30:D30"/>
    <mergeCell ref="F30:H30"/>
    <mergeCell ref="J30:L30"/>
    <mergeCell ref="B31:P31"/>
    <mergeCell ref="B33:D33"/>
    <mergeCell ref="B29:D29"/>
    <mergeCell ref="F29:H29"/>
    <mergeCell ref="J29:L29"/>
    <mergeCell ref="F13:H13"/>
    <mergeCell ref="J13:L13"/>
    <mergeCell ref="A22:D22"/>
    <mergeCell ref="A23:D23"/>
    <mergeCell ref="A26:D26"/>
    <mergeCell ref="J22:L22"/>
    <mergeCell ref="J23:L23"/>
    <mergeCell ref="J26:L26"/>
    <mergeCell ref="J25:L25"/>
    <mergeCell ref="A25:D25"/>
    <mergeCell ref="A13:D13"/>
    <mergeCell ref="J20:L20"/>
    <mergeCell ref="A20:D20"/>
    <mergeCell ref="B7:P7"/>
    <mergeCell ref="A1:Q1"/>
    <mergeCell ref="A2:Q2"/>
    <mergeCell ref="A3:Q3"/>
    <mergeCell ref="C5:D5"/>
    <mergeCell ref="B6:P6"/>
    <mergeCell ref="B8:P8"/>
    <mergeCell ref="B10:D10"/>
    <mergeCell ref="F10:H10"/>
    <mergeCell ref="J10:L10"/>
    <mergeCell ref="B11:D11"/>
    <mergeCell ref="F11:H11"/>
    <mergeCell ref="J11:L11"/>
    <mergeCell ref="A28:D28"/>
    <mergeCell ref="J21:L21"/>
    <mergeCell ref="A21:D21"/>
    <mergeCell ref="F28:H28"/>
    <mergeCell ref="J28:L28"/>
    <mergeCell ref="F21:H21"/>
    <mergeCell ref="F22:H22"/>
    <mergeCell ref="F23:H23"/>
    <mergeCell ref="F26:H26"/>
    <mergeCell ref="F25:H25"/>
    <mergeCell ref="F24:H24"/>
    <mergeCell ref="F27:H27"/>
    <mergeCell ref="J24:L24"/>
    <mergeCell ref="J27:L27"/>
    <mergeCell ref="F20:H20"/>
    <mergeCell ref="J12:L12"/>
    <mergeCell ref="B12:D12"/>
    <mergeCell ref="F14:H14"/>
    <mergeCell ref="F12:H12"/>
    <mergeCell ref="J14:L14"/>
    <mergeCell ref="A14:D14"/>
    <mergeCell ref="A15:D15"/>
    <mergeCell ref="A16:D16"/>
    <mergeCell ref="A17:D17"/>
    <mergeCell ref="A18:D18"/>
    <mergeCell ref="A19:D19"/>
    <mergeCell ref="F15:H15"/>
    <mergeCell ref="F16:H16"/>
    <mergeCell ref="F17:H17"/>
    <mergeCell ref="F18:H18"/>
  </mergeCells>
  <printOptions horizontalCentered="1"/>
  <pageMargins left="0.3" right="0.4" top="0.39370078740157499" bottom="0" header="0.27559055118110198" footer="0.19"/>
  <pageSetup paperSize="9" scale="3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T47"/>
  <sheetViews>
    <sheetView rightToLeft="1" view="pageBreakPreview" topLeftCell="A10" zoomScale="70" zoomScaleNormal="60" zoomScaleSheetLayoutView="70" workbookViewId="0">
      <selection activeCell="H42" sqref="H42"/>
    </sheetView>
  </sheetViews>
  <sheetFormatPr defaultColWidth="11" defaultRowHeight="21"/>
  <cols>
    <col min="1" max="1" width="6.5" style="820" customWidth="1"/>
    <col min="2" max="2" width="8.75" style="820" customWidth="1"/>
    <col min="3" max="3" width="8" style="250" customWidth="1"/>
    <col min="4" max="5" width="21.75" style="250" customWidth="1"/>
    <col min="6" max="6" width="30" style="250" customWidth="1"/>
    <col min="7" max="7" width="6.25" style="250" customWidth="1"/>
    <col min="8" max="8" width="16.375" style="250" customWidth="1"/>
    <col min="9" max="9" width="4.25" style="250" customWidth="1"/>
    <col min="10" max="10" width="19.125" style="250" customWidth="1"/>
    <col min="11" max="11" width="4.75" style="250" customWidth="1"/>
    <col min="12" max="12" width="18.625" style="250" customWidth="1"/>
    <col min="13" max="13" width="2.5" style="250" customWidth="1"/>
    <col min="14" max="14" width="18.625" style="250" customWidth="1"/>
    <col min="15" max="15" width="2.375" style="250" customWidth="1"/>
    <col min="16" max="16" width="11" style="250"/>
    <col min="17" max="17" width="24.375" style="250" customWidth="1"/>
    <col min="18" max="16384" width="11" style="250"/>
  </cols>
  <sheetData>
    <row r="1" spans="1:18" ht="33" customHeight="1">
      <c r="A1" s="3679" t="s">
        <v>612</v>
      </c>
      <c r="B1" s="3679"/>
      <c r="C1" s="3679"/>
      <c r="D1" s="3679"/>
      <c r="E1" s="3679"/>
      <c r="F1" s="3679"/>
      <c r="G1" s="3679"/>
      <c r="H1" s="3679"/>
      <c r="I1" s="3679"/>
      <c r="J1" s="3679"/>
      <c r="K1" s="3679"/>
      <c r="L1" s="3679"/>
      <c r="M1" s="3679"/>
      <c r="N1" s="3679"/>
      <c r="O1" s="3679"/>
      <c r="P1" s="3679"/>
      <c r="Q1" s="484"/>
      <c r="R1" s="484"/>
    </row>
    <row r="2" spans="1:18" ht="35.25" customHeight="1">
      <c r="A2" s="3679" t="s">
        <v>1489</v>
      </c>
      <c r="B2" s="3679"/>
      <c r="C2" s="3679"/>
      <c r="D2" s="3679"/>
      <c r="E2" s="3679"/>
      <c r="F2" s="3679"/>
      <c r="G2" s="3679"/>
      <c r="H2" s="3679"/>
      <c r="I2" s="3679"/>
      <c r="J2" s="3679"/>
      <c r="K2" s="3679"/>
      <c r="L2" s="3679"/>
      <c r="M2" s="3679"/>
      <c r="N2" s="3679"/>
      <c r="O2" s="3679"/>
      <c r="P2" s="3679"/>
      <c r="Q2" s="484"/>
      <c r="R2" s="484"/>
    </row>
    <row r="3" spans="1:18" ht="35.25" customHeight="1">
      <c r="A3" s="3679" t="str">
        <f>mafrozat!A3</f>
        <v xml:space="preserve"> سال مالي منتهي به 29 اسفند 1402</v>
      </c>
      <c r="B3" s="3679"/>
      <c r="C3" s="3679"/>
      <c r="D3" s="3679"/>
      <c r="E3" s="3679"/>
      <c r="F3" s="3679"/>
      <c r="G3" s="3679"/>
      <c r="H3" s="3679"/>
      <c r="I3" s="3679"/>
      <c r="J3" s="3679"/>
      <c r="K3" s="3679"/>
      <c r="L3" s="3679"/>
      <c r="M3" s="3679"/>
      <c r="N3" s="3679"/>
      <c r="O3" s="3679"/>
      <c r="P3" s="3679"/>
      <c r="Q3" s="484"/>
      <c r="R3" s="484"/>
    </row>
    <row r="4" spans="1:18" ht="35.25" customHeight="1">
      <c r="A4" s="2006"/>
      <c r="B4" s="2006"/>
      <c r="C4" s="2006"/>
      <c r="D4" s="2006"/>
      <c r="E4" s="2665"/>
      <c r="F4" s="2006"/>
      <c r="G4" s="2665"/>
      <c r="H4" s="2006"/>
      <c r="I4" s="2006"/>
      <c r="J4" s="2006"/>
      <c r="K4" s="2006"/>
      <c r="L4" s="2006"/>
      <c r="M4" s="2006"/>
      <c r="N4" s="2006"/>
      <c r="O4" s="2006"/>
      <c r="P4" s="2006"/>
      <c r="Q4" s="484"/>
      <c r="R4" s="484"/>
    </row>
    <row r="5" spans="1:18" ht="35.25" customHeight="1">
      <c r="A5" s="2006"/>
      <c r="B5" s="2008"/>
      <c r="C5" s="2008"/>
      <c r="D5" s="2008"/>
      <c r="E5" s="2008"/>
      <c r="F5" s="2008"/>
      <c r="G5" s="2008"/>
      <c r="H5" s="2008"/>
      <c r="I5" s="2008"/>
      <c r="J5" s="2008"/>
      <c r="K5" s="2008"/>
      <c r="L5" s="2008"/>
      <c r="M5" s="2008"/>
      <c r="N5" s="2008"/>
      <c r="O5" s="2006"/>
      <c r="P5" s="2006"/>
      <c r="Q5" s="484"/>
      <c r="R5" s="484"/>
    </row>
    <row r="6" spans="1:18" ht="35.25" customHeight="1">
      <c r="A6" s="2006"/>
      <c r="B6" s="2008" t="s">
        <v>2338</v>
      </c>
      <c r="C6" s="3683" t="s">
        <v>2199</v>
      </c>
      <c r="D6" s="3683"/>
      <c r="E6" s="2666"/>
      <c r="F6" s="2008"/>
      <c r="G6" s="2008"/>
      <c r="H6" s="2120" t="s">
        <v>2187</v>
      </c>
      <c r="I6" s="2112"/>
      <c r="J6" s="2120" t="s">
        <v>2316</v>
      </c>
      <c r="K6" s="2112"/>
      <c r="L6" s="2120" t="s">
        <v>2315</v>
      </c>
      <c r="M6" s="2008"/>
      <c r="N6" s="2008"/>
      <c r="O6" s="2006"/>
      <c r="P6" s="2006"/>
      <c r="Q6" s="2119"/>
      <c r="R6" s="484"/>
    </row>
    <row r="7" spans="1:18" ht="35.25" customHeight="1">
      <c r="A7" s="2108"/>
      <c r="B7" s="2008"/>
      <c r="C7" s="2118" t="s">
        <v>1805</v>
      </c>
      <c r="D7" s="2118"/>
      <c r="E7" s="2118"/>
      <c r="F7" s="2008"/>
      <c r="G7" s="2008"/>
      <c r="H7" s="2596" t="s">
        <v>2624</v>
      </c>
      <c r="I7" s="2113"/>
      <c r="J7" s="2115">
        <v>1409224</v>
      </c>
      <c r="K7" s="2113"/>
      <c r="L7" s="2115">
        <v>0</v>
      </c>
      <c r="M7" s="2008"/>
      <c r="N7" s="2008"/>
      <c r="O7" s="2108"/>
      <c r="P7" s="2108"/>
      <c r="Q7" s="484"/>
      <c r="R7" s="484"/>
    </row>
    <row r="8" spans="1:18" ht="35.25" customHeight="1">
      <c r="A8" s="2108"/>
      <c r="B8" s="2008"/>
      <c r="C8" s="2116" t="s">
        <v>2318</v>
      </c>
      <c r="D8" s="2116"/>
      <c r="E8" s="2116"/>
      <c r="F8" s="2114"/>
      <c r="G8" s="2114"/>
      <c r="H8" s="930"/>
      <c r="I8" s="2113"/>
      <c r="J8" s="2115">
        <f>J7</f>
        <v>1409224</v>
      </c>
      <c r="K8" s="2113"/>
      <c r="L8" s="2115">
        <v>0</v>
      </c>
      <c r="M8" s="2008"/>
      <c r="N8" s="2008"/>
      <c r="O8" s="2108"/>
      <c r="P8" s="2108"/>
      <c r="Q8" s="484"/>
      <c r="R8" s="484"/>
    </row>
    <row r="9" spans="1:18" ht="35.25" customHeight="1">
      <c r="A9" s="2108"/>
      <c r="B9" s="2008"/>
      <c r="C9" s="2118" t="s">
        <v>2317</v>
      </c>
      <c r="D9" s="2118"/>
      <c r="E9" s="2118"/>
      <c r="F9" s="2111"/>
      <c r="G9" s="2111"/>
      <c r="H9" s="2684" t="s">
        <v>2612</v>
      </c>
      <c r="I9" s="2113"/>
      <c r="J9" s="2115">
        <v>-3751802</v>
      </c>
      <c r="K9" s="2113"/>
      <c r="L9" s="2115">
        <v>-4923278</v>
      </c>
      <c r="M9" s="2008"/>
      <c r="N9" s="2008"/>
      <c r="O9" s="2108"/>
      <c r="P9" s="2108"/>
      <c r="Q9" s="484"/>
      <c r="R9" s="484"/>
    </row>
    <row r="10" spans="1:18" ht="35.25" customHeight="1">
      <c r="A10" s="2108"/>
      <c r="B10" s="2008"/>
      <c r="C10" s="2117" t="s">
        <v>2319</v>
      </c>
      <c r="D10" s="2117"/>
      <c r="E10" s="2117"/>
      <c r="F10" s="2114"/>
      <c r="G10" s="2114"/>
      <c r="H10" s="930"/>
      <c r="I10" s="2113"/>
      <c r="J10" s="2115">
        <f>J9</f>
        <v>-3751802</v>
      </c>
      <c r="K10" s="2113"/>
      <c r="L10" s="2115">
        <f>L9</f>
        <v>-4923278</v>
      </c>
      <c r="M10" s="2008"/>
      <c r="N10" s="2008"/>
      <c r="O10" s="2108"/>
      <c r="P10" s="2108"/>
      <c r="Q10" s="484"/>
      <c r="R10" s="484"/>
    </row>
    <row r="11" spans="1:18" ht="35.25" customHeight="1" thickBot="1">
      <c r="A11" s="2108"/>
      <c r="B11" s="2008"/>
      <c r="C11" s="2118" t="s">
        <v>2320</v>
      </c>
      <c r="D11" s="2118"/>
      <c r="E11" s="2118"/>
      <c r="F11" s="2008"/>
      <c r="G11" s="2008"/>
      <c r="H11" s="2008"/>
      <c r="I11" s="2008"/>
      <c r="J11" s="2121">
        <f>J8+J10</f>
        <v>-2342578</v>
      </c>
      <c r="K11" s="2008"/>
      <c r="L11" s="2121">
        <f>L10</f>
        <v>-4923278</v>
      </c>
      <c r="M11" s="2008"/>
      <c r="N11" s="2008"/>
      <c r="O11" s="2108"/>
      <c r="P11" s="2108"/>
      <c r="Q11" s="484"/>
      <c r="R11" s="484"/>
    </row>
    <row r="12" spans="1:18" ht="35.25" customHeight="1" thickTop="1" thickBot="1">
      <c r="A12" s="2108"/>
      <c r="B12" s="2008"/>
      <c r="C12" s="2118" t="s">
        <v>2758</v>
      </c>
      <c r="D12" s="2118"/>
      <c r="E12" s="2118"/>
      <c r="F12" s="2008"/>
      <c r="G12" s="2008"/>
      <c r="H12" s="2008"/>
      <c r="I12" s="2008"/>
      <c r="J12" s="2122">
        <f>J11</f>
        <v>-2342578</v>
      </c>
      <c r="K12" s="2008"/>
      <c r="L12" s="2122">
        <f>L11</f>
        <v>-4923278</v>
      </c>
      <c r="M12" s="2008"/>
      <c r="N12" s="2008"/>
      <c r="O12" s="2108"/>
      <c r="P12" s="2108"/>
      <c r="Q12" s="484"/>
      <c r="R12" s="484"/>
    </row>
    <row r="13" spans="1:18" ht="35.25" customHeight="1" thickTop="1" thickBot="1">
      <c r="A13" s="2108"/>
      <c r="B13" s="2008"/>
      <c r="C13" s="2118" t="s">
        <v>2321</v>
      </c>
      <c r="D13" s="2118"/>
      <c r="E13" s="2118"/>
      <c r="F13" s="2008"/>
      <c r="G13" s="2008"/>
      <c r="H13" s="2008"/>
      <c r="I13" s="2008"/>
      <c r="J13" s="2122">
        <v>-1624445</v>
      </c>
      <c r="K13" s="2008"/>
      <c r="L13" s="2122">
        <v>-798873</v>
      </c>
      <c r="M13" s="2008"/>
      <c r="N13" s="2008"/>
      <c r="O13" s="2108"/>
      <c r="P13" s="2108"/>
      <c r="Q13" s="484"/>
      <c r="R13" s="484"/>
    </row>
    <row r="14" spans="1:18" ht="40.5" customHeight="1" thickTop="1" thickBot="1">
      <c r="A14" s="2108"/>
      <c r="B14" s="2008"/>
      <c r="C14" s="2118" t="s">
        <v>2759</v>
      </c>
      <c r="D14" s="2118"/>
      <c r="E14" s="2118"/>
      <c r="F14" s="2008"/>
      <c r="G14" s="2008"/>
      <c r="H14" s="2008"/>
      <c r="I14" s="2008"/>
      <c r="J14" s="2122">
        <v>214179</v>
      </c>
      <c r="K14" s="2008"/>
      <c r="L14" s="2122">
        <v>-382861</v>
      </c>
      <c r="M14" s="2008"/>
      <c r="N14" s="2008"/>
      <c r="O14" s="2108"/>
      <c r="P14" s="2108"/>
      <c r="Q14" s="484"/>
      <c r="R14" s="484"/>
    </row>
    <row r="15" spans="1:18" ht="74.25" customHeight="1" thickTop="1">
      <c r="B15" s="2110"/>
      <c r="C15" s="3681"/>
      <c r="D15" s="3682"/>
      <c r="E15" s="3682"/>
      <c r="F15" s="3682"/>
      <c r="G15" s="3682"/>
      <c r="H15" s="3682"/>
      <c r="I15" s="3682"/>
      <c r="J15" s="3682"/>
      <c r="K15" s="3682"/>
      <c r="L15" s="3682"/>
      <c r="M15" s="3682"/>
      <c r="N15" s="3682"/>
      <c r="O15" s="484"/>
      <c r="P15" s="484"/>
      <c r="Q15" s="484" t="e">
        <f>'15'!#REF!</f>
        <v>#REF!</v>
      </c>
      <c r="R15" s="484"/>
    </row>
    <row r="16" spans="1:18" ht="32.25" customHeight="1">
      <c r="C16" s="485"/>
      <c r="D16" s="485"/>
      <c r="E16" s="485"/>
      <c r="F16" s="485"/>
      <c r="G16" s="485"/>
      <c r="H16" s="485"/>
      <c r="I16" s="485"/>
      <c r="J16" s="485"/>
      <c r="K16" s="485"/>
      <c r="L16" s="485"/>
      <c r="M16" s="485"/>
      <c r="N16" s="485"/>
      <c r="O16" s="484"/>
      <c r="P16" s="484"/>
      <c r="Q16" s="484"/>
      <c r="R16" s="484"/>
    </row>
    <row r="17" spans="2:20" ht="32.25" customHeight="1">
      <c r="B17" s="673">
        <v>-25</v>
      </c>
      <c r="C17" s="486" t="s">
        <v>1512</v>
      </c>
      <c r="D17" s="484"/>
      <c r="E17" s="484"/>
      <c r="F17" s="487"/>
      <c r="G17" s="487"/>
      <c r="H17" s="487"/>
      <c r="I17" s="487"/>
      <c r="J17" s="487"/>
      <c r="K17" s="487"/>
      <c r="L17" s="484"/>
      <c r="M17" s="484"/>
      <c r="N17" s="484"/>
      <c r="O17" s="484"/>
      <c r="P17" s="484"/>
      <c r="Q17" s="484"/>
      <c r="R17" s="484"/>
    </row>
    <row r="18" spans="2:20" ht="12" customHeight="1">
      <c r="B18" s="1124"/>
      <c r="C18" s="486"/>
      <c r="D18" s="484"/>
      <c r="E18" s="484"/>
      <c r="F18" s="487"/>
      <c r="G18" s="487"/>
      <c r="H18" s="487"/>
      <c r="I18" s="487"/>
      <c r="J18" s="487"/>
      <c r="K18" s="487"/>
      <c r="L18" s="484"/>
      <c r="M18" s="484"/>
      <c r="N18" s="484"/>
      <c r="O18" s="484"/>
      <c r="P18" s="484"/>
      <c r="Q18" s="484"/>
      <c r="R18" s="484"/>
    </row>
    <row r="19" spans="2:20" ht="30.75" customHeight="1">
      <c r="C19" s="782" t="s">
        <v>2200</v>
      </c>
      <c r="D19" s="927" t="s">
        <v>1933</v>
      </c>
      <c r="E19" s="927"/>
      <c r="F19" s="490"/>
      <c r="G19" s="490"/>
      <c r="H19" s="490"/>
      <c r="I19" s="490"/>
      <c r="J19" s="490"/>
      <c r="K19" s="490"/>
      <c r="O19" s="484"/>
      <c r="P19" s="484"/>
      <c r="Q19" s="484"/>
      <c r="R19" s="484"/>
    </row>
    <row r="20" spans="2:20" ht="30.75" customHeight="1">
      <c r="C20" s="782"/>
      <c r="D20" s="927"/>
      <c r="E20" s="927"/>
      <c r="F20" s="490"/>
      <c r="G20" s="490"/>
      <c r="H20" s="490"/>
      <c r="I20" s="490"/>
      <c r="J20" s="3684" t="s">
        <v>1879</v>
      </c>
      <c r="K20" s="3684"/>
      <c r="L20" s="3684"/>
      <c r="M20" s="3684"/>
      <c r="N20" s="3135"/>
      <c r="O20" s="484"/>
      <c r="P20" s="484"/>
      <c r="Q20" s="484"/>
      <c r="R20" s="484"/>
    </row>
    <row r="21" spans="2:20" ht="30.75" customHeight="1">
      <c r="C21" s="782"/>
      <c r="D21" s="927"/>
      <c r="E21" s="927"/>
      <c r="F21" s="490"/>
      <c r="G21" s="490"/>
      <c r="H21" s="490"/>
      <c r="I21" s="490"/>
      <c r="J21" s="2679">
        <v>1402</v>
      </c>
      <c r="K21" s="2677"/>
      <c r="L21" s="1072">
        <v>1401</v>
      </c>
      <c r="O21" s="484"/>
      <c r="P21" s="484"/>
      <c r="Q21" s="484"/>
      <c r="R21" s="484"/>
    </row>
    <row r="22" spans="2:20" ht="45" customHeight="1">
      <c r="C22" s="782"/>
      <c r="D22" s="489"/>
      <c r="E22" s="489"/>
      <c r="F22" s="2678"/>
      <c r="G22" s="2676"/>
      <c r="H22" s="489"/>
      <c r="I22" s="2678"/>
      <c r="J22" s="1072" t="s">
        <v>2456</v>
      </c>
      <c r="K22" s="490"/>
      <c r="L22" s="1072" t="s">
        <v>2456</v>
      </c>
      <c r="O22" s="491"/>
      <c r="Q22" s="484"/>
      <c r="R22" s="484"/>
      <c r="S22" s="484"/>
      <c r="T22" s="484"/>
    </row>
    <row r="23" spans="2:20" ht="24" customHeight="1">
      <c r="C23" s="492"/>
      <c r="D23" s="493"/>
      <c r="E23" s="493"/>
      <c r="F23" s="492"/>
      <c r="G23" s="492"/>
      <c r="H23" s="494"/>
      <c r="I23" s="494"/>
      <c r="J23" s="494"/>
      <c r="K23" s="494"/>
      <c r="L23" s="784"/>
      <c r="O23" s="492"/>
      <c r="Q23" s="484"/>
      <c r="R23" s="484"/>
      <c r="S23" s="484"/>
      <c r="T23" s="484"/>
    </row>
    <row r="24" spans="2:20" ht="32.25" customHeight="1">
      <c r="C24" s="492"/>
      <c r="D24" s="928" t="s">
        <v>2708</v>
      </c>
      <c r="E24" s="493"/>
      <c r="F24" s="492"/>
      <c r="G24" s="492"/>
      <c r="H24" s="494"/>
      <c r="I24" s="494"/>
      <c r="J24" s="930">
        <v>3596394</v>
      </c>
      <c r="K24" s="930"/>
      <c r="L24" s="930">
        <v>0</v>
      </c>
      <c r="O24" s="492"/>
      <c r="Q24" s="484"/>
      <c r="R24" s="484"/>
      <c r="S24" s="484"/>
      <c r="T24" s="484"/>
    </row>
    <row r="25" spans="2:20" ht="42.75" customHeight="1">
      <c r="C25" s="495"/>
      <c r="D25" s="928" t="s">
        <v>1954</v>
      </c>
      <c r="E25" s="928"/>
      <c r="F25" s="928"/>
      <c r="G25" s="928"/>
      <c r="H25" s="930"/>
      <c r="I25" s="930"/>
      <c r="J25" s="930">
        <v>538514</v>
      </c>
      <c r="K25" s="929"/>
      <c r="L25" s="930">
        <v>538514</v>
      </c>
      <c r="O25" s="495"/>
      <c r="Q25" s="495"/>
      <c r="R25" s="495"/>
      <c r="S25" s="495"/>
      <c r="T25" s="495"/>
    </row>
    <row r="26" spans="2:20" ht="42.75" customHeight="1">
      <c r="C26" s="495"/>
      <c r="D26" s="928" t="s">
        <v>1953</v>
      </c>
      <c r="E26" s="928"/>
      <c r="F26" s="928"/>
      <c r="G26" s="928"/>
      <c r="H26" s="930"/>
      <c r="I26" s="930"/>
      <c r="J26" s="930">
        <v>158118</v>
      </c>
      <c r="K26" s="929"/>
      <c r="L26" s="930">
        <v>215529</v>
      </c>
      <c r="O26" s="495"/>
      <c r="Q26" s="495"/>
      <c r="R26" s="495"/>
      <c r="S26" s="495"/>
      <c r="T26" s="495"/>
    </row>
    <row r="27" spans="2:20" ht="42.75" customHeight="1">
      <c r="C27" s="941"/>
      <c r="D27" s="928" t="s">
        <v>1028</v>
      </c>
      <c r="E27" s="928"/>
      <c r="F27" s="928"/>
      <c r="G27" s="928"/>
      <c r="H27" s="930"/>
      <c r="I27" s="930"/>
      <c r="J27" s="930">
        <v>72381</v>
      </c>
      <c r="K27" s="929"/>
      <c r="L27" s="930">
        <v>97066</v>
      </c>
      <c r="O27" s="495"/>
      <c r="Q27" s="495"/>
      <c r="R27" s="495"/>
      <c r="S27" s="495"/>
      <c r="T27" s="495"/>
    </row>
    <row r="28" spans="2:20" ht="42.75" customHeight="1">
      <c r="C28" s="941"/>
      <c r="D28" s="928" t="s">
        <v>1705</v>
      </c>
      <c r="E28" s="928"/>
      <c r="F28" s="928"/>
      <c r="G28" s="928"/>
      <c r="H28" s="930"/>
      <c r="I28" s="930"/>
      <c r="J28" s="930">
        <v>26159</v>
      </c>
      <c r="K28" s="929"/>
      <c r="L28" s="930">
        <v>93193</v>
      </c>
      <c r="O28" s="495"/>
      <c r="Q28" s="495"/>
      <c r="R28" s="495"/>
      <c r="S28" s="495"/>
      <c r="T28" s="495"/>
    </row>
    <row r="29" spans="2:20" ht="42.75" customHeight="1">
      <c r="C29" s="941"/>
      <c r="D29" s="928" t="s">
        <v>1381</v>
      </c>
      <c r="E29" s="928"/>
      <c r="F29" s="928"/>
      <c r="G29" s="928"/>
      <c r="H29" s="930"/>
      <c r="I29" s="930"/>
      <c r="J29" s="930">
        <v>15377</v>
      </c>
      <c r="K29" s="929"/>
      <c r="L29" s="930">
        <v>15377</v>
      </c>
      <c r="O29" s="495"/>
      <c r="Q29" s="495"/>
      <c r="R29" s="495"/>
      <c r="S29" s="495"/>
      <c r="T29" s="495"/>
    </row>
    <row r="30" spans="2:20" ht="42.75" customHeight="1">
      <c r="C30" s="495"/>
      <c r="D30" s="928" t="s">
        <v>1955</v>
      </c>
      <c r="E30" s="928"/>
      <c r="F30" s="783"/>
      <c r="G30" s="783"/>
      <c r="H30" s="930"/>
      <c r="I30" s="930"/>
      <c r="J30" s="930">
        <v>13561</v>
      </c>
      <c r="K30" s="929"/>
      <c r="L30" s="930">
        <v>13561</v>
      </c>
      <c r="O30" s="495"/>
      <c r="Q30" s="484"/>
      <c r="R30" s="484"/>
      <c r="S30" s="484"/>
      <c r="T30" s="484"/>
    </row>
    <row r="31" spans="2:20" ht="42.75" customHeight="1">
      <c r="C31" s="495"/>
      <c r="D31" s="928" t="s">
        <v>1870</v>
      </c>
      <c r="E31" s="928"/>
      <c r="F31" s="928"/>
      <c r="G31" s="928"/>
      <c r="H31" s="930"/>
      <c r="I31" s="930"/>
      <c r="J31" s="930">
        <v>8741</v>
      </c>
      <c r="K31" s="929"/>
      <c r="L31" s="930">
        <v>11612</v>
      </c>
      <c r="O31" s="495"/>
      <c r="Q31" s="484"/>
      <c r="R31" s="484"/>
      <c r="S31" s="484"/>
      <c r="T31" s="484"/>
    </row>
    <row r="32" spans="2:20" ht="42.75" customHeight="1">
      <c r="C32" s="495"/>
      <c r="D32" s="928" t="s">
        <v>1868</v>
      </c>
      <c r="E32" s="928"/>
      <c r="F32" s="928"/>
      <c r="G32" s="928"/>
      <c r="H32" s="930"/>
      <c r="I32" s="930"/>
      <c r="J32" s="930">
        <v>1152</v>
      </c>
      <c r="K32" s="929"/>
      <c r="L32" s="930">
        <v>4427</v>
      </c>
      <c r="O32" s="495"/>
      <c r="Q32" s="484"/>
      <c r="R32" s="484"/>
      <c r="S32" s="484"/>
      <c r="T32" s="484"/>
    </row>
    <row r="33" spans="1:20" ht="42.75" customHeight="1">
      <c r="C33" s="495"/>
      <c r="D33" s="928" t="s">
        <v>1869</v>
      </c>
      <c r="E33" s="928"/>
      <c r="F33" s="783"/>
      <c r="G33" s="783"/>
      <c r="H33" s="930"/>
      <c r="I33" s="930"/>
      <c r="J33" s="930">
        <v>3838</v>
      </c>
      <c r="K33" s="929"/>
      <c r="L33" s="930">
        <v>3838</v>
      </c>
      <c r="O33" s="495"/>
      <c r="Q33" s="484"/>
      <c r="R33" s="484"/>
      <c r="S33" s="484"/>
      <c r="T33" s="484"/>
    </row>
    <row r="34" spans="1:20" ht="42.75" customHeight="1">
      <c r="C34" s="495"/>
      <c r="D34" s="928" t="s">
        <v>1704</v>
      </c>
      <c r="E34" s="928"/>
      <c r="F34" s="928"/>
      <c r="G34" s="928"/>
      <c r="H34" s="930"/>
      <c r="I34" s="930"/>
      <c r="J34" s="930">
        <v>1946</v>
      </c>
      <c r="K34" s="929"/>
      <c r="L34" s="930">
        <v>1946</v>
      </c>
      <c r="O34" s="495"/>
      <c r="Q34" s="484"/>
      <c r="R34" s="484"/>
      <c r="S34" s="484"/>
      <c r="T34" s="484"/>
    </row>
    <row r="35" spans="1:20" ht="42.75" customHeight="1">
      <c r="C35" s="495"/>
      <c r="D35" s="928" t="s">
        <v>2709</v>
      </c>
      <c r="E35" s="928"/>
      <c r="F35" s="928"/>
      <c r="G35" s="928"/>
      <c r="H35" s="930"/>
      <c r="I35" s="930"/>
      <c r="J35" s="930">
        <v>393073</v>
      </c>
      <c r="K35" s="929"/>
      <c r="L35" s="930">
        <v>125771</v>
      </c>
      <c r="O35" s="495"/>
      <c r="Q35" s="495"/>
      <c r="R35" s="495"/>
      <c r="S35" s="495"/>
      <c r="T35" s="495"/>
    </row>
    <row r="36" spans="1:20" ht="42" customHeight="1" thickBot="1">
      <c r="C36" s="484"/>
      <c r="D36" s="496"/>
      <c r="E36" s="496"/>
      <c r="F36" s="525"/>
      <c r="G36" s="525"/>
      <c r="H36" s="930"/>
      <c r="I36" s="930"/>
      <c r="J36" s="1718">
        <f>SUM(J24:J35)</f>
        <v>4829254</v>
      </c>
      <c r="K36" s="487"/>
      <c r="L36" s="1718">
        <f>SUM(L25:L35)</f>
        <v>1120834</v>
      </c>
      <c r="O36" s="484"/>
      <c r="Q36" s="484"/>
      <c r="R36" s="484"/>
      <c r="S36" s="484"/>
      <c r="T36" s="484"/>
    </row>
    <row r="37" spans="1:20" ht="69.75" customHeight="1" thickTop="1">
      <c r="C37" s="484"/>
      <c r="D37" s="496"/>
      <c r="E37" s="496"/>
      <c r="F37" s="525"/>
      <c r="G37" s="525"/>
      <c r="H37" s="487"/>
      <c r="I37" s="487"/>
      <c r="J37" s="484"/>
      <c r="K37" s="484"/>
      <c r="L37" s="526"/>
      <c r="O37" s="484"/>
      <c r="P37" s="484"/>
      <c r="Q37" s="484"/>
      <c r="R37" s="484"/>
    </row>
    <row r="38" spans="1:20" ht="102.75" customHeight="1">
      <c r="B38" s="3315"/>
      <c r="C38" s="488" t="s">
        <v>2339</v>
      </c>
      <c r="D38" s="3680" t="s">
        <v>2689</v>
      </c>
      <c r="E38" s="3680"/>
      <c r="F38" s="3680"/>
      <c r="G38" s="3680"/>
      <c r="H38" s="3680"/>
      <c r="I38" s="3680"/>
      <c r="J38" s="3680"/>
      <c r="K38" s="3680"/>
      <c r="L38" s="3680"/>
      <c r="M38" s="3680"/>
      <c r="N38" s="3680"/>
      <c r="O38" s="810"/>
      <c r="P38" s="484"/>
      <c r="Q38" s="484"/>
      <c r="R38" s="484"/>
    </row>
    <row r="39" spans="1:20" ht="19.5" customHeight="1">
      <c r="B39" s="1125"/>
      <c r="C39" s="488"/>
      <c r="D39" s="964"/>
      <c r="E39" s="2664"/>
      <c r="F39" s="964"/>
      <c r="G39" s="2664"/>
      <c r="H39" s="964"/>
      <c r="I39" s="964"/>
      <c r="J39" s="964"/>
      <c r="K39" s="964"/>
      <c r="L39" s="964"/>
      <c r="M39" s="964"/>
      <c r="N39" s="964"/>
      <c r="O39" s="964"/>
      <c r="P39" s="484"/>
      <c r="Q39" s="484"/>
      <c r="R39" s="484"/>
    </row>
    <row r="40" spans="1:20" ht="32.25" customHeight="1">
      <c r="B40" s="1125"/>
      <c r="C40" s="811" t="s">
        <v>2340</v>
      </c>
      <c r="D40" s="3680" t="s">
        <v>1932</v>
      </c>
      <c r="E40" s="3680"/>
      <c r="F40" s="3680"/>
      <c r="G40" s="3680"/>
      <c r="H40" s="3680"/>
      <c r="I40" s="3680"/>
      <c r="J40" s="3680"/>
      <c r="K40" s="3680"/>
      <c r="L40" s="3680"/>
      <c r="M40" s="3680"/>
      <c r="N40" s="3680"/>
      <c r="O40" s="810"/>
      <c r="P40" s="484"/>
      <c r="Q40" s="484"/>
      <c r="R40" s="484"/>
    </row>
    <row r="41" spans="1:20" ht="33.75" hidden="1" customHeight="1">
      <c r="C41" s="788" t="s">
        <v>1495</v>
      </c>
      <c r="D41" s="788" t="s">
        <v>1518</v>
      </c>
      <c r="E41" s="788"/>
      <c r="F41" s="788"/>
      <c r="G41" s="788"/>
      <c r="H41" s="788"/>
      <c r="I41" s="788"/>
      <c r="J41" s="788"/>
      <c r="K41" s="788"/>
      <c r="L41" s="788"/>
      <c r="M41" s="788"/>
      <c r="N41" s="788"/>
      <c r="O41" s="484"/>
      <c r="P41" s="484"/>
      <c r="Q41" s="484"/>
      <c r="R41" s="484"/>
    </row>
    <row r="42" spans="1:20" ht="78" customHeight="1">
      <c r="B42" s="3179" t="s">
        <v>2611</v>
      </c>
      <c r="C42" s="486" t="s">
        <v>2198</v>
      </c>
      <c r="E42" s="486"/>
      <c r="F42" s="486"/>
      <c r="G42" s="486"/>
      <c r="H42" s="486"/>
      <c r="I42" s="486"/>
      <c r="J42" s="486"/>
      <c r="K42" s="486"/>
      <c r="L42" s="486"/>
      <c r="M42" s="486"/>
      <c r="N42" s="486"/>
      <c r="O42" s="3680"/>
      <c r="P42" s="3680"/>
      <c r="Q42" s="484"/>
      <c r="R42" s="484"/>
    </row>
    <row r="43" spans="1:20" ht="68.25" customHeight="1">
      <c r="B43" s="1125"/>
      <c r="C43" s="2007" t="s">
        <v>2329</v>
      </c>
      <c r="D43" s="3680" t="s">
        <v>2813</v>
      </c>
      <c r="E43" s="3680"/>
      <c r="F43" s="3680"/>
      <c r="G43" s="3680"/>
      <c r="H43" s="3680"/>
      <c r="I43" s="3680"/>
      <c r="J43" s="3680"/>
      <c r="K43" s="3680"/>
      <c r="L43" s="3680"/>
      <c r="M43" s="3680"/>
      <c r="N43" s="3680"/>
      <c r="O43" s="484"/>
      <c r="P43" s="484"/>
      <c r="Q43" s="484"/>
      <c r="R43" s="484"/>
    </row>
    <row r="44" spans="1:20" ht="99" customHeight="1">
      <c r="B44" s="1125"/>
      <c r="C44" s="967"/>
      <c r="D44" s="3678"/>
      <c r="E44" s="3678"/>
      <c r="F44" s="3678"/>
      <c r="G44" s="3678"/>
      <c r="H44" s="3678"/>
      <c r="I44" s="3678"/>
      <c r="J44" s="3678"/>
      <c r="K44" s="3678"/>
      <c r="L44" s="3678"/>
      <c r="M44" s="3678"/>
      <c r="N44" s="3678"/>
      <c r="O44" s="484"/>
      <c r="P44" s="484"/>
      <c r="Q44" s="484"/>
      <c r="R44" s="484"/>
    </row>
    <row r="45" spans="1:20" ht="46.5" customHeight="1">
      <c r="A45" s="969"/>
      <c r="B45" s="969"/>
      <c r="D45" s="968"/>
      <c r="E45" s="968"/>
      <c r="F45" s="3678"/>
      <c r="G45" s="3678"/>
      <c r="H45" s="3678"/>
      <c r="I45" s="3678"/>
      <c r="J45" s="3678"/>
      <c r="K45" s="3678"/>
      <c r="L45" s="3678"/>
      <c r="M45" s="3678"/>
      <c r="N45" s="3678"/>
      <c r="O45" s="3678"/>
      <c r="P45" s="3678"/>
      <c r="Q45" s="962"/>
    </row>
    <row r="46" spans="1:20" ht="46.5" customHeight="1"/>
    <row r="47" spans="1:20" ht="39.75">
      <c r="H47" s="2431">
        <v>32</v>
      </c>
    </row>
  </sheetData>
  <mergeCells count="12">
    <mergeCell ref="F45:P45"/>
    <mergeCell ref="A1:P1"/>
    <mergeCell ref="A2:P2"/>
    <mergeCell ref="A3:P3"/>
    <mergeCell ref="D40:N40"/>
    <mergeCell ref="D38:N38"/>
    <mergeCell ref="O42:P42"/>
    <mergeCell ref="D43:N43"/>
    <mergeCell ref="C15:N15"/>
    <mergeCell ref="C6:D6"/>
    <mergeCell ref="D44:N44"/>
    <mergeCell ref="J20:M20"/>
  </mergeCells>
  <printOptions horizontalCentered="1"/>
  <pageMargins left="0.15748031496062992" right="0.11811023622047245" top="0.39370078740157483" bottom="0.19685039370078741" header="0.27559055118110237" footer="0.27559055118110237"/>
  <pageSetup paperSize="9" scale="42"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4.9989318521683403E-2"/>
  </sheetPr>
  <dimension ref="A1:AI64"/>
  <sheetViews>
    <sheetView rightToLeft="1" view="pageBreakPreview" topLeftCell="A12" zoomScale="40" zoomScaleNormal="74" zoomScaleSheetLayoutView="40" workbookViewId="0">
      <selection activeCell="H37" sqref="H37"/>
    </sheetView>
  </sheetViews>
  <sheetFormatPr defaultColWidth="1.375" defaultRowHeight="39.75" customHeight="1"/>
  <cols>
    <col min="1" max="1" width="1.75" style="1107" customWidth="1"/>
    <col min="2" max="2" width="12.125" style="241" customWidth="1"/>
    <col min="3" max="3" width="8.5" style="241" customWidth="1"/>
    <col min="4" max="4" width="21.75" style="241" customWidth="1"/>
    <col min="5" max="5" width="75.375" style="248" customWidth="1"/>
    <col min="6" max="6" width="23.875" style="241" bestFit="1" customWidth="1"/>
    <col min="7" max="7" width="27.625" style="241" bestFit="1" customWidth="1"/>
    <col min="8" max="8" width="24.875" style="241" bestFit="1" customWidth="1"/>
    <col min="9" max="12" width="27.625" style="241" bestFit="1" customWidth="1"/>
    <col min="13" max="13" width="32.375" style="241" customWidth="1"/>
    <col min="14" max="14" width="23.5" style="241" hidden="1" customWidth="1"/>
    <col min="15" max="15" width="26.625" style="241" bestFit="1" customWidth="1"/>
    <col min="16" max="18" width="30.5" style="241" customWidth="1"/>
    <col min="19" max="27" width="1.375" style="241"/>
    <col min="28" max="28" width="24.625" style="241" customWidth="1"/>
    <col min="29" max="29" width="31.125" style="241" customWidth="1"/>
    <col min="30" max="30" width="1.375" style="241"/>
    <col min="31" max="31" width="22.25" style="241" bestFit="1" customWidth="1"/>
    <col min="32" max="16384" width="1.375" style="241"/>
  </cols>
  <sheetData>
    <row r="1" spans="1:35" s="565" customFormat="1" ht="66.75" customHeight="1">
      <c r="A1" s="3729" t="s">
        <v>612</v>
      </c>
      <c r="B1" s="3729"/>
      <c r="C1" s="3729"/>
      <c r="D1" s="3729"/>
      <c r="E1" s="3729"/>
      <c r="F1" s="3729"/>
      <c r="G1" s="3729"/>
      <c r="H1" s="3729"/>
      <c r="I1" s="3729"/>
      <c r="J1" s="3729"/>
      <c r="K1" s="3729"/>
      <c r="L1" s="3729"/>
      <c r="M1" s="3729"/>
    </row>
    <row r="2" spans="1:35" s="565" customFormat="1" ht="64.5" customHeight="1">
      <c r="A2" s="3729" t="s">
        <v>1489</v>
      </c>
      <c r="B2" s="3729"/>
      <c r="C2" s="3729"/>
      <c r="D2" s="3729"/>
      <c r="E2" s="3729"/>
      <c r="F2" s="3729"/>
      <c r="G2" s="3729"/>
      <c r="H2" s="3729"/>
      <c r="I2" s="3729"/>
      <c r="J2" s="3729"/>
      <c r="K2" s="3729"/>
      <c r="L2" s="3729"/>
      <c r="M2" s="3729"/>
    </row>
    <row r="3" spans="1:35" s="565" customFormat="1" ht="92.25" customHeight="1">
      <c r="A3" s="3729" t="str">
        <f>mafrozat!A3</f>
        <v xml:space="preserve"> سال مالي منتهي به 29 اسفند 1402</v>
      </c>
      <c r="B3" s="3729"/>
      <c r="C3" s="3729"/>
      <c r="D3" s="3729"/>
      <c r="E3" s="3729"/>
      <c r="F3" s="3729"/>
      <c r="G3" s="3729"/>
      <c r="H3" s="3729"/>
      <c r="I3" s="3729"/>
      <c r="J3" s="3729"/>
      <c r="K3" s="3729"/>
      <c r="L3" s="3729"/>
      <c r="M3" s="3729"/>
    </row>
    <row r="4" spans="1:35" s="565" customFormat="1" ht="92.25" customHeight="1">
      <c r="A4" s="3058"/>
      <c r="B4" s="3058"/>
      <c r="C4" s="3058"/>
      <c r="D4" s="3058"/>
      <c r="E4" s="3058"/>
      <c r="F4" s="3058"/>
      <c r="G4" s="3058"/>
      <c r="H4" s="3058"/>
      <c r="I4" s="3058"/>
      <c r="J4" s="3058"/>
      <c r="K4" s="3058"/>
      <c r="L4" s="3058"/>
      <c r="M4" s="3058"/>
    </row>
    <row r="5" spans="1:35" s="565" customFormat="1" ht="92.25" customHeight="1">
      <c r="A5" s="3058"/>
      <c r="B5" s="3058"/>
      <c r="C5" s="3058"/>
      <c r="D5" s="3058"/>
      <c r="E5" s="3058"/>
      <c r="F5" s="3058"/>
      <c r="G5" s="3058"/>
      <c r="H5" s="3058"/>
      <c r="I5" s="3058"/>
      <c r="J5" s="3058"/>
      <c r="K5" s="3058"/>
      <c r="L5" s="3058"/>
      <c r="M5" s="3058"/>
    </row>
    <row r="6" spans="1:35" ht="144.75" customHeight="1">
      <c r="B6" s="1129">
        <v>-27</v>
      </c>
      <c r="C6" s="1130" t="s">
        <v>1414</v>
      </c>
      <c r="D6" s="1131"/>
      <c r="E6" s="1132"/>
      <c r="F6" s="1133"/>
      <c r="G6" s="1133"/>
      <c r="H6" s="1133"/>
      <c r="I6" s="1133"/>
      <c r="J6" s="1134"/>
      <c r="K6" s="1134"/>
      <c r="L6" s="1135"/>
      <c r="M6" s="1135"/>
      <c r="N6" s="1135"/>
      <c r="O6" s="1135"/>
      <c r="P6" s="1135"/>
      <c r="Q6" s="1136"/>
      <c r="R6" s="1136"/>
      <c r="S6" s="1136"/>
    </row>
    <row r="7" spans="1:35" ht="144.75" customHeight="1" thickBot="1">
      <c r="B7" s="1432"/>
      <c r="C7" s="1431" t="s">
        <v>2341</v>
      </c>
      <c r="D7" s="3730" t="s">
        <v>2828</v>
      </c>
      <c r="E7" s="3730"/>
      <c r="F7" s="3730"/>
      <c r="G7" s="3730"/>
      <c r="H7" s="1138"/>
      <c r="I7" s="1138"/>
      <c r="J7" s="1138"/>
      <c r="K7" s="1138"/>
      <c r="L7" s="1139"/>
      <c r="M7" s="1140" t="s">
        <v>1519</v>
      </c>
      <c r="N7" s="1141"/>
      <c r="O7" s="1141"/>
      <c r="P7" s="1141"/>
      <c r="Q7" s="1141"/>
      <c r="R7" s="1137"/>
      <c r="S7" s="1137"/>
      <c r="T7" s="601"/>
      <c r="U7" s="601"/>
      <c r="V7" s="601"/>
      <c r="W7" s="601"/>
    </row>
    <row r="8" spans="1:35" ht="144.75" customHeight="1" thickBot="1">
      <c r="B8" s="1136"/>
      <c r="C8" s="1136"/>
      <c r="D8" s="3079" t="s">
        <v>62</v>
      </c>
      <c r="E8" s="3080" t="s">
        <v>1290</v>
      </c>
      <c r="F8" s="3701" t="s">
        <v>676</v>
      </c>
      <c r="G8" s="3701"/>
      <c r="H8" s="3701"/>
      <c r="I8" s="3701"/>
      <c r="J8" s="3081" t="s">
        <v>1273</v>
      </c>
      <c r="K8" s="3081" t="s">
        <v>2576</v>
      </c>
      <c r="L8" s="3081" t="s">
        <v>2577</v>
      </c>
      <c r="M8" s="3082" t="s">
        <v>2575</v>
      </c>
      <c r="N8" s="1142" t="s">
        <v>1501</v>
      </c>
      <c r="O8" s="1143" t="s">
        <v>1636</v>
      </c>
      <c r="P8" s="1139"/>
      <c r="Q8" s="1139"/>
      <c r="R8" s="1144"/>
      <c r="S8" s="1144"/>
      <c r="T8" s="602"/>
      <c r="U8" s="602"/>
      <c r="V8" s="602"/>
      <c r="W8" s="602"/>
    </row>
    <row r="9" spans="1:35" ht="144.75" customHeight="1">
      <c r="B9" s="1136"/>
      <c r="C9" s="1136"/>
      <c r="D9" s="3724" t="s">
        <v>1289</v>
      </c>
      <c r="E9" s="3068" t="s">
        <v>2559</v>
      </c>
      <c r="F9" s="3727" t="s">
        <v>1643</v>
      </c>
      <c r="G9" s="3727"/>
      <c r="H9" s="3727"/>
      <c r="I9" s="3727"/>
      <c r="J9" s="3078" t="s">
        <v>712</v>
      </c>
      <c r="K9" s="3017">
        <v>43930</v>
      </c>
      <c r="L9" s="3008">
        <v>44493</v>
      </c>
      <c r="M9" s="3009">
        <f>'24'!L30</f>
        <v>753641</v>
      </c>
      <c r="N9" s="1146" t="s">
        <v>1502</v>
      </c>
      <c r="O9" s="1145">
        <f>'24'!P94</f>
        <v>753641</v>
      </c>
      <c r="P9" s="1147"/>
      <c r="Q9" s="1145">
        <f>'20'!J33</f>
        <v>1268259</v>
      </c>
      <c r="R9" s="1144"/>
      <c r="S9" s="1144"/>
      <c r="T9" s="602"/>
      <c r="U9" s="602"/>
      <c r="V9" s="602"/>
      <c r="W9" s="602"/>
      <c r="AB9" s="3721" t="s">
        <v>779</v>
      </c>
      <c r="AC9" s="3721"/>
      <c r="AD9" s="3721"/>
      <c r="AE9" s="3721"/>
      <c r="AF9" s="244" t="e">
        <f>#REF!+#REF!</f>
        <v>#REF!</v>
      </c>
      <c r="AG9" s="245" t="e">
        <f>AI9-AF9</f>
        <v>#REF!</v>
      </c>
      <c r="AH9" s="246"/>
      <c r="AI9" s="245">
        <v>-2247187</v>
      </c>
    </row>
    <row r="10" spans="1:35" ht="144.75" customHeight="1" thickBot="1">
      <c r="B10" s="1136"/>
      <c r="C10" s="1136"/>
      <c r="D10" s="3726"/>
      <c r="E10" s="3069" t="s">
        <v>2560</v>
      </c>
      <c r="F10" s="3702" t="s">
        <v>1643</v>
      </c>
      <c r="G10" s="3702"/>
      <c r="H10" s="3702"/>
      <c r="I10" s="3702"/>
      <c r="J10" s="3083" t="s">
        <v>712</v>
      </c>
      <c r="K10" s="3011">
        <v>0</v>
      </c>
      <c r="L10" s="3022">
        <v>46999410</v>
      </c>
      <c r="M10" s="3013">
        <f>'27'!E33</f>
        <v>61723758</v>
      </c>
      <c r="N10" s="1146" t="s">
        <v>1503</v>
      </c>
      <c r="O10" s="1145">
        <f>-'27'!E31</f>
        <v>-61723758</v>
      </c>
      <c r="P10" s="1147"/>
      <c r="Q10" s="1147">
        <f>-'27'!E31</f>
        <v>-61723758</v>
      </c>
      <c r="R10" s="1144"/>
      <c r="S10" s="1144"/>
      <c r="T10" s="602"/>
      <c r="U10" s="602"/>
      <c r="V10" s="602"/>
      <c r="W10" s="602"/>
      <c r="AB10" s="3721" t="s">
        <v>779</v>
      </c>
      <c r="AC10" s="3721"/>
      <c r="AD10" s="3721"/>
      <c r="AE10" s="3721"/>
      <c r="AF10" s="244" t="e">
        <f>#REF!+#REF!</f>
        <v>#REF!</v>
      </c>
      <c r="AG10" s="245" t="e">
        <f>AI10-AF10</f>
        <v>#REF!</v>
      </c>
      <c r="AH10" s="246"/>
      <c r="AI10" s="245">
        <v>-139471</v>
      </c>
    </row>
    <row r="11" spans="1:35" ht="144.75" customHeight="1" thickBot="1">
      <c r="B11" s="1136"/>
      <c r="C11" s="1136"/>
      <c r="D11" s="3722" t="s">
        <v>1468</v>
      </c>
      <c r="E11" s="3723"/>
      <c r="F11" s="3723"/>
      <c r="G11" s="3723"/>
      <c r="H11" s="3723"/>
      <c r="I11" s="3723"/>
      <c r="J11" s="1148"/>
      <c r="K11" s="1149">
        <f>SUM(K9:K10)</f>
        <v>43930</v>
      </c>
      <c r="L11" s="1150">
        <f>SUM(L9:L10)</f>
        <v>47043903</v>
      </c>
      <c r="M11" s="1151">
        <f>SUM(M9:M10)</f>
        <v>62477399</v>
      </c>
      <c r="N11" s="1146"/>
      <c r="O11" s="1145">
        <f>O10+O9</f>
        <v>-60970117</v>
      </c>
      <c r="P11" s="1147"/>
      <c r="Q11" s="1147"/>
      <c r="R11" s="1144"/>
      <c r="S11" s="1144"/>
      <c r="T11" s="602"/>
      <c r="U11" s="602"/>
      <c r="V11" s="602"/>
      <c r="W11" s="602"/>
      <c r="AB11" s="966"/>
      <c r="AC11" s="966"/>
      <c r="AD11" s="966"/>
      <c r="AE11" s="966"/>
      <c r="AF11" s="244"/>
      <c r="AG11" s="245"/>
      <c r="AH11" s="246"/>
      <c r="AI11" s="245"/>
    </row>
    <row r="12" spans="1:35" ht="144.75" customHeight="1">
      <c r="B12" s="1136"/>
      <c r="C12" s="1136"/>
      <c r="D12" s="3724" t="s">
        <v>2591</v>
      </c>
      <c r="E12" s="3068" t="s">
        <v>638</v>
      </c>
      <c r="F12" s="3727" t="s">
        <v>1905</v>
      </c>
      <c r="G12" s="3727"/>
      <c r="H12" s="3727"/>
      <c r="I12" s="3727"/>
      <c r="J12" s="3078" t="s">
        <v>712</v>
      </c>
      <c r="K12" s="3017">
        <v>39488589</v>
      </c>
      <c r="L12" s="3008">
        <v>266766</v>
      </c>
      <c r="M12" s="3151" t="s">
        <v>712</v>
      </c>
      <c r="N12" s="1146" t="s">
        <v>1502</v>
      </c>
      <c r="O12" s="1143" t="e">
        <f>-'24'!#REF!</f>
        <v>#REF!</v>
      </c>
      <c r="P12" s="1152"/>
      <c r="Q12" s="1152" t="e">
        <f>-'24'!#REF!</f>
        <v>#REF!</v>
      </c>
      <c r="R12" s="1152"/>
      <c r="S12" s="1144">
        <f>2063731+1371684</f>
        <v>3435415</v>
      </c>
      <c r="T12" s="602"/>
      <c r="U12" s="602"/>
      <c r="V12" s="602"/>
      <c r="W12" s="602"/>
      <c r="X12" s="602"/>
    </row>
    <row r="13" spans="1:35" ht="144.75" customHeight="1">
      <c r="B13" s="1136"/>
      <c r="C13" s="1136"/>
      <c r="D13" s="3725"/>
      <c r="E13" s="3071" t="s">
        <v>717</v>
      </c>
      <c r="F13" s="3728" t="s">
        <v>1905</v>
      </c>
      <c r="G13" s="3728"/>
      <c r="H13" s="3728"/>
      <c r="I13" s="3728"/>
      <c r="J13" s="3077" t="s">
        <v>712</v>
      </c>
      <c r="K13" s="3064">
        <v>13854</v>
      </c>
      <c r="L13" s="3066">
        <v>5690</v>
      </c>
      <c r="M13" s="3078" t="s">
        <v>712</v>
      </c>
      <c r="N13" s="1146" t="s">
        <v>1502</v>
      </c>
      <c r="O13" s="1145" t="e">
        <f>-'24'!#REF!</f>
        <v>#REF!</v>
      </c>
      <c r="P13" s="1147"/>
      <c r="Q13" s="1147" t="e">
        <f>-'24'!#REF!</f>
        <v>#REF!</v>
      </c>
      <c r="R13" s="1147"/>
      <c r="S13" s="1144">
        <f>69+3072</f>
        <v>3141</v>
      </c>
      <c r="T13" s="602"/>
      <c r="U13" s="602"/>
      <c r="V13" s="602"/>
      <c r="W13" s="602"/>
      <c r="X13" s="602"/>
    </row>
    <row r="14" spans="1:35" ht="144.75" customHeight="1">
      <c r="B14" s="1136"/>
      <c r="C14" s="1136"/>
      <c r="D14" s="3725"/>
      <c r="E14" s="3073" t="s">
        <v>716</v>
      </c>
      <c r="F14" s="3728" t="s">
        <v>1905</v>
      </c>
      <c r="G14" s="3728"/>
      <c r="H14" s="3728"/>
      <c r="I14" s="3728"/>
      <c r="J14" s="3077" t="s">
        <v>712</v>
      </c>
      <c r="K14" s="3064">
        <v>17058368</v>
      </c>
      <c r="L14" s="3066">
        <v>67653</v>
      </c>
      <c r="M14" s="3078" t="s">
        <v>712</v>
      </c>
      <c r="N14" s="1146" t="s">
        <v>1502</v>
      </c>
      <c r="O14" s="1145" t="e">
        <f>-'24'!#REF!</f>
        <v>#REF!</v>
      </c>
      <c r="P14" s="1147"/>
      <c r="Q14" s="1147" t="e">
        <f>-'24'!#REF!</f>
        <v>#REF!</v>
      </c>
      <c r="R14" s="1147"/>
      <c r="S14" s="1144">
        <f>965164+880591</f>
        <v>1845755</v>
      </c>
      <c r="T14" s="602"/>
      <c r="U14" s="602"/>
      <c r="V14" s="602"/>
      <c r="W14" s="602"/>
      <c r="X14" s="602"/>
    </row>
    <row r="15" spans="1:35" ht="144.75" customHeight="1" thickBot="1">
      <c r="B15" s="1136"/>
      <c r="C15" s="1136"/>
      <c r="D15" s="3726"/>
      <c r="E15" s="3072" t="s">
        <v>1659</v>
      </c>
      <c r="F15" s="3702" t="s">
        <v>1905</v>
      </c>
      <c r="G15" s="3702"/>
      <c r="H15" s="3702"/>
      <c r="I15" s="3702"/>
      <c r="J15" s="3083" t="s">
        <v>712</v>
      </c>
      <c r="K15" s="3011">
        <v>11367356</v>
      </c>
      <c r="L15" s="3022">
        <v>50284</v>
      </c>
      <c r="M15" s="3323" t="s">
        <v>712</v>
      </c>
      <c r="N15" s="1146" t="s">
        <v>1502</v>
      </c>
      <c r="O15" s="1145" t="e">
        <f>-'24'!#REF!</f>
        <v>#REF!</v>
      </c>
      <c r="P15" s="1147"/>
      <c r="Q15" s="1147" t="e">
        <f>'20'!#REF!</f>
        <v>#REF!</v>
      </c>
      <c r="R15" s="1147"/>
      <c r="S15" s="1144">
        <f>352051+635641</f>
        <v>987692</v>
      </c>
      <c r="T15" s="602"/>
      <c r="U15" s="602"/>
      <c r="V15" s="602"/>
      <c r="W15" s="602"/>
      <c r="X15" s="602"/>
    </row>
    <row r="16" spans="1:35" ht="144.75" customHeight="1" thickBot="1">
      <c r="B16" s="1136"/>
      <c r="C16" s="1153"/>
      <c r="D16" s="3700" t="s">
        <v>1468</v>
      </c>
      <c r="E16" s="3701"/>
      <c r="F16" s="3701"/>
      <c r="G16" s="3701"/>
      <c r="H16" s="3701"/>
      <c r="I16" s="3701"/>
      <c r="J16" s="3328" t="s">
        <v>712</v>
      </c>
      <c r="K16" s="2997">
        <f>SUM(K12:K15)</f>
        <v>67928167</v>
      </c>
      <c r="L16" s="2997">
        <f>SUM(L12:L15)</f>
        <v>390393</v>
      </c>
      <c r="M16" s="3327">
        <f>SUM(M12:M15)</f>
        <v>0</v>
      </c>
      <c r="N16" s="1146"/>
      <c r="O16" s="1145">
        <v>0</v>
      </c>
      <c r="P16" s="1147"/>
      <c r="Q16" s="1147"/>
      <c r="R16" s="1147"/>
      <c r="S16" s="1144"/>
      <c r="T16" s="602"/>
      <c r="U16" s="602"/>
      <c r="V16" s="602"/>
      <c r="W16" s="602"/>
      <c r="X16" s="602"/>
    </row>
    <row r="17" spans="1:24" ht="144.75" customHeight="1" thickBot="1">
      <c r="B17" s="1136"/>
      <c r="C17" s="1136"/>
      <c r="D17" s="3318" t="s">
        <v>2829</v>
      </c>
      <c r="E17" s="3072" t="s">
        <v>1498</v>
      </c>
      <c r="F17" s="3702"/>
      <c r="G17" s="3702"/>
      <c r="H17" s="3702"/>
      <c r="I17" s="3702"/>
      <c r="J17" s="3083" t="s">
        <v>712</v>
      </c>
      <c r="K17" s="3329">
        <v>10999</v>
      </c>
      <c r="L17" s="3078" t="s">
        <v>712</v>
      </c>
      <c r="M17" s="3078" t="s">
        <v>712</v>
      </c>
      <c r="N17" s="3075"/>
      <c r="O17" s="3076"/>
      <c r="P17" s="1147"/>
      <c r="Q17" s="1147"/>
      <c r="R17" s="1147"/>
      <c r="S17" s="1144"/>
      <c r="T17" s="602"/>
      <c r="U17" s="602"/>
      <c r="V17" s="602"/>
      <c r="W17" s="602"/>
      <c r="X17" s="602"/>
    </row>
    <row r="18" spans="1:24" ht="144.75" customHeight="1" thickBot="1">
      <c r="B18" s="1136"/>
      <c r="C18" s="1136"/>
      <c r="D18" s="3700" t="s">
        <v>1468</v>
      </c>
      <c r="E18" s="3701"/>
      <c r="F18" s="3701"/>
      <c r="G18" s="3701"/>
      <c r="H18" s="3701"/>
      <c r="I18" s="3701"/>
      <c r="J18" s="3084" t="s">
        <v>712</v>
      </c>
      <c r="K18" s="2997">
        <f>SUM(K17:K17)</f>
        <v>10999</v>
      </c>
      <c r="L18" s="2997">
        <f>SUM(L17:L17)</f>
        <v>0</v>
      </c>
      <c r="M18" s="2997">
        <v>0</v>
      </c>
      <c r="N18" s="3075"/>
      <c r="O18" s="3076"/>
      <c r="P18" s="1147"/>
      <c r="Q18" s="1147"/>
      <c r="R18" s="1147"/>
      <c r="S18" s="1144"/>
      <c r="T18" s="602"/>
      <c r="U18" s="602"/>
      <c r="V18" s="602"/>
      <c r="W18" s="602"/>
      <c r="X18" s="602"/>
    </row>
    <row r="19" spans="1:24" ht="144.75" customHeight="1" thickBot="1">
      <c r="B19" s="1136"/>
      <c r="C19" s="1136"/>
      <c r="D19" s="3703" t="s">
        <v>1321</v>
      </c>
      <c r="E19" s="3704"/>
      <c r="F19" s="3704"/>
      <c r="G19" s="3704"/>
      <c r="H19" s="3704"/>
      <c r="I19" s="3704"/>
      <c r="J19" s="3085" t="s">
        <v>712</v>
      </c>
      <c r="K19" s="3067">
        <f>K18+K16+K11</f>
        <v>67983096</v>
      </c>
      <c r="L19" s="3067">
        <f>L18+L16+L11</f>
        <v>47434296</v>
      </c>
      <c r="M19" s="3086">
        <f>M18+M16+M11</f>
        <v>62477399</v>
      </c>
      <c r="N19" s="3053"/>
      <c r="O19" s="3054" t="e">
        <f>SUM(O11:O16)</f>
        <v>#REF!</v>
      </c>
      <c r="P19" s="1154"/>
      <c r="Q19" s="1154"/>
      <c r="R19" s="1154"/>
      <c r="S19" s="1144"/>
      <c r="T19" s="602"/>
      <c r="U19" s="602"/>
      <c r="V19" s="602"/>
      <c r="W19" s="602"/>
      <c r="X19" s="602"/>
    </row>
    <row r="20" spans="1:24" ht="144.75" customHeight="1">
      <c r="A20" s="1855" t="s">
        <v>2064</v>
      </c>
      <c r="B20" s="1136"/>
      <c r="C20" s="1136"/>
      <c r="D20" s="1144"/>
      <c r="E20" s="1155"/>
      <c r="F20" s="1144"/>
      <c r="G20" s="1144"/>
      <c r="H20" s="1144"/>
      <c r="I20" s="1144"/>
      <c r="J20" s="1144"/>
      <c r="K20" s="1144"/>
      <c r="L20" s="1144"/>
      <c r="M20" s="1144"/>
      <c r="N20" s="1144"/>
      <c r="O20" s="1144"/>
      <c r="P20" s="1144"/>
      <c r="Q20" s="1144"/>
      <c r="R20" s="1144"/>
      <c r="S20" s="1144"/>
    </row>
    <row r="21" spans="1:24" s="963" customFormat="1" ht="144.75" customHeight="1">
      <c r="A21" s="338"/>
      <c r="B21" s="3319"/>
      <c r="C21" s="3002" t="s">
        <v>2342</v>
      </c>
      <c r="D21" s="3705" t="s">
        <v>2826</v>
      </c>
      <c r="E21" s="3705"/>
      <c r="F21" s="3705"/>
      <c r="G21" s="3705"/>
      <c r="H21" s="3705"/>
      <c r="I21" s="3705"/>
      <c r="J21" s="3705"/>
      <c r="K21" s="3705"/>
      <c r="L21" s="3705"/>
      <c r="M21" s="3705"/>
      <c r="N21" s="3705"/>
      <c r="O21" s="3705"/>
      <c r="P21" s="3705"/>
      <c r="Q21" s="3705"/>
      <c r="R21" s="3705"/>
      <c r="S21" s="3705"/>
      <c r="T21" s="243"/>
      <c r="U21" s="242"/>
      <c r="V21" s="242"/>
      <c r="W21" s="242"/>
    </row>
    <row r="22" spans="1:24" s="3057" customFormat="1" ht="96" customHeight="1">
      <c r="A22" s="338"/>
      <c r="B22" s="250"/>
      <c r="C22" s="3002"/>
      <c r="D22" s="3059"/>
      <c r="E22" s="3059"/>
      <c r="F22" s="3059"/>
      <c r="G22" s="3059"/>
      <c r="H22" s="3059"/>
      <c r="I22" s="3059"/>
      <c r="J22" s="3059"/>
      <c r="K22" s="3059"/>
      <c r="L22" s="3059"/>
      <c r="M22" s="3059"/>
      <c r="N22" s="3059"/>
      <c r="O22" s="3059"/>
      <c r="P22" s="3059"/>
      <c r="Q22" s="3059"/>
      <c r="R22" s="3059"/>
      <c r="S22" s="3059"/>
      <c r="T22" s="243"/>
      <c r="U22" s="242"/>
      <c r="V22" s="242"/>
      <c r="W22" s="242"/>
    </row>
    <row r="23" spans="1:24" s="3057" customFormat="1" ht="96" customHeight="1">
      <c r="A23" s="338"/>
      <c r="B23" s="250"/>
      <c r="C23" s="3002"/>
      <c r="D23" s="3059"/>
      <c r="E23" s="3059"/>
      <c r="F23" s="3059"/>
      <c r="G23" s="3059"/>
      <c r="H23" s="3059"/>
      <c r="I23" s="3059"/>
      <c r="J23" s="3059"/>
      <c r="K23" s="3059"/>
      <c r="L23" s="3059"/>
      <c r="M23" s="3059"/>
      <c r="N23" s="3059"/>
      <c r="O23" s="3059"/>
      <c r="P23" s="3059"/>
      <c r="Q23" s="3059"/>
      <c r="R23" s="3059"/>
      <c r="S23" s="3059"/>
      <c r="T23" s="243"/>
      <c r="U23" s="242"/>
      <c r="V23" s="242"/>
      <c r="W23" s="242"/>
    </row>
    <row r="24" spans="1:24" ht="220.5" customHeight="1">
      <c r="A24" s="3686">
        <v>33</v>
      </c>
      <c r="B24" s="3686"/>
      <c r="C24" s="3686"/>
      <c r="D24" s="3686"/>
      <c r="E24" s="3686"/>
      <c r="F24" s="3686"/>
      <c r="G24" s="3686"/>
      <c r="H24" s="3686"/>
      <c r="I24" s="3686"/>
      <c r="J24" s="3686"/>
      <c r="K24" s="3686"/>
      <c r="L24" s="3686"/>
      <c r="M24" s="3686"/>
      <c r="N24" s="3062"/>
    </row>
    <row r="25" spans="1:24" s="3057" customFormat="1" ht="96" customHeight="1">
      <c r="A25" s="338"/>
      <c r="B25" s="250"/>
      <c r="C25" s="3002"/>
      <c r="D25" s="3059"/>
      <c r="E25" s="3059"/>
      <c r="F25" s="3059"/>
      <c r="G25" s="3059"/>
      <c r="H25" s="3059"/>
      <c r="I25" s="3059"/>
      <c r="J25" s="3059"/>
      <c r="K25" s="3059"/>
      <c r="L25" s="3059"/>
      <c r="M25" s="3059"/>
      <c r="N25" s="3059"/>
      <c r="O25" s="3059"/>
      <c r="P25" s="3059"/>
      <c r="Q25" s="3059"/>
      <c r="R25" s="3059"/>
      <c r="S25" s="3059"/>
      <c r="T25" s="243"/>
      <c r="U25" s="242"/>
      <c r="V25" s="242"/>
      <c r="W25" s="242"/>
    </row>
    <row r="26" spans="1:24" ht="62.25" customHeight="1" thickBot="1">
      <c r="B26" s="1136"/>
      <c r="C26" s="3002" t="s">
        <v>2343</v>
      </c>
      <c r="D26" s="2999" t="s">
        <v>1492</v>
      </c>
      <c r="E26" s="2999"/>
      <c r="F26" s="2999"/>
      <c r="G26" s="2999"/>
      <c r="H26" s="2999"/>
      <c r="I26" s="2999"/>
      <c r="J26" s="2999"/>
      <c r="K26" s="2999"/>
      <c r="L26" s="2999"/>
      <c r="M26" s="3000" t="s">
        <v>1519</v>
      </c>
      <c r="N26" s="2999"/>
      <c r="O26" s="2999"/>
      <c r="P26" s="2999"/>
      <c r="Q26" s="2999"/>
      <c r="R26" s="2999"/>
      <c r="S26" s="3001"/>
    </row>
    <row r="27" spans="1:24" ht="88.5" customHeight="1">
      <c r="B27" s="1136"/>
      <c r="C27" s="1156"/>
      <c r="D27" s="3706" t="s">
        <v>62</v>
      </c>
      <c r="E27" s="3709" t="s">
        <v>1290</v>
      </c>
      <c r="F27" s="3712" t="s">
        <v>1304</v>
      </c>
      <c r="G27" s="3718" t="s">
        <v>2296</v>
      </c>
      <c r="H27" s="3718" t="s">
        <v>2297</v>
      </c>
      <c r="I27" s="3714" t="s">
        <v>1305</v>
      </c>
      <c r="J27" s="3712">
        <v>1401</v>
      </c>
      <c r="K27" s="3712"/>
      <c r="L27" s="3712">
        <v>1400</v>
      </c>
      <c r="M27" s="3717"/>
      <c r="N27" s="1141"/>
      <c r="O27" s="1157"/>
      <c r="P27" s="1158"/>
      <c r="Q27" s="1136"/>
      <c r="R27" s="1136"/>
      <c r="S27" s="1136"/>
    </row>
    <row r="28" spans="1:24" s="247" customFormat="1" ht="52.5" customHeight="1">
      <c r="A28" s="1108"/>
      <c r="B28" s="1159"/>
      <c r="C28" s="1156"/>
      <c r="D28" s="3707"/>
      <c r="E28" s="3710"/>
      <c r="F28" s="3687"/>
      <c r="G28" s="3719"/>
      <c r="H28" s="3719"/>
      <c r="I28" s="3715"/>
      <c r="J28" s="3687" t="s">
        <v>1291</v>
      </c>
      <c r="K28" s="3687"/>
      <c r="L28" s="3687" t="s">
        <v>1291</v>
      </c>
      <c r="M28" s="3688"/>
      <c r="N28" s="1160"/>
      <c r="O28" s="1157"/>
      <c r="P28" s="1158"/>
      <c r="Q28" s="1159"/>
      <c r="R28" s="1159"/>
      <c r="S28" s="1159"/>
    </row>
    <row r="29" spans="1:24" ht="52.5" customHeight="1" thickBot="1">
      <c r="B29" s="1136"/>
      <c r="C29" s="1161"/>
      <c r="D29" s="3708"/>
      <c r="E29" s="3711"/>
      <c r="F29" s="3713"/>
      <c r="G29" s="3720"/>
      <c r="H29" s="3720"/>
      <c r="I29" s="3716"/>
      <c r="J29" s="3003" t="s">
        <v>1292</v>
      </c>
      <c r="K29" s="3004" t="s">
        <v>1293</v>
      </c>
      <c r="L29" s="3003" t="s">
        <v>1292</v>
      </c>
      <c r="M29" s="3005" t="s">
        <v>1293</v>
      </c>
      <c r="N29" s="1162"/>
      <c r="O29" s="1163"/>
      <c r="P29" s="1164"/>
      <c r="Q29" s="1136"/>
      <c r="R29" s="1136"/>
      <c r="S29" s="1136"/>
    </row>
    <row r="30" spans="1:24" ht="92.25" customHeight="1">
      <c r="B30" s="1136"/>
      <c r="C30" s="1165"/>
      <c r="D30" s="3689" t="s">
        <v>1289</v>
      </c>
      <c r="E30" s="3006" t="s">
        <v>2559</v>
      </c>
      <c r="F30" s="2992"/>
      <c r="G30" s="2992"/>
      <c r="H30" s="2992"/>
      <c r="I30" s="2992" t="e">
        <f>'24'!#REF!</f>
        <v>#REF!</v>
      </c>
      <c r="J30" s="3007">
        <v>0</v>
      </c>
      <c r="K30" s="3008" t="e">
        <f>I30</f>
        <v>#REF!</v>
      </c>
      <c r="L30" s="3007"/>
      <c r="M30" s="3009">
        <v>4447274</v>
      </c>
      <c r="N30" s="1147"/>
      <c r="O30" s="1166"/>
      <c r="P30" s="1167">
        <v>-4769380</v>
      </c>
      <c r="Q30" s="1136"/>
      <c r="R30" s="1136"/>
      <c r="S30" s="1136"/>
    </row>
    <row r="31" spans="1:24" ht="92.25" customHeight="1" thickBot="1">
      <c r="B31" s="1136"/>
      <c r="C31" s="1165"/>
      <c r="D31" s="3690"/>
      <c r="E31" s="3010" t="s">
        <v>2560</v>
      </c>
      <c r="F31" s="3011">
        <f>J31</f>
        <v>0</v>
      </c>
      <c r="G31" s="3011"/>
      <c r="H31" s="3011"/>
      <c r="I31" s="3011">
        <f>'27'!E33</f>
        <v>61723758</v>
      </c>
      <c r="J31" s="3012">
        <v>0</v>
      </c>
      <c r="K31" s="3012">
        <f>I31</f>
        <v>61723758</v>
      </c>
      <c r="L31" s="3012">
        <v>0</v>
      </c>
      <c r="M31" s="3013">
        <v>24119382</v>
      </c>
      <c r="N31" s="1147"/>
      <c r="O31" s="1166"/>
      <c r="P31" s="1167"/>
      <c r="Q31" s="1136"/>
      <c r="R31" s="1136"/>
      <c r="S31" s="1136"/>
    </row>
    <row r="32" spans="1:24" ht="92.25" customHeight="1" thickBot="1">
      <c r="B32" s="1136"/>
      <c r="C32" s="1165"/>
      <c r="D32" s="3691"/>
      <c r="E32" s="3014" t="s">
        <v>1468</v>
      </c>
      <c r="F32" s="2997">
        <f>SUM(F30:F31)</f>
        <v>0</v>
      </c>
      <c r="G32" s="2997"/>
      <c r="H32" s="2997"/>
      <c r="I32" s="2997" t="e">
        <f>SUM(I30:I31)</f>
        <v>#REF!</v>
      </c>
      <c r="J32" s="2997">
        <f t="shared" ref="J32" si="0">SUM(J30:J31)</f>
        <v>0</v>
      </c>
      <c r="K32" s="2997" t="e">
        <f>SUM(K30:K31)</f>
        <v>#REF!</v>
      </c>
      <c r="L32" s="3015">
        <f>SUM(L30:L31)</f>
        <v>0</v>
      </c>
      <c r="M32" s="3016">
        <f>SUM(M30:M31)</f>
        <v>28566656</v>
      </c>
      <c r="N32" s="1147"/>
      <c r="O32" s="1166"/>
      <c r="P32" s="1167"/>
      <c r="Q32" s="1136"/>
      <c r="R32" s="1136"/>
      <c r="S32" s="1136"/>
    </row>
    <row r="33" spans="2:19" ht="74.25" customHeight="1">
      <c r="B33" s="1136"/>
      <c r="C33" s="1165"/>
      <c r="D33" s="3692" t="s">
        <v>2578</v>
      </c>
      <c r="E33" s="3006" t="s">
        <v>638</v>
      </c>
      <c r="F33" s="3017">
        <f>'20'!J33</f>
        <v>1268259</v>
      </c>
      <c r="G33" s="3017"/>
      <c r="H33" s="3017"/>
      <c r="I33" s="3017" t="e">
        <f>K33</f>
        <v>#REF!</v>
      </c>
      <c r="J33" s="3007">
        <f>F33</f>
        <v>1268259</v>
      </c>
      <c r="K33" s="3008" t="e">
        <f>'24'!#REF!</f>
        <v>#REF!</v>
      </c>
      <c r="L33" s="3008">
        <v>0</v>
      </c>
      <c r="M33" s="3018">
        <v>18858</v>
      </c>
      <c r="N33" s="1168"/>
      <c r="O33" s="1169"/>
      <c r="P33" s="1170">
        <v>-652163</v>
      </c>
      <c r="Q33" s="1136"/>
      <c r="R33" s="1136"/>
      <c r="S33" s="1136"/>
    </row>
    <row r="34" spans="2:19" ht="74.25" customHeight="1">
      <c r="B34" s="1136"/>
      <c r="C34" s="1165"/>
      <c r="D34" s="3690"/>
      <c r="E34" s="2994" t="s">
        <v>717</v>
      </c>
      <c r="F34" s="3017" t="e">
        <f>'20'!J35+'20'!#REF!</f>
        <v>#REF!</v>
      </c>
      <c r="G34" s="3017">
        <f>'18'!N9</f>
        <v>4798180</v>
      </c>
      <c r="H34" s="3017">
        <f>'18'!N26</f>
        <v>575482</v>
      </c>
      <c r="I34" s="3017"/>
      <c r="J34" s="3019" t="e">
        <f>H34+G34+F34</f>
        <v>#REF!</v>
      </c>
      <c r="K34" s="2995" t="e">
        <f>-O13</f>
        <v>#REF!</v>
      </c>
      <c r="L34" s="2995">
        <v>0</v>
      </c>
      <c r="M34" s="3020">
        <v>20914</v>
      </c>
      <c r="N34" s="1168"/>
      <c r="O34" s="1166"/>
      <c r="P34" s="1167">
        <v>125244</v>
      </c>
      <c r="Q34" s="1136"/>
      <c r="R34" s="1136"/>
      <c r="S34" s="1136"/>
    </row>
    <row r="35" spans="2:19" ht="74.25" hidden="1" customHeight="1">
      <c r="B35" s="1136"/>
      <c r="C35" s="1165"/>
      <c r="D35" s="3690"/>
      <c r="E35" s="2994" t="s">
        <v>1674</v>
      </c>
      <c r="F35" s="3017">
        <v>0</v>
      </c>
      <c r="G35" s="3017"/>
      <c r="H35" s="3017"/>
      <c r="I35" s="3017">
        <v>0</v>
      </c>
      <c r="J35" s="3019" t="e">
        <f>#REF!</f>
        <v>#REF!</v>
      </c>
      <c r="K35" s="2995"/>
      <c r="L35" s="2995">
        <v>0</v>
      </c>
      <c r="M35" s="3020">
        <v>0</v>
      </c>
      <c r="N35" s="1168"/>
      <c r="O35" s="1166"/>
      <c r="P35" s="1167"/>
      <c r="Q35" s="1136"/>
      <c r="R35" s="1136"/>
      <c r="S35" s="1136"/>
    </row>
    <row r="36" spans="2:19" ht="74.25" customHeight="1">
      <c r="B36" s="1136"/>
      <c r="C36" s="1165"/>
      <c r="D36" s="3690"/>
      <c r="E36" s="2996" t="s">
        <v>716</v>
      </c>
      <c r="F36" s="3017">
        <f>'20'!J34</f>
        <v>7359853</v>
      </c>
      <c r="G36" s="3017"/>
      <c r="H36" s="3017"/>
      <c r="I36" s="3017" t="e">
        <f>K36</f>
        <v>#REF!</v>
      </c>
      <c r="J36" s="3019">
        <f>F36</f>
        <v>7359853</v>
      </c>
      <c r="K36" s="2995" t="e">
        <f>'24'!#REF!</f>
        <v>#REF!</v>
      </c>
      <c r="L36" s="3019"/>
      <c r="M36" s="3020">
        <v>12157</v>
      </c>
      <c r="N36" s="1168"/>
      <c r="O36" s="1166"/>
      <c r="P36" s="1171">
        <v>307459</v>
      </c>
      <c r="Q36" s="1172"/>
      <c r="R36" s="1172"/>
      <c r="S36" s="1136"/>
    </row>
    <row r="37" spans="2:19" ht="74.25" customHeight="1" thickBot="1">
      <c r="B37" s="1136"/>
      <c r="C37" s="1165"/>
      <c r="D37" s="3690"/>
      <c r="E37" s="3021" t="s">
        <v>1659</v>
      </c>
      <c r="F37" s="3017"/>
      <c r="G37" s="3017"/>
      <c r="H37" s="3017"/>
      <c r="I37" s="3017" t="e">
        <f>K37</f>
        <v>#REF!</v>
      </c>
      <c r="J37" s="3012"/>
      <c r="K37" s="3022" t="e">
        <f>'24'!#REF!</f>
        <v>#REF!</v>
      </c>
      <c r="L37" s="3012">
        <v>0</v>
      </c>
      <c r="M37" s="3023">
        <v>28101</v>
      </c>
      <c r="N37" s="1168"/>
      <c r="O37" s="1166"/>
      <c r="P37" s="1171">
        <v>-333159</v>
      </c>
      <c r="Q37" s="1172"/>
      <c r="R37" s="1172"/>
      <c r="S37" s="1136"/>
    </row>
    <row r="38" spans="2:19" ht="74.25" customHeight="1" thickBot="1">
      <c r="B38" s="1136"/>
      <c r="C38" s="1165"/>
      <c r="D38" s="3691"/>
      <c r="E38" s="3014" t="s">
        <v>1468</v>
      </c>
      <c r="F38" s="2997" t="e">
        <f t="shared" ref="F38:M38" si="1">SUM(F33:F37)</f>
        <v>#REF!</v>
      </c>
      <c r="G38" s="2997"/>
      <c r="H38" s="2997"/>
      <c r="I38" s="2997" t="e">
        <f t="shared" si="1"/>
        <v>#REF!</v>
      </c>
      <c r="J38" s="3015" t="e">
        <f>J37+J36+J34+J33</f>
        <v>#REF!</v>
      </c>
      <c r="K38" s="2998" t="e">
        <f t="shared" si="1"/>
        <v>#REF!</v>
      </c>
      <c r="L38" s="2998">
        <f t="shared" si="1"/>
        <v>0</v>
      </c>
      <c r="M38" s="3024">
        <f t="shared" si="1"/>
        <v>80030</v>
      </c>
      <c r="N38" s="1168"/>
      <c r="O38" s="1166"/>
      <c r="P38" s="1166"/>
      <c r="Q38" s="1136"/>
      <c r="R38" s="1136"/>
      <c r="S38" s="1136"/>
    </row>
    <row r="39" spans="2:19" ht="86.25" customHeight="1" thickBot="1">
      <c r="B39" s="1136"/>
      <c r="C39" s="1165"/>
      <c r="D39" s="2991" t="s">
        <v>1513</v>
      </c>
      <c r="E39" s="3025" t="s">
        <v>1498</v>
      </c>
      <c r="F39" s="3026">
        <f>'20'!J56</f>
        <v>49842</v>
      </c>
      <c r="G39" s="3026"/>
      <c r="H39" s="3026"/>
      <c r="I39" s="3026">
        <v>0</v>
      </c>
      <c r="J39" s="3027">
        <f>F39</f>
        <v>49842</v>
      </c>
      <c r="K39" s="3028">
        <v>0</v>
      </c>
      <c r="L39" s="3027">
        <v>92831</v>
      </c>
      <c r="M39" s="3029">
        <v>0</v>
      </c>
      <c r="N39" s="1168"/>
      <c r="O39" s="1166"/>
      <c r="P39" s="1167">
        <v>-263846</v>
      </c>
      <c r="Q39" s="1136"/>
      <c r="R39" s="1136"/>
      <c r="S39" s="1136"/>
    </row>
    <row r="40" spans="2:19" ht="75.75" customHeight="1" thickBot="1">
      <c r="B40" s="1136"/>
      <c r="C40" s="1165"/>
      <c r="D40" s="3693" t="s">
        <v>1321</v>
      </c>
      <c r="E40" s="3694"/>
      <c r="F40" s="3030" t="e">
        <f>F39+F38+F32</f>
        <v>#REF!</v>
      </c>
      <c r="G40" s="3030"/>
      <c r="H40" s="3030"/>
      <c r="I40" s="3030" t="e">
        <f t="shared" ref="I40:M40" si="2">I39+I38+I32</f>
        <v>#REF!</v>
      </c>
      <c r="J40" s="3030" t="e">
        <f t="shared" si="2"/>
        <v>#REF!</v>
      </c>
      <c r="K40" s="3030" t="e">
        <f t="shared" si="2"/>
        <v>#REF!</v>
      </c>
      <c r="L40" s="3030">
        <f t="shared" si="2"/>
        <v>92831</v>
      </c>
      <c r="M40" s="3031">
        <f t="shared" si="2"/>
        <v>28646686</v>
      </c>
      <c r="N40" s="1173"/>
      <c r="O40" s="1174"/>
      <c r="P40" s="1175"/>
      <c r="Q40" s="1136"/>
      <c r="R40" s="1136"/>
      <c r="S40" s="1136"/>
    </row>
    <row r="41" spans="2:19" ht="79.5" customHeight="1" thickBot="1">
      <c r="B41" s="1136"/>
      <c r="C41" s="1165"/>
      <c r="D41" s="3698" t="s">
        <v>2279</v>
      </c>
      <c r="E41" s="3699"/>
      <c r="F41" s="3032">
        <v>11</v>
      </c>
      <c r="G41" s="3032">
        <v>8</v>
      </c>
      <c r="H41" s="3032">
        <v>8</v>
      </c>
      <c r="I41" s="3032">
        <v>17</v>
      </c>
      <c r="J41" s="3032">
        <v>11</v>
      </c>
      <c r="K41" s="3032">
        <v>17</v>
      </c>
      <c r="L41" s="3032">
        <v>11</v>
      </c>
      <c r="M41" s="3032">
        <v>17</v>
      </c>
      <c r="N41" s="1173"/>
      <c r="O41" s="1174"/>
      <c r="P41" s="1175"/>
      <c r="Q41" s="1136"/>
      <c r="R41" s="1136"/>
      <c r="S41" s="1136"/>
    </row>
    <row r="42" spans="2:19" ht="39.75" customHeight="1">
      <c r="B42" s="1136"/>
      <c r="C42" s="1165"/>
      <c r="D42" s="3055"/>
      <c r="E42" s="3055"/>
      <c r="F42" s="3056"/>
      <c r="G42" s="3056"/>
      <c r="H42" s="3056"/>
      <c r="I42" s="3056"/>
      <c r="J42" s="3056"/>
      <c r="K42" s="3056"/>
      <c r="L42" s="3056"/>
      <c r="M42" s="3056"/>
      <c r="N42" s="1173"/>
      <c r="O42" s="1174"/>
      <c r="P42" s="1175"/>
      <c r="Q42" s="1136"/>
      <c r="R42" s="1136"/>
      <c r="S42" s="1136"/>
    </row>
    <row r="43" spans="2:19" ht="57" customHeight="1">
      <c r="B43" s="3697" t="s">
        <v>2344</v>
      </c>
      <c r="C43" s="3697"/>
      <c r="D43" s="3695" t="s">
        <v>2219</v>
      </c>
      <c r="E43" s="3696"/>
      <c r="F43" s="3696"/>
      <c r="G43" s="3696"/>
      <c r="H43" s="3696"/>
      <c r="I43" s="3696"/>
      <c r="J43" s="3696"/>
      <c r="K43" s="3696"/>
      <c r="L43" s="3696"/>
      <c r="M43" s="3696"/>
      <c r="N43" s="1173"/>
      <c r="O43" s="1174"/>
      <c r="P43" s="1175"/>
      <c r="Q43" s="1136"/>
      <c r="R43" s="1136"/>
      <c r="S43" s="1136"/>
    </row>
    <row r="44" spans="2:19" ht="96.75" hidden="1" customHeight="1">
      <c r="B44" s="1177" t="s">
        <v>1711</v>
      </c>
      <c r="C44" s="1178" t="s">
        <v>1415</v>
      </c>
      <c r="D44" s="1179"/>
      <c r="E44" s="1180"/>
      <c r="F44" s="1181"/>
      <c r="G44" s="1181"/>
      <c r="H44" s="1181"/>
      <c r="I44" s="1182"/>
      <c r="J44" s="1182"/>
      <c r="K44" s="1182"/>
      <c r="L44" s="1182"/>
      <c r="M44" s="1182"/>
      <c r="N44" s="1183"/>
      <c r="O44" s="1184"/>
      <c r="P44" s="1136"/>
      <c r="Q44" s="1136"/>
      <c r="R44" s="1136"/>
      <c r="S44" s="1136"/>
    </row>
    <row r="45" spans="2:19" ht="96.75" hidden="1" customHeight="1">
      <c r="B45" s="1179"/>
      <c r="C45" s="1176" t="s">
        <v>1740</v>
      </c>
      <c r="D45" s="3685" t="s">
        <v>1752</v>
      </c>
      <c r="E45" s="3685"/>
      <c r="F45" s="1181"/>
      <c r="G45" s="1181"/>
      <c r="H45" s="1181"/>
      <c r="I45" s="1140"/>
      <c r="J45" s="1140"/>
      <c r="K45" s="1140"/>
      <c r="L45" s="1140"/>
      <c r="M45" s="1140"/>
      <c r="N45" s="1185"/>
      <c r="O45" s="1186"/>
      <c r="P45" s="1136"/>
      <c r="Q45" s="1136"/>
      <c r="R45" s="1136"/>
      <c r="S45" s="1136"/>
    </row>
    <row r="46" spans="2:19" ht="42.75" customHeight="1">
      <c r="B46" s="1179"/>
      <c r="C46" s="1187"/>
      <c r="D46" s="3685"/>
      <c r="E46" s="3685"/>
      <c r="F46" s="1181"/>
      <c r="G46" s="1181"/>
      <c r="H46" s="1181"/>
      <c r="I46" s="1140"/>
      <c r="J46" s="1140"/>
      <c r="K46" s="1140"/>
      <c r="L46" s="1140"/>
      <c r="M46" s="1140"/>
      <c r="N46" s="1185"/>
      <c r="O46" s="1186"/>
      <c r="P46" s="1136"/>
      <c r="Q46" s="1136"/>
      <c r="R46" s="1136"/>
      <c r="S46" s="1136"/>
    </row>
    <row r="47" spans="2:19" ht="3.75" customHeight="1">
      <c r="B47" s="1136"/>
      <c r="C47" s="1181"/>
      <c r="D47" s="1136"/>
      <c r="E47" s="1136"/>
      <c r="F47" s="1136"/>
      <c r="G47" s="1136"/>
      <c r="H47" s="1136"/>
      <c r="I47" s="1136"/>
      <c r="J47" s="1136"/>
      <c r="K47" s="1136"/>
      <c r="L47" s="1136"/>
      <c r="M47" s="1136"/>
      <c r="N47" s="1136"/>
      <c r="O47" s="1136"/>
      <c r="P47" s="1136"/>
      <c r="Q47" s="1136"/>
      <c r="R47" s="1136"/>
      <c r="S47" s="1136"/>
    </row>
    <row r="48" spans="2:19" ht="16.5" hidden="1" customHeight="1">
      <c r="B48" s="1136"/>
      <c r="C48" s="1188"/>
      <c r="D48" s="1136"/>
      <c r="E48" s="1136"/>
      <c r="F48" s="1136"/>
      <c r="G48" s="1136"/>
      <c r="H48" s="1136"/>
      <c r="I48" s="1136"/>
      <c r="J48" s="1136"/>
      <c r="K48" s="1136"/>
      <c r="L48" s="1136"/>
      <c r="M48" s="1136"/>
      <c r="N48" s="1136"/>
      <c r="O48" s="1136"/>
      <c r="P48" s="1136"/>
      <c r="Q48" s="1136"/>
      <c r="R48" s="1136"/>
      <c r="S48" s="1136"/>
    </row>
    <row r="49" spans="1:19" ht="29.25" hidden="1" customHeight="1">
      <c r="B49" s="1136"/>
      <c r="C49" s="1188"/>
      <c r="D49" s="1136"/>
      <c r="E49" s="1136"/>
      <c r="F49" s="1136"/>
      <c r="G49" s="1136"/>
      <c r="H49" s="1136"/>
      <c r="I49" s="1136"/>
      <c r="J49" s="1136"/>
      <c r="K49" s="1136"/>
      <c r="L49" s="1136"/>
      <c r="M49" s="1136"/>
      <c r="N49" s="1136"/>
      <c r="O49" s="1136"/>
      <c r="P49" s="1136"/>
      <c r="Q49" s="1136"/>
      <c r="R49" s="1136"/>
      <c r="S49" s="1136"/>
    </row>
    <row r="50" spans="1:19" ht="220.5" customHeight="1">
      <c r="A50" s="3686">
        <v>33</v>
      </c>
      <c r="B50" s="3686"/>
      <c r="C50" s="3686"/>
      <c r="D50" s="3686"/>
      <c r="E50" s="3686"/>
      <c r="F50" s="3686"/>
      <c r="G50" s="3686"/>
      <c r="H50" s="3686"/>
      <c r="I50" s="3686"/>
      <c r="J50" s="3686"/>
      <c r="K50" s="3686"/>
      <c r="L50" s="3686"/>
      <c r="M50" s="3686"/>
      <c r="N50" s="965"/>
    </row>
    <row r="64" spans="1:19" ht="39.75" customHeight="1">
      <c r="L64" s="241">
        <v>-7717613</v>
      </c>
    </row>
  </sheetData>
  <mergeCells count="41">
    <mergeCell ref="F8:I8"/>
    <mergeCell ref="A1:M1"/>
    <mergeCell ref="A2:M2"/>
    <mergeCell ref="A3:M3"/>
    <mergeCell ref="D7:G7"/>
    <mergeCell ref="AB9:AE9"/>
    <mergeCell ref="F10:I10"/>
    <mergeCell ref="AB10:AE10"/>
    <mergeCell ref="D11:I11"/>
    <mergeCell ref="D12:D15"/>
    <mergeCell ref="F12:I12"/>
    <mergeCell ref="F13:I13"/>
    <mergeCell ref="F14:I14"/>
    <mergeCell ref="F15:I15"/>
    <mergeCell ref="D9:D10"/>
    <mergeCell ref="F9:I9"/>
    <mergeCell ref="D16:I16"/>
    <mergeCell ref="F17:I17"/>
    <mergeCell ref="D19:I19"/>
    <mergeCell ref="D21:S21"/>
    <mergeCell ref="D27:D29"/>
    <mergeCell ref="E27:E29"/>
    <mergeCell ref="F27:F29"/>
    <mergeCell ref="I27:I29"/>
    <mergeCell ref="J27:K27"/>
    <mergeCell ref="L27:M27"/>
    <mergeCell ref="G27:G29"/>
    <mergeCell ref="H27:H29"/>
    <mergeCell ref="A24:M24"/>
    <mergeCell ref="D18:I18"/>
    <mergeCell ref="D45:E45"/>
    <mergeCell ref="D46:E46"/>
    <mergeCell ref="A50:M50"/>
    <mergeCell ref="J28:K28"/>
    <mergeCell ref="L28:M28"/>
    <mergeCell ref="D30:D32"/>
    <mergeCell ref="D33:D38"/>
    <mergeCell ref="D40:E40"/>
    <mergeCell ref="D43:M43"/>
    <mergeCell ref="B43:C43"/>
    <mergeCell ref="D41:E41"/>
  </mergeCells>
  <printOptions horizontalCentered="1" verticalCentered="1"/>
  <pageMargins left="0" right="0" top="0" bottom="0" header="0" footer="0"/>
  <pageSetup paperSize="9" scale="2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4.9989318521683403E-2"/>
  </sheetPr>
  <dimension ref="A1:S45"/>
  <sheetViews>
    <sheetView rightToLeft="1" view="pageBreakPreview" topLeftCell="A13" zoomScale="32" zoomScaleNormal="74" zoomScaleSheetLayoutView="32" workbookViewId="0">
      <selection activeCell="H17" sqref="H17"/>
    </sheetView>
  </sheetViews>
  <sheetFormatPr defaultColWidth="1.375" defaultRowHeight="39.75" customHeight="1"/>
  <cols>
    <col min="1" max="1" width="1.75" style="1107" customWidth="1"/>
    <col min="2" max="2" width="12.125" style="241" customWidth="1"/>
    <col min="3" max="3" width="8.5" style="241" customWidth="1"/>
    <col min="4" max="4" width="21.75" style="241" customWidth="1"/>
    <col min="5" max="5" width="75.375" style="248" customWidth="1"/>
    <col min="6" max="6" width="29.375" style="241" customWidth="1"/>
    <col min="7" max="7" width="31" style="241" bestFit="1" customWidth="1"/>
    <col min="8" max="8" width="29.875" style="241" customWidth="1"/>
    <col min="9" max="9" width="32.625" style="241" customWidth="1"/>
    <col min="10" max="10" width="31.5" style="241" customWidth="1"/>
    <col min="11" max="11" width="32.875" style="241" customWidth="1"/>
    <col min="12" max="12" width="29.25" style="241" customWidth="1"/>
    <col min="13" max="13" width="32.375" style="241" customWidth="1"/>
    <col min="14" max="14" width="23.5" style="241" hidden="1" customWidth="1"/>
    <col min="15" max="15" width="26.625" style="241" bestFit="1" customWidth="1"/>
    <col min="16" max="18" width="30.5" style="241" customWidth="1"/>
    <col min="19" max="27" width="1.375" style="241"/>
    <col min="28" max="28" width="24.625" style="241" customWidth="1"/>
    <col min="29" max="29" width="31.125" style="241" customWidth="1"/>
    <col min="30" max="30" width="1.375" style="241"/>
    <col min="31" max="31" width="22.25" style="241" bestFit="1" customWidth="1"/>
    <col min="32" max="16384" width="1.375" style="241"/>
  </cols>
  <sheetData>
    <row r="1" spans="1:19" s="565" customFormat="1" ht="66.75" customHeight="1">
      <c r="A1" s="3729" t="s">
        <v>612</v>
      </c>
      <c r="B1" s="3729"/>
      <c r="C1" s="3729"/>
      <c r="D1" s="3729"/>
      <c r="E1" s="3729"/>
      <c r="F1" s="3729"/>
      <c r="G1" s="3729"/>
      <c r="H1" s="3729"/>
      <c r="I1" s="3729"/>
      <c r="J1" s="3729"/>
      <c r="K1" s="3729"/>
      <c r="L1" s="3729"/>
      <c r="M1" s="3729"/>
    </row>
    <row r="2" spans="1:19" s="565" customFormat="1" ht="64.5" customHeight="1">
      <c r="A2" s="3729" t="s">
        <v>1489</v>
      </c>
      <c r="B2" s="3729"/>
      <c r="C2" s="3729"/>
      <c r="D2" s="3729"/>
      <c r="E2" s="3729"/>
      <c r="F2" s="3729"/>
      <c r="G2" s="3729"/>
      <c r="H2" s="3729"/>
      <c r="I2" s="3729"/>
      <c r="J2" s="3729"/>
      <c r="K2" s="3729"/>
      <c r="L2" s="3729"/>
      <c r="M2" s="3729"/>
    </row>
    <row r="3" spans="1:19" s="565" customFormat="1" ht="92.25" customHeight="1">
      <c r="A3" s="3729" t="str">
        <f>mafrozat!A3</f>
        <v xml:space="preserve"> سال مالي منتهي به 29 اسفند 1402</v>
      </c>
      <c r="B3" s="3729"/>
      <c r="C3" s="3729"/>
      <c r="D3" s="3729"/>
      <c r="E3" s="3729"/>
      <c r="F3" s="3729"/>
      <c r="G3" s="3729"/>
      <c r="H3" s="3729"/>
      <c r="I3" s="3729"/>
      <c r="J3" s="3729"/>
      <c r="K3" s="3729"/>
      <c r="L3" s="3729"/>
      <c r="M3" s="3729"/>
    </row>
    <row r="4" spans="1:19" s="565" customFormat="1" ht="92.25" customHeight="1">
      <c r="A4" s="3063"/>
      <c r="B4" s="3063"/>
      <c r="C4" s="3063"/>
      <c r="D4" s="3063"/>
      <c r="E4" s="3063"/>
      <c r="F4" s="3063"/>
      <c r="G4" s="3063"/>
      <c r="H4" s="3063"/>
      <c r="I4" s="3063"/>
      <c r="J4" s="3063"/>
      <c r="K4" s="3063"/>
      <c r="L4" s="3063"/>
      <c r="M4" s="3063"/>
    </row>
    <row r="5" spans="1:19" s="565" customFormat="1" ht="92.25" customHeight="1">
      <c r="A5" s="3063"/>
      <c r="B5" s="3063"/>
      <c r="C5" s="3063"/>
      <c r="D5" s="3063"/>
      <c r="E5" s="3063"/>
      <c r="F5" s="3063"/>
      <c r="G5" s="3063"/>
      <c r="H5" s="3063"/>
      <c r="I5" s="3063"/>
      <c r="J5" s="3063"/>
      <c r="K5" s="3063"/>
      <c r="L5" s="3063"/>
      <c r="M5" s="3063"/>
    </row>
    <row r="6" spans="1:19" ht="62.25" customHeight="1">
      <c r="B6" s="1136"/>
      <c r="C6" s="3002" t="s">
        <v>2343</v>
      </c>
      <c r="D6" s="2999" t="s">
        <v>1492</v>
      </c>
      <c r="E6" s="2999"/>
      <c r="F6" s="2999"/>
      <c r="G6" s="2999"/>
      <c r="H6" s="2999"/>
      <c r="I6" s="2999"/>
      <c r="J6" s="2999"/>
      <c r="K6" s="2999"/>
      <c r="L6" s="2999"/>
      <c r="N6" s="2999"/>
      <c r="O6" s="2999"/>
      <c r="P6" s="2999"/>
      <c r="Q6" s="2999"/>
      <c r="R6" s="2999"/>
      <c r="S6" s="3001"/>
    </row>
    <row r="7" spans="1:19" ht="62.25" customHeight="1" thickBot="1">
      <c r="B7" s="1136"/>
      <c r="C7" s="3002"/>
      <c r="D7" s="2999"/>
      <c r="E7" s="2999"/>
      <c r="F7" s="2999"/>
      <c r="G7" s="2999"/>
      <c r="H7" s="2999"/>
      <c r="I7" s="2999"/>
      <c r="J7" s="2999"/>
      <c r="K7" s="2999"/>
      <c r="L7" s="2999"/>
      <c r="M7" s="3000" t="s">
        <v>1519</v>
      </c>
      <c r="N7" s="2999"/>
      <c r="O7" s="2999"/>
      <c r="P7" s="2999"/>
      <c r="Q7" s="2999"/>
      <c r="R7" s="2999"/>
      <c r="S7" s="3001"/>
    </row>
    <row r="8" spans="1:19" ht="88.5" customHeight="1">
      <c r="B8" s="1136"/>
      <c r="C8" s="1156"/>
      <c r="D8" s="3731" t="s">
        <v>62</v>
      </c>
      <c r="E8" s="3734" t="s">
        <v>1290</v>
      </c>
      <c r="F8" s="3712" t="s">
        <v>1304</v>
      </c>
      <c r="G8" s="3718" t="s">
        <v>2296</v>
      </c>
      <c r="H8" s="3718" t="s">
        <v>2297</v>
      </c>
      <c r="I8" s="3714" t="s">
        <v>1305</v>
      </c>
      <c r="J8" s="3712">
        <v>1402</v>
      </c>
      <c r="K8" s="3712"/>
      <c r="L8" s="3712">
        <v>1401</v>
      </c>
      <c r="M8" s="3717"/>
      <c r="N8" s="1141"/>
      <c r="O8" s="1157"/>
      <c r="P8" s="1158"/>
      <c r="Q8" s="1136"/>
      <c r="R8" s="1136"/>
      <c r="S8" s="1136"/>
    </row>
    <row r="9" spans="1:19" s="247" customFormat="1" ht="52.5" customHeight="1">
      <c r="A9" s="1108"/>
      <c r="B9" s="1159"/>
      <c r="C9" s="1156"/>
      <c r="D9" s="3732"/>
      <c r="E9" s="3735"/>
      <c r="F9" s="3687"/>
      <c r="G9" s="3719"/>
      <c r="H9" s="3719"/>
      <c r="I9" s="3715"/>
      <c r="J9" s="3687" t="s">
        <v>1291</v>
      </c>
      <c r="K9" s="3687"/>
      <c r="L9" s="3687" t="s">
        <v>1291</v>
      </c>
      <c r="M9" s="3688"/>
      <c r="N9" s="1160"/>
      <c r="O9" s="1157"/>
      <c r="P9" s="1158"/>
      <c r="Q9" s="1159"/>
      <c r="R9" s="1159"/>
      <c r="S9" s="1159"/>
    </row>
    <row r="10" spans="1:19" ht="52.5" customHeight="1" thickBot="1">
      <c r="B10" s="1136"/>
      <c r="C10" s="1161"/>
      <c r="D10" s="3733"/>
      <c r="E10" s="3736"/>
      <c r="F10" s="3713"/>
      <c r="G10" s="3720"/>
      <c r="H10" s="3720"/>
      <c r="I10" s="3716"/>
      <c r="J10" s="3061" t="s">
        <v>1292</v>
      </c>
      <c r="K10" s="3060" t="s">
        <v>1293</v>
      </c>
      <c r="L10" s="3061" t="s">
        <v>1292</v>
      </c>
      <c r="M10" s="3005" t="s">
        <v>1293</v>
      </c>
      <c r="N10" s="1162"/>
      <c r="O10" s="1163"/>
      <c r="P10" s="1164"/>
      <c r="Q10" s="1136"/>
      <c r="R10" s="1136"/>
      <c r="S10" s="1136"/>
    </row>
    <row r="11" spans="1:19" ht="92.25" customHeight="1">
      <c r="B11" s="1136"/>
      <c r="C11" s="1165"/>
      <c r="D11" s="3737" t="s">
        <v>1289</v>
      </c>
      <c r="E11" s="3068" t="s">
        <v>2559</v>
      </c>
      <c r="F11" s="3026" t="s">
        <v>712</v>
      </c>
      <c r="G11" s="3026" t="s">
        <v>712</v>
      </c>
      <c r="H11" s="3026" t="s">
        <v>712</v>
      </c>
      <c r="I11" s="2992">
        <f>'24'!P30</f>
        <v>753641</v>
      </c>
      <c r="J11" s="3087" t="s">
        <v>712</v>
      </c>
      <c r="K11" s="3008">
        <f>I11</f>
        <v>753641</v>
      </c>
      <c r="L11" s="3087" t="s">
        <v>712</v>
      </c>
      <c r="M11" s="3009">
        <v>18103895</v>
      </c>
      <c r="N11" s="1147"/>
      <c r="O11" s="1166"/>
      <c r="P11" s="1167">
        <v>-4769380</v>
      </c>
      <c r="Q11" s="1136"/>
      <c r="R11" s="1136"/>
      <c r="S11" s="1136"/>
    </row>
    <row r="12" spans="1:19" ht="92.25" customHeight="1" thickBot="1">
      <c r="B12" s="1136"/>
      <c r="C12" s="1165"/>
      <c r="D12" s="3725"/>
      <c r="E12" s="3069" t="s">
        <v>2560</v>
      </c>
      <c r="F12" s="2993" t="s">
        <v>712</v>
      </c>
      <c r="G12" s="2993" t="s">
        <v>712</v>
      </c>
      <c r="H12" s="2993" t="s">
        <v>712</v>
      </c>
      <c r="I12" s="3011">
        <f>'27'!E33</f>
        <v>61723758</v>
      </c>
      <c r="J12" s="3087" t="s">
        <v>712</v>
      </c>
      <c r="K12" s="3012">
        <f>I12</f>
        <v>61723758</v>
      </c>
      <c r="L12" s="3087" t="s">
        <v>712</v>
      </c>
      <c r="M12" s="3013">
        <v>55647734</v>
      </c>
      <c r="N12" s="1147"/>
      <c r="O12" s="1166"/>
      <c r="P12" s="1167"/>
      <c r="Q12" s="1136"/>
      <c r="R12" s="1136"/>
      <c r="S12" s="1136"/>
    </row>
    <row r="13" spans="1:19" ht="92.25" customHeight="1" thickBot="1">
      <c r="B13" s="1136"/>
      <c r="C13" s="1165"/>
      <c r="D13" s="3726"/>
      <c r="E13" s="3070" t="s">
        <v>1468</v>
      </c>
      <c r="F13" s="2997">
        <v>0</v>
      </c>
      <c r="G13" s="3067">
        <v>0</v>
      </c>
      <c r="H13" s="2997">
        <v>0</v>
      </c>
      <c r="I13" s="2997">
        <f>SUM(I11:I12)</f>
        <v>62477399</v>
      </c>
      <c r="J13" s="2997"/>
      <c r="K13" s="2997">
        <f>SUM(K11:K12)</f>
        <v>62477399</v>
      </c>
      <c r="L13" s="2997"/>
      <c r="M13" s="3016">
        <v>73751629</v>
      </c>
      <c r="N13" s="1147"/>
      <c r="O13" s="1166"/>
      <c r="P13" s="1167"/>
      <c r="Q13" s="1136"/>
      <c r="R13" s="1136"/>
      <c r="S13" s="1136"/>
    </row>
    <row r="14" spans="1:19" ht="74.25" customHeight="1">
      <c r="B14" s="1136"/>
      <c r="C14" s="1165"/>
      <c r="D14" s="3724" t="s">
        <v>2591</v>
      </c>
      <c r="E14" s="3068" t="s">
        <v>638</v>
      </c>
      <c r="F14" s="3017">
        <f>'20'!J33</f>
        <v>1268259</v>
      </c>
      <c r="G14" s="3017" t="s">
        <v>712</v>
      </c>
      <c r="H14" s="3017" t="s">
        <v>712</v>
      </c>
      <c r="I14" s="3017" t="s">
        <v>712</v>
      </c>
      <c r="J14" s="3007">
        <f>F14</f>
        <v>1268259</v>
      </c>
      <c r="K14" s="3017" t="s">
        <v>712</v>
      </c>
      <c r="L14" s="3017">
        <v>147110</v>
      </c>
      <c r="M14" s="3017" t="s">
        <v>712</v>
      </c>
      <c r="N14" s="1168"/>
      <c r="O14" s="1169"/>
      <c r="P14" s="1170">
        <v>-652163</v>
      </c>
      <c r="Q14" s="1136"/>
      <c r="R14" s="1136"/>
      <c r="S14" s="1136"/>
    </row>
    <row r="15" spans="1:19" ht="74.25" customHeight="1">
      <c r="B15" s="1136"/>
      <c r="C15" s="1165"/>
      <c r="D15" s="3725"/>
      <c r="E15" s="3071" t="s">
        <v>2675</v>
      </c>
      <c r="F15" s="3017">
        <f>'20'!J32</f>
        <v>1968451</v>
      </c>
      <c r="G15" s="3017" t="s">
        <v>712</v>
      </c>
      <c r="H15" s="3017" t="s">
        <v>712</v>
      </c>
      <c r="I15" s="3017" t="s">
        <v>712</v>
      </c>
      <c r="J15" s="3017">
        <f>F15</f>
        <v>1968451</v>
      </c>
      <c r="K15" s="3017" t="s">
        <v>712</v>
      </c>
      <c r="L15" s="3017" t="s">
        <v>712</v>
      </c>
      <c r="M15" s="3017" t="s">
        <v>712</v>
      </c>
      <c r="N15" s="1168"/>
      <c r="O15" s="1166"/>
      <c r="P15" s="1166"/>
      <c r="Q15" s="1136"/>
      <c r="R15" s="1136"/>
      <c r="S15" s="1136"/>
    </row>
    <row r="16" spans="1:19" ht="74.25" customHeight="1">
      <c r="B16" s="1136"/>
      <c r="C16" s="1165"/>
      <c r="D16" s="3725"/>
      <c r="E16" s="3073" t="s">
        <v>716</v>
      </c>
      <c r="F16" s="3064">
        <f>'20'!J34</f>
        <v>7359853</v>
      </c>
      <c r="G16" s="3017" t="s">
        <v>712</v>
      </c>
      <c r="H16" s="3017" t="s">
        <v>712</v>
      </c>
      <c r="I16" s="3017" t="s">
        <v>712</v>
      </c>
      <c r="J16" s="3019">
        <f>F16</f>
        <v>7359853</v>
      </c>
      <c r="K16" s="3017" t="s">
        <v>712</v>
      </c>
      <c r="L16" s="3011">
        <v>133497</v>
      </c>
      <c r="M16" s="3221" t="s">
        <v>712</v>
      </c>
      <c r="N16" s="1168"/>
      <c r="O16" s="1166"/>
      <c r="P16" s="1171">
        <v>307459</v>
      </c>
      <c r="Q16" s="1172"/>
      <c r="R16" s="1172"/>
      <c r="S16" s="1136"/>
    </row>
    <row r="17" spans="1:19" ht="74.25" customHeight="1" thickBot="1">
      <c r="B17" s="1136"/>
      <c r="C17" s="1165"/>
      <c r="D17" s="3725"/>
      <c r="E17" s="3322" t="s">
        <v>2827</v>
      </c>
      <c r="F17" s="3017">
        <f>'20'!J35</f>
        <v>312</v>
      </c>
      <c r="G17" s="3017">
        <f>'18'!N9</f>
        <v>4798180</v>
      </c>
      <c r="H17" s="3017">
        <f>'18'!N26</f>
        <v>575482</v>
      </c>
      <c r="I17" s="2993" t="s">
        <v>712</v>
      </c>
      <c r="J17" s="3019">
        <f>F17+G17+H17</f>
        <v>5373974</v>
      </c>
      <c r="K17" s="3017" t="s">
        <v>712</v>
      </c>
      <c r="L17" s="3011">
        <v>15470869</v>
      </c>
      <c r="M17" s="3222" t="s">
        <v>712</v>
      </c>
      <c r="N17" s="1168"/>
      <c r="O17" s="1166"/>
      <c r="P17" s="1171">
        <v>-333159</v>
      </c>
      <c r="Q17" s="1172"/>
      <c r="R17" s="1172"/>
      <c r="S17" s="1136"/>
    </row>
    <row r="18" spans="1:19" ht="74.25" customHeight="1" thickBot="1">
      <c r="B18" s="1136"/>
      <c r="C18" s="1165"/>
      <c r="D18" s="3726"/>
      <c r="E18" s="3321" t="s">
        <v>1468</v>
      </c>
      <c r="F18" s="2997">
        <f>SUM(F14:F17)</f>
        <v>10596875</v>
      </c>
      <c r="G18" s="2997">
        <f t="shared" ref="G18:I18" si="0">SUM(G14:G17)</f>
        <v>4798180</v>
      </c>
      <c r="H18" s="2997">
        <f t="shared" si="0"/>
        <v>575482</v>
      </c>
      <c r="I18" s="3067">
        <f t="shared" si="0"/>
        <v>0</v>
      </c>
      <c r="J18" s="2997">
        <f>SUM(J14:J17)</f>
        <v>15970537</v>
      </c>
      <c r="K18" s="2997"/>
      <c r="L18" s="2997">
        <f>SUM(L14:L17)</f>
        <v>15751476</v>
      </c>
      <c r="M18" s="3223">
        <f>SUM(M14:M17)</f>
        <v>0</v>
      </c>
      <c r="N18" s="1168"/>
      <c r="O18" s="1166"/>
      <c r="P18" s="1166"/>
      <c r="Q18" s="1136"/>
      <c r="R18" s="1136"/>
      <c r="S18" s="1136"/>
    </row>
    <row r="19" spans="1:19" ht="74.25" customHeight="1" thickBot="1">
      <c r="B19" s="1136"/>
      <c r="C19" s="1165"/>
      <c r="D19" s="3738" t="s">
        <v>2829</v>
      </c>
      <c r="E19" s="3320" t="s">
        <v>1498</v>
      </c>
      <c r="F19" s="3064">
        <f>'20'!J56</f>
        <v>49842</v>
      </c>
      <c r="G19" s="3017" t="s">
        <v>712</v>
      </c>
      <c r="H19" s="3017" t="s">
        <v>712</v>
      </c>
      <c r="I19" s="3017" t="s">
        <v>712</v>
      </c>
      <c r="J19" s="3065">
        <f>F19</f>
        <v>49842</v>
      </c>
      <c r="K19" s="3017" t="s">
        <v>712</v>
      </c>
      <c r="L19" s="3065">
        <v>96401</v>
      </c>
      <c r="M19" s="3017" t="s">
        <v>712</v>
      </c>
      <c r="N19" s="1168"/>
      <c r="O19" s="1166"/>
      <c r="P19" s="1166"/>
      <c r="Q19" s="1136"/>
      <c r="R19" s="1136"/>
      <c r="S19" s="1136"/>
    </row>
    <row r="20" spans="1:19" ht="86.25" customHeight="1" thickBot="1">
      <c r="B20" s="1136"/>
      <c r="C20" s="1165"/>
      <c r="D20" s="3739"/>
      <c r="E20" s="3070" t="s">
        <v>1468</v>
      </c>
      <c r="F20" s="3067">
        <f t="shared" ref="F20:M20" si="1">SUM(F19:F19)</f>
        <v>49842</v>
      </c>
      <c r="G20" s="3067">
        <f t="shared" si="1"/>
        <v>0</v>
      </c>
      <c r="H20" s="3067">
        <f t="shared" si="1"/>
        <v>0</v>
      </c>
      <c r="I20" s="3067">
        <f t="shared" si="1"/>
        <v>0</v>
      </c>
      <c r="J20" s="3067">
        <f t="shared" si="1"/>
        <v>49842</v>
      </c>
      <c r="K20" s="3067">
        <f t="shared" si="1"/>
        <v>0</v>
      </c>
      <c r="L20" s="3067">
        <f t="shared" si="1"/>
        <v>96401</v>
      </c>
      <c r="M20" s="3067">
        <f t="shared" si="1"/>
        <v>0</v>
      </c>
      <c r="N20" s="1168"/>
      <c r="O20" s="1166"/>
      <c r="P20" s="1166"/>
      <c r="Q20" s="3074">
        <f>F20-'20'!J61</f>
        <v>-1450087</v>
      </c>
      <c r="R20" s="1136"/>
      <c r="S20" s="1136"/>
    </row>
    <row r="21" spans="1:19" ht="75.75" customHeight="1" thickBot="1">
      <c r="B21" s="1136"/>
      <c r="C21" s="1165"/>
      <c r="D21" s="3693" t="s">
        <v>1321</v>
      </c>
      <c r="E21" s="3694"/>
      <c r="F21" s="3030">
        <f t="shared" ref="F21:M21" si="2">F20+F18+F13</f>
        <v>10646717</v>
      </c>
      <c r="G21" s="3030">
        <f t="shared" si="2"/>
        <v>4798180</v>
      </c>
      <c r="H21" s="3030">
        <f t="shared" si="2"/>
        <v>575482</v>
      </c>
      <c r="I21" s="3030">
        <f t="shared" si="2"/>
        <v>62477399</v>
      </c>
      <c r="J21" s="3030">
        <f t="shared" si="2"/>
        <v>16020379</v>
      </c>
      <c r="K21" s="3030">
        <f t="shared" si="2"/>
        <v>62477399</v>
      </c>
      <c r="L21" s="3030">
        <f t="shared" si="2"/>
        <v>15847877</v>
      </c>
      <c r="M21" s="3030">
        <f t="shared" si="2"/>
        <v>73751629</v>
      </c>
      <c r="N21" s="1173"/>
      <c r="O21" s="1174"/>
      <c r="P21" s="1175"/>
      <c r="Q21" s="1136"/>
      <c r="R21" s="1136"/>
      <c r="S21" s="1136"/>
    </row>
    <row r="22" spans="1:19" ht="79.5" customHeight="1" thickBot="1">
      <c r="B22" s="1136"/>
      <c r="C22" s="1165"/>
      <c r="D22" s="3698" t="s">
        <v>2279</v>
      </c>
      <c r="E22" s="3699"/>
      <c r="F22" s="3324">
        <v>11</v>
      </c>
      <c r="G22" s="3325">
        <v>8</v>
      </c>
      <c r="H22" s="3325">
        <v>8</v>
      </c>
      <c r="I22" s="3325">
        <v>17</v>
      </c>
      <c r="J22" s="3325">
        <v>11</v>
      </c>
      <c r="K22" s="3325">
        <v>17</v>
      </c>
      <c r="L22" s="3325">
        <v>11</v>
      </c>
      <c r="M22" s="3326">
        <v>17</v>
      </c>
      <c r="N22" s="1173"/>
      <c r="O22" s="1174"/>
      <c r="P22" s="1175"/>
      <c r="Q22" s="1136"/>
      <c r="R22" s="1136"/>
      <c r="S22" s="1136"/>
    </row>
    <row r="23" spans="1:19" ht="39.75" customHeight="1">
      <c r="B23" s="1136"/>
      <c r="C23" s="1165"/>
      <c r="D23" s="3055"/>
      <c r="E23" s="3055"/>
      <c r="F23" s="3056"/>
      <c r="G23" s="3056"/>
      <c r="H23" s="3056"/>
      <c r="I23" s="3056"/>
      <c r="J23" s="3056"/>
      <c r="K23" s="3056"/>
      <c r="L23" s="3056"/>
      <c r="M23" s="3056"/>
      <c r="N23" s="1173"/>
      <c r="O23" s="1174"/>
      <c r="P23" s="1175"/>
      <c r="Q23" s="1136"/>
      <c r="R23" s="1136"/>
      <c r="S23" s="1136"/>
    </row>
    <row r="24" spans="1:19" ht="57" customHeight="1">
      <c r="B24" s="3697" t="s">
        <v>2344</v>
      </c>
      <c r="C24" s="3697"/>
      <c r="D24" s="3695" t="s">
        <v>2707</v>
      </c>
      <c r="E24" s="3696"/>
      <c r="F24" s="3696"/>
      <c r="G24" s="3696"/>
      <c r="H24" s="3696"/>
      <c r="I24" s="3696"/>
      <c r="J24" s="3696"/>
      <c r="K24" s="3696"/>
      <c r="L24" s="3696"/>
      <c r="M24" s="3696"/>
      <c r="N24" s="1173"/>
      <c r="O24" s="1174"/>
      <c r="P24" s="1175"/>
      <c r="Q24" s="1136"/>
      <c r="R24" s="1136"/>
      <c r="S24" s="1136"/>
    </row>
    <row r="25" spans="1:19" ht="96.75" hidden="1" customHeight="1">
      <c r="B25" s="1177" t="s">
        <v>1711</v>
      </c>
      <c r="C25" s="1178" t="s">
        <v>1415</v>
      </c>
      <c r="D25" s="1179"/>
      <c r="E25" s="1180"/>
      <c r="F25" s="1181"/>
      <c r="G25" s="1181"/>
      <c r="H25" s="1181"/>
      <c r="I25" s="1182"/>
      <c r="J25" s="1182"/>
      <c r="K25" s="1182"/>
      <c r="L25" s="1182"/>
      <c r="M25" s="1182"/>
      <c r="N25" s="1183"/>
      <c r="O25" s="1184"/>
      <c r="P25" s="1136"/>
      <c r="Q25" s="1136"/>
      <c r="R25" s="1136"/>
      <c r="S25" s="1136"/>
    </row>
    <row r="26" spans="1:19" ht="96.75" hidden="1" customHeight="1">
      <c r="B26" s="1179"/>
      <c r="C26" s="1176" t="s">
        <v>1740</v>
      </c>
      <c r="D26" s="3685" t="s">
        <v>1752</v>
      </c>
      <c r="E26" s="3685"/>
      <c r="F26" s="1181"/>
      <c r="G26" s="1181"/>
      <c r="H26" s="1181"/>
      <c r="I26" s="1140"/>
      <c r="J26" s="1140"/>
      <c r="K26" s="1140"/>
      <c r="L26" s="1140"/>
      <c r="M26" s="1140"/>
      <c r="N26" s="1185"/>
      <c r="O26" s="1186"/>
      <c r="P26" s="1136"/>
      <c r="Q26" s="1136"/>
      <c r="R26" s="1136"/>
      <c r="S26" s="1136"/>
    </row>
    <row r="27" spans="1:19" ht="42.75" customHeight="1">
      <c r="B27" s="1179"/>
      <c r="C27" s="1187"/>
      <c r="D27" s="3685"/>
      <c r="E27" s="3685"/>
      <c r="F27" s="1181"/>
      <c r="G27" s="1181"/>
      <c r="H27" s="1181"/>
      <c r="I27" s="1140"/>
      <c r="J27" s="1140"/>
      <c r="K27" s="1140"/>
      <c r="L27" s="1140"/>
      <c r="M27" s="1140"/>
      <c r="N27" s="1185"/>
      <c r="O27" s="1186"/>
      <c r="P27" s="1136"/>
      <c r="Q27" s="1136"/>
      <c r="R27" s="1136"/>
      <c r="S27" s="1136"/>
    </row>
    <row r="28" spans="1:19" ht="3.75" customHeight="1">
      <c r="B28" s="1136"/>
      <c r="C28" s="1181"/>
      <c r="D28" s="1136"/>
      <c r="E28" s="1136"/>
      <c r="F28" s="1136"/>
      <c r="G28" s="1136"/>
      <c r="H28" s="1136"/>
      <c r="I28" s="1136"/>
      <c r="J28" s="1136"/>
      <c r="K28" s="1136"/>
      <c r="L28" s="1136"/>
      <c r="M28" s="1136"/>
      <c r="N28" s="1136"/>
      <c r="O28" s="1136"/>
      <c r="P28" s="1136"/>
      <c r="Q28" s="1136"/>
      <c r="R28" s="1136"/>
      <c r="S28" s="1136"/>
    </row>
    <row r="29" spans="1:19" ht="16.5" hidden="1" customHeight="1">
      <c r="B29" s="1136"/>
      <c r="C29" s="1188"/>
      <c r="D29" s="1136"/>
      <c r="E29" s="1136"/>
      <c r="F29" s="1136"/>
      <c r="G29" s="1136"/>
      <c r="H29" s="1136"/>
      <c r="I29" s="1136"/>
      <c r="J29" s="1136"/>
      <c r="K29" s="1136"/>
      <c r="L29" s="1136"/>
      <c r="M29" s="1136"/>
      <c r="N29" s="1136"/>
      <c r="O29" s="1136"/>
      <c r="P29" s="1136"/>
      <c r="Q29" s="1136"/>
      <c r="R29" s="1136"/>
      <c r="S29" s="1136"/>
    </row>
    <row r="30" spans="1:19" ht="29.25" hidden="1" customHeight="1">
      <c r="B30" s="1136"/>
      <c r="C30" s="1188"/>
      <c r="D30" s="1136"/>
      <c r="E30" s="1136"/>
      <c r="F30" s="1136"/>
      <c r="G30" s="1136"/>
      <c r="H30" s="1136"/>
      <c r="I30" s="1136"/>
      <c r="J30" s="1136"/>
      <c r="K30" s="1136"/>
      <c r="L30" s="1136"/>
      <c r="M30" s="1136"/>
      <c r="N30" s="1136"/>
      <c r="O30" s="1136"/>
      <c r="P30" s="1136"/>
      <c r="Q30" s="1136"/>
      <c r="R30" s="1136"/>
      <c r="S30" s="1136"/>
    </row>
    <row r="31" spans="1:19" ht="409.6" customHeight="1">
      <c r="A31" s="3686">
        <v>34</v>
      </c>
      <c r="B31" s="3686"/>
      <c r="C31" s="3686"/>
      <c r="D31" s="3686"/>
      <c r="E31" s="3686"/>
      <c r="F31" s="3686"/>
      <c r="G31" s="3686"/>
      <c r="H31" s="3686"/>
      <c r="I31" s="3686"/>
      <c r="J31" s="3686"/>
      <c r="K31" s="3686"/>
      <c r="L31" s="3686"/>
      <c r="M31" s="3686"/>
      <c r="N31" s="3062"/>
    </row>
    <row r="45" spans="12:12" ht="39.75" customHeight="1">
      <c r="L45" s="241">
        <v>-7717613</v>
      </c>
    </row>
  </sheetData>
  <mergeCells count="23">
    <mergeCell ref="A31:M31"/>
    <mergeCell ref="D19:D20"/>
    <mergeCell ref="D21:E21"/>
    <mergeCell ref="D22:E22"/>
    <mergeCell ref="B24:C24"/>
    <mergeCell ref="D24:M24"/>
    <mergeCell ref="D26:E26"/>
    <mergeCell ref="D27:E27"/>
    <mergeCell ref="A1:M1"/>
    <mergeCell ref="A2:M2"/>
    <mergeCell ref="A3:M3"/>
    <mergeCell ref="D14:D18"/>
    <mergeCell ref="D8:D10"/>
    <mergeCell ref="E8:E10"/>
    <mergeCell ref="F8:F10"/>
    <mergeCell ref="G8:G10"/>
    <mergeCell ref="J8:K8"/>
    <mergeCell ref="L8:M8"/>
    <mergeCell ref="J9:K9"/>
    <mergeCell ref="L9:M9"/>
    <mergeCell ref="D11:D13"/>
    <mergeCell ref="H8:H10"/>
    <mergeCell ref="I8:I10"/>
  </mergeCells>
  <printOptions horizontalCentered="1" verticalCentered="1"/>
  <pageMargins left="0" right="0" top="0" bottom="0" header="0" footer="0"/>
  <pageSetup paperSize="9" scale="23"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C574"/>
  <sheetViews>
    <sheetView rightToLeft="1" zoomScale="91" zoomScaleNormal="91" zoomScaleSheetLayoutView="98" workbookViewId="0">
      <pane ySplit="2" topLeftCell="A3" activePane="bottomLeft" state="frozen"/>
      <selection activeCell="E19" sqref="E19:G19"/>
      <selection pane="bottomLeft" activeCell="E19" sqref="E19:G19"/>
    </sheetView>
  </sheetViews>
  <sheetFormatPr defaultColWidth="1.375" defaultRowHeight="19.5" customHeight="1"/>
  <cols>
    <col min="1" max="1" width="7.625" style="545" bestFit="1" customWidth="1"/>
    <col min="2" max="2" width="8" style="545" bestFit="1" customWidth="1"/>
    <col min="3" max="3" width="5.625" style="528" bestFit="1" customWidth="1"/>
    <col min="4" max="4" width="24" style="1035" customWidth="1"/>
    <col min="5" max="5" width="33.75" style="1030" bestFit="1" customWidth="1"/>
    <col min="6" max="6" width="20.625" style="545" customWidth="1"/>
    <col min="7" max="9" width="19.375" style="545" customWidth="1"/>
    <col min="10" max="10" width="19" style="545" customWidth="1"/>
    <col min="11" max="11" width="20.25" style="545" customWidth="1"/>
    <col min="12" max="12" width="19.375" style="545" customWidth="1"/>
    <col min="13" max="13" width="17.75" style="545" customWidth="1"/>
    <col min="14" max="14" width="18.375" style="545" customWidth="1"/>
    <col min="15" max="15" width="17.75" style="545" customWidth="1"/>
    <col min="16" max="18" width="19.875" style="545" customWidth="1"/>
    <col min="19" max="19" width="21.25" style="1012" bestFit="1" customWidth="1"/>
    <col min="20" max="20" width="20.625" style="545" customWidth="1"/>
    <col min="21" max="21" width="14.25" style="995" customWidth="1"/>
    <col min="22" max="22" width="12.625" style="545" customWidth="1"/>
    <col min="23" max="23" width="20.625" style="545" bestFit="1" customWidth="1"/>
    <col min="24" max="24" width="23" style="545" customWidth="1"/>
    <col min="25" max="25" width="21" style="995" bestFit="1" customWidth="1"/>
    <col min="26" max="26" width="13.875" style="545" bestFit="1" customWidth="1"/>
    <col min="27" max="28" width="1.375" style="545"/>
    <col min="29" max="29" width="6.25" style="545" customWidth="1"/>
    <col min="30" max="16384" width="1.375" style="545"/>
  </cols>
  <sheetData>
    <row r="1" spans="1:29" s="556" customFormat="1" ht="18.75" customHeight="1">
      <c r="A1" s="3335" t="s">
        <v>1641</v>
      </c>
      <c r="B1" s="3335" t="s">
        <v>1617</v>
      </c>
      <c r="C1" s="3337" t="s">
        <v>1616</v>
      </c>
      <c r="D1" s="1032"/>
      <c r="E1" s="3339" t="s">
        <v>62</v>
      </c>
      <c r="F1" s="3343" t="s">
        <v>1525</v>
      </c>
      <c r="G1" s="3343" t="s">
        <v>1526</v>
      </c>
      <c r="H1" s="3343" t="s">
        <v>1527</v>
      </c>
      <c r="I1" s="3343" t="s">
        <v>1357</v>
      </c>
      <c r="J1" s="3343" t="s">
        <v>1358</v>
      </c>
      <c r="K1" s="3343" t="s">
        <v>1452</v>
      </c>
      <c r="L1" s="3343" t="s">
        <v>1416</v>
      </c>
      <c r="M1" s="3343" t="s">
        <v>1417</v>
      </c>
      <c r="N1" s="3343" t="s">
        <v>1418</v>
      </c>
      <c r="O1" s="3343" t="s">
        <v>1472</v>
      </c>
      <c r="P1" s="3343" t="s">
        <v>1528</v>
      </c>
      <c r="Q1" s="1282" t="s">
        <v>1784</v>
      </c>
      <c r="R1" s="1282" t="s">
        <v>1785</v>
      </c>
      <c r="S1" s="3376" t="s">
        <v>1753</v>
      </c>
      <c r="T1" s="3347">
        <v>1396</v>
      </c>
      <c r="U1" s="3357">
        <v>1397</v>
      </c>
      <c r="V1" s="3347">
        <v>1396</v>
      </c>
      <c r="W1" s="3353" t="s">
        <v>1450</v>
      </c>
      <c r="X1" s="3355" t="s">
        <v>1451</v>
      </c>
      <c r="Y1" s="3357" t="s">
        <v>1754</v>
      </c>
      <c r="Z1" s="3347" t="s">
        <v>1755</v>
      </c>
    </row>
    <row r="2" spans="1:29" s="557" customFormat="1" ht="18.75" customHeight="1">
      <c r="A2" s="3336"/>
      <c r="B2" s="3336"/>
      <c r="C2" s="3338"/>
      <c r="D2" s="1033"/>
      <c r="E2" s="3340"/>
      <c r="F2" s="3344"/>
      <c r="G2" s="3344"/>
      <c r="H2" s="3344"/>
      <c r="I2" s="3344"/>
      <c r="J2" s="3344"/>
      <c r="K2" s="3344"/>
      <c r="L2" s="3344"/>
      <c r="M2" s="3344"/>
      <c r="N2" s="3344"/>
      <c r="O2" s="3344"/>
      <c r="P2" s="3344"/>
      <c r="Q2" s="1283"/>
      <c r="R2" s="1283"/>
      <c r="S2" s="3346"/>
      <c r="T2" s="3348"/>
      <c r="U2" s="3358"/>
      <c r="V2" s="3348"/>
      <c r="W2" s="3354"/>
      <c r="X2" s="3356"/>
      <c r="Y2" s="3358"/>
      <c r="Z2" s="3348"/>
    </row>
    <row r="3" spans="1:29" ht="27" customHeight="1">
      <c r="A3" s="531"/>
      <c r="B3" s="531">
        <v>1012</v>
      </c>
      <c r="C3" s="529">
        <v>10</v>
      </c>
      <c r="D3" s="1027" t="s">
        <v>425</v>
      </c>
      <c r="E3" s="1028" t="s">
        <v>426</v>
      </c>
      <c r="F3" s="547">
        <v>-9626000</v>
      </c>
      <c r="G3" s="547">
        <v>0</v>
      </c>
      <c r="H3" s="547"/>
      <c r="I3" s="547"/>
      <c r="J3" s="547"/>
      <c r="K3" s="547"/>
      <c r="L3" s="547"/>
      <c r="M3" s="547"/>
      <c r="N3" s="547"/>
      <c r="O3" s="547"/>
      <c r="P3" s="547"/>
      <c r="Q3" s="547"/>
      <c r="R3" s="547">
        <v>0</v>
      </c>
      <c r="S3" s="989">
        <f>SUM(F3:R3)</f>
        <v>-9626000</v>
      </c>
      <c r="T3" s="547">
        <v>-10626000</v>
      </c>
      <c r="U3" s="989">
        <f>ROUND((S3/1000000),0)</f>
        <v>-10</v>
      </c>
      <c r="V3" s="547">
        <v>-11</v>
      </c>
      <c r="W3" s="566"/>
      <c r="X3" s="567"/>
      <c r="Y3" s="989">
        <f>S3+X3-W3</f>
        <v>-9626000</v>
      </c>
      <c r="Z3" s="812">
        <f>ROUND((Y3/1000000),0)</f>
        <v>-10</v>
      </c>
      <c r="AC3" s="812">
        <f>U3-Z3</f>
        <v>0</v>
      </c>
    </row>
    <row r="4" spans="1:29" ht="27" customHeight="1">
      <c r="A4" s="531"/>
      <c r="B4" s="531">
        <v>1009</v>
      </c>
      <c r="C4" s="529">
        <v>10</v>
      </c>
      <c r="D4" s="1027" t="s">
        <v>1201</v>
      </c>
      <c r="E4" s="1028" t="s">
        <v>1081</v>
      </c>
      <c r="F4" s="547">
        <v>14714000</v>
      </c>
      <c r="G4" s="547"/>
      <c r="H4" s="547"/>
      <c r="I4" s="547"/>
      <c r="J4" s="547"/>
      <c r="K4" s="547"/>
      <c r="L4" s="547"/>
      <c r="M4" s="547"/>
      <c r="N4" s="547"/>
      <c r="O4" s="547"/>
      <c r="P4" s="547"/>
      <c r="Q4" s="547"/>
      <c r="R4" s="547"/>
      <c r="S4" s="989">
        <f t="shared" ref="S4:S68" si="0">SUM(F4:R4)</f>
        <v>14714000</v>
      </c>
      <c r="T4" s="547">
        <v>14714000</v>
      </c>
      <c r="U4" s="989">
        <f t="shared" ref="U4:U68" si="1">ROUND((S4/1000000),0)</f>
        <v>15</v>
      </c>
      <c r="V4" s="547">
        <v>15</v>
      </c>
      <c r="W4" s="566"/>
      <c r="X4" s="567"/>
      <c r="Y4" s="989">
        <f t="shared" ref="Y4:Y68" si="2">S4+X4-W4</f>
        <v>14714000</v>
      </c>
      <c r="Z4" s="812">
        <f t="shared" ref="Z4:Z68" si="3">ROUND((Y4/1000000),0)</f>
        <v>15</v>
      </c>
    </row>
    <row r="5" spans="1:29" ht="27" customHeight="1">
      <c r="A5" s="531"/>
      <c r="B5" s="531">
        <v>401</v>
      </c>
      <c r="C5" s="529">
        <v>4</v>
      </c>
      <c r="D5" s="1027" t="s">
        <v>824</v>
      </c>
      <c r="E5" s="1028" t="s">
        <v>825</v>
      </c>
      <c r="F5" s="547"/>
      <c r="G5" s="547"/>
      <c r="H5" s="547"/>
      <c r="I5" s="547"/>
      <c r="J5" s="547"/>
      <c r="K5" s="547"/>
      <c r="L5" s="547"/>
      <c r="M5" s="547"/>
      <c r="N5" s="547"/>
      <c r="O5" s="547"/>
      <c r="P5" s="547"/>
      <c r="Q5" s="547"/>
      <c r="R5" s="547"/>
      <c r="S5" s="989">
        <f t="shared" si="0"/>
        <v>0</v>
      </c>
      <c r="T5" s="547">
        <v>0</v>
      </c>
      <c r="U5" s="989">
        <f t="shared" si="1"/>
        <v>0</v>
      </c>
      <c r="V5" s="547">
        <v>0</v>
      </c>
      <c r="W5" s="566"/>
      <c r="X5" s="567"/>
      <c r="Y5" s="989">
        <f t="shared" si="2"/>
        <v>0</v>
      </c>
      <c r="Z5" s="812">
        <f t="shared" si="3"/>
        <v>0</v>
      </c>
    </row>
    <row r="6" spans="1:29" ht="27" customHeight="1">
      <c r="A6" s="531"/>
      <c r="B6" s="531">
        <v>1009</v>
      </c>
      <c r="C6" s="529">
        <v>10</v>
      </c>
      <c r="D6" s="1027" t="s">
        <v>607</v>
      </c>
      <c r="E6" s="1028" t="s">
        <v>606</v>
      </c>
      <c r="F6" s="547"/>
      <c r="G6" s="547"/>
      <c r="H6" s="547"/>
      <c r="I6" s="547"/>
      <c r="J6" s="547"/>
      <c r="K6" s="547"/>
      <c r="L6" s="547"/>
      <c r="M6" s="547"/>
      <c r="N6" s="547"/>
      <c r="O6" s="547"/>
      <c r="P6" s="547"/>
      <c r="Q6" s="547"/>
      <c r="R6" s="547"/>
      <c r="S6" s="989">
        <f t="shared" si="0"/>
        <v>0</v>
      </c>
      <c r="T6" s="547">
        <v>-9166674</v>
      </c>
      <c r="U6" s="989">
        <f t="shared" si="1"/>
        <v>0</v>
      </c>
      <c r="V6" s="547">
        <v>-9</v>
      </c>
      <c r="W6" s="566"/>
      <c r="X6" s="567"/>
      <c r="Y6" s="989">
        <f t="shared" si="2"/>
        <v>0</v>
      </c>
      <c r="Z6" s="812">
        <f t="shared" si="3"/>
        <v>0</v>
      </c>
    </row>
    <row r="7" spans="1:29" ht="27" customHeight="1">
      <c r="A7" s="531"/>
      <c r="B7" s="531"/>
      <c r="C7" s="529"/>
      <c r="D7" s="1027">
        <v>6503855</v>
      </c>
      <c r="E7" s="1028"/>
      <c r="F7" s="547"/>
      <c r="G7" s="547"/>
      <c r="H7" s="547"/>
      <c r="I7" s="547"/>
      <c r="J7" s="547"/>
      <c r="K7" s="547"/>
      <c r="L7" s="547"/>
      <c r="M7" s="547"/>
      <c r="N7" s="547"/>
      <c r="O7" s="547"/>
      <c r="P7" s="547"/>
      <c r="Q7" s="547"/>
      <c r="R7" s="547"/>
      <c r="S7" s="989"/>
      <c r="T7" s="547"/>
      <c r="U7" s="989"/>
      <c r="V7" s="547"/>
      <c r="W7" s="566"/>
      <c r="X7" s="567"/>
      <c r="Y7" s="989"/>
      <c r="Z7" s="812"/>
    </row>
    <row r="8" spans="1:29" ht="27" customHeight="1">
      <c r="A8" s="531"/>
      <c r="B8" s="531">
        <v>1009</v>
      </c>
      <c r="C8" s="529">
        <v>10</v>
      </c>
      <c r="D8" s="1027" t="s">
        <v>872</v>
      </c>
      <c r="E8" s="1028" t="s">
        <v>826</v>
      </c>
      <c r="F8" s="547">
        <v>0</v>
      </c>
      <c r="G8" s="547"/>
      <c r="H8" s="547"/>
      <c r="I8" s="547"/>
      <c r="J8" s="547"/>
      <c r="K8" s="547"/>
      <c r="L8" s="547"/>
      <c r="M8" s="547"/>
      <c r="N8" s="547"/>
      <c r="O8" s="547"/>
      <c r="P8" s="547"/>
      <c r="Q8" s="547"/>
      <c r="R8" s="547"/>
      <c r="S8" s="989">
        <f t="shared" si="0"/>
        <v>0</v>
      </c>
      <c r="T8" s="547">
        <v>0</v>
      </c>
      <c r="U8" s="989">
        <f t="shared" si="1"/>
        <v>0</v>
      </c>
      <c r="V8" s="547">
        <v>0</v>
      </c>
      <c r="W8" s="566"/>
      <c r="X8" s="567"/>
      <c r="Y8" s="989">
        <f t="shared" si="2"/>
        <v>0</v>
      </c>
      <c r="Z8" s="812">
        <f t="shared" si="3"/>
        <v>0</v>
      </c>
    </row>
    <row r="9" spans="1:29" ht="27" customHeight="1">
      <c r="A9" s="531"/>
      <c r="B9" s="531">
        <v>1009</v>
      </c>
      <c r="C9" s="529">
        <v>10</v>
      </c>
      <c r="D9" s="1027" t="s">
        <v>427</v>
      </c>
      <c r="E9" s="1029" t="s">
        <v>774</v>
      </c>
      <c r="F9" s="547">
        <v>-15613794</v>
      </c>
      <c r="G9" s="547"/>
      <c r="H9" s="547"/>
      <c r="I9" s="547"/>
      <c r="J9" s="547"/>
      <c r="K9" s="547"/>
      <c r="L9" s="547"/>
      <c r="M9" s="547"/>
      <c r="N9" s="547"/>
      <c r="O9" s="547"/>
      <c r="P9" s="547"/>
      <c r="Q9" s="547"/>
      <c r="R9" s="547"/>
      <c r="S9" s="989">
        <f t="shared" si="0"/>
        <v>-15613794</v>
      </c>
      <c r="T9" s="547">
        <v>46284638</v>
      </c>
      <c r="U9" s="989">
        <f t="shared" si="1"/>
        <v>-16</v>
      </c>
      <c r="V9" s="547">
        <v>46</v>
      </c>
      <c r="W9" s="566"/>
      <c r="X9" s="567"/>
      <c r="Y9" s="989">
        <f t="shared" si="2"/>
        <v>-15613794</v>
      </c>
      <c r="Z9" s="812">
        <f t="shared" si="3"/>
        <v>-16</v>
      </c>
    </row>
    <row r="10" spans="1:29" ht="27" customHeight="1">
      <c r="A10" s="531"/>
      <c r="B10" s="531">
        <v>1009</v>
      </c>
      <c r="C10" s="529">
        <v>10</v>
      </c>
      <c r="D10" s="1027" t="s">
        <v>828</v>
      </c>
      <c r="E10" s="1028" t="s">
        <v>829</v>
      </c>
      <c r="F10" s="547"/>
      <c r="G10" s="547"/>
      <c r="H10" s="547"/>
      <c r="I10" s="547"/>
      <c r="J10" s="547"/>
      <c r="K10" s="547"/>
      <c r="L10" s="547"/>
      <c r="M10" s="547"/>
      <c r="N10" s="547"/>
      <c r="O10" s="547"/>
      <c r="P10" s="547"/>
      <c r="Q10" s="547"/>
      <c r="R10" s="547"/>
      <c r="S10" s="989">
        <f t="shared" si="0"/>
        <v>0</v>
      </c>
      <c r="T10" s="547">
        <v>0</v>
      </c>
      <c r="U10" s="989">
        <f t="shared" si="1"/>
        <v>0</v>
      </c>
      <c r="V10" s="547">
        <v>0</v>
      </c>
      <c r="W10" s="566"/>
      <c r="X10" s="567"/>
      <c r="Y10" s="989">
        <f t="shared" si="2"/>
        <v>0</v>
      </c>
      <c r="Z10" s="812">
        <f t="shared" si="3"/>
        <v>0</v>
      </c>
    </row>
    <row r="11" spans="1:29" ht="27" customHeight="1">
      <c r="A11" s="531"/>
      <c r="B11" s="531">
        <v>1009</v>
      </c>
      <c r="C11" s="1021">
        <v>10</v>
      </c>
      <c r="D11" s="1027" t="s">
        <v>1419</v>
      </c>
      <c r="E11" s="1028" t="s">
        <v>1263</v>
      </c>
      <c r="F11" s="547">
        <v>-51169475</v>
      </c>
      <c r="G11" s="547"/>
      <c r="H11" s="547"/>
      <c r="I11" s="547"/>
      <c r="J11" s="547"/>
      <c r="K11" s="547"/>
      <c r="L11" s="547"/>
      <c r="M11" s="547"/>
      <c r="N11" s="547"/>
      <c r="O11" s="547"/>
      <c r="P11" s="547"/>
      <c r="Q11" s="547"/>
      <c r="R11" s="547"/>
      <c r="S11" s="989">
        <f t="shared" si="0"/>
        <v>-51169475</v>
      </c>
      <c r="T11" s="547">
        <v>-334509475</v>
      </c>
      <c r="U11" s="989">
        <f t="shared" si="1"/>
        <v>-51</v>
      </c>
      <c r="V11" s="547">
        <v>-335</v>
      </c>
      <c r="W11" s="566"/>
      <c r="X11" s="567"/>
      <c r="Y11" s="989">
        <f t="shared" si="2"/>
        <v>-51169475</v>
      </c>
      <c r="Z11" s="812">
        <f t="shared" si="3"/>
        <v>-51</v>
      </c>
    </row>
    <row r="12" spans="1:29" ht="27" customHeight="1">
      <c r="A12" s="531"/>
      <c r="B12" s="531">
        <v>1009</v>
      </c>
      <c r="C12" s="529">
        <v>10</v>
      </c>
      <c r="D12" s="1027" t="s">
        <v>1166</v>
      </c>
      <c r="E12" s="1028" t="s">
        <v>1167</v>
      </c>
      <c r="F12" s="547">
        <v>-3665727</v>
      </c>
      <c r="G12" s="547">
        <v>-1351800</v>
      </c>
      <c r="H12" s="547"/>
      <c r="I12" s="547"/>
      <c r="J12" s="547"/>
      <c r="K12" s="547"/>
      <c r="L12" s="547"/>
      <c r="M12" s="547"/>
      <c r="N12" s="547"/>
      <c r="O12" s="547"/>
      <c r="P12" s="547"/>
      <c r="Q12" s="547"/>
      <c r="R12" s="547"/>
      <c r="S12" s="989">
        <f t="shared" si="0"/>
        <v>-5017527</v>
      </c>
      <c r="T12" s="547">
        <v>-5083052</v>
      </c>
      <c r="U12" s="989">
        <f t="shared" si="1"/>
        <v>-5</v>
      </c>
      <c r="V12" s="547">
        <v>-5</v>
      </c>
      <c r="W12" s="566"/>
      <c r="X12" s="567"/>
      <c r="Y12" s="989">
        <f t="shared" si="2"/>
        <v>-5017527</v>
      </c>
      <c r="Z12" s="812">
        <f t="shared" si="3"/>
        <v>-5</v>
      </c>
    </row>
    <row r="13" spans="1:29" ht="27" customHeight="1">
      <c r="A13" s="531"/>
      <c r="B13" s="531">
        <v>1009</v>
      </c>
      <c r="C13" s="529">
        <v>10</v>
      </c>
      <c r="D13" s="1027" t="s">
        <v>1224</v>
      </c>
      <c r="E13" s="1028" t="s">
        <v>1225</v>
      </c>
      <c r="F13" s="547">
        <v>33500000</v>
      </c>
      <c r="G13" s="547"/>
      <c r="H13" s="547"/>
      <c r="I13" s="547"/>
      <c r="J13" s="547"/>
      <c r="K13" s="547"/>
      <c r="L13" s="547"/>
      <c r="M13" s="547"/>
      <c r="N13" s="547"/>
      <c r="O13" s="547"/>
      <c r="P13" s="547"/>
      <c r="Q13" s="547"/>
      <c r="R13" s="547"/>
      <c r="S13" s="989">
        <f t="shared" si="0"/>
        <v>33500000</v>
      </c>
      <c r="T13" s="547">
        <v>30500000</v>
      </c>
      <c r="U13" s="989">
        <f t="shared" si="1"/>
        <v>34</v>
      </c>
      <c r="V13" s="547">
        <v>31</v>
      </c>
      <c r="W13" s="566"/>
      <c r="X13" s="567"/>
      <c r="Y13" s="989">
        <f t="shared" si="2"/>
        <v>33500000</v>
      </c>
      <c r="Z13" s="812">
        <f t="shared" si="3"/>
        <v>34</v>
      </c>
    </row>
    <row r="14" spans="1:29" ht="27" customHeight="1">
      <c r="A14" s="531"/>
      <c r="B14" s="531">
        <v>1009</v>
      </c>
      <c r="C14" s="529">
        <v>10</v>
      </c>
      <c r="D14" s="1027" t="s">
        <v>430</v>
      </c>
      <c r="E14" s="1028" t="s">
        <v>431</v>
      </c>
      <c r="F14" s="547">
        <v>-24200000</v>
      </c>
      <c r="G14" s="547"/>
      <c r="H14" s="547">
        <v>21000000</v>
      </c>
      <c r="I14" s="547"/>
      <c r="J14" s="547"/>
      <c r="K14" s="547"/>
      <c r="L14" s="547"/>
      <c r="M14" s="547"/>
      <c r="N14" s="547"/>
      <c r="O14" s="547"/>
      <c r="P14" s="547"/>
      <c r="Q14" s="547"/>
      <c r="R14" s="547"/>
      <c r="S14" s="989">
        <f t="shared" si="0"/>
        <v>-3200000</v>
      </c>
      <c r="T14" s="547">
        <v>-3200000</v>
      </c>
      <c r="U14" s="989">
        <f t="shared" si="1"/>
        <v>-3</v>
      </c>
      <c r="V14" s="547">
        <v>-3</v>
      </c>
      <c r="W14" s="566"/>
      <c r="X14" s="567"/>
      <c r="Y14" s="989">
        <f t="shared" si="2"/>
        <v>-3200000</v>
      </c>
      <c r="Z14" s="812">
        <f t="shared" si="3"/>
        <v>-3</v>
      </c>
    </row>
    <row r="15" spans="1:29" ht="27" customHeight="1">
      <c r="A15" s="531"/>
      <c r="B15" s="531">
        <v>401</v>
      </c>
      <c r="C15" s="529">
        <v>4</v>
      </c>
      <c r="D15" s="1027" t="s">
        <v>432</v>
      </c>
      <c r="E15" s="1028" t="s">
        <v>433</v>
      </c>
      <c r="F15" s="547">
        <v>-2730698809</v>
      </c>
      <c r="G15" s="547"/>
      <c r="H15" s="547">
        <v>-10000000</v>
      </c>
      <c r="I15" s="547"/>
      <c r="J15" s="547"/>
      <c r="K15" s="547"/>
      <c r="L15" s="547"/>
      <c r="M15" s="547"/>
      <c r="N15" s="547"/>
      <c r="O15" s="547"/>
      <c r="P15" s="547"/>
      <c r="Q15" s="547"/>
      <c r="R15" s="547"/>
      <c r="S15" s="989">
        <f t="shared" si="0"/>
        <v>-2740698809</v>
      </c>
      <c r="T15" s="547">
        <v>-419410921</v>
      </c>
      <c r="U15" s="989">
        <f t="shared" si="1"/>
        <v>-2741</v>
      </c>
      <c r="V15" s="547">
        <v>-419</v>
      </c>
      <c r="W15" s="566"/>
      <c r="X15" s="567"/>
      <c r="Y15" s="989">
        <f t="shared" si="2"/>
        <v>-2740698809</v>
      </c>
      <c r="Z15" s="812">
        <f t="shared" si="3"/>
        <v>-2741</v>
      </c>
    </row>
    <row r="16" spans="1:29" ht="42.75" customHeight="1">
      <c r="A16" s="531"/>
      <c r="B16" s="531">
        <v>401</v>
      </c>
      <c r="C16" s="529">
        <v>4</v>
      </c>
      <c r="D16" s="1027" t="s">
        <v>924</v>
      </c>
      <c r="E16" s="1029" t="s">
        <v>925</v>
      </c>
      <c r="F16" s="547"/>
      <c r="G16" s="547"/>
      <c r="H16" s="547"/>
      <c r="I16" s="547"/>
      <c r="J16" s="547"/>
      <c r="K16" s="547"/>
      <c r="L16" s="547"/>
      <c r="M16" s="547"/>
      <c r="N16" s="547"/>
      <c r="O16" s="547"/>
      <c r="P16" s="547"/>
      <c r="Q16" s="547"/>
      <c r="R16" s="547"/>
      <c r="S16" s="989">
        <f t="shared" si="0"/>
        <v>0</v>
      </c>
      <c r="T16" s="547">
        <v>15689580</v>
      </c>
      <c r="U16" s="989">
        <f t="shared" si="1"/>
        <v>0</v>
      </c>
      <c r="V16" s="547">
        <v>16</v>
      </c>
      <c r="W16" s="566"/>
      <c r="X16" s="567"/>
      <c r="Y16" s="989">
        <f t="shared" si="2"/>
        <v>0</v>
      </c>
      <c r="Z16" s="812">
        <f t="shared" si="3"/>
        <v>0</v>
      </c>
    </row>
    <row r="17" spans="1:26" ht="27" customHeight="1">
      <c r="A17" s="531"/>
      <c r="B17" s="531">
        <v>1009</v>
      </c>
      <c r="C17" s="529">
        <v>10</v>
      </c>
      <c r="D17" s="1027" t="s">
        <v>434</v>
      </c>
      <c r="E17" s="1028" t="s">
        <v>435</v>
      </c>
      <c r="F17" s="547"/>
      <c r="G17" s="547"/>
      <c r="H17" s="547"/>
      <c r="I17" s="547"/>
      <c r="J17" s="547"/>
      <c r="K17" s="547"/>
      <c r="L17" s="547"/>
      <c r="M17" s="547"/>
      <c r="N17" s="547"/>
      <c r="O17" s="547"/>
      <c r="P17" s="547"/>
      <c r="Q17" s="547"/>
      <c r="R17" s="547"/>
      <c r="S17" s="989">
        <f t="shared" si="0"/>
        <v>0</v>
      </c>
      <c r="T17" s="547">
        <v>0</v>
      </c>
      <c r="U17" s="989">
        <f t="shared" si="1"/>
        <v>0</v>
      </c>
      <c r="V17" s="547">
        <v>0</v>
      </c>
      <c r="W17" s="566"/>
      <c r="X17" s="567"/>
      <c r="Y17" s="989">
        <f t="shared" si="2"/>
        <v>0</v>
      </c>
      <c r="Z17" s="812">
        <f t="shared" si="3"/>
        <v>0</v>
      </c>
    </row>
    <row r="18" spans="1:26" ht="27" customHeight="1">
      <c r="A18" s="531"/>
      <c r="B18" s="531">
        <v>401</v>
      </c>
      <c r="C18" s="529">
        <v>4</v>
      </c>
      <c r="D18" s="1027" t="s">
        <v>436</v>
      </c>
      <c r="E18" s="1028" t="s">
        <v>437</v>
      </c>
      <c r="F18" s="547"/>
      <c r="G18" s="547"/>
      <c r="H18" s="547"/>
      <c r="I18" s="547"/>
      <c r="J18" s="547"/>
      <c r="K18" s="547"/>
      <c r="L18" s="547"/>
      <c r="M18" s="547"/>
      <c r="N18" s="547"/>
      <c r="O18" s="547"/>
      <c r="P18" s="547"/>
      <c r="Q18" s="547"/>
      <c r="R18" s="547"/>
      <c r="S18" s="989">
        <f t="shared" si="0"/>
        <v>0</v>
      </c>
      <c r="T18" s="547">
        <v>0</v>
      </c>
      <c r="U18" s="989">
        <f t="shared" si="1"/>
        <v>0</v>
      </c>
      <c r="V18" s="547">
        <v>0</v>
      </c>
      <c r="W18" s="566"/>
      <c r="X18" s="567"/>
      <c r="Y18" s="989">
        <f t="shared" si="2"/>
        <v>0</v>
      </c>
      <c r="Z18" s="812">
        <f t="shared" si="3"/>
        <v>0</v>
      </c>
    </row>
    <row r="19" spans="1:26" ht="27" customHeight="1">
      <c r="A19" s="531"/>
      <c r="B19" s="531">
        <v>1009</v>
      </c>
      <c r="C19" s="529">
        <v>10</v>
      </c>
      <c r="D19" s="1027" t="s">
        <v>438</v>
      </c>
      <c r="E19" s="1028" t="s">
        <v>176</v>
      </c>
      <c r="F19" s="547">
        <v>-579263338</v>
      </c>
      <c r="G19" s="547">
        <v>-616292993</v>
      </c>
      <c r="H19" s="547">
        <v>-7084387</v>
      </c>
      <c r="I19" s="547"/>
      <c r="J19" s="547"/>
      <c r="K19" s="547"/>
      <c r="L19" s="547"/>
      <c r="M19" s="547"/>
      <c r="N19" s="547"/>
      <c r="O19" s="547"/>
      <c r="P19" s="547"/>
      <c r="Q19" s="547"/>
      <c r="R19" s="547"/>
      <c r="S19" s="989">
        <f t="shared" si="0"/>
        <v>-1202640718</v>
      </c>
      <c r="T19" s="547">
        <v>-974970106</v>
      </c>
      <c r="U19" s="989">
        <f t="shared" si="1"/>
        <v>-1203</v>
      </c>
      <c r="V19" s="547">
        <v>-975</v>
      </c>
      <c r="W19" s="566"/>
      <c r="X19" s="567"/>
      <c r="Y19" s="989">
        <f t="shared" si="2"/>
        <v>-1202640718</v>
      </c>
      <c r="Z19" s="812">
        <f t="shared" si="3"/>
        <v>-1203</v>
      </c>
    </row>
    <row r="20" spans="1:26" ht="27" customHeight="1">
      <c r="A20" s="531"/>
      <c r="B20" s="531">
        <v>401</v>
      </c>
      <c r="C20" s="529">
        <v>4</v>
      </c>
      <c r="D20" s="1027" t="s">
        <v>1168</v>
      </c>
      <c r="E20" s="1028" t="s">
        <v>1101</v>
      </c>
      <c r="F20" s="547"/>
      <c r="G20" s="547"/>
      <c r="H20" s="547"/>
      <c r="I20" s="547"/>
      <c r="J20" s="547"/>
      <c r="K20" s="547"/>
      <c r="L20" s="547"/>
      <c r="M20" s="547"/>
      <c r="N20" s="547"/>
      <c r="O20" s="547"/>
      <c r="P20" s="547"/>
      <c r="Q20" s="547"/>
      <c r="R20" s="547"/>
      <c r="S20" s="989">
        <f t="shared" si="0"/>
        <v>0</v>
      </c>
      <c r="T20" s="547">
        <v>0</v>
      </c>
      <c r="U20" s="989">
        <f t="shared" si="1"/>
        <v>0</v>
      </c>
      <c r="V20" s="547">
        <v>0</v>
      </c>
      <c r="W20" s="566"/>
      <c r="X20" s="567"/>
      <c r="Y20" s="989">
        <f t="shared" si="2"/>
        <v>0</v>
      </c>
      <c r="Z20" s="812">
        <f t="shared" si="3"/>
        <v>0</v>
      </c>
    </row>
    <row r="21" spans="1:26" ht="27" customHeight="1">
      <c r="A21" s="531"/>
      <c r="B21" s="531">
        <v>1009</v>
      </c>
      <c r="C21" s="529">
        <v>10</v>
      </c>
      <c r="D21" s="1027" t="s">
        <v>472</v>
      </c>
      <c r="E21" s="1028" t="s">
        <v>473</v>
      </c>
      <c r="F21" s="547">
        <v>-5017470578</v>
      </c>
      <c r="G21" s="547">
        <v>573959249</v>
      </c>
      <c r="H21" s="547">
        <v>-132130267</v>
      </c>
      <c r="I21" s="547"/>
      <c r="J21" s="547"/>
      <c r="K21" s="547"/>
      <c r="L21" s="547"/>
      <c r="M21" s="547"/>
      <c r="N21" s="547"/>
      <c r="O21" s="547"/>
      <c r="P21" s="547"/>
      <c r="Q21" s="547"/>
      <c r="R21" s="547"/>
      <c r="S21" s="989">
        <f t="shared" si="0"/>
        <v>-4575641596</v>
      </c>
      <c r="T21" s="547">
        <v>-5356056102</v>
      </c>
      <c r="U21" s="989">
        <f t="shared" si="1"/>
        <v>-4576</v>
      </c>
      <c r="V21" s="547">
        <v>-5356</v>
      </c>
      <c r="W21" s="566"/>
      <c r="X21" s="567"/>
      <c r="Y21" s="989">
        <f t="shared" si="2"/>
        <v>-4575641596</v>
      </c>
      <c r="Z21" s="812">
        <f t="shared" si="3"/>
        <v>-4576</v>
      </c>
    </row>
    <row r="22" spans="1:26" ht="27" customHeight="1">
      <c r="A22" s="531"/>
      <c r="B22" s="531">
        <v>1009</v>
      </c>
      <c r="C22" s="529">
        <v>10</v>
      </c>
      <c r="D22" s="1027" t="s">
        <v>698</v>
      </c>
      <c r="E22" s="1028" t="s">
        <v>926</v>
      </c>
      <c r="F22" s="547"/>
      <c r="G22" s="547"/>
      <c r="H22" s="547"/>
      <c r="I22" s="547"/>
      <c r="J22" s="547"/>
      <c r="K22" s="547"/>
      <c r="L22" s="547"/>
      <c r="M22" s="547"/>
      <c r="N22" s="547"/>
      <c r="O22" s="547"/>
      <c r="P22" s="547"/>
      <c r="Q22" s="547"/>
      <c r="R22" s="547"/>
      <c r="S22" s="989">
        <f t="shared" si="0"/>
        <v>0</v>
      </c>
      <c r="T22" s="547">
        <v>0</v>
      </c>
      <c r="U22" s="989">
        <f t="shared" si="1"/>
        <v>0</v>
      </c>
      <c r="V22" s="547">
        <v>0</v>
      </c>
      <c r="W22" s="566"/>
      <c r="X22" s="567"/>
      <c r="Y22" s="989">
        <f t="shared" si="2"/>
        <v>0</v>
      </c>
      <c r="Z22" s="812">
        <f t="shared" si="3"/>
        <v>0</v>
      </c>
    </row>
    <row r="23" spans="1:26" ht="27" customHeight="1">
      <c r="A23" s="531"/>
      <c r="B23" s="531">
        <v>1009</v>
      </c>
      <c r="C23" s="529">
        <v>10</v>
      </c>
      <c r="D23" s="1027" t="s">
        <v>830</v>
      </c>
      <c r="E23" s="1028" t="s">
        <v>552</v>
      </c>
      <c r="F23" s="547"/>
      <c r="G23" s="547"/>
      <c r="H23" s="547"/>
      <c r="I23" s="547"/>
      <c r="J23" s="547"/>
      <c r="K23" s="547"/>
      <c r="L23" s="547"/>
      <c r="M23" s="547"/>
      <c r="N23" s="547"/>
      <c r="O23" s="547"/>
      <c r="P23" s="547"/>
      <c r="Q23" s="547"/>
      <c r="R23" s="547"/>
      <c r="S23" s="989">
        <f t="shared" si="0"/>
        <v>0</v>
      </c>
      <c r="T23" s="547">
        <v>0</v>
      </c>
      <c r="U23" s="989">
        <f t="shared" si="1"/>
        <v>0</v>
      </c>
      <c r="V23" s="547">
        <v>0</v>
      </c>
      <c r="W23" s="566"/>
      <c r="X23" s="567"/>
      <c r="Y23" s="989">
        <f t="shared" si="2"/>
        <v>0</v>
      </c>
      <c r="Z23" s="812">
        <f t="shared" si="3"/>
        <v>0</v>
      </c>
    </row>
    <row r="24" spans="1:26" ht="27" customHeight="1">
      <c r="A24" s="531"/>
      <c r="B24" s="531">
        <v>401</v>
      </c>
      <c r="C24" s="529">
        <v>4</v>
      </c>
      <c r="D24" s="1027" t="s">
        <v>128</v>
      </c>
      <c r="E24" s="1028" t="s">
        <v>1082</v>
      </c>
      <c r="F24" s="547">
        <v>1183961580</v>
      </c>
      <c r="G24" s="547"/>
      <c r="H24" s="547"/>
      <c r="I24" s="547"/>
      <c r="J24" s="547"/>
      <c r="K24" s="547"/>
      <c r="L24" s="547"/>
      <c r="M24" s="547"/>
      <c r="N24" s="547"/>
      <c r="O24" s="547"/>
      <c r="P24" s="547"/>
      <c r="Q24" s="547"/>
      <c r="R24" s="547"/>
      <c r="S24" s="989">
        <f t="shared" si="0"/>
        <v>1183961580</v>
      </c>
      <c r="T24" s="547">
        <v>0</v>
      </c>
      <c r="U24" s="989">
        <f t="shared" si="1"/>
        <v>1184</v>
      </c>
      <c r="V24" s="547">
        <v>0</v>
      </c>
      <c r="W24" s="566"/>
      <c r="X24" s="567"/>
      <c r="Y24" s="989">
        <f t="shared" si="2"/>
        <v>1183961580</v>
      </c>
      <c r="Z24" s="812">
        <f t="shared" si="3"/>
        <v>1184</v>
      </c>
    </row>
    <row r="25" spans="1:26" ht="27" customHeight="1">
      <c r="A25" s="531"/>
      <c r="B25" s="531">
        <v>1002</v>
      </c>
      <c r="C25" s="529">
        <v>10</v>
      </c>
      <c r="D25" s="1027" t="s">
        <v>132</v>
      </c>
      <c r="E25" s="1028" t="s">
        <v>1703</v>
      </c>
      <c r="F25" s="547">
        <v>218661203</v>
      </c>
      <c r="G25" s="547">
        <v>-17438273</v>
      </c>
      <c r="H25" s="547">
        <v>17438273</v>
      </c>
      <c r="I25" s="547">
        <v>-6714993218</v>
      </c>
      <c r="J25" s="547"/>
      <c r="K25" s="547"/>
      <c r="L25" s="547"/>
      <c r="M25" s="547"/>
      <c r="N25" s="547"/>
      <c r="O25" s="547"/>
      <c r="P25" s="547"/>
      <c r="Q25" s="547"/>
      <c r="R25" s="547"/>
      <c r="S25" s="989">
        <f t="shared" si="0"/>
        <v>-6496332015</v>
      </c>
      <c r="T25" s="547">
        <v>-5290785954</v>
      </c>
      <c r="U25" s="989">
        <f t="shared" si="1"/>
        <v>-6496</v>
      </c>
      <c r="V25" s="547">
        <v>-5291</v>
      </c>
      <c r="W25" s="566"/>
      <c r="X25" s="567"/>
      <c r="Y25" s="989">
        <f t="shared" si="2"/>
        <v>-6496332015</v>
      </c>
      <c r="Z25" s="812">
        <f t="shared" si="3"/>
        <v>-6496</v>
      </c>
    </row>
    <row r="26" spans="1:26" ht="27" customHeight="1">
      <c r="A26" s="531"/>
      <c r="B26" s="531">
        <v>1301</v>
      </c>
      <c r="C26" s="529">
        <v>11</v>
      </c>
      <c r="D26" s="1027" t="s">
        <v>134</v>
      </c>
      <c r="E26" s="1028" t="s">
        <v>135</v>
      </c>
      <c r="F26" s="547">
        <v>-16985250012</v>
      </c>
      <c r="G26" s="547">
        <v>-741121144</v>
      </c>
      <c r="H26" s="547">
        <v>-3142811482</v>
      </c>
      <c r="I26" s="547"/>
      <c r="J26" s="547">
        <v>2057286635</v>
      </c>
      <c r="K26" s="547"/>
      <c r="L26" s="547"/>
      <c r="M26" s="547"/>
      <c r="N26" s="547"/>
      <c r="O26" s="547"/>
      <c r="P26" s="547"/>
      <c r="Q26" s="547"/>
      <c r="R26" s="547"/>
      <c r="S26" s="989">
        <f t="shared" si="0"/>
        <v>-18811896003</v>
      </c>
      <c r="T26" s="547">
        <v>-20207803923</v>
      </c>
      <c r="U26" s="989">
        <f t="shared" si="1"/>
        <v>-18812</v>
      </c>
      <c r="V26" s="547">
        <v>-20208</v>
      </c>
      <c r="W26" s="566"/>
      <c r="X26" s="567"/>
      <c r="Y26" s="989">
        <f t="shared" si="2"/>
        <v>-18811896003</v>
      </c>
      <c r="Z26" s="812">
        <f t="shared" si="3"/>
        <v>-18812</v>
      </c>
    </row>
    <row r="27" spans="1:26" ht="27" customHeight="1">
      <c r="A27" s="531"/>
      <c r="B27" s="531">
        <v>1009</v>
      </c>
      <c r="C27" s="529">
        <v>10</v>
      </c>
      <c r="D27" s="1027" t="s">
        <v>1169</v>
      </c>
      <c r="E27" s="1028" t="s">
        <v>1170</v>
      </c>
      <c r="F27" s="547">
        <v>165799200</v>
      </c>
      <c r="G27" s="547"/>
      <c r="H27" s="547"/>
      <c r="I27" s="547"/>
      <c r="J27" s="547"/>
      <c r="K27" s="547"/>
      <c r="L27" s="547"/>
      <c r="M27" s="547"/>
      <c r="N27" s="547"/>
      <c r="O27" s="547"/>
      <c r="P27" s="547"/>
      <c r="Q27" s="547"/>
      <c r="R27" s="547"/>
      <c r="S27" s="989">
        <f t="shared" si="0"/>
        <v>165799200</v>
      </c>
      <c r="T27" s="547">
        <v>0</v>
      </c>
      <c r="U27" s="989">
        <f t="shared" si="1"/>
        <v>166</v>
      </c>
      <c r="V27" s="547">
        <v>0</v>
      </c>
      <c r="W27" s="566"/>
      <c r="X27" s="567"/>
      <c r="Y27" s="989">
        <f t="shared" si="2"/>
        <v>165799200</v>
      </c>
      <c r="Z27" s="812">
        <f t="shared" si="3"/>
        <v>166</v>
      </c>
    </row>
    <row r="28" spans="1:26" ht="27" customHeight="1">
      <c r="A28" s="531"/>
      <c r="B28" s="531">
        <v>1009</v>
      </c>
      <c r="C28" s="529">
        <v>10</v>
      </c>
      <c r="D28" s="1027" t="s">
        <v>1226</v>
      </c>
      <c r="E28" s="1028" t="s">
        <v>1083</v>
      </c>
      <c r="F28" s="547"/>
      <c r="G28" s="547"/>
      <c r="H28" s="547"/>
      <c r="I28" s="547"/>
      <c r="J28" s="547"/>
      <c r="K28" s="547"/>
      <c r="L28" s="547"/>
      <c r="M28" s="547"/>
      <c r="N28" s="547"/>
      <c r="O28" s="547"/>
      <c r="P28" s="547"/>
      <c r="Q28" s="547"/>
      <c r="R28" s="547"/>
      <c r="S28" s="989">
        <f t="shared" si="0"/>
        <v>0</v>
      </c>
      <c r="T28" s="547">
        <v>0</v>
      </c>
      <c r="U28" s="989">
        <f t="shared" si="1"/>
        <v>0</v>
      </c>
      <c r="V28" s="547">
        <v>0</v>
      </c>
      <c r="W28" s="566"/>
      <c r="X28" s="567"/>
      <c r="Y28" s="989">
        <f t="shared" si="2"/>
        <v>0</v>
      </c>
      <c r="Z28" s="812">
        <f t="shared" si="3"/>
        <v>0</v>
      </c>
    </row>
    <row r="29" spans="1:26" ht="27" customHeight="1">
      <c r="A29" s="531"/>
      <c r="B29" s="531">
        <v>1009</v>
      </c>
      <c r="C29" s="529">
        <v>10</v>
      </c>
      <c r="D29" s="1027" t="s">
        <v>136</v>
      </c>
      <c r="E29" s="1028" t="s">
        <v>700</v>
      </c>
      <c r="F29" s="547">
        <v>-251542130</v>
      </c>
      <c r="G29" s="547"/>
      <c r="H29" s="547">
        <v>741121144</v>
      </c>
      <c r="I29" s="547"/>
      <c r="J29" s="547"/>
      <c r="K29" s="547"/>
      <c r="L29" s="547"/>
      <c r="M29" s="547"/>
      <c r="N29" s="547"/>
      <c r="O29" s="547"/>
      <c r="P29" s="547"/>
      <c r="Q29" s="547"/>
      <c r="R29" s="547"/>
      <c r="S29" s="989">
        <f t="shared" si="0"/>
        <v>489579014</v>
      </c>
      <c r="T29" s="547">
        <v>1032879042</v>
      </c>
      <c r="U29" s="989">
        <f t="shared" si="1"/>
        <v>490</v>
      </c>
      <c r="V29" s="547">
        <v>1033</v>
      </c>
      <c r="W29" s="566"/>
      <c r="X29" s="567"/>
      <c r="Y29" s="989">
        <f t="shared" si="2"/>
        <v>489579014</v>
      </c>
      <c r="Z29" s="812">
        <f t="shared" si="3"/>
        <v>490</v>
      </c>
    </row>
    <row r="30" spans="1:26" ht="27" customHeight="1">
      <c r="A30" s="531"/>
      <c r="B30" s="531">
        <v>401</v>
      </c>
      <c r="C30" s="529">
        <v>4</v>
      </c>
      <c r="D30" s="1027" t="s">
        <v>927</v>
      </c>
      <c r="E30" s="1028" t="s">
        <v>928</v>
      </c>
      <c r="F30" s="547">
        <v>446036848993</v>
      </c>
      <c r="G30" s="547">
        <v>-50009473589</v>
      </c>
      <c r="H30" s="547">
        <v>-396027375404</v>
      </c>
      <c r="I30" s="547"/>
      <c r="J30" s="547"/>
      <c r="K30" s="547"/>
      <c r="L30" s="547"/>
      <c r="M30" s="547"/>
      <c r="N30" s="547"/>
      <c r="O30" s="547"/>
      <c r="P30" s="547"/>
      <c r="Q30" s="547"/>
      <c r="R30" s="547"/>
      <c r="S30" s="989">
        <f t="shared" si="0"/>
        <v>0</v>
      </c>
      <c r="T30" s="547">
        <v>37919008470</v>
      </c>
      <c r="U30" s="989">
        <f t="shared" si="1"/>
        <v>0</v>
      </c>
      <c r="V30" s="547">
        <v>37919</v>
      </c>
      <c r="W30" s="566"/>
      <c r="X30" s="567"/>
      <c r="Y30" s="989">
        <f t="shared" si="2"/>
        <v>0</v>
      </c>
      <c r="Z30" s="812">
        <f t="shared" si="3"/>
        <v>0</v>
      </c>
    </row>
    <row r="31" spans="1:26" ht="27" customHeight="1">
      <c r="A31" s="531"/>
      <c r="B31" s="531">
        <v>1009</v>
      </c>
      <c r="C31" s="529">
        <v>10</v>
      </c>
      <c r="D31" s="1027" t="s">
        <v>83</v>
      </c>
      <c r="E31" s="1028" t="s">
        <v>930</v>
      </c>
      <c r="F31" s="547">
        <v>-9502080</v>
      </c>
      <c r="G31" s="547">
        <v>9502080</v>
      </c>
      <c r="H31" s="547"/>
      <c r="I31" s="547"/>
      <c r="J31" s="547"/>
      <c r="K31" s="547"/>
      <c r="L31" s="547"/>
      <c r="M31" s="547"/>
      <c r="N31" s="547"/>
      <c r="O31" s="547"/>
      <c r="P31" s="547"/>
      <c r="Q31" s="547"/>
      <c r="R31" s="547"/>
      <c r="S31" s="989">
        <f t="shared" si="0"/>
        <v>0</v>
      </c>
      <c r="T31" s="547">
        <v>-4751040</v>
      </c>
      <c r="U31" s="989">
        <f t="shared" si="1"/>
        <v>0</v>
      </c>
      <c r="V31" s="547">
        <v>-5</v>
      </c>
      <c r="W31" s="566"/>
      <c r="X31" s="567"/>
      <c r="Y31" s="989">
        <f t="shared" si="2"/>
        <v>0</v>
      </c>
      <c r="Z31" s="812">
        <f t="shared" si="3"/>
        <v>0</v>
      </c>
    </row>
    <row r="32" spans="1:26" ht="27" customHeight="1">
      <c r="A32" s="531"/>
      <c r="B32" s="531">
        <v>1009</v>
      </c>
      <c r="C32" s="529">
        <v>10</v>
      </c>
      <c r="D32" s="1027" t="s">
        <v>212</v>
      </c>
      <c r="E32" s="1028" t="s">
        <v>929</v>
      </c>
      <c r="F32" s="547">
        <v>-408107052743</v>
      </c>
      <c r="G32" s="547">
        <v>48278722343</v>
      </c>
      <c r="H32" s="547">
        <v>359828330400</v>
      </c>
      <c r="I32" s="547"/>
      <c r="J32" s="547"/>
      <c r="K32" s="547"/>
      <c r="L32" s="547"/>
      <c r="M32" s="547"/>
      <c r="N32" s="547"/>
      <c r="O32" s="547"/>
      <c r="P32" s="547"/>
      <c r="Q32" s="547"/>
      <c r="R32" s="547"/>
      <c r="S32" s="989">
        <f t="shared" si="0"/>
        <v>0</v>
      </c>
      <c r="T32" s="547">
        <v>-36174018136</v>
      </c>
      <c r="U32" s="989">
        <f t="shared" si="1"/>
        <v>0</v>
      </c>
      <c r="V32" s="547">
        <v>-36174</v>
      </c>
      <c r="W32" s="566"/>
      <c r="X32" s="567"/>
      <c r="Y32" s="989">
        <f t="shared" si="2"/>
        <v>0</v>
      </c>
      <c r="Z32" s="812">
        <f t="shared" si="3"/>
        <v>0</v>
      </c>
    </row>
    <row r="33" spans="1:26" ht="27" customHeight="1">
      <c r="A33" s="531"/>
      <c r="B33" s="531"/>
      <c r="C33" s="529" t="s">
        <v>764</v>
      </c>
      <c r="D33" s="1027" t="s">
        <v>931</v>
      </c>
      <c r="E33" s="1028" t="s">
        <v>933</v>
      </c>
      <c r="F33" s="547"/>
      <c r="G33" s="547"/>
      <c r="H33" s="547"/>
      <c r="I33" s="547"/>
      <c r="J33" s="547"/>
      <c r="K33" s="547"/>
      <c r="L33" s="547"/>
      <c r="M33" s="547"/>
      <c r="N33" s="547"/>
      <c r="O33" s="547"/>
      <c r="P33" s="547"/>
      <c r="Q33" s="547"/>
      <c r="R33" s="547"/>
      <c r="S33" s="989">
        <f t="shared" si="0"/>
        <v>0</v>
      </c>
      <c r="T33" s="547">
        <v>0</v>
      </c>
      <c r="U33" s="989">
        <f t="shared" si="1"/>
        <v>0</v>
      </c>
      <c r="V33" s="547">
        <v>0</v>
      </c>
      <c r="W33" s="566"/>
      <c r="X33" s="567"/>
      <c r="Y33" s="989">
        <f t="shared" si="2"/>
        <v>0</v>
      </c>
      <c r="Z33" s="812">
        <f t="shared" si="3"/>
        <v>0</v>
      </c>
    </row>
    <row r="34" spans="1:26" ht="27" customHeight="1">
      <c r="A34" s="531"/>
      <c r="B34" s="531"/>
      <c r="C34" s="529" t="s">
        <v>764</v>
      </c>
      <c r="D34" s="1027" t="s">
        <v>1406</v>
      </c>
      <c r="E34" s="1028" t="s">
        <v>934</v>
      </c>
      <c r="F34" s="547"/>
      <c r="G34" s="547"/>
      <c r="H34" s="547"/>
      <c r="I34" s="547"/>
      <c r="J34" s="547"/>
      <c r="K34" s="547"/>
      <c r="L34" s="547"/>
      <c r="M34" s="547"/>
      <c r="N34" s="547"/>
      <c r="O34" s="547"/>
      <c r="P34" s="547"/>
      <c r="Q34" s="547"/>
      <c r="R34" s="547"/>
      <c r="S34" s="989">
        <f t="shared" si="0"/>
        <v>0</v>
      </c>
      <c r="T34" s="547">
        <v>0</v>
      </c>
      <c r="U34" s="989">
        <f t="shared" si="1"/>
        <v>0</v>
      </c>
      <c r="V34" s="547">
        <v>0</v>
      </c>
      <c r="W34" s="566"/>
      <c r="X34" s="567"/>
      <c r="Y34" s="989">
        <f t="shared" si="2"/>
        <v>0</v>
      </c>
      <c r="Z34" s="812">
        <f t="shared" si="3"/>
        <v>0</v>
      </c>
    </row>
    <row r="35" spans="1:26" ht="27" customHeight="1">
      <c r="A35" s="531"/>
      <c r="B35" s="531">
        <v>1009</v>
      </c>
      <c r="C35" s="529">
        <v>10</v>
      </c>
      <c r="D35" s="1027" t="s">
        <v>932</v>
      </c>
      <c r="E35" s="1028" t="s">
        <v>935</v>
      </c>
      <c r="F35" s="547">
        <v>-521160</v>
      </c>
      <c r="G35" s="547"/>
      <c r="H35" s="547">
        <v>521160</v>
      </c>
      <c r="I35" s="547"/>
      <c r="J35" s="547"/>
      <c r="K35" s="547"/>
      <c r="L35" s="547"/>
      <c r="M35" s="547"/>
      <c r="N35" s="547"/>
      <c r="O35" s="547"/>
      <c r="P35" s="547"/>
      <c r="Q35" s="547"/>
      <c r="R35" s="547"/>
      <c r="S35" s="989">
        <f t="shared" si="0"/>
        <v>0</v>
      </c>
      <c r="T35" s="547">
        <v>0</v>
      </c>
      <c r="U35" s="989">
        <f t="shared" si="1"/>
        <v>0</v>
      </c>
      <c r="V35" s="547">
        <v>0</v>
      </c>
      <c r="W35" s="566"/>
      <c r="X35" s="567"/>
      <c r="Y35" s="989">
        <f t="shared" si="2"/>
        <v>0</v>
      </c>
      <c r="Z35" s="812">
        <f t="shared" si="3"/>
        <v>0</v>
      </c>
    </row>
    <row r="36" spans="1:26" ht="27" customHeight="1">
      <c r="A36" s="531"/>
      <c r="B36" s="531">
        <v>1009</v>
      </c>
      <c r="C36" s="529">
        <v>10</v>
      </c>
      <c r="D36" s="1027" t="s">
        <v>1531</v>
      </c>
      <c r="E36" s="1028" t="s">
        <v>1532</v>
      </c>
      <c r="F36" s="547">
        <v>-1996700</v>
      </c>
      <c r="G36" s="547"/>
      <c r="H36" s="547"/>
      <c r="I36" s="547"/>
      <c r="J36" s="547">
        <v>1996700</v>
      </c>
      <c r="K36" s="547"/>
      <c r="L36" s="547"/>
      <c r="M36" s="547"/>
      <c r="N36" s="547"/>
      <c r="O36" s="547"/>
      <c r="P36" s="547"/>
      <c r="Q36" s="547"/>
      <c r="R36" s="547"/>
      <c r="S36" s="989">
        <f t="shared" si="0"/>
        <v>0</v>
      </c>
      <c r="T36" s="547">
        <v>0</v>
      </c>
      <c r="U36" s="989">
        <f t="shared" si="1"/>
        <v>0</v>
      </c>
      <c r="V36" s="547">
        <v>0</v>
      </c>
      <c r="W36" s="566"/>
      <c r="X36" s="567"/>
      <c r="Y36" s="989">
        <f t="shared" si="2"/>
        <v>0</v>
      </c>
      <c r="Z36" s="812">
        <f t="shared" si="3"/>
        <v>0</v>
      </c>
    </row>
    <row r="37" spans="1:26" ht="27" customHeight="1">
      <c r="A37" s="531"/>
      <c r="B37" s="531">
        <v>1009</v>
      </c>
      <c r="C37" s="529">
        <v>10</v>
      </c>
      <c r="D37" s="1027" t="s">
        <v>1533</v>
      </c>
      <c r="E37" s="1028" t="s">
        <v>1534</v>
      </c>
      <c r="F37" s="547">
        <v>-2596700</v>
      </c>
      <c r="G37" s="547"/>
      <c r="H37" s="547"/>
      <c r="I37" s="547"/>
      <c r="J37" s="547">
        <v>2596700</v>
      </c>
      <c r="K37" s="547"/>
      <c r="L37" s="547"/>
      <c r="M37" s="547"/>
      <c r="N37" s="547"/>
      <c r="O37" s="547"/>
      <c r="P37" s="547"/>
      <c r="Q37" s="547"/>
      <c r="R37" s="547"/>
      <c r="S37" s="989">
        <f t="shared" si="0"/>
        <v>0</v>
      </c>
      <c r="T37" s="547">
        <v>0</v>
      </c>
      <c r="U37" s="989">
        <f t="shared" si="1"/>
        <v>0</v>
      </c>
      <c r="V37" s="547">
        <v>0</v>
      </c>
      <c r="W37" s="566"/>
      <c r="X37" s="567"/>
      <c r="Y37" s="989">
        <f t="shared" si="2"/>
        <v>0</v>
      </c>
      <c r="Z37" s="812">
        <f t="shared" si="3"/>
        <v>0</v>
      </c>
    </row>
    <row r="38" spans="1:26" ht="27" customHeight="1">
      <c r="A38" s="531"/>
      <c r="B38" s="531">
        <v>1009</v>
      </c>
      <c r="C38" s="529">
        <v>10</v>
      </c>
      <c r="D38" s="1027" t="s">
        <v>1227</v>
      </c>
      <c r="E38" s="1028" t="s">
        <v>1228</v>
      </c>
      <c r="F38" s="547"/>
      <c r="G38" s="547"/>
      <c r="H38" s="547"/>
      <c r="I38" s="547"/>
      <c r="J38" s="547"/>
      <c r="K38" s="547"/>
      <c r="L38" s="547"/>
      <c r="M38" s="547"/>
      <c r="N38" s="547"/>
      <c r="O38" s="547"/>
      <c r="P38" s="547"/>
      <c r="Q38" s="547"/>
      <c r="R38" s="547"/>
      <c r="S38" s="989">
        <f t="shared" si="0"/>
        <v>0</v>
      </c>
      <c r="T38" s="547">
        <v>0</v>
      </c>
      <c r="U38" s="989">
        <f t="shared" si="1"/>
        <v>0</v>
      </c>
      <c r="V38" s="547">
        <v>0</v>
      </c>
      <c r="W38" s="566"/>
      <c r="X38" s="567"/>
      <c r="Y38" s="989">
        <f t="shared" si="2"/>
        <v>0</v>
      </c>
      <c r="Z38" s="812">
        <f t="shared" si="3"/>
        <v>0</v>
      </c>
    </row>
    <row r="39" spans="1:26" ht="27" customHeight="1">
      <c r="A39" s="531"/>
      <c r="B39" s="531">
        <v>401</v>
      </c>
      <c r="C39" s="529">
        <v>4</v>
      </c>
      <c r="D39" s="1027" t="s">
        <v>1084</v>
      </c>
      <c r="E39" s="1028" t="s">
        <v>1085</v>
      </c>
      <c r="F39" s="547"/>
      <c r="G39" s="547"/>
      <c r="H39" s="547"/>
      <c r="I39" s="547"/>
      <c r="J39" s="547"/>
      <c r="K39" s="547"/>
      <c r="L39" s="547"/>
      <c r="M39" s="547"/>
      <c r="N39" s="547"/>
      <c r="O39" s="547"/>
      <c r="P39" s="547"/>
      <c r="Q39" s="547"/>
      <c r="R39" s="547"/>
      <c r="S39" s="989">
        <f t="shared" si="0"/>
        <v>0</v>
      </c>
      <c r="T39" s="547">
        <v>0</v>
      </c>
      <c r="U39" s="989">
        <f t="shared" si="1"/>
        <v>0</v>
      </c>
      <c r="V39" s="547">
        <v>0</v>
      </c>
      <c r="W39" s="566"/>
      <c r="X39" s="567"/>
      <c r="Y39" s="989">
        <f t="shared" si="2"/>
        <v>0</v>
      </c>
      <c r="Z39" s="812">
        <f t="shared" si="3"/>
        <v>0</v>
      </c>
    </row>
    <row r="40" spans="1:26" ht="27" customHeight="1">
      <c r="A40" s="531"/>
      <c r="B40" s="531">
        <v>1009</v>
      </c>
      <c r="C40" s="529">
        <v>10</v>
      </c>
      <c r="D40" s="1027" t="s">
        <v>84</v>
      </c>
      <c r="E40" s="1028" t="s">
        <v>699</v>
      </c>
      <c r="F40" s="547">
        <v>3058806363</v>
      </c>
      <c r="G40" s="547"/>
      <c r="H40" s="547"/>
      <c r="I40" s="547"/>
      <c r="J40" s="547"/>
      <c r="K40" s="547"/>
      <c r="L40" s="547"/>
      <c r="M40" s="547"/>
      <c r="N40" s="547"/>
      <c r="O40" s="547"/>
      <c r="P40" s="547"/>
      <c r="Q40" s="547"/>
      <c r="R40" s="547"/>
      <c r="S40" s="989">
        <f t="shared" si="0"/>
        <v>3058806363</v>
      </c>
      <c r="T40" s="547">
        <v>-950036742</v>
      </c>
      <c r="U40" s="989">
        <f t="shared" si="1"/>
        <v>3059</v>
      </c>
      <c r="V40" s="547">
        <v>-950</v>
      </c>
      <c r="W40" s="566"/>
      <c r="X40" s="567"/>
      <c r="Y40" s="989">
        <f t="shared" si="2"/>
        <v>3058806363</v>
      </c>
      <c r="Z40" s="812">
        <f t="shared" si="3"/>
        <v>3059</v>
      </c>
    </row>
    <row r="41" spans="1:26" ht="27" customHeight="1">
      <c r="A41" s="531"/>
      <c r="B41" s="531">
        <v>401</v>
      </c>
      <c r="C41" s="529">
        <v>4</v>
      </c>
      <c r="D41" s="1027" t="s">
        <v>873</v>
      </c>
      <c r="E41" s="1028" t="s">
        <v>874</v>
      </c>
      <c r="F41" s="547">
        <v>173715375</v>
      </c>
      <c r="G41" s="547">
        <v>-14255600</v>
      </c>
      <c r="H41" s="547"/>
      <c r="I41" s="547"/>
      <c r="J41" s="547"/>
      <c r="K41" s="547"/>
      <c r="L41" s="547"/>
      <c r="M41" s="547"/>
      <c r="N41" s="547"/>
      <c r="O41" s="547"/>
      <c r="P41" s="547"/>
      <c r="Q41" s="547"/>
      <c r="R41" s="547"/>
      <c r="S41" s="989">
        <f t="shared" si="0"/>
        <v>159459775</v>
      </c>
      <c r="T41" s="547">
        <v>55517099</v>
      </c>
      <c r="U41" s="683">
        <f>ROUND((S41/1000000),0)+1</f>
        <v>160</v>
      </c>
      <c r="V41" s="547">
        <v>56</v>
      </c>
      <c r="W41" s="566"/>
      <c r="X41" s="567"/>
      <c r="Y41" s="989">
        <f t="shared" si="2"/>
        <v>159459775</v>
      </c>
      <c r="Z41" s="812">
        <f t="shared" si="3"/>
        <v>159</v>
      </c>
    </row>
    <row r="42" spans="1:26" ht="27" customHeight="1">
      <c r="A42" s="531"/>
      <c r="B42" s="531">
        <v>1009</v>
      </c>
      <c r="C42" s="1021">
        <v>10</v>
      </c>
      <c r="D42" s="1027" t="s">
        <v>86</v>
      </c>
      <c r="E42" s="1028" t="s">
        <v>875</v>
      </c>
      <c r="F42" s="547">
        <v>-169059366</v>
      </c>
      <c r="G42" s="547">
        <v>47250429</v>
      </c>
      <c r="H42" s="547"/>
      <c r="I42" s="547"/>
      <c r="J42" s="547"/>
      <c r="K42" s="547"/>
      <c r="L42" s="547"/>
      <c r="M42" s="547"/>
      <c r="N42" s="547"/>
      <c r="O42" s="547"/>
      <c r="P42" s="547"/>
      <c r="Q42" s="547"/>
      <c r="R42" s="547"/>
      <c r="S42" s="989">
        <f t="shared" si="0"/>
        <v>-121808937</v>
      </c>
      <c r="T42" s="547">
        <v>-38785851</v>
      </c>
      <c r="U42" s="989">
        <f t="shared" si="1"/>
        <v>-122</v>
      </c>
      <c r="V42" s="547">
        <v>-39</v>
      </c>
      <c r="W42" s="566"/>
      <c r="X42" s="567"/>
      <c r="Y42" s="989">
        <f t="shared" si="2"/>
        <v>-121808937</v>
      </c>
      <c r="Z42" s="812">
        <f t="shared" si="3"/>
        <v>-122</v>
      </c>
    </row>
    <row r="43" spans="1:26" ht="27" customHeight="1">
      <c r="A43" s="531"/>
      <c r="B43" s="531">
        <v>401</v>
      </c>
      <c r="C43" s="529">
        <v>4</v>
      </c>
      <c r="D43" s="1027" t="s">
        <v>1171</v>
      </c>
      <c r="E43" s="1028" t="s">
        <v>1172</v>
      </c>
      <c r="F43" s="547">
        <v>371728605</v>
      </c>
      <c r="G43" s="547">
        <v>-60203333</v>
      </c>
      <c r="H43" s="547">
        <v>-305525272</v>
      </c>
      <c r="I43" s="547"/>
      <c r="J43" s="547">
        <v>-6000000</v>
      </c>
      <c r="K43" s="547"/>
      <c r="L43" s="547"/>
      <c r="M43" s="547"/>
      <c r="N43" s="547"/>
      <c r="O43" s="547"/>
      <c r="P43" s="547"/>
      <c r="Q43" s="547"/>
      <c r="R43" s="547"/>
      <c r="S43" s="989">
        <f t="shared" si="0"/>
        <v>0</v>
      </c>
      <c r="T43" s="547">
        <v>0</v>
      </c>
      <c r="U43" s="989">
        <f t="shared" si="1"/>
        <v>0</v>
      </c>
      <c r="V43" s="547">
        <v>0</v>
      </c>
      <c r="W43" s="566"/>
      <c r="X43" s="567"/>
      <c r="Y43" s="989">
        <f t="shared" si="2"/>
        <v>0</v>
      </c>
      <c r="Z43" s="812">
        <f t="shared" si="3"/>
        <v>0</v>
      </c>
    </row>
    <row r="44" spans="1:26" ht="27" customHeight="1">
      <c r="A44" s="531"/>
      <c r="B44" s="531">
        <v>401</v>
      </c>
      <c r="C44" s="529">
        <v>4</v>
      </c>
      <c r="D44" s="1027" t="s">
        <v>1086</v>
      </c>
      <c r="E44" s="1028" t="s">
        <v>1087</v>
      </c>
      <c r="F44" s="547">
        <v>455576</v>
      </c>
      <c r="G44" s="547"/>
      <c r="H44" s="547"/>
      <c r="I44" s="547"/>
      <c r="J44" s="547"/>
      <c r="K44" s="547"/>
      <c r="L44" s="547"/>
      <c r="M44" s="547"/>
      <c r="N44" s="547"/>
      <c r="O44" s="547"/>
      <c r="P44" s="547"/>
      <c r="Q44" s="547"/>
      <c r="R44" s="547"/>
      <c r="S44" s="989">
        <f t="shared" si="0"/>
        <v>455576</v>
      </c>
      <c r="T44" s="547">
        <v>455576</v>
      </c>
      <c r="U44" s="683">
        <v>1</v>
      </c>
      <c r="V44" s="547">
        <v>0</v>
      </c>
      <c r="W44" s="566"/>
      <c r="X44" s="567"/>
      <c r="Y44" s="989">
        <f t="shared" si="2"/>
        <v>455576</v>
      </c>
      <c r="Z44" s="812">
        <f t="shared" si="3"/>
        <v>0</v>
      </c>
    </row>
    <row r="45" spans="1:26" ht="27" customHeight="1">
      <c r="A45" s="531"/>
      <c r="B45" s="531">
        <v>401</v>
      </c>
      <c r="C45" s="529">
        <v>4</v>
      </c>
      <c r="D45" s="1027" t="s">
        <v>1229</v>
      </c>
      <c r="E45" s="1028" t="s">
        <v>1230</v>
      </c>
      <c r="F45" s="547">
        <v>56235000</v>
      </c>
      <c r="G45" s="547">
        <v>-21472000</v>
      </c>
      <c r="H45" s="547">
        <v>21472000</v>
      </c>
      <c r="I45" s="547"/>
      <c r="J45" s="547"/>
      <c r="K45" s="547"/>
      <c r="L45" s="547"/>
      <c r="M45" s="547"/>
      <c r="N45" s="547"/>
      <c r="O45" s="547"/>
      <c r="P45" s="547"/>
      <c r="Q45" s="547"/>
      <c r="R45" s="547"/>
      <c r="S45" s="989">
        <f t="shared" si="0"/>
        <v>56235000</v>
      </c>
      <c r="T45" s="547">
        <v>32276000</v>
      </c>
      <c r="U45" s="989">
        <f>ROUND((S45/1000000),0)</f>
        <v>56</v>
      </c>
      <c r="V45" s="547">
        <v>32</v>
      </c>
      <c r="W45" s="566"/>
      <c r="X45" s="567"/>
      <c r="Y45" s="989">
        <f t="shared" si="2"/>
        <v>56235000</v>
      </c>
      <c r="Z45" s="812">
        <f t="shared" si="3"/>
        <v>56</v>
      </c>
    </row>
    <row r="46" spans="1:26" ht="27" customHeight="1">
      <c r="A46" s="531"/>
      <c r="B46" s="531">
        <v>1009</v>
      </c>
      <c r="C46" s="529">
        <v>10</v>
      </c>
      <c r="D46" s="1027" t="s">
        <v>89</v>
      </c>
      <c r="E46" s="1028" t="s">
        <v>936</v>
      </c>
      <c r="F46" s="547">
        <v>-157102057</v>
      </c>
      <c r="G46" s="547">
        <v>9502080</v>
      </c>
      <c r="H46" s="547">
        <v>19200000</v>
      </c>
      <c r="I46" s="547"/>
      <c r="J46" s="547"/>
      <c r="K46" s="547"/>
      <c r="L46" s="547"/>
      <c r="M46" s="547"/>
      <c r="N46" s="547"/>
      <c r="O46" s="547"/>
      <c r="P46" s="547"/>
      <c r="Q46" s="547"/>
      <c r="R46" s="547"/>
      <c r="S46" s="989">
        <f t="shared" si="0"/>
        <v>-128399977</v>
      </c>
      <c r="T46" s="547">
        <v>-53000000</v>
      </c>
      <c r="U46" s="989">
        <f t="shared" si="1"/>
        <v>-128</v>
      </c>
      <c r="V46" s="547">
        <v>-53</v>
      </c>
      <c r="W46" s="566"/>
      <c r="X46" s="567"/>
      <c r="Y46" s="989">
        <f t="shared" si="2"/>
        <v>-128399977</v>
      </c>
      <c r="Z46" s="812">
        <f t="shared" si="3"/>
        <v>-128</v>
      </c>
    </row>
    <row r="47" spans="1:26" ht="27" customHeight="1">
      <c r="A47" s="531"/>
      <c r="B47" s="531">
        <v>1009</v>
      </c>
      <c r="C47" s="529">
        <v>10</v>
      </c>
      <c r="D47" s="1027" t="s">
        <v>1535</v>
      </c>
      <c r="E47" s="1028" t="s">
        <v>1536</v>
      </c>
      <c r="F47" s="547">
        <v>-46342832</v>
      </c>
      <c r="G47" s="547"/>
      <c r="H47" s="547"/>
      <c r="I47" s="547"/>
      <c r="J47" s="547">
        <v>46342832</v>
      </c>
      <c r="K47" s="547"/>
      <c r="L47" s="547"/>
      <c r="M47" s="547"/>
      <c r="N47" s="547"/>
      <c r="O47" s="547"/>
      <c r="P47" s="547"/>
      <c r="Q47" s="547"/>
      <c r="R47" s="547"/>
      <c r="S47" s="989">
        <f t="shared" si="0"/>
        <v>0</v>
      </c>
      <c r="T47" s="547">
        <v>0</v>
      </c>
      <c r="U47" s="989">
        <f t="shared" si="1"/>
        <v>0</v>
      </c>
      <c r="V47" s="547">
        <v>0</v>
      </c>
      <c r="W47" s="566"/>
      <c r="X47" s="567"/>
      <c r="Y47" s="989">
        <f t="shared" si="2"/>
        <v>0</v>
      </c>
      <c r="Z47" s="812">
        <f t="shared" si="3"/>
        <v>0</v>
      </c>
    </row>
    <row r="48" spans="1:26" ht="27" customHeight="1">
      <c r="A48" s="531"/>
      <c r="B48" s="531">
        <v>401</v>
      </c>
      <c r="C48" s="529">
        <v>4</v>
      </c>
      <c r="D48" s="1027" t="s">
        <v>1088</v>
      </c>
      <c r="E48" s="1028" t="s">
        <v>956</v>
      </c>
      <c r="F48" s="547">
        <v>1821250745</v>
      </c>
      <c r="G48" s="547">
        <v>-227983405</v>
      </c>
      <c r="H48" s="547">
        <v>-1577008960</v>
      </c>
      <c r="I48" s="547"/>
      <c r="J48" s="547"/>
      <c r="K48" s="547"/>
      <c r="L48" s="547"/>
      <c r="M48" s="547"/>
      <c r="N48" s="547"/>
      <c r="O48" s="547"/>
      <c r="P48" s="547"/>
      <c r="Q48" s="547"/>
      <c r="R48" s="547"/>
      <c r="S48" s="989">
        <f t="shared" si="0"/>
        <v>16258380</v>
      </c>
      <c r="T48" s="547">
        <v>0</v>
      </c>
      <c r="U48" s="989">
        <f t="shared" si="1"/>
        <v>16</v>
      </c>
      <c r="V48" s="547">
        <v>0</v>
      </c>
      <c r="W48" s="566"/>
      <c r="X48" s="567"/>
      <c r="Y48" s="989">
        <f t="shared" si="2"/>
        <v>16258380</v>
      </c>
      <c r="Z48" s="812">
        <f t="shared" si="3"/>
        <v>16</v>
      </c>
    </row>
    <row r="49" spans="1:26" ht="27" customHeight="1">
      <c r="A49" s="531"/>
      <c r="B49" s="531">
        <v>401</v>
      </c>
      <c r="C49" s="529">
        <v>4</v>
      </c>
      <c r="D49" s="1027" t="s">
        <v>1537</v>
      </c>
      <c r="E49" s="1028" t="s">
        <v>956</v>
      </c>
      <c r="F49" s="547">
        <v>-7</v>
      </c>
      <c r="G49" s="547"/>
      <c r="H49" s="547"/>
      <c r="I49" s="547"/>
      <c r="J49" s="547"/>
      <c r="K49" s="547"/>
      <c r="L49" s="547"/>
      <c r="M49" s="547"/>
      <c r="N49" s="547"/>
      <c r="O49" s="547"/>
      <c r="P49" s="547"/>
      <c r="Q49" s="547"/>
      <c r="R49" s="547"/>
      <c r="S49" s="989">
        <f t="shared" si="0"/>
        <v>-7</v>
      </c>
      <c r="T49" s="547">
        <v>-7</v>
      </c>
      <c r="U49" s="989">
        <f t="shared" si="1"/>
        <v>0</v>
      </c>
      <c r="V49" s="547">
        <v>0</v>
      </c>
      <c r="W49" s="566"/>
      <c r="X49" s="567"/>
      <c r="Y49" s="989">
        <f t="shared" si="2"/>
        <v>-7</v>
      </c>
      <c r="Z49" s="812">
        <f t="shared" si="3"/>
        <v>0</v>
      </c>
    </row>
    <row r="50" spans="1:26" ht="27" customHeight="1">
      <c r="A50" s="531"/>
      <c r="B50" s="531">
        <v>1009</v>
      </c>
      <c r="C50" s="529">
        <v>10</v>
      </c>
      <c r="D50" s="1027" t="s">
        <v>1327</v>
      </c>
      <c r="E50" s="1028" t="s">
        <v>1326</v>
      </c>
      <c r="F50" s="547"/>
      <c r="G50" s="547"/>
      <c r="H50" s="547"/>
      <c r="I50" s="547"/>
      <c r="J50" s="547"/>
      <c r="K50" s="547"/>
      <c r="L50" s="547"/>
      <c r="M50" s="547"/>
      <c r="N50" s="547"/>
      <c r="O50" s="547"/>
      <c r="P50" s="547"/>
      <c r="Q50" s="547"/>
      <c r="R50" s="547"/>
      <c r="S50" s="989">
        <f t="shared" si="0"/>
        <v>0</v>
      </c>
      <c r="T50" s="547">
        <v>0</v>
      </c>
      <c r="U50" s="989">
        <f t="shared" si="1"/>
        <v>0</v>
      </c>
      <c r="V50" s="547">
        <v>0</v>
      </c>
      <c r="W50" s="566"/>
      <c r="X50" s="567"/>
      <c r="Y50" s="989">
        <f t="shared" si="2"/>
        <v>0</v>
      </c>
      <c r="Z50" s="812">
        <f t="shared" si="3"/>
        <v>0</v>
      </c>
    </row>
    <row r="51" spans="1:26" ht="27" customHeight="1">
      <c r="A51" s="531"/>
      <c r="B51" s="531">
        <v>401</v>
      </c>
      <c r="C51" s="529">
        <v>4</v>
      </c>
      <c r="D51" s="530" t="s">
        <v>92</v>
      </c>
      <c r="E51" s="1028" t="s">
        <v>1758</v>
      </c>
      <c r="F51" s="547">
        <v>70832880</v>
      </c>
      <c r="G51" s="547"/>
      <c r="H51" s="547"/>
      <c r="I51" s="547"/>
      <c r="J51" s="547"/>
      <c r="K51" s="547"/>
      <c r="L51" s="547"/>
      <c r="M51" s="547"/>
      <c r="N51" s="547"/>
      <c r="O51" s="547"/>
      <c r="P51" s="547"/>
      <c r="Q51" s="547"/>
      <c r="R51" s="547"/>
      <c r="S51" s="989">
        <f t="shared" si="0"/>
        <v>70832880</v>
      </c>
      <c r="T51" s="547"/>
      <c r="U51" s="989">
        <f t="shared" si="1"/>
        <v>71</v>
      </c>
      <c r="V51" s="547"/>
      <c r="W51" s="566"/>
      <c r="X51" s="567"/>
      <c r="Y51" s="989">
        <f t="shared" si="2"/>
        <v>70832880</v>
      </c>
      <c r="Z51" s="812">
        <f t="shared" si="3"/>
        <v>71</v>
      </c>
    </row>
    <row r="52" spans="1:26" ht="27" customHeight="1">
      <c r="A52" s="531"/>
      <c r="B52" s="531">
        <v>401</v>
      </c>
      <c r="C52" s="529">
        <v>4</v>
      </c>
      <c r="D52" s="1027" t="s">
        <v>216</v>
      </c>
      <c r="E52" s="1028" t="s">
        <v>706</v>
      </c>
      <c r="F52" s="547"/>
      <c r="G52" s="547"/>
      <c r="H52" s="547"/>
      <c r="I52" s="547"/>
      <c r="J52" s="547"/>
      <c r="K52" s="547"/>
      <c r="L52" s="547"/>
      <c r="M52" s="547"/>
      <c r="N52" s="547"/>
      <c r="O52" s="547"/>
      <c r="P52" s="547"/>
      <c r="Q52" s="547"/>
      <c r="R52" s="547"/>
      <c r="S52" s="989">
        <f t="shared" si="0"/>
        <v>0</v>
      </c>
      <c r="T52" s="547">
        <v>2083332</v>
      </c>
      <c r="U52" s="989">
        <f t="shared" si="1"/>
        <v>0</v>
      </c>
      <c r="V52" s="547">
        <v>2</v>
      </c>
      <c r="W52" s="566"/>
      <c r="X52" s="567"/>
      <c r="Y52" s="989">
        <f t="shared" si="2"/>
        <v>0</v>
      </c>
      <c r="Z52" s="812">
        <f t="shared" si="3"/>
        <v>0</v>
      </c>
    </row>
    <row r="53" spans="1:26" ht="27" customHeight="1">
      <c r="A53" s="531"/>
      <c r="B53" s="531">
        <v>1009</v>
      </c>
      <c r="C53" s="529">
        <v>10</v>
      </c>
      <c r="D53" s="1027" t="s">
        <v>562</v>
      </c>
      <c r="E53" s="1028" t="s">
        <v>705</v>
      </c>
      <c r="F53" s="547"/>
      <c r="G53" s="547"/>
      <c r="H53" s="547"/>
      <c r="I53" s="547"/>
      <c r="J53" s="547"/>
      <c r="K53" s="547"/>
      <c r="L53" s="547"/>
      <c r="M53" s="547"/>
      <c r="N53" s="547"/>
      <c r="O53" s="547"/>
      <c r="P53" s="547"/>
      <c r="Q53" s="547"/>
      <c r="R53" s="547"/>
      <c r="S53" s="989">
        <f t="shared" si="0"/>
        <v>0</v>
      </c>
      <c r="T53" s="547">
        <v>0</v>
      </c>
      <c r="U53" s="989">
        <f t="shared" si="1"/>
        <v>0</v>
      </c>
      <c r="V53" s="547">
        <v>0</v>
      </c>
      <c r="W53" s="566"/>
      <c r="X53" s="567"/>
      <c r="Y53" s="989">
        <f t="shared" si="2"/>
        <v>0</v>
      </c>
      <c r="Z53" s="812">
        <f t="shared" si="3"/>
        <v>0</v>
      </c>
    </row>
    <row r="54" spans="1:26" ht="27" customHeight="1">
      <c r="A54" s="531"/>
      <c r="B54" s="531">
        <v>401</v>
      </c>
      <c r="C54" s="529">
        <v>4</v>
      </c>
      <c r="D54" s="1027" t="s">
        <v>564</v>
      </c>
      <c r="E54" s="1028" t="s">
        <v>704</v>
      </c>
      <c r="F54" s="547">
        <v>58502000</v>
      </c>
      <c r="G54" s="547"/>
      <c r="H54" s="547"/>
      <c r="I54" s="547"/>
      <c r="J54" s="547"/>
      <c r="K54" s="547"/>
      <c r="L54" s="547"/>
      <c r="M54" s="547"/>
      <c r="N54" s="547"/>
      <c r="O54" s="547"/>
      <c r="P54" s="547"/>
      <c r="Q54" s="547"/>
      <c r="R54" s="547"/>
      <c r="S54" s="989">
        <f t="shared" si="0"/>
        <v>58502000</v>
      </c>
      <c r="T54" s="547">
        <v>58502000</v>
      </c>
      <c r="U54" s="989">
        <f t="shared" si="1"/>
        <v>59</v>
      </c>
      <c r="V54" s="547">
        <v>59</v>
      </c>
      <c r="W54" s="566"/>
      <c r="X54" s="567"/>
      <c r="Y54" s="989">
        <f t="shared" si="2"/>
        <v>58502000</v>
      </c>
      <c r="Z54" s="812">
        <f t="shared" si="3"/>
        <v>59</v>
      </c>
    </row>
    <row r="55" spans="1:26" ht="27" customHeight="1">
      <c r="A55" s="531"/>
      <c r="B55" s="531">
        <v>401</v>
      </c>
      <c r="C55" s="529">
        <v>4</v>
      </c>
      <c r="D55" s="1027" t="s">
        <v>184</v>
      </c>
      <c r="E55" s="1028" t="s">
        <v>831</v>
      </c>
      <c r="F55" s="547"/>
      <c r="G55" s="547"/>
      <c r="H55" s="547"/>
      <c r="I55" s="547"/>
      <c r="J55" s="547"/>
      <c r="K55" s="547"/>
      <c r="L55" s="547"/>
      <c r="M55" s="547"/>
      <c r="N55" s="547"/>
      <c r="O55" s="547"/>
      <c r="P55" s="547"/>
      <c r="Q55" s="547"/>
      <c r="R55" s="547"/>
      <c r="S55" s="989">
        <f t="shared" si="0"/>
        <v>0</v>
      </c>
      <c r="T55" s="547">
        <v>133452</v>
      </c>
      <c r="U55" s="989">
        <f t="shared" si="1"/>
        <v>0</v>
      </c>
      <c r="V55" s="547">
        <v>0</v>
      </c>
      <c r="W55" s="566"/>
      <c r="X55" s="567"/>
      <c r="Y55" s="989">
        <f t="shared" si="2"/>
        <v>0</v>
      </c>
      <c r="Z55" s="812">
        <f t="shared" si="3"/>
        <v>0</v>
      </c>
    </row>
    <row r="56" spans="1:26" ht="27" customHeight="1">
      <c r="A56" s="531"/>
      <c r="B56" s="531">
        <v>401</v>
      </c>
      <c r="C56" s="529">
        <v>4</v>
      </c>
      <c r="D56" s="1027" t="s">
        <v>479</v>
      </c>
      <c r="E56" s="1028" t="s">
        <v>701</v>
      </c>
      <c r="F56" s="547">
        <v>147601948</v>
      </c>
      <c r="G56" s="547"/>
      <c r="H56" s="547">
        <v>70634993</v>
      </c>
      <c r="I56" s="547"/>
      <c r="J56" s="547"/>
      <c r="K56" s="547"/>
      <c r="L56" s="547"/>
      <c r="M56" s="547"/>
      <c r="N56" s="547"/>
      <c r="O56" s="547"/>
      <c r="P56" s="547"/>
      <c r="Q56" s="547"/>
      <c r="R56" s="547"/>
      <c r="S56" s="989">
        <f t="shared" si="0"/>
        <v>218236941</v>
      </c>
      <c r="T56" s="547">
        <v>381560996</v>
      </c>
      <c r="U56" s="989">
        <f t="shared" si="1"/>
        <v>218</v>
      </c>
      <c r="V56" s="547">
        <v>382</v>
      </c>
      <c r="W56" s="566"/>
      <c r="X56" s="567"/>
      <c r="Y56" s="989">
        <f t="shared" si="2"/>
        <v>218236941</v>
      </c>
      <c r="Z56" s="812">
        <f t="shared" si="3"/>
        <v>218</v>
      </c>
    </row>
    <row r="57" spans="1:26" ht="27" customHeight="1">
      <c r="A57" s="531"/>
      <c r="B57" s="531">
        <v>401</v>
      </c>
      <c r="C57" s="529">
        <v>4</v>
      </c>
      <c r="D57" s="1027" t="s">
        <v>480</v>
      </c>
      <c r="E57" s="1028" t="s">
        <v>702</v>
      </c>
      <c r="F57" s="547"/>
      <c r="G57" s="547"/>
      <c r="H57" s="547"/>
      <c r="I57" s="547"/>
      <c r="J57" s="547"/>
      <c r="K57" s="547"/>
      <c r="L57" s="547"/>
      <c r="M57" s="547"/>
      <c r="N57" s="547"/>
      <c r="O57" s="547"/>
      <c r="P57" s="547"/>
      <c r="Q57" s="547"/>
      <c r="R57" s="547"/>
      <c r="S57" s="989">
        <f t="shared" si="0"/>
        <v>0</v>
      </c>
      <c r="T57" s="547">
        <v>0</v>
      </c>
      <c r="U57" s="989">
        <f t="shared" si="1"/>
        <v>0</v>
      </c>
      <c r="V57" s="547">
        <v>0</v>
      </c>
      <c r="W57" s="566"/>
      <c r="X57" s="567"/>
      <c r="Y57" s="989">
        <f t="shared" si="2"/>
        <v>0</v>
      </c>
      <c r="Z57" s="812">
        <f t="shared" si="3"/>
        <v>0</v>
      </c>
    </row>
    <row r="58" spans="1:26" ht="27" customHeight="1">
      <c r="A58" s="531"/>
      <c r="B58" s="531">
        <v>1009</v>
      </c>
      <c r="C58" s="529">
        <v>10</v>
      </c>
      <c r="D58" s="1027" t="s">
        <v>481</v>
      </c>
      <c r="E58" s="1028" t="s">
        <v>1328</v>
      </c>
      <c r="F58" s="547"/>
      <c r="G58" s="547"/>
      <c r="H58" s="547"/>
      <c r="I58" s="547"/>
      <c r="J58" s="547"/>
      <c r="K58" s="547"/>
      <c r="L58" s="547"/>
      <c r="M58" s="547"/>
      <c r="N58" s="547"/>
      <c r="O58" s="547"/>
      <c r="P58" s="547"/>
      <c r="Q58" s="547"/>
      <c r="R58" s="547"/>
      <c r="S58" s="989">
        <f t="shared" si="0"/>
        <v>0</v>
      </c>
      <c r="T58" s="547">
        <v>0</v>
      </c>
      <c r="U58" s="989">
        <f t="shared" si="1"/>
        <v>0</v>
      </c>
      <c r="V58" s="547">
        <v>0</v>
      </c>
      <c r="W58" s="566"/>
      <c r="X58" s="567"/>
      <c r="Y58" s="989">
        <f t="shared" si="2"/>
        <v>0</v>
      </c>
      <c r="Z58" s="812">
        <f t="shared" si="3"/>
        <v>0</v>
      </c>
    </row>
    <row r="59" spans="1:26" ht="27" customHeight="1">
      <c r="A59" s="531"/>
      <c r="B59" s="531">
        <v>401</v>
      </c>
      <c r="C59" s="529">
        <v>4</v>
      </c>
      <c r="D59" s="1027" t="s">
        <v>220</v>
      </c>
      <c r="E59" s="1028" t="s">
        <v>703</v>
      </c>
      <c r="F59" s="547"/>
      <c r="G59" s="547"/>
      <c r="H59" s="547"/>
      <c r="I59" s="547"/>
      <c r="J59" s="547"/>
      <c r="K59" s="547"/>
      <c r="L59" s="547"/>
      <c r="M59" s="547"/>
      <c r="N59" s="547"/>
      <c r="O59" s="547"/>
      <c r="P59" s="547"/>
      <c r="Q59" s="547"/>
      <c r="R59" s="547"/>
      <c r="S59" s="989">
        <f t="shared" si="0"/>
        <v>0</v>
      </c>
      <c r="T59" s="547">
        <v>0</v>
      </c>
      <c r="U59" s="989">
        <f t="shared" si="1"/>
        <v>0</v>
      </c>
      <c r="V59" s="547">
        <v>0</v>
      </c>
      <c r="W59" s="566"/>
      <c r="X59" s="567"/>
      <c r="Y59" s="989">
        <f t="shared" si="2"/>
        <v>0</v>
      </c>
      <c r="Z59" s="812">
        <f t="shared" si="3"/>
        <v>0</v>
      </c>
    </row>
    <row r="60" spans="1:26" ht="27" customHeight="1">
      <c r="A60" s="531"/>
      <c r="B60" s="531">
        <v>420</v>
      </c>
      <c r="C60" s="529">
        <v>4</v>
      </c>
      <c r="D60" s="1027" t="s">
        <v>483</v>
      </c>
      <c r="E60" s="1028" t="s">
        <v>1056</v>
      </c>
      <c r="F60" s="547">
        <v>47525205063</v>
      </c>
      <c r="G60" s="547">
        <v>-57916586</v>
      </c>
      <c r="H60" s="547">
        <v>-770000000</v>
      </c>
      <c r="I60" s="547"/>
      <c r="J60" s="547"/>
      <c r="K60" s="547"/>
      <c r="L60" s="547"/>
      <c r="M60" s="547"/>
      <c r="N60" s="547"/>
      <c r="O60" s="547"/>
      <c r="P60" s="547"/>
      <c r="Q60" s="547"/>
      <c r="R60" s="547"/>
      <c r="S60" s="989">
        <f t="shared" si="0"/>
        <v>46697288477</v>
      </c>
      <c r="T60" s="547">
        <v>70443459026</v>
      </c>
      <c r="U60" s="989">
        <f t="shared" si="1"/>
        <v>46697</v>
      </c>
      <c r="V60" s="547">
        <v>70443</v>
      </c>
      <c r="W60" s="566"/>
      <c r="X60" s="567"/>
      <c r="Y60" s="989">
        <f t="shared" si="2"/>
        <v>46697288477</v>
      </c>
      <c r="Z60" s="812">
        <f t="shared" si="3"/>
        <v>46697</v>
      </c>
    </row>
    <row r="61" spans="1:26" ht="27" customHeight="1">
      <c r="A61" s="531"/>
      <c r="B61" s="531">
        <v>401</v>
      </c>
      <c r="C61" s="529">
        <v>4</v>
      </c>
      <c r="D61" s="1027" t="s">
        <v>483</v>
      </c>
      <c r="E61" s="1028" t="s">
        <v>1158</v>
      </c>
      <c r="F61" s="547"/>
      <c r="G61" s="547"/>
      <c r="H61" s="547"/>
      <c r="I61" s="547"/>
      <c r="J61" s="547"/>
      <c r="K61" s="547"/>
      <c r="L61" s="547"/>
      <c r="M61" s="547"/>
      <c r="N61" s="547"/>
      <c r="O61" s="547"/>
      <c r="P61" s="547"/>
      <c r="Q61" s="547"/>
      <c r="R61" s="547"/>
      <c r="S61" s="989">
        <f t="shared" si="0"/>
        <v>0</v>
      </c>
      <c r="T61" s="547">
        <v>0</v>
      </c>
      <c r="U61" s="989">
        <f t="shared" si="1"/>
        <v>0</v>
      </c>
      <c r="V61" s="547">
        <v>0</v>
      </c>
      <c r="W61" s="566"/>
      <c r="X61" s="567"/>
      <c r="Y61" s="989">
        <f t="shared" si="2"/>
        <v>0</v>
      </c>
      <c r="Z61" s="812">
        <f t="shared" si="3"/>
        <v>0</v>
      </c>
    </row>
    <row r="62" spans="1:26" ht="27" customHeight="1">
      <c r="A62" s="531"/>
      <c r="B62" s="531">
        <v>401</v>
      </c>
      <c r="C62" s="529">
        <v>4</v>
      </c>
      <c r="D62" s="1027" t="s">
        <v>0</v>
      </c>
      <c r="E62" s="1028" t="s">
        <v>1089</v>
      </c>
      <c r="F62" s="547">
        <v>25351280</v>
      </c>
      <c r="G62" s="547"/>
      <c r="H62" s="547">
        <v>-25351280</v>
      </c>
      <c r="I62" s="547"/>
      <c r="J62" s="547"/>
      <c r="K62" s="547"/>
      <c r="L62" s="547"/>
      <c r="M62" s="547"/>
      <c r="N62" s="547"/>
      <c r="O62" s="547"/>
      <c r="P62" s="547"/>
      <c r="Q62" s="547"/>
      <c r="R62" s="547"/>
      <c r="S62" s="989">
        <f t="shared" si="0"/>
        <v>0</v>
      </c>
      <c r="T62" s="547">
        <v>25351280</v>
      </c>
      <c r="U62" s="989">
        <f t="shared" si="1"/>
        <v>0</v>
      </c>
      <c r="V62" s="547">
        <v>25</v>
      </c>
      <c r="W62" s="566"/>
      <c r="X62" s="567"/>
      <c r="Y62" s="989">
        <f t="shared" si="2"/>
        <v>0</v>
      </c>
      <c r="Z62" s="812">
        <f t="shared" si="3"/>
        <v>0</v>
      </c>
    </row>
    <row r="63" spans="1:26" ht="27" customHeight="1">
      <c r="A63" s="531"/>
      <c r="B63" s="531">
        <v>401</v>
      </c>
      <c r="C63" s="529">
        <v>4</v>
      </c>
      <c r="D63" s="1027" t="s">
        <v>224</v>
      </c>
      <c r="E63" s="1028" t="s">
        <v>474</v>
      </c>
      <c r="F63" s="547">
        <v>-339155850</v>
      </c>
      <c r="G63" s="547">
        <v>-3943610</v>
      </c>
      <c r="H63" s="547">
        <v>-3943610</v>
      </c>
      <c r="I63" s="547"/>
      <c r="J63" s="547"/>
      <c r="K63" s="547">
        <v>36240300</v>
      </c>
      <c r="L63" s="547"/>
      <c r="M63" s="547"/>
      <c r="N63" s="547"/>
      <c r="O63" s="547"/>
      <c r="P63" s="547"/>
      <c r="Q63" s="547"/>
      <c r="R63" s="547"/>
      <c r="S63" s="989">
        <f t="shared" si="0"/>
        <v>-310802770</v>
      </c>
      <c r="T63" s="547">
        <v>-30537130</v>
      </c>
      <c r="U63" s="989">
        <f t="shared" si="1"/>
        <v>-311</v>
      </c>
      <c r="V63" s="547">
        <v>-31</v>
      </c>
      <c r="W63" s="566"/>
      <c r="X63" s="567"/>
      <c r="Y63" s="989">
        <f t="shared" si="2"/>
        <v>-310802770</v>
      </c>
      <c r="Z63" s="812">
        <f t="shared" si="3"/>
        <v>-311</v>
      </c>
    </row>
    <row r="64" spans="1:26" ht="27" customHeight="1">
      <c r="A64" s="531"/>
      <c r="B64" s="531">
        <v>401</v>
      </c>
      <c r="C64" s="529">
        <v>4</v>
      </c>
      <c r="D64" s="1027" t="s">
        <v>1231</v>
      </c>
      <c r="E64" s="1028" t="s">
        <v>1232</v>
      </c>
      <c r="F64" s="547">
        <v>14250000000</v>
      </c>
      <c r="G64" s="547"/>
      <c r="H64" s="547"/>
      <c r="I64" s="547"/>
      <c r="J64" s="547"/>
      <c r="K64" s="547"/>
      <c r="L64" s="547"/>
      <c r="M64" s="547"/>
      <c r="N64" s="547"/>
      <c r="O64" s="547"/>
      <c r="P64" s="547"/>
      <c r="Q64" s="547"/>
      <c r="R64" s="547"/>
      <c r="S64" s="989">
        <f t="shared" si="0"/>
        <v>14250000000</v>
      </c>
      <c r="T64" s="547">
        <v>12290000000</v>
      </c>
      <c r="U64" s="989">
        <f t="shared" si="1"/>
        <v>14250</v>
      </c>
      <c r="V64" s="547">
        <v>12290</v>
      </c>
      <c r="W64" s="566"/>
      <c r="X64" s="567"/>
      <c r="Y64" s="989">
        <f t="shared" si="2"/>
        <v>14250000000</v>
      </c>
      <c r="Z64" s="812">
        <f t="shared" si="3"/>
        <v>14250</v>
      </c>
    </row>
    <row r="65" spans="1:26" ht="27" customHeight="1">
      <c r="A65" s="531"/>
      <c r="B65" s="531">
        <v>401</v>
      </c>
      <c r="C65" s="529">
        <v>4</v>
      </c>
      <c r="D65" s="1027" t="s">
        <v>1565</v>
      </c>
      <c r="E65" s="1028" t="s">
        <v>1566</v>
      </c>
      <c r="F65" s="547"/>
      <c r="G65" s="547"/>
      <c r="H65" s="547"/>
      <c r="I65" s="547"/>
      <c r="J65" s="547"/>
      <c r="K65" s="547"/>
      <c r="L65" s="547"/>
      <c r="M65" s="547"/>
      <c r="N65" s="547"/>
      <c r="O65" s="547"/>
      <c r="P65" s="547"/>
      <c r="Q65" s="547"/>
      <c r="R65" s="547"/>
      <c r="S65" s="989">
        <f t="shared" si="0"/>
        <v>0</v>
      </c>
      <c r="T65" s="547">
        <v>0</v>
      </c>
      <c r="U65" s="989">
        <f t="shared" si="1"/>
        <v>0</v>
      </c>
      <c r="V65" s="547">
        <v>0</v>
      </c>
      <c r="W65" s="566"/>
      <c r="X65" s="567"/>
      <c r="Y65" s="989">
        <f t="shared" si="2"/>
        <v>0</v>
      </c>
      <c r="Z65" s="812">
        <f t="shared" si="3"/>
        <v>0</v>
      </c>
    </row>
    <row r="66" spans="1:26" ht="27" customHeight="1">
      <c r="A66" s="531"/>
      <c r="B66" s="531">
        <v>401</v>
      </c>
      <c r="C66" s="529">
        <v>4</v>
      </c>
      <c r="D66" s="1027" t="s">
        <v>2</v>
      </c>
      <c r="E66" s="1028" t="s">
        <v>876</v>
      </c>
      <c r="F66" s="547">
        <v>19280001316</v>
      </c>
      <c r="G66" s="547">
        <v>157916562</v>
      </c>
      <c r="H66" s="547">
        <v>770000000</v>
      </c>
      <c r="I66" s="547"/>
      <c r="J66" s="547"/>
      <c r="K66" s="547"/>
      <c r="L66" s="547"/>
      <c r="M66" s="547"/>
      <c r="N66" s="547"/>
      <c r="O66" s="547"/>
      <c r="P66" s="547"/>
      <c r="Q66" s="547"/>
      <c r="R66" s="547"/>
      <c r="S66" s="989">
        <f t="shared" si="0"/>
        <v>20207917878</v>
      </c>
      <c r="T66" s="547">
        <v>12566370657</v>
      </c>
      <c r="U66" s="989">
        <f t="shared" si="1"/>
        <v>20208</v>
      </c>
      <c r="V66" s="547">
        <v>12566</v>
      </c>
      <c r="W66" s="566"/>
      <c r="X66" s="567"/>
      <c r="Y66" s="989">
        <f t="shared" si="2"/>
        <v>20207917878</v>
      </c>
      <c r="Z66" s="812">
        <f t="shared" si="3"/>
        <v>20208</v>
      </c>
    </row>
    <row r="67" spans="1:26" ht="27" customHeight="1">
      <c r="A67" s="531"/>
      <c r="B67" s="531">
        <v>406</v>
      </c>
      <c r="C67" s="529">
        <v>4</v>
      </c>
      <c r="D67" s="1027" t="s">
        <v>476</v>
      </c>
      <c r="E67" s="1028" t="s">
        <v>1173</v>
      </c>
      <c r="F67" s="547">
        <v>-6000000</v>
      </c>
      <c r="G67" s="547"/>
      <c r="H67" s="547"/>
      <c r="I67" s="547"/>
      <c r="J67" s="547"/>
      <c r="K67" s="547"/>
      <c r="L67" s="547"/>
      <c r="M67" s="547"/>
      <c r="N67" s="547"/>
      <c r="O67" s="547"/>
      <c r="P67" s="547"/>
      <c r="Q67" s="547"/>
      <c r="R67" s="547"/>
      <c r="S67" s="989">
        <f t="shared" si="0"/>
        <v>-6000000</v>
      </c>
      <c r="T67" s="547">
        <v>-6000000</v>
      </c>
      <c r="U67" s="989">
        <f t="shared" si="1"/>
        <v>-6</v>
      </c>
      <c r="V67" s="547">
        <v>-6</v>
      </c>
      <c r="W67" s="566"/>
      <c r="X67" s="567"/>
      <c r="Y67" s="989">
        <f t="shared" si="2"/>
        <v>-6000000</v>
      </c>
      <c r="Z67" s="812">
        <f t="shared" si="3"/>
        <v>-6</v>
      </c>
    </row>
    <row r="68" spans="1:26" ht="27" customHeight="1">
      <c r="A68" s="531"/>
      <c r="B68" s="531">
        <v>1009</v>
      </c>
      <c r="C68" s="529">
        <v>10</v>
      </c>
      <c r="D68" s="1027" t="s">
        <v>3</v>
      </c>
      <c r="E68" s="1028" t="s">
        <v>937</v>
      </c>
      <c r="F68" s="547"/>
      <c r="G68" s="547"/>
      <c r="H68" s="547"/>
      <c r="I68" s="547"/>
      <c r="J68" s="547"/>
      <c r="K68" s="547"/>
      <c r="L68" s="547"/>
      <c r="M68" s="547"/>
      <c r="N68" s="547"/>
      <c r="O68" s="547"/>
      <c r="P68" s="547"/>
      <c r="Q68" s="547"/>
      <c r="R68" s="547"/>
      <c r="S68" s="989">
        <f t="shared" si="0"/>
        <v>0</v>
      </c>
      <c r="T68" s="547">
        <v>0</v>
      </c>
      <c r="U68" s="989">
        <f t="shared" si="1"/>
        <v>0</v>
      </c>
      <c r="V68" s="547">
        <v>0</v>
      </c>
      <c r="W68" s="566"/>
      <c r="X68" s="567"/>
      <c r="Y68" s="989">
        <f t="shared" si="2"/>
        <v>0</v>
      </c>
      <c r="Z68" s="812">
        <f t="shared" si="3"/>
        <v>0</v>
      </c>
    </row>
    <row r="69" spans="1:26" ht="27" customHeight="1">
      <c r="A69" s="531"/>
      <c r="B69" s="531">
        <v>1009</v>
      </c>
      <c r="C69" s="529">
        <v>10</v>
      </c>
      <c r="D69" s="1027" t="s">
        <v>4</v>
      </c>
      <c r="E69" s="1028" t="s">
        <v>440</v>
      </c>
      <c r="F69" s="547">
        <v>-366770496455</v>
      </c>
      <c r="G69" s="547"/>
      <c r="H69" s="547"/>
      <c r="I69" s="547"/>
      <c r="J69" s="547"/>
      <c r="K69" s="547"/>
      <c r="L69" s="547"/>
      <c r="M69" s="547"/>
      <c r="N69" s="547"/>
      <c r="O69" s="547"/>
      <c r="P69" s="547"/>
      <c r="Q69" s="547"/>
      <c r="R69" s="547"/>
      <c r="S69" s="989">
        <f t="shared" ref="S69:S133" si="4">SUM(F69:R69)</f>
        <v>-366770496455</v>
      </c>
      <c r="T69" s="547">
        <v>-212562194663</v>
      </c>
      <c r="U69" s="989">
        <f t="shared" ref="U69:U133" si="5">ROUND((S69/1000000),0)</f>
        <v>-366770</v>
      </c>
      <c r="V69" s="547">
        <v>-212562</v>
      </c>
      <c r="W69" s="566"/>
      <c r="X69" s="567"/>
      <c r="Y69" s="989">
        <f t="shared" ref="Y69:Y133" si="6">S69+X69-W69</f>
        <v>-366770496455</v>
      </c>
      <c r="Z69" s="812">
        <f t="shared" ref="Z69:Z133" si="7">ROUND((Y69/1000000),0)</f>
        <v>-366770</v>
      </c>
    </row>
    <row r="70" spans="1:26" ht="27" customHeight="1">
      <c r="A70" s="531"/>
      <c r="B70" s="531">
        <v>401</v>
      </c>
      <c r="C70" s="529">
        <v>4</v>
      </c>
      <c r="D70" s="1027" t="s">
        <v>441</v>
      </c>
      <c r="E70" s="1028" t="s">
        <v>442</v>
      </c>
      <c r="F70" s="547">
        <v>19722279</v>
      </c>
      <c r="G70" s="547"/>
      <c r="H70" s="547"/>
      <c r="I70" s="547"/>
      <c r="J70" s="547"/>
      <c r="K70" s="547"/>
      <c r="L70" s="547"/>
      <c r="M70" s="547"/>
      <c r="N70" s="547"/>
      <c r="O70" s="547"/>
      <c r="P70" s="547"/>
      <c r="Q70" s="547"/>
      <c r="R70" s="547"/>
      <c r="S70" s="989">
        <f t="shared" si="4"/>
        <v>19722279</v>
      </c>
      <c r="T70" s="547">
        <v>51111276</v>
      </c>
      <c r="U70" s="989">
        <f t="shared" si="5"/>
        <v>20</v>
      </c>
      <c r="V70" s="547">
        <v>51</v>
      </c>
      <c r="W70" s="566"/>
      <c r="X70" s="567"/>
      <c r="Y70" s="989">
        <f t="shared" si="6"/>
        <v>19722279</v>
      </c>
      <c r="Z70" s="812">
        <f t="shared" si="7"/>
        <v>20</v>
      </c>
    </row>
    <row r="71" spans="1:26" ht="27" customHeight="1">
      <c r="A71" s="531"/>
      <c r="B71" s="531">
        <v>1009</v>
      </c>
      <c r="C71" s="529">
        <v>10</v>
      </c>
      <c r="D71" s="1027" t="s">
        <v>5</v>
      </c>
      <c r="E71" s="1028" t="s">
        <v>827</v>
      </c>
      <c r="F71" s="547"/>
      <c r="G71" s="547"/>
      <c r="H71" s="547"/>
      <c r="I71" s="547"/>
      <c r="J71" s="547"/>
      <c r="K71" s="547"/>
      <c r="L71" s="547"/>
      <c r="M71" s="547"/>
      <c r="N71" s="547"/>
      <c r="O71" s="547"/>
      <c r="P71" s="547"/>
      <c r="Q71" s="547"/>
      <c r="R71" s="547"/>
      <c r="S71" s="989">
        <f t="shared" si="4"/>
        <v>0</v>
      </c>
      <c r="T71" s="547">
        <v>0</v>
      </c>
      <c r="U71" s="989">
        <f t="shared" si="5"/>
        <v>0</v>
      </c>
      <c r="V71" s="547">
        <v>0</v>
      </c>
      <c r="W71" s="566"/>
      <c r="X71" s="567"/>
      <c r="Y71" s="989">
        <f t="shared" si="6"/>
        <v>0</v>
      </c>
      <c r="Z71" s="812">
        <f t="shared" si="7"/>
        <v>0</v>
      </c>
    </row>
    <row r="72" spans="1:26" ht="27" customHeight="1">
      <c r="A72" s="531"/>
      <c r="B72" s="531">
        <v>406</v>
      </c>
      <c r="C72" s="529">
        <v>4</v>
      </c>
      <c r="D72" s="1027" t="s">
        <v>1329</v>
      </c>
      <c r="E72" s="1028" t="s">
        <v>1570</v>
      </c>
      <c r="F72" s="547">
        <v>367726274500</v>
      </c>
      <c r="G72" s="547"/>
      <c r="H72" s="547"/>
      <c r="I72" s="547"/>
      <c r="J72" s="547"/>
      <c r="K72" s="547"/>
      <c r="L72" s="547"/>
      <c r="M72" s="547"/>
      <c r="N72" s="547"/>
      <c r="O72" s="547"/>
      <c r="P72" s="547"/>
      <c r="Q72" s="547"/>
      <c r="R72" s="547"/>
      <c r="S72" s="989">
        <f t="shared" si="4"/>
        <v>367726274500</v>
      </c>
      <c r="T72" s="547">
        <v>205992538675</v>
      </c>
      <c r="U72" s="989">
        <f t="shared" si="5"/>
        <v>367726</v>
      </c>
      <c r="V72" s="547">
        <v>205993</v>
      </c>
      <c r="W72" s="566"/>
      <c r="X72" s="567"/>
      <c r="Y72" s="989">
        <f t="shared" si="6"/>
        <v>367726274500</v>
      </c>
      <c r="Z72" s="812">
        <f t="shared" si="7"/>
        <v>367726</v>
      </c>
    </row>
    <row r="73" spans="1:26" ht="27" customHeight="1">
      <c r="A73" s="531"/>
      <c r="B73" s="531">
        <v>1009</v>
      </c>
      <c r="C73" s="529">
        <v>10</v>
      </c>
      <c r="D73" s="1027" t="s">
        <v>877</v>
      </c>
      <c r="E73" s="1028" t="s">
        <v>878</v>
      </c>
      <c r="F73" s="547">
        <v>-66967724</v>
      </c>
      <c r="G73" s="547"/>
      <c r="H73" s="547"/>
      <c r="I73" s="547"/>
      <c r="J73" s="547">
        <v>66967724</v>
      </c>
      <c r="K73" s="547"/>
      <c r="L73" s="547"/>
      <c r="M73" s="547"/>
      <c r="N73" s="547"/>
      <c r="O73" s="547"/>
      <c r="P73" s="547"/>
      <c r="Q73" s="547"/>
      <c r="R73" s="547"/>
      <c r="S73" s="989">
        <f t="shared" si="4"/>
        <v>0</v>
      </c>
      <c r="T73" s="547">
        <v>-65601910</v>
      </c>
      <c r="U73" s="989">
        <f t="shared" si="5"/>
        <v>0</v>
      </c>
      <c r="V73" s="547">
        <v>-66</v>
      </c>
      <c r="W73" s="566"/>
      <c r="X73" s="567"/>
      <c r="Y73" s="989">
        <f t="shared" si="6"/>
        <v>0</v>
      </c>
      <c r="Z73" s="812">
        <f t="shared" si="7"/>
        <v>0</v>
      </c>
    </row>
    <row r="74" spans="1:26" s="1267" customFormat="1" ht="27" customHeight="1">
      <c r="A74" s="1262"/>
      <c r="B74" s="1262">
        <v>1009</v>
      </c>
      <c r="C74" s="1119">
        <v>10</v>
      </c>
      <c r="D74" s="1118" t="s">
        <v>1233</v>
      </c>
      <c r="E74" s="1263" t="s">
        <v>1234</v>
      </c>
      <c r="F74" s="547">
        <v>-13330000</v>
      </c>
      <c r="G74" s="547">
        <v>-31980000</v>
      </c>
      <c r="H74" s="547"/>
      <c r="I74" s="547"/>
      <c r="J74" s="547"/>
      <c r="K74" s="547"/>
      <c r="L74" s="547">
        <v>-4320000</v>
      </c>
      <c r="M74" s="1264"/>
      <c r="N74" s="547"/>
      <c r="O74" s="547"/>
      <c r="P74" s="547"/>
      <c r="Q74" s="547"/>
      <c r="R74" s="547"/>
      <c r="S74" s="989">
        <f t="shared" si="4"/>
        <v>-49630000</v>
      </c>
      <c r="T74" s="1264">
        <v>7040000</v>
      </c>
      <c r="U74" s="989">
        <f t="shared" si="5"/>
        <v>-50</v>
      </c>
      <c r="V74" s="1264">
        <v>7</v>
      </c>
      <c r="W74" s="1265"/>
      <c r="X74" s="1266"/>
      <c r="Y74" s="989">
        <f t="shared" si="6"/>
        <v>-49630000</v>
      </c>
      <c r="Z74" s="812">
        <f t="shared" si="7"/>
        <v>-50</v>
      </c>
    </row>
    <row r="75" spans="1:26" ht="27" customHeight="1">
      <c r="A75" s="531"/>
      <c r="B75" s="531">
        <v>401</v>
      </c>
      <c r="C75" s="529">
        <v>4</v>
      </c>
      <c r="D75" s="1027" t="s">
        <v>1174</v>
      </c>
      <c r="E75" s="1028" t="s">
        <v>1167</v>
      </c>
      <c r="F75" s="547">
        <v>-71968369</v>
      </c>
      <c r="G75" s="547"/>
      <c r="H75" s="547"/>
      <c r="I75" s="547"/>
      <c r="J75" s="547"/>
      <c r="K75" s="547"/>
      <c r="L75" s="547"/>
      <c r="M75" s="547"/>
      <c r="N75" s="547"/>
      <c r="O75" s="547"/>
      <c r="P75" s="547"/>
      <c r="Q75" s="547"/>
      <c r="R75" s="547"/>
      <c r="S75" s="989">
        <f t="shared" si="4"/>
        <v>-71968369</v>
      </c>
      <c r="T75" s="547">
        <v>-84717985</v>
      </c>
      <c r="U75" s="989">
        <f t="shared" si="5"/>
        <v>-72</v>
      </c>
      <c r="V75" s="547">
        <v>-85</v>
      </c>
      <c r="W75" s="566"/>
      <c r="X75" s="567"/>
      <c r="Y75" s="989">
        <f t="shared" si="6"/>
        <v>-71968369</v>
      </c>
      <c r="Z75" s="812">
        <f t="shared" si="7"/>
        <v>-72</v>
      </c>
    </row>
    <row r="76" spans="1:26" ht="27" customHeight="1">
      <c r="A76" s="531"/>
      <c r="B76" s="531">
        <v>1009</v>
      </c>
      <c r="C76" s="529">
        <v>10</v>
      </c>
      <c r="D76" s="1027" t="s">
        <v>832</v>
      </c>
      <c r="E76" s="1028" t="s">
        <v>833</v>
      </c>
      <c r="F76" s="547"/>
      <c r="G76" s="547"/>
      <c r="H76" s="547"/>
      <c r="I76" s="547"/>
      <c r="J76" s="547"/>
      <c r="K76" s="547"/>
      <c r="L76" s="547"/>
      <c r="M76" s="547"/>
      <c r="N76" s="547"/>
      <c r="O76" s="547"/>
      <c r="P76" s="547"/>
      <c r="Q76" s="547"/>
      <c r="R76" s="547"/>
      <c r="S76" s="989">
        <f t="shared" si="4"/>
        <v>0</v>
      </c>
      <c r="T76" s="547">
        <v>0</v>
      </c>
      <c r="U76" s="989">
        <f t="shared" si="5"/>
        <v>0</v>
      </c>
      <c r="V76" s="547">
        <v>0</v>
      </c>
      <c r="W76" s="566"/>
      <c r="X76" s="567"/>
      <c r="Y76" s="989">
        <f t="shared" si="6"/>
        <v>0</v>
      </c>
      <c r="Z76" s="812">
        <f t="shared" si="7"/>
        <v>0</v>
      </c>
    </row>
    <row r="77" spans="1:26" ht="27" customHeight="1">
      <c r="A77" s="531"/>
      <c r="B77" s="531">
        <v>401</v>
      </c>
      <c r="C77" s="529">
        <v>4</v>
      </c>
      <c r="D77" s="1027" t="s">
        <v>834</v>
      </c>
      <c r="E77" s="1028" t="s">
        <v>835</v>
      </c>
      <c r="F77" s="547">
        <v>31546202629</v>
      </c>
      <c r="G77" s="547">
        <v>-2000</v>
      </c>
      <c r="H77" s="547"/>
      <c r="I77" s="547"/>
      <c r="J77" s="547"/>
      <c r="K77" s="547"/>
      <c r="L77" s="547"/>
      <c r="M77" s="547"/>
      <c r="N77" s="547"/>
      <c r="O77" s="547"/>
      <c r="P77" s="547"/>
      <c r="Q77" s="547"/>
      <c r="R77" s="547"/>
      <c r="S77" s="989">
        <f t="shared" si="4"/>
        <v>31546200629</v>
      </c>
      <c r="T77" s="547">
        <v>38375447629</v>
      </c>
      <c r="U77" s="989">
        <f t="shared" si="5"/>
        <v>31546</v>
      </c>
      <c r="V77" s="547">
        <v>38375</v>
      </c>
      <c r="W77" s="566"/>
      <c r="X77" s="567"/>
      <c r="Y77" s="989">
        <f t="shared" si="6"/>
        <v>31546200629</v>
      </c>
      <c r="Z77" s="812">
        <f t="shared" si="7"/>
        <v>31546</v>
      </c>
    </row>
    <row r="78" spans="1:26" ht="27" customHeight="1">
      <c r="A78" s="531"/>
      <c r="B78" s="531">
        <v>401</v>
      </c>
      <c r="C78" s="529">
        <v>4</v>
      </c>
      <c r="D78" s="1027" t="s">
        <v>6</v>
      </c>
      <c r="E78" s="1028" t="s">
        <v>204</v>
      </c>
      <c r="F78" s="547">
        <v>12094248762</v>
      </c>
      <c r="G78" s="547">
        <v>-779398573</v>
      </c>
      <c r="H78" s="547">
        <v>649618587</v>
      </c>
      <c r="I78" s="547"/>
      <c r="J78" s="547"/>
      <c r="K78" s="547"/>
      <c r="L78" s="547"/>
      <c r="M78" s="547"/>
      <c r="N78" s="547"/>
      <c r="O78" s="547"/>
      <c r="P78" s="547"/>
      <c r="Q78" s="547"/>
      <c r="R78" s="547"/>
      <c r="S78" s="989">
        <f t="shared" si="4"/>
        <v>11964468776</v>
      </c>
      <c r="T78" s="547">
        <v>7844390633</v>
      </c>
      <c r="U78" s="683">
        <f>ROUND((S78/1000000),0)+1</f>
        <v>11965</v>
      </c>
      <c r="V78" s="547">
        <v>7844</v>
      </c>
      <c r="W78" s="566"/>
      <c r="X78" s="567"/>
      <c r="Y78" s="989">
        <f t="shared" si="6"/>
        <v>11964468776</v>
      </c>
      <c r="Z78" s="812">
        <f t="shared" si="7"/>
        <v>11964</v>
      </c>
    </row>
    <row r="79" spans="1:26" ht="27" customHeight="1">
      <c r="A79" s="531"/>
      <c r="B79" s="531"/>
      <c r="C79" s="529"/>
      <c r="D79" s="1027">
        <v>6605610</v>
      </c>
      <c r="E79" s="1028"/>
      <c r="F79" s="547"/>
      <c r="G79" s="547"/>
      <c r="H79" s="547"/>
      <c r="I79" s="547"/>
      <c r="J79" s="547"/>
      <c r="K79" s="547"/>
      <c r="L79" s="547"/>
      <c r="M79" s="547"/>
      <c r="N79" s="547"/>
      <c r="O79" s="547"/>
      <c r="P79" s="547"/>
      <c r="Q79" s="547"/>
      <c r="R79" s="547"/>
      <c r="S79" s="989"/>
      <c r="T79" s="547"/>
      <c r="U79" s="683"/>
      <c r="V79" s="547"/>
      <c r="W79" s="566"/>
      <c r="X79" s="567"/>
      <c r="Y79" s="989"/>
      <c r="Z79" s="812"/>
    </row>
    <row r="80" spans="1:26" ht="27" customHeight="1">
      <c r="A80" s="531"/>
      <c r="B80" s="531">
        <v>1002</v>
      </c>
      <c r="C80" s="529">
        <v>10</v>
      </c>
      <c r="D80" s="1027" t="s">
        <v>938</v>
      </c>
      <c r="E80" s="1028" t="s">
        <v>939</v>
      </c>
      <c r="F80" s="547">
        <v>26647796346</v>
      </c>
      <c r="G80" s="547">
        <v>-13009729411</v>
      </c>
      <c r="H80" s="547">
        <v>-9710212675</v>
      </c>
      <c r="I80" s="547">
        <v>-1555011481</v>
      </c>
      <c r="J80" s="547">
        <v>-2372842779</v>
      </c>
      <c r="K80" s="547"/>
      <c r="L80" s="547"/>
      <c r="M80" s="547"/>
      <c r="N80" s="547"/>
      <c r="O80" s="547"/>
      <c r="P80" s="547"/>
      <c r="Q80" s="547"/>
      <c r="R80" s="547"/>
      <c r="S80" s="989">
        <f t="shared" si="4"/>
        <v>0</v>
      </c>
      <c r="T80" s="547">
        <v>0</v>
      </c>
      <c r="U80" s="989">
        <f t="shared" si="5"/>
        <v>0</v>
      </c>
      <c r="V80" s="547">
        <v>0</v>
      </c>
      <c r="W80" s="566"/>
      <c r="X80" s="567"/>
      <c r="Y80" s="989">
        <f t="shared" si="6"/>
        <v>0</v>
      </c>
      <c r="Z80" s="812">
        <f t="shared" si="7"/>
        <v>0</v>
      </c>
    </row>
    <row r="81" spans="1:26" ht="27" customHeight="1">
      <c r="A81" s="531"/>
      <c r="B81" s="531">
        <v>1002</v>
      </c>
      <c r="C81" s="529">
        <v>10</v>
      </c>
      <c r="D81" s="530" t="s">
        <v>7</v>
      </c>
      <c r="E81" s="1028" t="s">
        <v>1759</v>
      </c>
      <c r="F81" s="547">
        <v>5335636310</v>
      </c>
      <c r="G81" s="547"/>
      <c r="H81" s="547"/>
      <c r="I81" s="547">
        <v>-119869934</v>
      </c>
      <c r="J81" s="547">
        <v>-5215766376</v>
      </c>
      <c r="K81" s="547"/>
      <c r="L81" s="547"/>
      <c r="M81" s="547"/>
      <c r="N81" s="547"/>
      <c r="O81" s="547"/>
      <c r="P81" s="547"/>
      <c r="Q81" s="547"/>
      <c r="R81" s="547"/>
      <c r="S81" s="989">
        <f t="shared" si="4"/>
        <v>0</v>
      </c>
      <c r="T81" s="547"/>
      <c r="U81" s="989">
        <f t="shared" si="5"/>
        <v>0</v>
      </c>
      <c r="V81" s="547"/>
      <c r="W81" s="566"/>
      <c r="X81" s="567"/>
      <c r="Y81" s="989">
        <f t="shared" si="6"/>
        <v>0</v>
      </c>
      <c r="Z81" s="812">
        <f t="shared" si="7"/>
        <v>0</v>
      </c>
    </row>
    <row r="82" spans="1:26" ht="27" customHeight="1">
      <c r="A82" s="531"/>
      <c r="B82" s="1281">
        <v>1009</v>
      </c>
      <c r="C82" s="529">
        <v>10</v>
      </c>
      <c r="D82" s="1027" t="s">
        <v>8</v>
      </c>
      <c r="E82" s="1028" t="s">
        <v>203</v>
      </c>
      <c r="F82" s="547">
        <v>-10540658664</v>
      </c>
      <c r="G82" s="547">
        <v>647067632</v>
      </c>
      <c r="H82" s="547">
        <v>-652496541</v>
      </c>
      <c r="I82" s="547"/>
      <c r="J82" s="547"/>
      <c r="K82" s="547"/>
      <c r="L82" s="547"/>
      <c r="M82" s="547"/>
      <c r="N82" s="547"/>
      <c r="O82" s="547"/>
      <c r="P82" s="547"/>
      <c r="Q82" s="547"/>
      <c r="R82" s="547"/>
      <c r="S82" s="989">
        <f t="shared" si="4"/>
        <v>-10546087573</v>
      </c>
      <c r="T82" s="547">
        <v>-5914673404</v>
      </c>
      <c r="U82" s="989">
        <f t="shared" si="5"/>
        <v>-10546</v>
      </c>
      <c r="V82" s="547">
        <v>-5915</v>
      </c>
      <c r="W82" s="566"/>
      <c r="X82" s="567"/>
      <c r="Y82" s="989">
        <f t="shared" si="6"/>
        <v>-10546087573</v>
      </c>
      <c r="Z82" s="812">
        <f t="shared" si="7"/>
        <v>-10546</v>
      </c>
    </row>
    <row r="83" spans="1:26" ht="27" customHeight="1">
      <c r="A83" s="531"/>
      <c r="B83" s="531">
        <v>401</v>
      </c>
      <c r="C83" s="529">
        <v>4</v>
      </c>
      <c r="D83" s="1027" t="s">
        <v>1235</v>
      </c>
      <c r="E83" s="1028" t="s">
        <v>1236</v>
      </c>
      <c r="F83" s="547">
        <v>83806650</v>
      </c>
      <c r="G83" s="547"/>
      <c r="H83" s="547"/>
      <c r="I83" s="547"/>
      <c r="J83" s="547"/>
      <c r="K83" s="547"/>
      <c r="L83" s="547"/>
      <c r="M83" s="547"/>
      <c r="N83" s="547"/>
      <c r="O83" s="547"/>
      <c r="P83" s="547"/>
      <c r="Q83" s="547"/>
      <c r="R83" s="547"/>
      <c r="S83" s="989">
        <f t="shared" si="4"/>
        <v>83806650</v>
      </c>
      <c r="T83" s="547">
        <v>81848200</v>
      </c>
      <c r="U83" s="989">
        <f t="shared" si="5"/>
        <v>84</v>
      </c>
      <c r="V83" s="547">
        <v>82</v>
      </c>
      <c r="W83" s="566"/>
      <c r="X83" s="567"/>
      <c r="Y83" s="989">
        <f t="shared" si="6"/>
        <v>83806650</v>
      </c>
      <c r="Z83" s="812">
        <f t="shared" si="7"/>
        <v>84</v>
      </c>
    </row>
    <row r="84" spans="1:26" ht="27" customHeight="1">
      <c r="A84" s="531"/>
      <c r="B84" s="531">
        <v>1009</v>
      </c>
      <c r="C84" s="529">
        <v>10</v>
      </c>
      <c r="D84" s="1027" t="s">
        <v>549</v>
      </c>
      <c r="E84" s="1028" t="s">
        <v>550</v>
      </c>
      <c r="F84" s="547">
        <v>-85379084</v>
      </c>
      <c r="G84" s="547">
        <v>160680100</v>
      </c>
      <c r="H84" s="547">
        <v>184</v>
      </c>
      <c r="I84" s="547"/>
      <c r="J84" s="547">
        <v>-7083300</v>
      </c>
      <c r="K84" s="547">
        <v>-36240300</v>
      </c>
      <c r="L84" s="547"/>
      <c r="M84" s="547"/>
      <c r="N84" s="547"/>
      <c r="O84" s="547"/>
      <c r="P84" s="547"/>
      <c r="Q84" s="547"/>
      <c r="R84" s="547"/>
      <c r="S84" s="989">
        <f t="shared" si="4"/>
        <v>31977600</v>
      </c>
      <c r="T84" s="547">
        <v>28123100</v>
      </c>
      <c r="U84" s="989">
        <f t="shared" si="5"/>
        <v>32</v>
      </c>
      <c r="V84" s="547">
        <v>28</v>
      </c>
      <c r="W84" s="566"/>
      <c r="X84" s="567"/>
      <c r="Y84" s="989">
        <f t="shared" si="6"/>
        <v>31977600</v>
      </c>
      <c r="Z84" s="812">
        <f t="shared" si="7"/>
        <v>32</v>
      </c>
    </row>
    <row r="85" spans="1:26" ht="27" customHeight="1">
      <c r="A85" s="531"/>
      <c r="B85" s="531">
        <v>1301</v>
      </c>
      <c r="C85" s="529">
        <v>11</v>
      </c>
      <c r="D85" s="1027" t="s">
        <v>9</v>
      </c>
      <c r="E85" s="1028" t="s">
        <v>590</v>
      </c>
      <c r="F85" s="547">
        <v>-3971354309924</v>
      </c>
      <c r="G85" s="547">
        <v>-65610477843</v>
      </c>
      <c r="H85" s="547">
        <v>-3081133766</v>
      </c>
      <c r="I85" s="547">
        <v>11149807806</v>
      </c>
      <c r="J85" s="547">
        <v>-41303403</v>
      </c>
      <c r="K85" s="547">
        <v>41303403</v>
      </c>
      <c r="L85" s="547"/>
      <c r="M85" s="547"/>
      <c r="N85" s="547"/>
      <c r="O85" s="547"/>
      <c r="P85" s="547"/>
      <c r="Q85" s="547"/>
      <c r="R85" s="547"/>
      <c r="S85" s="989">
        <f t="shared" si="4"/>
        <v>-4028896113727</v>
      </c>
      <c r="T85" s="547">
        <v>-3907582918266</v>
      </c>
      <c r="U85" s="989">
        <f t="shared" si="5"/>
        <v>-4028896</v>
      </c>
      <c r="V85" s="547">
        <v>-3907583</v>
      </c>
      <c r="W85" s="566"/>
      <c r="X85" s="567"/>
      <c r="Y85" s="989">
        <f t="shared" si="6"/>
        <v>-4028896113727</v>
      </c>
      <c r="Z85" s="812">
        <f t="shared" si="7"/>
        <v>-4028896</v>
      </c>
    </row>
    <row r="86" spans="1:26" ht="27" customHeight="1">
      <c r="A86" s="531"/>
      <c r="B86" s="531">
        <v>1009</v>
      </c>
      <c r="C86" s="529">
        <v>10</v>
      </c>
      <c r="D86" s="1027" t="s">
        <v>11</v>
      </c>
      <c r="E86" s="1028" t="s">
        <v>551</v>
      </c>
      <c r="F86" s="547">
        <v>-116110949</v>
      </c>
      <c r="G86" s="547"/>
      <c r="H86" s="547"/>
      <c r="I86" s="547"/>
      <c r="J86" s="547"/>
      <c r="K86" s="547"/>
      <c r="L86" s="547"/>
      <c r="M86" s="547"/>
      <c r="N86" s="547"/>
      <c r="O86" s="547"/>
      <c r="P86" s="547"/>
      <c r="Q86" s="547"/>
      <c r="R86" s="547"/>
      <c r="S86" s="989">
        <f t="shared" si="4"/>
        <v>-116110949</v>
      </c>
      <c r="T86" s="547">
        <v>-99334436</v>
      </c>
      <c r="U86" s="989">
        <f t="shared" si="5"/>
        <v>-116</v>
      </c>
      <c r="V86" s="547">
        <v>-99</v>
      </c>
      <c r="W86" s="566"/>
      <c r="X86" s="567"/>
      <c r="Y86" s="989">
        <f t="shared" si="6"/>
        <v>-116110949</v>
      </c>
      <c r="Z86" s="812">
        <f t="shared" si="7"/>
        <v>-116</v>
      </c>
    </row>
    <row r="87" spans="1:26" ht="26.25" customHeight="1">
      <c r="A87" s="531"/>
      <c r="B87" s="531">
        <v>1009</v>
      </c>
      <c r="C87" s="529">
        <v>10</v>
      </c>
      <c r="D87" s="1027" t="s">
        <v>12</v>
      </c>
      <c r="E87" s="1028" t="s">
        <v>13</v>
      </c>
      <c r="F87" s="547">
        <v>-84361587</v>
      </c>
      <c r="G87" s="547">
        <v>-20551356</v>
      </c>
      <c r="H87" s="547"/>
      <c r="I87" s="547"/>
      <c r="J87" s="547"/>
      <c r="K87" s="547"/>
      <c r="L87" s="547"/>
      <c r="M87" s="547"/>
      <c r="N87" s="547"/>
      <c r="O87" s="547"/>
      <c r="P87" s="547"/>
      <c r="Q87" s="547"/>
      <c r="R87" s="547"/>
      <c r="S87" s="989">
        <f t="shared" si="4"/>
        <v>-104912943</v>
      </c>
      <c r="T87" s="547">
        <v>-347647981</v>
      </c>
      <c r="U87" s="989">
        <f t="shared" si="5"/>
        <v>-105</v>
      </c>
      <c r="V87" s="547">
        <v>-348</v>
      </c>
      <c r="W87" s="566"/>
      <c r="X87" s="567"/>
      <c r="Y87" s="989">
        <f t="shared" si="6"/>
        <v>-104912943</v>
      </c>
      <c r="Z87" s="812">
        <f t="shared" si="7"/>
        <v>-105</v>
      </c>
    </row>
    <row r="88" spans="1:26" ht="27" customHeight="1">
      <c r="A88" s="531"/>
      <c r="B88" s="531">
        <v>1009</v>
      </c>
      <c r="C88" s="529">
        <v>10</v>
      </c>
      <c r="D88" s="1027" t="s">
        <v>1090</v>
      </c>
      <c r="E88" s="1028" t="s">
        <v>1091</v>
      </c>
      <c r="F88" s="547"/>
      <c r="G88" s="547"/>
      <c r="H88" s="547"/>
      <c r="I88" s="547"/>
      <c r="J88" s="547"/>
      <c r="K88" s="547"/>
      <c r="L88" s="547"/>
      <c r="M88" s="547"/>
      <c r="N88" s="547"/>
      <c r="O88" s="547"/>
      <c r="P88" s="547"/>
      <c r="Q88" s="547"/>
      <c r="R88" s="547"/>
      <c r="S88" s="989">
        <f t="shared" si="4"/>
        <v>0</v>
      </c>
      <c r="T88" s="547">
        <v>0</v>
      </c>
      <c r="U88" s="989">
        <f t="shared" si="5"/>
        <v>0</v>
      </c>
      <c r="V88" s="547">
        <v>0</v>
      </c>
      <c r="W88" s="566"/>
      <c r="X88" s="567"/>
      <c r="Y88" s="989">
        <f t="shared" si="6"/>
        <v>0</v>
      </c>
      <c r="Z88" s="812">
        <f t="shared" si="7"/>
        <v>0</v>
      </c>
    </row>
    <row r="89" spans="1:26" ht="27" customHeight="1">
      <c r="A89" s="531"/>
      <c r="B89" s="531">
        <v>1009</v>
      </c>
      <c r="C89" s="529">
        <v>10</v>
      </c>
      <c r="D89" s="1027" t="s">
        <v>14</v>
      </c>
      <c r="E89" s="1028" t="s">
        <v>363</v>
      </c>
      <c r="F89" s="547">
        <v>-6692893843</v>
      </c>
      <c r="G89" s="547">
        <v>16962600</v>
      </c>
      <c r="H89" s="547">
        <v>-16962600</v>
      </c>
      <c r="I89" s="547"/>
      <c r="J89" s="547"/>
      <c r="K89" s="547"/>
      <c r="L89" s="547"/>
      <c r="M89" s="547"/>
      <c r="N89" s="547"/>
      <c r="O89" s="547"/>
      <c r="P89" s="547"/>
      <c r="Q89" s="547"/>
      <c r="R89" s="547"/>
      <c r="S89" s="989">
        <f t="shared" si="4"/>
        <v>-6692893843</v>
      </c>
      <c r="T89" s="547">
        <v>-6504311843</v>
      </c>
      <c r="U89" s="989">
        <f t="shared" si="5"/>
        <v>-6693</v>
      </c>
      <c r="V89" s="547">
        <v>-6504</v>
      </c>
      <c r="W89" s="566"/>
      <c r="X89" s="567"/>
      <c r="Y89" s="989">
        <f t="shared" si="6"/>
        <v>-6692893843</v>
      </c>
      <c r="Z89" s="812">
        <f t="shared" si="7"/>
        <v>-6693</v>
      </c>
    </row>
    <row r="90" spans="1:26" ht="27" customHeight="1">
      <c r="A90" s="531"/>
      <c r="B90" s="531">
        <v>1009</v>
      </c>
      <c r="C90" s="529">
        <v>10</v>
      </c>
      <c r="D90" s="1027" t="s">
        <v>15</v>
      </c>
      <c r="E90" s="1028" t="s">
        <v>552</v>
      </c>
      <c r="F90" s="547"/>
      <c r="G90" s="547"/>
      <c r="H90" s="547"/>
      <c r="I90" s="547"/>
      <c r="J90" s="547"/>
      <c r="K90" s="547"/>
      <c r="L90" s="547"/>
      <c r="M90" s="547"/>
      <c r="N90" s="547"/>
      <c r="O90" s="547"/>
      <c r="P90" s="547"/>
      <c r="Q90" s="547"/>
      <c r="R90" s="547"/>
      <c r="S90" s="989">
        <f t="shared" si="4"/>
        <v>0</v>
      </c>
      <c r="T90" s="547">
        <v>0</v>
      </c>
      <c r="U90" s="989">
        <f t="shared" si="5"/>
        <v>0</v>
      </c>
      <c r="V90" s="547">
        <v>0</v>
      </c>
      <c r="W90" s="566"/>
      <c r="X90" s="567"/>
      <c r="Y90" s="989">
        <f t="shared" si="6"/>
        <v>0</v>
      </c>
      <c r="Z90" s="812">
        <f t="shared" si="7"/>
        <v>0</v>
      </c>
    </row>
    <row r="91" spans="1:26" ht="27" customHeight="1">
      <c r="A91" s="531"/>
      <c r="B91" s="531">
        <v>1009</v>
      </c>
      <c r="C91" s="529">
        <v>10</v>
      </c>
      <c r="D91" s="1027" t="s">
        <v>743</v>
      </c>
      <c r="E91" s="1028" t="s">
        <v>1092</v>
      </c>
      <c r="F91" s="547">
        <v>-800466503</v>
      </c>
      <c r="G91" s="547">
        <v>796528827</v>
      </c>
      <c r="H91" s="547">
        <v>3894326</v>
      </c>
      <c r="I91" s="547">
        <v>43250</v>
      </c>
      <c r="J91" s="547">
        <v>100</v>
      </c>
      <c r="K91" s="547"/>
      <c r="L91" s="547"/>
      <c r="M91" s="547"/>
      <c r="N91" s="547"/>
      <c r="O91" s="547"/>
      <c r="P91" s="547"/>
      <c r="Q91" s="547"/>
      <c r="R91" s="547"/>
      <c r="S91" s="989">
        <f t="shared" si="4"/>
        <v>0</v>
      </c>
      <c r="T91" s="547">
        <v>-1406350</v>
      </c>
      <c r="U91" s="989">
        <f t="shared" si="5"/>
        <v>0</v>
      </c>
      <c r="V91" s="547">
        <v>-1</v>
      </c>
      <c r="W91" s="566"/>
      <c r="X91" s="567"/>
      <c r="Y91" s="989">
        <f t="shared" si="6"/>
        <v>0</v>
      </c>
      <c r="Z91" s="812">
        <f t="shared" si="7"/>
        <v>0</v>
      </c>
    </row>
    <row r="92" spans="1:26" ht="27" customHeight="1">
      <c r="A92" s="531"/>
      <c r="B92" s="531">
        <v>1002</v>
      </c>
      <c r="C92" s="529">
        <v>10</v>
      </c>
      <c r="D92" s="1027" t="s">
        <v>39</v>
      </c>
      <c r="E92" s="1028" t="s">
        <v>181</v>
      </c>
      <c r="F92" s="547">
        <v>-109906011920</v>
      </c>
      <c r="G92" s="547">
        <v>12863797800</v>
      </c>
      <c r="H92" s="547">
        <v>9646531330</v>
      </c>
      <c r="I92" s="547">
        <v>1674881415</v>
      </c>
      <c r="J92" s="547">
        <v>7588032405</v>
      </c>
      <c r="K92" s="547"/>
      <c r="L92" s="547"/>
      <c r="M92" s="547"/>
      <c r="N92" s="547"/>
      <c r="O92" s="547"/>
      <c r="P92" s="547"/>
      <c r="Q92" s="547"/>
      <c r="R92" s="547"/>
      <c r="S92" s="989">
        <f t="shared" si="4"/>
        <v>-78132768970</v>
      </c>
      <c r="T92" s="547">
        <v>-109071054875</v>
      </c>
      <c r="U92" s="989">
        <f t="shared" si="5"/>
        <v>-78133</v>
      </c>
      <c r="V92" s="547">
        <v>-109071</v>
      </c>
      <c r="W92" s="566"/>
      <c r="X92" s="567"/>
      <c r="Y92" s="989">
        <f t="shared" si="6"/>
        <v>-78132768970</v>
      </c>
      <c r="Z92" s="812">
        <f t="shared" si="7"/>
        <v>-78133</v>
      </c>
    </row>
    <row r="93" spans="1:26" ht="27" customHeight="1">
      <c r="A93" s="531"/>
      <c r="B93" s="531">
        <v>1009</v>
      </c>
      <c r="C93" s="529">
        <v>10</v>
      </c>
      <c r="D93" s="1027" t="s">
        <v>940</v>
      </c>
      <c r="E93" s="1028" t="s">
        <v>941</v>
      </c>
      <c r="F93" s="547"/>
      <c r="G93" s="547"/>
      <c r="H93" s="547"/>
      <c r="I93" s="547"/>
      <c r="J93" s="547"/>
      <c r="K93" s="547"/>
      <c r="L93" s="547"/>
      <c r="M93" s="547"/>
      <c r="N93" s="547"/>
      <c r="O93" s="547"/>
      <c r="P93" s="547"/>
      <c r="Q93" s="547"/>
      <c r="R93" s="547"/>
      <c r="S93" s="989">
        <f t="shared" si="4"/>
        <v>0</v>
      </c>
      <c r="T93" s="547">
        <v>0</v>
      </c>
      <c r="U93" s="989">
        <f t="shared" si="5"/>
        <v>0</v>
      </c>
      <c r="V93" s="547">
        <v>0</v>
      </c>
      <c r="W93" s="566"/>
      <c r="X93" s="567"/>
      <c r="Y93" s="989">
        <f t="shared" si="6"/>
        <v>0</v>
      </c>
      <c r="Z93" s="812">
        <f t="shared" si="7"/>
        <v>0</v>
      </c>
    </row>
    <row r="94" spans="1:26" ht="27" customHeight="1">
      <c r="A94" s="531"/>
      <c r="B94" s="531">
        <v>1009</v>
      </c>
      <c r="C94" s="529">
        <v>10</v>
      </c>
      <c r="D94" s="1027" t="s">
        <v>40</v>
      </c>
      <c r="E94" s="1028" t="s">
        <v>41</v>
      </c>
      <c r="F94" s="547"/>
      <c r="G94" s="547"/>
      <c r="H94" s="547"/>
      <c r="I94" s="547"/>
      <c r="J94" s="547"/>
      <c r="K94" s="547"/>
      <c r="L94" s="547"/>
      <c r="M94" s="547"/>
      <c r="N94" s="547"/>
      <c r="O94" s="547"/>
      <c r="P94" s="547"/>
      <c r="Q94" s="547"/>
      <c r="R94" s="547"/>
      <c r="S94" s="989">
        <f t="shared" si="4"/>
        <v>0</v>
      </c>
      <c r="T94" s="547">
        <v>0</v>
      </c>
      <c r="U94" s="989">
        <f t="shared" si="5"/>
        <v>0</v>
      </c>
      <c r="V94" s="547">
        <v>0</v>
      </c>
      <c r="W94" s="566"/>
      <c r="X94" s="567"/>
      <c r="Y94" s="989">
        <f t="shared" si="6"/>
        <v>0</v>
      </c>
      <c r="Z94" s="812">
        <f t="shared" si="7"/>
        <v>0</v>
      </c>
    </row>
    <row r="95" spans="1:26" ht="27" customHeight="1">
      <c r="A95" s="531"/>
      <c r="B95" s="531">
        <v>1009</v>
      </c>
      <c r="C95" s="529">
        <v>10</v>
      </c>
      <c r="D95" s="1027" t="s">
        <v>1093</v>
      </c>
      <c r="E95" s="1028" t="s">
        <v>1094</v>
      </c>
      <c r="F95" s="547">
        <v>-328151435</v>
      </c>
      <c r="G95" s="547">
        <v>321924556</v>
      </c>
      <c r="H95" s="547">
        <v>7385067</v>
      </c>
      <c r="I95" s="547">
        <v>-1158188</v>
      </c>
      <c r="J95" s="547"/>
      <c r="K95" s="547"/>
      <c r="L95" s="547"/>
      <c r="M95" s="547"/>
      <c r="N95" s="547"/>
      <c r="O95" s="547"/>
      <c r="P95" s="547"/>
      <c r="Q95" s="547"/>
      <c r="R95" s="547"/>
      <c r="S95" s="989">
        <f t="shared" si="4"/>
        <v>0</v>
      </c>
      <c r="T95" s="547">
        <v>1000000</v>
      </c>
      <c r="U95" s="989">
        <f t="shared" si="5"/>
        <v>0</v>
      </c>
      <c r="V95" s="547">
        <v>1</v>
      </c>
      <c r="W95" s="566"/>
      <c r="X95" s="567"/>
      <c r="Y95" s="989">
        <f t="shared" si="6"/>
        <v>0</v>
      </c>
      <c r="Z95" s="812">
        <f t="shared" si="7"/>
        <v>0</v>
      </c>
    </row>
    <row r="96" spans="1:26" ht="27" customHeight="1">
      <c r="A96" s="531"/>
      <c r="B96" s="531">
        <v>1009</v>
      </c>
      <c r="C96" s="529">
        <v>10</v>
      </c>
      <c r="D96" s="1027" t="s">
        <v>1095</v>
      </c>
      <c r="E96" s="1028" t="s">
        <v>1096</v>
      </c>
      <c r="F96" s="547">
        <v>-240000</v>
      </c>
      <c r="G96" s="547"/>
      <c r="H96" s="547">
        <v>240000</v>
      </c>
      <c r="I96" s="547"/>
      <c r="J96" s="547"/>
      <c r="K96" s="547"/>
      <c r="L96" s="547"/>
      <c r="M96" s="547"/>
      <c r="N96" s="547"/>
      <c r="O96" s="547"/>
      <c r="P96" s="547"/>
      <c r="Q96" s="547"/>
      <c r="R96" s="547"/>
      <c r="S96" s="989">
        <f t="shared" si="4"/>
        <v>0</v>
      </c>
      <c r="T96" s="547">
        <v>0</v>
      </c>
      <c r="U96" s="989">
        <f t="shared" si="5"/>
        <v>0</v>
      </c>
      <c r="V96" s="547">
        <v>0</v>
      </c>
      <c r="W96" s="566"/>
      <c r="X96" s="567"/>
      <c r="Y96" s="989">
        <f t="shared" si="6"/>
        <v>0</v>
      </c>
      <c r="Z96" s="812">
        <f t="shared" si="7"/>
        <v>0</v>
      </c>
    </row>
    <row r="97" spans="1:26" ht="27" customHeight="1">
      <c r="A97" s="531"/>
      <c r="B97" s="531">
        <v>1009</v>
      </c>
      <c r="C97" s="529">
        <v>10</v>
      </c>
      <c r="D97" s="1027" t="s">
        <v>853</v>
      </c>
      <c r="E97" s="1028" t="s">
        <v>1097</v>
      </c>
      <c r="F97" s="547">
        <v>-31469946</v>
      </c>
      <c r="G97" s="547">
        <v>30909575</v>
      </c>
      <c r="H97" s="547">
        <v>262647</v>
      </c>
      <c r="I97" s="547">
        <v>297724</v>
      </c>
      <c r="J97" s="547"/>
      <c r="K97" s="547"/>
      <c r="L97" s="547"/>
      <c r="M97" s="547"/>
      <c r="N97" s="547"/>
      <c r="O97" s="547"/>
      <c r="P97" s="547"/>
      <c r="Q97" s="547"/>
      <c r="R97" s="547"/>
      <c r="S97" s="989">
        <f t="shared" si="4"/>
        <v>0</v>
      </c>
      <c r="T97" s="547">
        <v>0</v>
      </c>
      <c r="U97" s="989">
        <f t="shared" si="5"/>
        <v>0</v>
      </c>
      <c r="V97" s="547">
        <v>0</v>
      </c>
      <c r="W97" s="566"/>
      <c r="X97" s="567"/>
      <c r="Y97" s="989">
        <f t="shared" si="6"/>
        <v>0</v>
      </c>
      <c r="Z97" s="812">
        <f t="shared" si="7"/>
        <v>0</v>
      </c>
    </row>
    <row r="98" spans="1:26" ht="27" customHeight="1">
      <c r="A98" s="531"/>
      <c r="B98" s="531">
        <v>401</v>
      </c>
      <c r="C98" s="529">
        <v>4</v>
      </c>
      <c r="D98" s="1027" t="s">
        <v>42</v>
      </c>
      <c r="E98" s="1028" t="s">
        <v>942</v>
      </c>
      <c r="F98" s="547">
        <v>-56511000</v>
      </c>
      <c r="G98" s="547">
        <v>56511000</v>
      </c>
      <c r="H98" s="547"/>
      <c r="I98" s="547"/>
      <c r="J98" s="547"/>
      <c r="K98" s="547"/>
      <c r="L98" s="547"/>
      <c r="M98" s="547"/>
      <c r="N98" s="547"/>
      <c r="O98" s="547"/>
      <c r="P98" s="547"/>
      <c r="Q98" s="547"/>
      <c r="R98" s="547"/>
      <c r="S98" s="989">
        <f t="shared" si="4"/>
        <v>0</v>
      </c>
      <c r="T98" s="547">
        <v>0</v>
      </c>
      <c r="U98" s="989">
        <f t="shared" si="5"/>
        <v>0</v>
      </c>
      <c r="V98" s="547">
        <v>0</v>
      </c>
      <c r="W98" s="566"/>
      <c r="X98" s="567"/>
      <c r="Y98" s="989">
        <f t="shared" si="6"/>
        <v>0</v>
      </c>
      <c r="Z98" s="812">
        <f t="shared" si="7"/>
        <v>0</v>
      </c>
    </row>
    <row r="99" spans="1:26" ht="27" customHeight="1">
      <c r="A99" s="531"/>
      <c r="B99" s="531">
        <v>1009</v>
      </c>
      <c r="C99" s="529">
        <v>10</v>
      </c>
      <c r="D99" s="1027" t="s">
        <v>1098</v>
      </c>
      <c r="E99" s="1028" t="s">
        <v>1083</v>
      </c>
      <c r="F99" s="547">
        <v>-85494888</v>
      </c>
      <c r="G99" s="547"/>
      <c r="H99" s="547"/>
      <c r="I99" s="547"/>
      <c r="J99" s="547"/>
      <c r="K99" s="547"/>
      <c r="L99" s="547"/>
      <c r="M99" s="547"/>
      <c r="N99" s="547"/>
      <c r="O99" s="547"/>
      <c r="P99" s="547"/>
      <c r="Q99" s="547"/>
      <c r="R99" s="547"/>
      <c r="S99" s="989">
        <f t="shared" si="4"/>
        <v>-85494888</v>
      </c>
      <c r="T99" s="547">
        <v>-85494888</v>
      </c>
      <c r="U99" s="989">
        <f t="shared" si="5"/>
        <v>-85</v>
      </c>
      <c r="V99" s="547">
        <v>-85</v>
      </c>
      <c r="W99" s="566"/>
      <c r="X99" s="567"/>
      <c r="Y99" s="989">
        <f t="shared" si="6"/>
        <v>-85494888</v>
      </c>
      <c r="Z99" s="812">
        <f t="shared" si="7"/>
        <v>-85</v>
      </c>
    </row>
    <row r="100" spans="1:26" ht="27" customHeight="1">
      <c r="A100" s="531"/>
      <c r="B100" s="531">
        <v>401</v>
      </c>
      <c r="C100" s="529">
        <v>4</v>
      </c>
      <c r="D100" s="1027" t="s">
        <v>1099</v>
      </c>
      <c r="E100" s="1028" t="s">
        <v>1101</v>
      </c>
      <c r="F100" s="547"/>
      <c r="G100" s="547"/>
      <c r="H100" s="547"/>
      <c r="I100" s="547"/>
      <c r="J100" s="547"/>
      <c r="K100" s="547"/>
      <c r="L100" s="547"/>
      <c r="M100" s="547"/>
      <c r="N100" s="547"/>
      <c r="O100" s="547"/>
      <c r="P100" s="547"/>
      <c r="Q100" s="547"/>
      <c r="R100" s="547"/>
      <c r="S100" s="989">
        <f t="shared" si="4"/>
        <v>0</v>
      </c>
      <c r="T100" s="547">
        <v>0</v>
      </c>
      <c r="U100" s="989">
        <f t="shared" si="5"/>
        <v>0</v>
      </c>
      <c r="V100" s="547">
        <v>0</v>
      </c>
      <c r="W100" s="566"/>
      <c r="X100" s="567"/>
      <c r="Y100" s="989">
        <f t="shared" si="6"/>
        <v>0</v>
      </c>
      <c r="Z100" s="812">
        <f t="shared" si="7"/>
        <v>0</v>
      </c>
    </row>
    <row r="101" spans="1:26" ht="27" customHeight="1">
      <c r="A101" s="531"/>
      <c r="B101" s="531">
        <v>1009</v>
      </c>
      <c r="C101" s="529">
        <v>10</v>
      </c>
      <c r="D101" s="1027" t="s">
        <v>1100</v>
      </c>
      <c r="E101" s="1028" t="s">
        <v>1102</v>
      </c>
      <c r="F101" s="547">
        <v>-111547200</v>
      </c>
      <c r="G101" s="547">
        <v>111547200</v>
      </c>
      <c r="H101" s="547"/>
      <c r="I101" s="547"/>
      <c r="J101" s="547"/>
      <c r="K101" s="547"/>
      <c r="L101" s="547"/>
      <c r="M101" s="547"/>
      <c r="N101" s="547"/>
      <c r="O101" s="547"/>
      <c r="P101" s="547"/>
      <c r="Q101" s="547"/>
      <c r="R101" s="547"/>
      <c r="S101" s="989">
        <f t="shared" si="4"/>
        <v>0</v>
      </c>
      <c r="T101" s="547">
        <v>0</v>
      </c>
      <c r="U101" s="989">
        <f t="shared" si="5"/>
        <v>0</v>
      </c>
      <c r="V101" s="547">
        <v>0</v>
      </c>
      <c r="W101" s="566"/>
      <c r="X101" s="567"/>
      <c r="Y101" s="989">
        <f t="shared" si="6"/>
        <v>0</v>
      </c>
      <c r="Z101" s="812">
        <f t="shared" si="7"/>
        <v>0</v>
      </c>
    </row>
    <row r="102" spans="1:26" ht="27" customHeight="1">
      <c r="A102" s="531"/>
      <c r="B102" s="531">
        <v>406</v>
      </c>
      <c r="C102" s="529">
        <v>4</v>
      </c>
      <c r="D102" s="1027" t="s">
        <v>43</v>
      </c>
      <c r="E102" s="1028" t="s">
        <v>1001</v>
      </c>
      <c r="F102" s="547">
        <v>-216527043</v>
      </c>
      <c r="G102" s="547"/>
      <c r="H102" s="547"/>
      <c r="I102" s="547"/>
      <c r="J102" s="547"/>
      <c r="K102" s="547"/>
      <c r="L102" s="547"/>
      <c r="M102" s="547"/>
      <c r="N102" s="547"/>
      <c r="O102" s="547"/>
      <c r="P102" s="547"/>
      <c r="Q102" s="547"/>
      <c r="R102" s="547"/>
      <c r="S102" s="989">
        <f t="shared" si="4"/>
        <v>-216527043</v>
      </c>
      <c r="T102" s="547">
        <v>5791000</v>
      </c>
      <c r="U102" s="989">
        <f t="shared" si="5"/>
        <v>-217</v>
      </c>
      <c r="V102" s="547">
        <v>6</v>
      </c>
      <c r="W102" s="566"/>
      <c r="X102" s="567"/>
      <c r="Y102" s="989">
        <f t="shared" si="6"/>
        <v>-216527043</v>
      </c>
      <c r="Z102" s="812">
        <f t="shared" si="7"/>
        <v>-217</v>
      </c>
    </row>
    <row r="103" spans="1:26" ht="27" customHeight="1">
      <c r="A103" s="531"/>
      <c r="B103" s="531">
        <v>406</v>
      </c>
      <c r="C103" s="529">
        <v>4</v>
      </c>
      <c r="D103" s="530" t="s">
        <v>1769</v>
      </c>
      <c r="E103" s="1028" t="s">
        <v>1760</v>
      </c>
      <c r="F103" s="547">
        <v>10875650</v>
      </c>
      <c r="G103" s="547">
        <v>0</v>
      </c>
      <c r="H103" s="547">
        <v>-10875650</v>
      </c>
      <c r="I103" s="547"/>
      <c r="J103" s="547"/>
      <c r="K103" s="547"/>
      <c r="L103" s="547"/>
      <c r="M103" s="547"/>
      <c r="N103" s="547"/>
      <c r="O103" s="547"/>
      <c r="P103" s="547"/>
      <c r="Q103" s="547"/>
      <c r="R103" s="547"/>
      <c r="S103" s="989">
        <f t="shared" si="4"/>
        <v>0</v>
      </c>
      <c r="T103" s="547"/>
      <c r="U103" s="989">
        <f t="shared" si="5"/>
        <v>0</v>
      </c>
      <c r="V103" s="547"/>
      <c r="W103" s="566"/>
      <c r="X103" s="567"/>
      <c r="Y103" s="989">
        <f t="shared" si="6"/>
        <v>0</v>
      </c>
      <c r="Z103" s="812">
        <f t="shared" si="7"/>
        <v>0</v>
      </c>
    </row>
    <row r="104" spans="1:26" ht="27" customHeight="1">
      <c r="A104" s="531"/>
      <c r="B104" s="531">
        <v>401</v>
      </c>
      <c r="C104" s="529">
        <v>4</v>
      </c>
      <c r="D104" s="1027" t="s">
        <v>1175</v>
      </c>
      <c r="E104" s="1028" t="s">
        <v>1170</v>
      </c>
      <c r="F104" s="547">
        <v>379627640</v>
      </c>
      <c r="G104" s="547">
        <v>-16962600</v>
      </c>
      <c r="H104" s="547">
        <v>16962600</v>
      </c>
      <c r="I104" s="547"/>
      <c r="J104" s="547">
        <v>-40000000</v>
      </c>
      <c r="K104" s="547"/>
      <c r="L104" s="547"/>
      <c r="M104" s="547"/>
      <c r="N104" s="547"/>
      <c r="O104" s="547"/>
      <c r="P104" s="547"/>
      <c r="Q104" s="547"/>
      <c r="R104" s="547"/>
      <c r="S104" s="989">
        <f t="shared" si="4"/>
        <v>339627640</v>
      </c>
      <c r="T104" s="547">
        <v>64671995</v>
      </c>
      <c r="U104" s="989">
        <f t="shared" si="5"/>
        <v>340</v>
      </c>
      <c r="V104" s="547">
        <v>65</v>
      </c>
      <c r="W104" s="566"/>
      <c r="X104" s="567"/>
      <c r="Y104" s="989">
        <f t="shared" si="6"/>
        <v>339627640</v>
      </c>
      <c r="Z104" s="812">
        <f t="shared" si="7"/>
        <v>340</v>
      </c>
    </row>
    <row r="105" spans="1:26" ht="27" customHeight="1">
      <c r="A105" s="531"/>
      <c r="B105" s="531">
        <v>1009</v>
      </c>
      <c r="C105" s="529">
        <v>10</v>
      </c>
      <c r="D105" s="1027" t="s">
        <v>44</v>
      </c>
      <c r="E105" s="1028" t="s">
        <v>897</v>
      </c>
      <c r="F105" s="547"/>
      <c r="G105" s="547"/>
      <c r="H105" s="547"/>
      <c r="I105" s="547"/>
      <c r="J105" s="547"/>
      <c r="K105" s="547"/>
      <c r="L105" s="547"/>
      <c r="M105" s="547"/>
      <c r="N105" s="547"/>
      <c r="O105" s="547"/>
      <c r="P105" s="547"/>
      <c r="Q105" s="547"/>
      <c r="R105" s="547"/>
      <c r="S105" s="989">
        <f t="shared" si="4"/>
        <v>0</v>
      </c>
      <c r="T105" s="547">
        <v>0</v>
      </c>
      <c r="U105" s="989">
        <f t="shared" si="5"/>
        <v>0</v>
      </c>
      <c r="V105" s="547">
        <v>0</v>
      </c>
      <c r="W105" s="566"/>
      <c r="X105" s="567"/>
      <c r="Y105" s="989">
        <f t="shared" si="6"/>
        <v>0</v>
      </c>
      <c r="Z105" s="812">
        <f t="shared" si="7"/>
        <v>0</v>
      </c>
    </row>
    <row r="106" spans="1:26" ht="27" customHeight="1">
      <c r="A106" s="531"/>
      <c r="B106" s="531">
        <v>401</v>
      </c>
      <c r="C106" s="529">
        <v>4</v>
      </c>
      <c r="D106" s="1027" t="s">
        <v>943</v>
      </c>
      <c r="E106" s="1028" t="s">
        <v>944</v>
      </c>
      <c r="F106" s="547">
        <v>5180939190924</v>
      </c>
      <c r="G106" s="547">
        <v>-3667338871642</v>
      </c>
      <c r="H106" s="547">
        <v>-1199777891235</v>
      </c>
      <c r="I106" s="547"/>
      <c r="J106" s="547">
        <v>-313822428047</v>
      </c>
      <c r="K106" s="547"/>
      <c r="L106" s="547"/>
      <c r="M106" s="547"/>
      <c r="N106" s="547"/>
      <c r="O106" s="547"/>
      <c r="P106" s="547"/>
      <c r="Q106" s="547"/>
      <c r="R106" s="547"/>
      <c r="S106" s="989">
        <f t="shared" si="4"/>
        <v>0</v>
      </c>
      <c r="T106" s="547">
        <v>0</v>
      </c>
      <c r="U106" s="989">
        <f t="shared" si="5"/>
        <v>0</v>
      </c>
      <c r="V106" s="547">
        <v>0</v>
      </c>
      <c r="W106" s="566"/>
      <c r="X106" s="567"/>
      <c r="Y106" s="989">
        <f t="shared" si="6"/>
        <v>0</v>
      </c>
      <c r="Z106" s="812">
        <f t="shared" si="7"/>
        <v>0</v>
      </c>
    </row>
    <row r="107" spans="1:26" ht="27" customHeight="1">
      <c r="A107" s="531"/>
      <c r="B107" s="531">
        <v>401</v>
      </c>
      <c r="C107" s="529">
        <v>4</v>
      </c>
      <c r="D107" s="1027" t="s">
        <v>945</v>
      </c>
      <c r="E107" s="1028" t="s">
        <v>946</v>
      </c>
      <c r="F107" s="547">
        <v>25156730728</v>
      </c>
      <c r="G107" s="547">
        <v>-15317659683</v>
      </c>
      <c r="H107" s="547">
        <v>-8342847289</v>
      </c>
      <c r="I107" s="547"/>
      <c r="J107" s="547">
        <v>-1496223756</v>
      </c>
      <c r="K107" s="547"/>
      <c r="L107" s="547"/>
      <c r="M107" s="547"/>
      <c r="N107" s="547"/>
      <c r="O107" s="547"/>
      <c r="P107" s="547"/>
      <c r="Q107" s="547"/>
      <c r="R107" s="547"/>
      <c r="S107" s="989">
        <f t="shared" si="4"/>
        <v>0</v>
      </c>
      <c r="T107" s="547">
        <v>0</v>
      </c>
      <c r="U107" s="989">
        <f t="shared" si="5"/>
        <v>0</v>
      </c>
      <c r="V107" s="547">
        <v>0</v>
      </c>
      <c r="W107" s="566"/>
      <c r="X107" s="567"/>
      <c r="Y107" s="989">
        <f t="shared" si="6"/>
        <v>0</v>
      </c>
      <c r="Z107" s="812">
        <f t="shared" si="7"/>
        <v>0</v>
      </c>
    </row>
    <row r="108" spans="1:26" ht="27" customHeight="1">
      <c r="A108" s="531"/>
      <c r="B108" s="531">
        <v>401</v>
      </c>
      <c r="C108" s="529">
        <v>4</v>
      </c>
      <c r="D108" s="1027" t="s">
        <v>947</v>
      </c>
      <c r="E108" s="1028" t="s">
        <v>948</v>
      </c>
      <c r="F108" s="547">
        <v>270281429</v>
      </c>
      <c r="G108" s="547">
        <v>-229747542</v>
      </c>
      <c r="H108" s="547">
        <v>-40533887</v>
      </c>
      <c r="I108" s="547"/>
      <c r="J108" s="547"/>
      <c r="K108" s="547"/>
      <c r="L108" s="547"/>
      <c r="M108" s="547"/>
      <c r="N108" s="547"/>
      <c r="O108" s="547"/>
      <c r="P108" s="547"/>
      <c r="Q108" s="547"/>
      <c r="R108" s="547"/>
      <c r="S108" s="989">
        <f t="shared" si="4"/>
        <v>0</v>
      </c>
      <c r="T108" s="547">
        <v>0</v>
      </c>
      <c r="U108" s="989">
        <f t="shared" si="5"/>
        <v>0</v>
      </c>
      <c r="V108" s="547">
        <v>0</v>
      </c>
      <c r="W108" s="566"/>
      <c r="X108" s="567"/>
      <c r="Y108" s="989">
        <f t="shared" si="6"/>
        <v>0</v>
      </c>
      <c r="Z108" s="812">
        <f t="shared" si="7"/>
        <v>0</v>
      </c>
    </row>
    <row r="109" spans="1:26" ht="27" customHeight="1">
      <c r="A109" s="531"/>
      <c r="B109" s="531">
        <v>1009</v>
      </c>
      <c r="C109" s="529">
        <v>10</v>
      </c>
      <c r="D109" s="1027" t="s">
        <v>949</v>
      </c>
      <c r="E109" s="1028" t="s">
        <v>950</v>
      </c>
      <c r="F109" s="547">
        <v>-5206366203081</v>
      </c>
      <c r="G109" s="547">
        <v>3682886278867</v>
      </c>
      <c r="H109" s="547">
        <v>1208161272411</v>
      </c>
      <c r="I109" s="547"/>
      <c r="J109" s="547">
        <v>315318651803</v>
      </c>
      <c r="K109" s="547"/>
      <c r="L109" s="547"/>
      <c r="M109" s="547"/>
      <c r="N109" s="547"/>
      <c r="O109" s="547"/>
      <c r="P109" s="547"/>
      <c r="Q109" s="547"/>
      <c r="R109" s="547"/>
      <c r="S109" s="989">
        <f t="shared" si="4"/>
        <v>0</v>
      </c>
      <c r="T109" s="547">
        <v>0</v>
      </c>
      <c r="U109" s="989">
        <f t="shared" si="5"/>
        <v>0</v>
      </c>
      <c r="V109" s="547">
        <v>0</v>
      </c>
      <c r="W109" s="566"/>
      <c r="X109" s="567"/>
      <c r="Y109" s="989">
        <f t="shared" si="6"/>
        <v>0</v>
      </c>
      <c r="Z109" s="812">
        <f t="shared" si="7"/>
        <v>0</v>
      </c>
    </row>
    <row r="110" spans="1:26" ht="27" customHeight="1">
      <c r="A110" s="531"/>
      <c r="B110" s="531">
        <v>401</v>
      </c>
      <c r="C110" s="529">
        <v>4</v>
      </c>
      <c r="D110" s="1027" t="s">
        <v>45</v>
      </c>
      <c r="E110" s="1028" t="s">
        <v>46</v>
      </c>
      <c r="F110" s="547">
        <v>1935395661</v>
      </c>
      <c r="G110" s="547">
        <v>-1018746575</v>
      </c>
      <c r="H110" s="547">
        <v>-43149634</v>
      </c>
      <c r="I110" s="547">
        <v>-9941141</v>
      </c>
      <c r="J110" s="547">
        <v>7128500</v>
      </c>
      <c r="K110" s="547"/>
      <c r="L110" s="547"/>
      <c r="M110" s="547">
        <v>-282813117</v>
      </c>
      <c r="N110" s="547"/>
      <c r="O110" s="547"/>
      <c r="P110" s="547"/>
      <c r="Q110" s="547"/>
      <c r="R110" s="547"/>
      <c r="S110" s="989">
        <f t="shared" si="4"/>
        <v>587873694</v>
      </c>
      <c r="T110" s="547">
        <v>1404737330</v>
      </c>
      <c r="U110" s="989">
        <f t="shared" si="5"/>
        <v>588</v>
      </c>
      <c r="V110" s="547">
        <v>1405</v>
      </c>
      <c r="W110" s="566"/>
      <c r="X110" s="567"/>
      <c r="Y110" s="989">
        <f t="shared" si="6"/>
        <v>587873694</v>
      </c>
      <c r="Z110" s="812">
        <f t="shared" si="7"/>
        <v>588</v>
      </c>
    </row>
    <row r="111" spans="1:26" ht="27" customHeight="1">
      <c r="A111" s="1120" t="s">
        <v>1709</v>
      </c>
      <c r="B111" s="531">
        <v>401</v>
      </c>
      <c r="C111" s="529">
        <v>4</v>
      </c>
      <c r="D111" s="1027" t="s">
        <v>47</v>
      </c>
      <c r="E111" s="1028" t="s">
        <v>1469</v>
      </c>
      <c r="F111" s="547">
        <v>-6173065609</v>
      </c>
      <c r="G111" s="547">
        <v>200906089</v>
      </c>
      <c r="H111" s="547"/>
      <c r="I111" s="547"/>
      <c r="J111" s="547"/>
      <c r="K111" s="547"/>
      <c r="L111" s="547"/>
      <c r="M111" s="547"/>
      <c r="N111" s="547"/>
      <c r="O111" s="547"/>
      <c r="P111" s="547"/>
      <c r="Q111" s="547"/>
      <c r="R111" s="547"/>
      <c r="S111" s="989">
        <f t="shared" si="4"/>
        <v>-5972159520</v>
      </c>
      <c r="T111" s="547">
        <v>-4898897522</v>
      </c>
      <c r="U111" s="989">
        <f t="shared" si="5"/>
        <v>-5972</v>
      </c>
      <c r="V111" s="547">
        <v>-4899</v>
      </c>
      <c r="W111" s="566"/>
      <c r="X111" s="567"/>
      <c r="Y111" s="989">
        <f t="shared" si="6"/>
        <v>-5972159520</v>
      </c>
      <c r="Z111" s="812">
        <f t="shared" si="7"/>
        <v>-5972</v>
      </c>
    </row>
    <row r="112" spans="1:26" ht="27" customHeight="1">
      <c r="A112" s="1120"/>
      <c r="B112" s="531">
        <v>1009</v>
      </c>
      <c r="C112" s="529">
        <v>10</v>
      </c>
      <c r="D112" s="1027" t="s">
        <v>47</v>
      </c>
      <c r="E112" s="1028" t="s">
        <v>555</v>
      </c>
      <c r="F112" s="547"/>
      <c r="G112" s="547"/>
      <c r="H112" s="547"/>
      <c r="I112" s="547"/>
      <c r="J112" s="547"/>
      <c r="K112" s="547"/>
      <c r="L112" s="547"/>
      <c r="M112" s="547"/>
      <c r="N112" s="547"/>
      <c r="O112" s="547"/>
      <c r="P112" s="547"/>
      <c r="Q112" s="547"/>
      <c r="R112" s="547"/>
      <c r="S112" s="989">
        <f t="shared" si="4"/>
        <v>0</v>
      </c>
      <c r="T112" s="547">
        <v>-39159000</v>
      </c>
      <c r="U112" s="989">
        <f t="shared" si="5"/>
        <v>0</v>
      </c>
      <c r="V112" s="547">
        <v>-39</v>
      </c>
      <c r="W112" s="566"/>
      <c r="X112" s="567"/>
      <c r="Y112" s="989">
        <f t="shared" si="6"/>
        <v>0</v>
      </c>
      <c r="Z112" s="812">
        <f t="shared" si="7"/>
        <v>0</v>
      </c>
    </row>
    <row r="113" spans="1:26" ht="27" customHeight="1">
      <c r="A113" s="531"/>
      <c r="B113" s="531">
        <v>401</v>
      </c>
      <c r="C113" s="529">
        <v>4</v>
      </c>
      <c r="D113" s="1027" t="s">
        <v>951</v>
      </c>
      <c r="E113" s="1028" t="s">
        <v>952</v>
      </c>
      <c r="F113" s="547"/>
      <c r="G113" s="547"/>
      <c r="H113" s="547"/>
      <c r="I113" s="547"/>
      <c r="J113" s="547"/>
      <c r="K113" s="547"/>
      <c r="L113" s="547"/>
      <c r="M113" s="547"/>
      <c r="N113" s="547"/>
      <c r="O113" s="547"/>
      <c r="P113" s="547"/>
      <c r="Q113" s="547"/>
      <c r="R113" s="547"/>
      <c r="S113" s="989">
        <f t="shared" si="4"/>
        <v>0</v>
      </c>
      <c r="T113" s="547">
        <v>0</v>
      </c>
      <c r="U113" s="989">
        <f t="shared" si="5"/>
        <v>0</v>
      </c>
      <c r="V113" s="547">
        <v>0</v>
      </c>
      <c r="W113" s="566"/>
      <c r="X113" s="567"/>
      <c r="Y113" s="989">
        <f t="shared" si="6"/>
        <v>0</v>
      </c>
      <c r="Z113" s="812">
        <f t="shared" si="7"/>
        <v>0</v>
      </c>
    </row>
    <row r="114" spans="1:26" ht="27" customHeight="1">
      <c r="A114" s="531"/>
      <c r="B114" s="531">
        <v>401</v>
      </c>
      <c r="C114" s="529">
        <v>4</v>
      </c>
      <c r="D114" s="1027" t="s">
        <v>836</v>
      </c>
      <c r="E114" s="1028" t="s">
        <v>953</v>
      </c>
      <c r="F114" s="547">
        <v>511295203</v>
      </c>
      <c r="G114" s="547">
        <v>-204292700</v>
      </c>
      <c r="H114" s="547">
        <v>-298594289</v>
      </c>
      <c r="I114" s="547"/>
      <c r="J114" s="547">
        <v>-8408214</v>
      </c>
      <c r="K114" s="547"/>
      <c r="L114" s="547"/>
      <c r="M114" s="547"/>
      <c r="N114" s="547"/>
      <c r="O114" s="547"/>
      <c r="P114" s="547"/>
      <c r="Q114" s="547"/>
      <c r="R114" s="547"/>
      <c r="S114" s="989">
        <f t="shared" si="4"/>
        <v>0</v>
      </c>
      <c r="T114" s="547">
        <v>0</v>
      </c>
      <c r="U114" s="989">
        <f t="shared" si="5"/>
        <v>0</v>
      </c>
      <c r="V114" s="547">
        <v>0</v>
      </c>
      <c r="W114" s="566"/>
      <c r="X114" s="567"/>
      <c r="Y114" s="989">
        <f t="shared" si="6"/>
        <v>0</v>
      </c>
      <c r="Z114" s="812">
        <f t="shared" si="7"/>
        <v>0</v>
      </c>
    </row>
    <row r="115" spans="1:26" ht="27" customHeight="1">
      <c r="A115" s="531"/>
      <c r="B115" s="531">
        <v>1009</v>
      </c>
      <c r="C115" s="529">
        <v>10</v>
      </c>
      <c r="D115" s="1027" t="s">
        <v>954</v>
      </c>
      <c r="E115" s="1028" t="s">
        <v>955</v>
      </c>
      <c r="F115" s="547">
        <v>-7318887155</v>
      </c>
      <c r="G115" s="547">
        <v>6658477405</v>
      </c>
      <c r="H115" s="547">
        <v>226700250</v>
      </c>
      <c r="I115" s="547">
        <v>433709500</v>
      </c>
      <c r="J115" s="547"/>
      <c r="K115" s="547"/>
      <c r="L115" s="547"/>
      <c r="M115" s="547"/>
      <c r="N115" s="547"/>
      <c r="O115" s="547"/>
      <c r="P115" s="547"/>
      <c r="Q115" s="547"/>
      <c r="R115" s="547"/>
      <c r="S115" s="989">
        <f t="shared" si="4"/>
        <v>0</v>
      </c>
      <c r="T115" s="547">
        <v>0</v>
      </c>
      <c r="U115" s="989">
        <f t="shared" si="5"/>
        <v>0</v>
      </c>
      <c r="V115" s="547">
        <v>0</v>
      </c>
      <c r="W115" s="566"/>
      <c r="X115" s="567"/>
      <c r="Y115" s="989">
        <f t="shared" si="6"/>
        <v>0</v>
      </c>
      <c r="Z115" s="812">
        <f t="shared" si="7"/>
        <v>0</v>
      </c>
    </row>
    <row r="116" spans="1:26" ht="27" customHeight="1">
      <c r="A116" s="531"/>
      <c r="B116" s="531">
        <v>1009</v>
      </c>
      <c r="C116" s="529">
        <v>10</v>
      </c>
      <c r="D116" s="1027" t="s">
        <v>1103</v>
      </c>
      <c r="E116" s="1028" t="s">
        <v>1104</v>
      </c>
      <c r="F116" s="547">
        <v>-1235652</v>
      </c>
      <c r="G116" s="547">
        <v>1235652</v>
      </c>
      <c r="H116" s="547"/>
      <c r="I116" s="547"/>
      <c r="J116" s="547"/>
      <c r="K116" s="547"/>
      <c r="L116" s="547"/>
      <c r="M116" s="547"/>
      <c r="N116" s="547"/>
      <c r="O116" s="547"/>
      <c r="P116" s="547"/>
      <c r="Q116" s="547"/>
      <c r="R116" s="547"/>
      <c r="S116" s="989">
        <f t="shared" si="4"/>
        <v>0</v>
      </c>
      <c r="T116" s="547">
        <v>0</v>
      </c>
      <c r="U116" s="989">
        <f t="shared" si="5"/>
        <v>0</v>
      </c>
      <c r="V116" s="547">
        <v>0</v>
      </c>
      <c r="W116" s="566"/>
      <c r="X116" s="567"/>
      <c r="Y116" s="989">
        <f t="shared" si="6"/>
        <v>0</v>
      </c>
      <c r="Z116" s="812">
        <f t="shared" si="7"/>
        <v>0</v>
      </c>
    </row>
    <row r="117" spans="1:26" ht="27" customHeight="1">
      <c r="A117" s="531"/>
      <c r="B117" s="531">
        <v>401</v>
      </c>
      <c r="C117" s="529">
        <v>4</v>
      </c>
      <c r="D117" s="1027" t="s">
        <v>880</v>
      </c>
      <c r="E117" s="1028" t="s">
        <v>879</v>
      </c>
      <c r="F117" s="547">
        <v>10020610908</v>
      </c>
      <c r="G117" s="547">
        <v>-3905854604</v>
      </c>
      <c r="H117" s="547">
        <v>-115559228</v>
      </c>
      <c r="I117" s="547">
        <v>-186235789</v>
      </c>
      <c r="J117" s="547">
        <v>-79752500</v>
      </c>
      <c r="K117" s="547"/>
      <c r="L117" s="547"/>
      <c r="M117" s="547"/>
      <c r="N117" s="547"/>
      <c r="O117" s="547"/>
      <c r="P117" s="547"/>
      <c r="Q117" s="547"/>
      <c r="R117" s="547"/>
      <c r="S117" s="989">
        <f t="shared" si="4"/>
        <v>5733208787</v>
      </c>
      <c r="T117" s="547">
        <v>1160322414</v>
      </c>
      <c r="U117" s="989">
        <f t="shared" si="5"/>
        <v>5733</v>
      </c>
      <c r="V117" s="547">
        <v>1160</v>
      </c>
      <c r="W117" s="566"/>
      <c r="X117" s="567"/>
      <c r="Y117" s="989">
        <f t="shared" si="6"/>
        <v>5733208787</v>
      </c>
      <c r="Z117" s="812">
        <f t="shared" si="7"/>
        <v>5733</v>
      </c>
    </row>
    <row r="118" spans="1:26" ht="27" customHeight="1">
      <c r="A118" s="531"/>
      <c r="B118" s="531">
        <v>401</v>
      </c>
      <c r="C118" s="529">
        <v>4</v>
      </c>
      <c r="D118" s="1027" t="s">
        <v>556</v>
      </c>
      <c r="E118" s="1028" t="s">
        <v>956</v>
      </c>
      <c r="F118" s="547">
        <v>-5124520</v>
      </c>
      <c r="G118" s="547">
        <v>6804520</v>
      </c>
      <c r="H118" s="547">
        <v>1510600</v>
      </c>
      <c r="I118" s="547"/>
      <c r="J118" s="547"/>
      <c r="K118" s="547"/>
      <c r="L118" s="547">
        <v>4320000</v>
      </c>
      <c r="M118" s="547"/>
      <c r="N118" s="547"/>
      <c r="O118" s="547"/>
      <c r="P118" s="547"/>
      <c r="Q118" s="547"/>
      <c r="R118" s="547"/>
      <c r="S118" s="989">
        <f t="shared" si="4"/>
        <v>7510600</v>
      </c>
      <c r="T118" s="547">
        <v>8831400</v>
      </c>
      <c r="U118" s="989">
        <f t="shared" si="5"/>
        <v>8</v>
      </c>
      <c r="V118" s="547">
        <v>9</v>
      </c>
      <c r="W118" s="566"/>
      <c r="X118" s="567"/>
      <c r="Y118" s="989">
        <f t="shared" si="6"/>
        <v>7510600</v>
      </c>
      <c r="Z118" s="812">
        <f t="shared" si="7"/>
        <v>8</v>
      </c>
    </row>
    <row r="119" spans="1:26" ht="27" customHeight="1">
      <c r="A119" s="531"/>
      <c r="B119" s="531">
        <v>402</v>
      </c>
      <c r="C119" s="529">
        <v>4</v>
      </c>
      <c r="D119" s="1027" t="s">
        <v>48</v>
      </c>
      <c r="E119" s="1028" t="s">
        <v>49</v>
      </c>
      <c r="F119" s="547">
        <v>10608448586</v>
      </c>
      <c r="G119" s="547"/>
      <c r="H119" s="547"/>
      <c r="I119" s="547"/>
      <c r="J119" s="547"/>
      <c r="K119" s="547"/>
      <c r="L119" s="547"/>
      <c r="M119" s="547"/>
      <c r="N119" s="547"/>
      <c r="O119" s="547"/>
      <c r="P119" s="547"/>
      <c r="Q119" s="547"/>
      <c r="R119" s="547"/>
      <c r="S119" s="989">
        <f t="shared" si="4"/>
        <v>10608448586</v>
      </c>
      <c r="T119" s="547">
        <v>10608448586</v>
      </c>
      <c r="U119" s="683">
        <f>ROUND((S119/1000000),0)</f>
        <v>10608</v>
      </c>
      <c r="V119" s="547">
        <v>10608</v>
      </c>
      <c r="W119" s="566"/>
      <c r="X119" s="567"/>
      <c r="Y119" s="989">
        <f t="shared" si="6"/>
        <v>10608448586</v>
      </c>
      <c r="Z119" s="812">
        <f t="shared" si="7"/>
        <v>10608</v>
      </c>
    </row>
    <row r="120" spans="1:26" ht="27" customHeight="1">
      <c r="A120" s="531"/>
      <c r="B120" s="531">
        <v>1024</v>
      </c>
      <c r="C120" s="529">
        <v>10</v>
      </c>
      <c r="D120" s="1027" t="s">
        <v>50</v>
      </c>
      <c r="E120" s="1028" t="s">
        <v>205</v>
      </c>
      <c r="F120" s="547">
        <v>-14899891110</v>
      </c>
      <c r="G120" s="547">
        <v>24797844166</v>
      </c>
      <c r="H120" s="547">
        <v>-22786926</v>
      </c>
      <c r="I120" s="547">
        <v>-19551429159</v>
      </c>
      <c r="J120" s="547">
        <v>9652006240</v>
      </c>
      <c r="K120" s="547">
        <v>-1471471660</v>
      </c>
      <c r="L120" s="547"/>
      <c r="M120" s="547">
        <v>-11073544234</v>
      </c>
      <c r="N120" s="547"/>
      <c r="O120" s="547"/>
      <c r="P120" s="547"/>
      <c r="Q120" s="547"/>
      <c r="R120" s="547"/>
      <c r="S120" s="989">
        <f t="shared" si="4"/>
        <v>-12569272683</v>
      </c>
      <c r="T120" s="547">
        <v>-17713410897</v>
      </c>
      <c r="U120" s="989">
        <f t="shared" si="5"/>
        <v>-12569</v>
      </c>
      <c r="V120" s="547">
        <v>-17713</v>
      </c>
      <c r="W120" s="566"/>
      <c r="X120" s="567"/>
      <c r="Y120" s="989">
        <f t="shared" si="6"/>
        <v>-12569272683</v>
      </c>
      <c r="Z120" s="812">
        <f t="shared" si="7"/>
        <v>-12569</v>
      </c>
    </row>
    <row r="121" spans="1:26" ht="27" customHeight="1">
      <c r="A121" s="531"/>
      <c r="B121" s="531">
        <v>404</v>
      </c>
      <c r="C121" s="529">
        <v>4</v>
      </c>
      <c r="D121" s="1027" t="s">
        <v>51</v>
      </c>
      <c r="E121" s="1028" t="s">
        <v>155</v>
      </c>
      <c r="F121" s="547">
        <v>41073203084</v>
      </c>
      <c r="G121" s="547">
        <v>6514821048</v>
      </c>
      <c r="H121" s="547">
        <v>-268470624</v>
      </c>
      <c r="I121" s="547">
        <v>-4422019954</v>
      </c>
      <c r="J121" s="547">
        <v>12784776</v>
      </c>
      <c r="K121" s="547">
        <v>-192971457</v>
      </c>
      <c r="L121" s="547"/>
      <c r="M121" s="547"/>
      <c r="N121" s="547"/>
      <c r="O121" s="547"/>
      <c r="P121" s="547"/>
      <c r="Q121" s="547"/>
      <c r="R121" s="547"/>
      <c r="S121" s="989">
        <f t="shared" si="4"/>
        <v>42717346873</v>
      </c>
      <c r="T121" s="547">
        <v>22259306990</v>
      </c>
      <c r="U121" s="989">
        <f t="shared" si="5"/>
        <v>42717</v>
      </c>
      <c r="V121" s="547">
        <v>22259</v>
      </c>
      <c r="W121" s="566"/>
      <c r="X121" s="567"/>
      <c r="Y121" s="989">
        <f t="shared" si="6"/>
        <v>42717346873</v>
      </c>
      <c r="Z121" s="812">
        <f t="shared" si="7"/>
        <v>42717</v>
      </c>
    </row>
    <row r="122" spans="1:26" ht="27" customHeight="1">
      <c r="A122" s="531"/>
      <c r="B122" s="531">
        <v>406</v>
      </c>
      <c r="C122" s="529">
        <v>4</v>
      </c>
      <c r="D122" s="1027" t="s">
        <v>52</v>
      </c>
      <c r="E122" s="1028" t="s">
        <v>206</v>
      </c>
      <c r="F122" s="547">
        <v>6132889934</v>
      </c>
      <c r="G122" s="547">
        <v>113957569</v>
      </c>
      <c r="H122" s="547"/>
      <c r="I122" s="547"/>
      <c r="J122" s="547"/>
      <c r="K122" s="547"/>
      <c r="L122" s="547"/>
      <c r="M122" s="547"/>
      <c r="N122" s="547"/>
      <c r="O122" s="547"/>
      <c r="P122" s="547"/>
      <c r="Q122" s="547"/>
      <c r="R122" s="547"/>
      <c r="S122" s="989">
        <f t="shared" si="4"/>
        <v>6246847503</v>
      </c>
      <c r="T122" s="547">
        <v>5773901122</v>
      </c>
      <c r="U122" s="989">
        <f t="shared" si="5"/>
        <v>6247</v>
      </c>
      <c r="V122" s="547">
        <v>5774</v>
      </c>
      <c r="W122" s="566"/>
      <c r="X122" s="567"/>
      <c r="Y122" s="989">
        <f t="shared" si="6"/>
        <v>6246847503</v>
      </c>
      <c r="Z122" s="812">
        <f t="shared" si="7"/>
        <v>6247</v>
      </c>
    </row>
    <row r="123" spans="1:26" ht="27" customHeight="1">
      <c r="A123" s="531"/>
      <c r="B123" s="531">
        <v>403</v>
      </c>
      <c r="C123" s="529">
        <v>4</v>
      </c>
      <c r="D123" s="1027" t="s">
        <v>53</v>
      </c>
      <c r="E123" s="1028" t="s">
        <v>756</v>
      </c>
      <c r="F123" s="547">
        <v>6</v>
      </c>
      <c r="G123" s="547"/>
      <c r="H123" s="547"/>
      <c r="I123" s="547"/>
      <c r="J123" s="547"/>
      <c r="K123" s="547"/>
      <c r="L123" s="547"/>
      <c r="M123" s="547"/>
      <c r="N123" s="547"/>
      <c r="O123" s="547"/>
      <c r="P123" s="547"/>
      <c r="Q123" s="547"/>
      <c r="R123" s="547"/>
      <c r="S123" s="989">
        <f t="shared" si="4"/>
        <v>6</v>
      </c>
      <c r="T123" s="547">
        <v>6</v>
      </c>
      <c r="U123" s="989">
        <f t="shared" si="5"/>
        <v>0</v>
      </c>
      <c r="V123" s="547">
        <v>0</v>
      </c>
      <c r="W123" s="566"/>
      <c r="X123" s="567"/>
      <c r="Y123" s="989">
        <f t="shared" si="6"/>
        <v>6</v>
      </c>
      <c r="Z123" s="812">
        <f t="shared" si="7"/>
        <v>0</v>
      </c>
    </row>
    <row r="124" spans="1:26" ht="27" customHeight="1">
      <c r="A124" s="531"/>
      <c r="B124" s="531">
        <v>1001</v>
      </c>
      <c r="C124" s="529">
        <v>10</v>
      </c>
      <c r="D124" s="1027" t="s">
        <v>55</v>
      </c>
      <c r="E124" s="1028" t="s">
        <v>547</v>
      </c>
      <c r="F124" s="547">
        <v>-329620260</v>
      </c>
      <c r="G124" s="547"/>
      <c r="H124" s="547"/>
      <c r="I124" s="547"/>
      <c r="J124" s="547"/>
      <c r="K124" s="547"/>
      <c r="L124" s="547"/>
      <c r="M124" s="547"/>
      <c r="N124" s="547"/>
      <c r="O124" s="547"/>
      <c r="P124" s="547"/>
      <c r="Q124" s="547"/>
      <c r="R124" s="547"/>
      <c r="S124" s="989">
        <f t="shared" si="4"/>
        <v>-329620260</v>
      </c>
      <c r="T124" s="547">
        <v>-1115243563</v>
      </c>
      <c r="U124" s="989">
        <f t="shared" si="5"/>
        <v>-330</v>
      </c>
      <c r="V124" s="547">
        <v>-1115</v>
      </c>
      <c r="W124" s="566"/>
      <c r="X124" s="567"/>
      <c r="Y124" s="989">
        <f t="shared" si="6"/>
        <v>-329620260</v>
      </c>
      <c r="Z124" s="812">
        <f t="shared" si="7"/>
        <v>-330</v>
      </c>
    </row>
    <row r="125" spans="1:26" ht="27" customHeight="1">
      <c r="A125" s="531"/>
      <c r="B125" s="531">
        <v>1009</v>
      </c>
      <c r="C125" s="529">
        <v>10</v>
      </c>
      <c r="D125" s="1027" t="s">
        <v>56</v>
      </c>
      <c r="E125" s="1028" t="s">
        <v>597</v>
      </c>
      <c r="F125" s="547"/>
      <c r="G125" s="547"/>
      <c r="H125" s="547"/>
      <c r="I125" s="547"/>
      <c r="J125" s="547"/>
      <c r="K125" s="547"/>
      <c r="L125" s="547"/>
      <c r="M125" s="547"/>
      <c r="N125" s="547"/>
      <c r="O125" s="547"/>
      <c r="P125" s="547"/>
      <c r="Q125" s="547"/>
      <c r="R125" s="547"/>
      <c r="S125" s="989">
        <f t="shared" si="4"/>
        <v>0</v>
      </c>
      <c r="T125" s="547">
        <v>0</v>
      </c>
      <c r="U125" s="989">
        <f t="shared" si="5"/>
        <v>0</v>
      </c>
      <c r="V125" s="547">
        <v>0</v>
      </c>
      <c r="W125" s="566"/>
      <c r="X125" s="567"/>
      <c r="Y125" s="989">
        <f t="shared" si="6"/>
        <v>0</v>
      </c>
      <c r="Z125" s="812">
        <f t="shared" si="7"/>
        <v>0</v>
      </c>
    </row>
    <row r="126" spans="1:26" ht="27" customHeight="1">
      <c r="A126" s="531"/>
      <c r="B126" s="1281">
        <v>406</v>
      </c>
      <c r="C126" s="1021">
        <v>4</v>
      </c>
      <c r="D126" s="1027" t="s">
        <v>714</v>
      </c>
      <c r="E126" s="1028" t="s">
        <v>715</v>
      </c>
      <c r="F126" s="547">
        <v>837236079</v>
      </c>
      <c r="G126" s="547">
        <v>-224833337</v>
      </c>
      <c r="H126" s="547">
        <v>-24588182</v>
      </c>
      <c r="I126" s="547"/>
      <c r="J126" s="547"/>
      <c r="K126" s="547"/>
      <c r="L126" s="547"/>
      <c r="M126" s="547"/>
      <c r="N126" s="547"/>
      <c r="O126" s="547"/>
      <c r="P126" s="547"/>
      <c r="Q126" s="547"/>
      <c r="R126" s="547"/>
      <c r="S126" s="989">
        <f t="shared" si="4"/>
        <v>587814560</v>
      </c>
      <c r="T126" s="547">
        <v>72536992</v>
      </c>
      <c r="U126" s="989">
        <f t="shared" si="5"/>
        <v>588</v>
      </c>
      <c r="V126" s="547">
        <v>73</v>
      </c>
      <c r="W126" s="566"/>
      <c r="X126" s="567"/>
      <c r="Y126" s="989">
        <f t="shared" si="6"/>
        <v>587814560</v>
      </c>
      <c r="Z126" s="812">
        <f t="shared" si="7"/>
        <v>588</v>
      </c>
    </row>
    <row r="127" spans="1:26" ht="27" customHeight="1">
      <c r="A127" s="531"/>
      <c r="B127" s="531">
        <v>406</v>
      </c>
      <c r="C127" s="529">
        <v>4</v>
      </c>
      <c r="D127" s="1027" t="s">
        <v>412</v>
      </c>
      <c r="E127" s="1028" t="s">
        <v>17</v>
      </c>
      <c r="F127" s="547">
        <v>17004000</v>
      </c>
      <c r="G127" s="547"/>
      <c r="H127" s="547"/>
      <c r="I127" s="547"/>
      <c r="J127" s="547"/>
      <c r="K127" s="547"/>
      <c r="L127" s="547"/>
      <c r="M127" s="547"/>
      <c r="N127" s="547"/>
      <c r="O127" s="547"/>
      <c r="P127" s="547"/>
      <c r="Q127" s="547"/>
      <c r="R127" s="547"/>
      <c r="S127" s="989">
        <f t="shared" si="4"/>
        <v>17004000</v>
      </c>
      <c r="T127" s="547">
        <v>327756312</v>
      </c>
      <c r="U127" s="989">
        <f t="shared" si="5"/>
        <v>17</v>
      </c>
      <c r="V127" s="547">
        <v>328</v>
      </c>
      <c r="W127" s="566"/>
      <c r="X127" s="567"/>
      <c r="Y127" s="989">
        <f t="shared" si="6"/>
        <v>17004000</v>
      </c>
      <c r="Z127" s="812">
        <f t="shared" si="7"/>
        <v>17</v>
      </c>
    </row>
    <row r="128" spans="1:26" ht="27" customHeight="1">
      <c r="A128" s="531"/>
      <c r="B128" s="531">
        <v>1025</v>
      </c>
      <c r="C128" s="529">
        <v>10</v>
      </c>
      <c r="D128" s="1027" t="s">
        <v>57</v>
      </c>
      <c r="E128" s="1028" t="s">
        <v>137</v>
      </c>
      <c r="F128" s="547">
        <v>-18004070167</v>
      </c>
      <c r="G128" s="547">
        <v>-391218440</v>
      </c>
      <c r="H128" s="547">
        <v>-29757000</v>
      </c>
      <c r="I128" s="547"/>
      <c r="J128" s="547"/>
      <c r="K128" s="547"/>
      <c r="L128" s="547"/>
      <c r="M128" s="547"/>
      <c r="N128" s="547"/>
      <c r="O128" s="547"/>
      <c r="P128" s="547"/>
      <c r="Q128" s="547"/>
      <c r="R128" s="547"/>
      <c r="S128" s="989">
        <f t="shared" si="4"/>
        <v>-18425045607</v>
      </c>
      <c r="T128" s="547">
        <v>-14235424509</v>
      </c>
      <c r="U128" s="989">
        <f t="shared" si="5"/>
        <v>-18425</v>
      </c>
      <c r="V128" s="547">
        <v>-14235</v>
      </c>
      <c r="W128" s="566"/>
      <c r="X128" s="567"/>
      <c r="Y128" s="989">
        <f t="shared" si="6"/>
        <v>-18425045607</v>
      </c>
      <c r="Z128" s="812">
        <f t="shared" si="7"/>
        <v>-18425</v>
      </c>
    </row>
    <row r="129" spans="1:26" ht="27" customHeight="1">
      <c r="A129" s="531"/>
      <c r="B129" s="531">
        <v>407</v>
      </c>
      <c r="C129" s="529">
        <v>4</v>
      </c>
      <c r="D129" s="1027" t="s">
        <v>58</v>
      </c>
      <c r="E129" s="1028" t="s">
        <v>139</v>
      </c>
      <c r="F129" s="547">
        <v>-688761555176</v>
      </c>
      <c r="G129" s="547"/>
      <c r="H129" s="547">
        <v>688761555176</v>
      </c>
      <c r="I129" s="547"/>
      <c r="J129" s="547"/>
      <c r="K129" s="547"/>
      <c r="L129" s="547"/>
      <c r="M129" s="547"/>
      <c r="N129" s="547"/>
      <c r="O129" s="547"/>
      <c r="P129" s="547"/>
      <c r="Q129" s="547"/>
      <c r="R129" s="547"/>
      <c r="S129" s="989">
        <f t="shared" si="4"/>
        <v>0</v>
      </c>
      <c r="T129" s="547">
        <v>0</v>
      </c>
      <c r="U129" s="989">
        <f t="shared" si="5"/>
        <v>0</v>
      </c>
      <c r="V129" s="547">
        <v>0</v>
      </c>
      <c r="W129" s="566"/>
      <c r="X129" s="567"/>
      <c r="Y129" s="989">
        <f t="shared" si="6"/>
        <v>0</v>
      </c>
      <c r="Z129" s="812">
        <f t="shared" si="7"/>
        <v>0</v>
      </c>
    </row>
    <row r="130" spans="1:26" ht="27" customHeight="1">
      <c r="A130" s="531"/>
      <c r="B130" s="531">
        <v>407</v>
      </c>
      <c r="C130" s="529">
        <v>4</v>
      </c>
      <c r="D130" s="1027" t="s">
        <v>1364</v>
      </c>
      <c r="E130" s="1028" t="s">
        <v>1365</v>
      </c>
      <c r="F130" s="547">
        <v>681824125268</v>
      </c>
      <c r="G130" s="547">
        <v>-1891248</v>
      </c>
      <c r="H130" s="547">
        <v>-647473499066</v>
      </c>
      <c r="I130" s="547">
        <v>5427200000</v>
      </c>
      <c r="J130" s="547">
        <v>1446883573</v>
      </c>
      <c r="K130" s="547">
        <v>1232739731</v>
      </c>
      <c r="L130" s="547"/>
      <c r="M130" s="547">
        <v>282813117</v>
      </c>
      <c r="N130" s="547"/>
      <c r="O130" s="547"/>
      <c r="P130" s="547"/>
      <c r="Q130" s="547"/>
      <c r="R130" s="547"/>
      <c r="S130" s="989">
        <f t="shared" si="4"/>
        <v>42738371375</v>
      </c>
      <c r="T130" s="547">
        <v>159651586261</v>
      </c>
      <c r="U130" s="989">
        <f t="shared" si="5"/>
        <v>42738</v>
      </c>
      <c r="V130" s="547">
        <v>159652</v>
      </c>
      <c r="W130" s="566"/>
      <c r="X130" s="567"/>
      <c r="Y130" s="989">
        <f t="shared" si="6"/>
        <v>42738371375</v>
      </c>
      <c r="Z130" s="812">
        <f t="shared" si="7"/>
        <v>42738</v>
      </c>
    </row>
    <row r="131" spans="1:26" ht="27" customHeight="1">
      <c r="A131" s="531">
        <v>1</v>
      </c>
      <c r="B131" s="531">
        <v>10040</v>
      </c>
      <c r="C131" s="529">
        <v>4</v>
      </c>
      <c r="D131" s="1027" t="s">
        <v>59</v>
      </c>
      <c r="E131" s="1028" t="s">
        <v>342</v>
      </c>
      <c r="F131" s="547">
        <v>1888441379936</v>
      </c>
      <c r="G131" s="547">
        <v>4210961017</v>
      </c>
      <c r="H131" s="547">
        <v>-639192974</v>
      </c>
      <c r="I131" s="547">
        <v>-282627324</v>
      </c>
      <c r="J131" s="547"/>
      <c r="K131" s="547">
        <f>-34498895-477153841</f>
        <v>-511652736</v>
      </c>
      <c r="L131" s="547">
        <v>-18792155663</v>
      </c>
      <c r="M131" s="547">
        <f>-18772834339+15363405-15780975</f>
        <v>-18773251909</v>
      </c>
      <c r="N131" s="547"/>
      <c r="O131" s="547"/>
      <c r="P131" s="547"/>
      <c r="Q131" s="547"/>
      <c r="R131" s="547"/>
      <c r="S131" s="989">
        <f t="shared" si="4"/>
        <v>1853653460347</v>
      </c>
      <c r="T131" s="547">
        <v>2131509028957</v>
      </c>
      <c r="U131" s="989">
        <f t="shared" si="5"/>
        <v>1853653</v>
      </c>
      <c r="V131" s="547">
        <v>2131509</v>
      </c>
      <c r="W131" s="566"/>
      <c r="X131" s="567"/>
      <c r="Y131" s="989">
        <f t="shared" si="6"/>
        <v>1853653460347</v>
      </c>
      <c r="Z131" s="812">
        <f t="shared" si="7"/>
        <v>1853653</v>
      </c>
    </row>
    <row r="132" spans="1:26" ht="27" customHeight="1">
      <c r="A132" s="531">
        <v>3214</v>
      </c>
      <c r="B132" s="531">
        <v>10040</v>
      </c>
      <c r="C132" s="529">
        <v>4</v>
      </c>
      <c r="D132" s="1027" t="s">
        <v>59</v>
      </c>
      <c r="E132" s="1028" t="s">
        <v>342</v>
      </c>
      <c r="F132" s="547"/>
      <c r="G132" s="547"/>
      <c r="H132" s="547"/>
      <c r="I132" s="547"/>
      <c r="J132" s="547"/>
      <c r="K132" s="547">
        <v>29086466567</v>
      </c>
      <c r="L132" s="547"/>
      <c r="M132" s="547"/>
      <c r="N132" s="547">
        <v>9803958986</v>
      </c>
      <c r="O132" s="547"/>
      <c r="P132" s="547">
        <f>149410904048+21648207134</f>
        <v>171059111182</v>
      </c>
      <c r="Q132" s="547"/>
      <c r="R132" s="547"/>
      <c r="S132" s="989">
        <f t="shared" si="4"/>
        <v>209949536735</v>
      </c>
      <c r="T132" s="547">
        <v>113049270765</v>
      </c>
      <c r="U132" s="989">
        <f t="shared" si="5"/>
        <v>209950</v>
      </c>
      <c r="V132" s="547">
        <v>113049</v>
      </c>
      <c r="W132" s="566"/>
      <c r="X132" s="567"/>
      <c r="Y132" s="989">
        <f t="shared" si="6"/>
        <v>209949536735</v>
      </c>
      <c r="Z132" s="812">
        <f t="shared" si="7"/>
        <v>209950</v>
      </c>
    </row>
    <row r="133" spans="1:26" ht="27" customHeight="1">
      <c r="A133" s="531"/>
      <c r="B133" s="531">
        <v>10040</v>
      </c>
      <c r="C133" s="529">
        <v>4</v>
      </c>
      <c r="D133" s="1027" t="s">
        <v>59</v>
      </c>
      <c r="E133" s="1028" t="s">
        <v>922</v>
      </c>
      <c r="F133" s="547"/>
      <c r="G133" s="547"/>
      <c r="H133" s="547"/>
      <c r="I133" s="547"/>
      <c r="J133" s="547"/>
      <c r="K133" s="547"/>
      <c r="L133" s="547"/>
      <c r="M133" s="547"/>
      <c r="N133" s="547"/>
      <c r="O133" s="547"/>
      <c r="P133" s="547"/>
      <c r="Q133" s="547"/>
      <c r="R133" s="547"/>
      <c r="S133" s="989">
        <f t="shared" si="4"/>
        <v>0</v>
      </c>
      <c r="T133" s="547">
        <v>0</v>
      </c>
      <c r="U133" s="989">
        <f t="shared" si="5"/>
        <v>0</v>
      </c>
      <c r="V133" s="547">
        <v>0</v>
      </c>
      <c r="W133" s="566"/>
      <c r="X133" s="567"/>
      <c r="Y133" s="989">
        <f t="shared" si="6"/>
        <v>0</v>
      </c>
      <c r="Z133" s="812">
        <f t="shared" si="7"/>
        <v>0</v>
      </c>
    </row>
    <row r="134" spans="1:26" ht="27" customHeight="1">
      <c r="A134" s="531"/>
      <c r="B134" s="531">
        <v>406</v>
      </c>
      <c r="C134" s="529">
        <v>4</v>
      </c>
      <c r="D134" s="1027" t="s">
        <v>378</v>
      </c>
      <c r="E134" s="1028" t="s">
        <v>957</v>
      </c>
      <c r="F134" s="547">
        <v>483607034</v>
      </c>
      <c r="G134" s="547"/>
      <c r="H134" s="547">
        <v>-27166652</v>
      </c>
      <c r="I134" s="547"/>
      <c r="J134" s="547"/>
      <c r="K134" s="547"/>
      <c r="L134" s="547"/>
      <c r="M134" s="547"/>
      <c r="N134" s="547"/>
      <c r="O134" s="547"/>
      <c r="P134" s="547"/>
      <c r="Q134" s="547"/>
      <c r="R134" s="547"/>
      <c r="S134" s="989">
        <f t="shared" ref="S134:S197" si="8">SUM(F134:R134)</f>
        <v>456440382</v>
      </c>
      <c r="T134" s="547">
        <v>-8168446</v>
      </c>
      <c r="U134" s="683">
        <f>ROUND((S134/1000000),0)+1</f>
        <v>457</v>
      </c>
      <c r="V134" s="547">
        <v>-8</v>
      </c>
      <c r="W134" s="566"/>
      <c r="X134" s="567"/>
      <c r="Y134" s="989">
        <f t="shared" ref="Y134:Y197" si="9">S134+X134-W134</f>
        <v>456440382</v>
      </c>
      <c r="Z134" s="812">
        <f t="shared" ref="Z134:Z197" si="10">ROUND((Y134/1000000),0)</f>
        <v>456</v>
      </c>
    </row>
    <row r="135" spans="1:26" ht="27" customHeight="1">
      <c r="A135" s="531">
        <v>1</v>
      </c>
      <c r="B135" s="531">
        <v>1022</v>
      </c>
      <c r="C135" s="1122">
        <v>4</v>
      </c>
      <c r="D135" s="1027" t="s">
        <v>60</v>
      </c>
      <c r="E135" s="1028" t="s">
        <v>1366</v>
      </c>
      <c r="F135" s="547">
        <v>198924835348</v>
      </c>
      <c r="G135" s="547">
        <v>-15738217364</v>
      </c>
      <c r="H135" s="547">
        <v>-5792075409</v>
      </c>
      <c r="I135" s="547">
        <v>-6937890543</v>
      </c>
      <c r="J135" s="547">
        <v>-172798716686</v>
      </c>
      <c r="K135" s="547">
        <v>-269394708</v>
      </c>
      <c r="L135" s="547"/>
      <c r="M135" s="547"/>
      <c r="N135" s="547"/>
      <c r="O135" s="547"/>
      <c r="P135" s="547"/>
      <c r="Q135" s="547"/>
      <c r="R135" s="547"/>
      <c r="S135" s="989">
        <f t="shared" si="8"/>
        <v>-2611459362</v>
      </c>
      <c r="T135" s="547">
        <v>258130148292</v>
      </c>
      <c r="U135" s="683">
        <f>ROUND((S135/1000000),0)-1</f>
        <v>-2612</v>
      </c>
      <c r="V135" s="547">
        <v>258130</v>
      </c>
      <c r="W135" s="566"/>
      <c r="X135" s="567"/>
      <c r="Y135" s="989">
        <f t="shared" si="9"/>
        <v>-2611459362</v>
      </c>
      <c r="Z135" s="812">
        <f t="shared" si="10"/>
        <v>-2611</v>
      </c>
    </row>
    <row r="136" spans="1:26" ht="27" customHeight="1">
      <c r="A136" s="531">
        <v>7</v>
      </c>
      <c r="B136" s="531">
        <v>1022</v>
      </c>
      <c r="C136" s="1122">
        <v>4</v>
      </c>
      <c r="D136" s="1027" t="s">
        <v>1322</v>
      </c>
      <c r="E136" s="1028" t="s">
        <v>777</v>
      </c>
      <c r="F136" s="547">
        <v>4179556245694</v>
      </c>
      <c r="G136" s="547">
        <v>491936956307</v>
      </c>
      <c r="H136" s="547"/>
      <c r="I136" s="547">
        <v>63698058863</v>
      </c>
      <c r="J136" s="547">
        <v>170456652032</v>
      </c>
      <c r="K136" s="547">
        <v>-4912849369415</v>
      </c>
      <c r="L136" s="547">
        <v>383286405093</v>
      </c>
      <c r="M136" s="547">
        <f>-300719924+87028659</f>
        <v>-213691265</v>
      </c>
      <c r="N136" s="547"/>
      <c r="O136" s="547"/>
      <c r="P136" s="547"/>
      <c r="Q136" s="547"/>
      <c r="R136" s="547"/>
      <c r="S136" s="989">
        <f t="shared" si="8"/>
        <v>375871257309</v>
      </c>
      <c r="T136" s="547">
        <v>-1156970646014</v>
      </c>
      <c r="U136" s="989">
        <f t="shared" ref="U136:U198" si="11">ROUND((S136/1000000),0)</f>
        <v>375871</v>
      </c>
      <c r="V136" s="547">
        <v>-1156971</v>
      </c>
      <c r="W136" s="566"/>
      <c r="X136" s="567"/>
      <c r="Y136" s="989">
        <f t="shared" si="9"/>
        <v>375871257309</v>
      </c>
      <c r="Z136" s="812">
        <f t="shared" si="10"/>
        <v>375871</v>
      </c>
    </row>
    <row r="137" spans="1:26" ht="27" customHeight="1">
      <c r="A137" s="531"/>
      <c r="B137" s="531">
        <v>406</v>
      </c>
      <c r="C137" s="529">
        <v>4</v>
      </c>
      <c r="D137" s="1027" t="s">
        <v>565</v>
      </c>
      <c r="E137" s="1028" t="s">
        <v>566</v>
      </c>
      <c r="F137" s="547">
        <v>1889867140</v>
      </c>
      <c r="G137" s="547"/>
      <c r="H137" s="547"/>
      <c r="I137" s="547"/>
      <c r="J137" s="547"/>
      <c r="K137" s="547"/>
      <c r="L137" s="547"/>
      <c r="M137" s="547"/>
      <c r="N137" s="547"/>
      <c r="O137" s="547"/>
      <c r="P137" s="547"/>
      <c r="Q137" s="547"/>
      <c r="R137" s="547"/>
      <c r="S137" s="989">
        <f t="shared" si="8"/>
        <v>1889867140</v>
      </c>
      <c r="T137" s="547">
        <v>1889867140</v>
      </c>
      <c r="U137" s="989">
        <f t="shared" si="11"/>
        <v>1890</v>
      </c>
      <c r="V137" s="547">
        <v>1890</v>
      </c>
      <c r="W137" s="566"/>
      <c r="X137" s="567"/>
      <c r="Y137" s="989">
        <f t="shared" si="9"/>
        <v>1889867140</v>
      </c>
      <c r="Z137" s="812">
        <f t="shared" si="10"/>
        <v>1890</v>
      </c>
    </row>
    <row r="138" spans="1:26" ht="27" customHeight="1">
      <c r="A138" s="531"/>
      <c r="B138" s="1281">
        <v>406</v>
      </c>
      <c r="C138" s="1021">
        <v>4</v>
      </c>
      <c r="D138" s="1027" t="s">
        <v>567</v>
      </c>
      <c r="E138" s="1028" t="s">
        <v>776</v>
      </c>
      <c r="F138" s="547">
        <v>6269551078</v>
      </c>
      <c r="G138" s="547">
        <v>148417281</v>
      </c>
      <c r="H138" s="547">
        <v>-55574880</v>
      </c>
      <c r="I138" s="547"/>
      <c r="J138" s="547"/>
      <c r="K138" s="547"/>
      <c r="L138" s="547"/>
      <c r="M138" s="547"/>
      <c r="N138" s="547"/>
      <c r="O138" s="547"/>
      <c r="P138" s="547"/>
      <c r="Q138" s="547"/>
      <c r="R138" s="547"/>
      <c r="S138" s="989">
        <f t="shared" si="8"/>
        <v>6362393479</v>
      </c>
      <c r="T138" s="547">
        <v>5585049767</v>
      </c>
      <c r="U138" s="989">
        <f t="shared" si="11"/>
        <v>6362</v>
      </c>
      <c r="V138" s="547">
        <v>5585</v>
      </c>
      <c r="W138" s="566"/>
      <c r="X138" s="567"/>
      <c r="Y138" s="989">
        <f t="shared" si="9"/>
        <v>6362393479</v>
      </c>
      <c r="Z138" s="812">
        <f t="shared" si="10"/>
        <v>6362</v>
      </c>
    </row>
    <row r="139" spans="1:26" ht="27" customHeight="1">
      <c r="A139" s="531"/>
      <c r="B139" s="531">
        <v>406</v>
      </c>
      <c r="C139" s="529">
        <v>4</v>
      </c>
      <c r="D139" s="1027" t="s">
        <v>361</v>
      </c>
      <c r="E139" s="1028" t="s">
        <v>253</v>
      </c>
      <c r="F139" s="547">
        <v>6746905</v>
      </c>
      <c r="G139" s="547"/>
      <c r="H139" s="547"/>
      <c r="I139" s="547"/>
      <c r="J139" s="547"/>
      <c r="K139" s="547"/>
      <c r="L139" s="547"/>
      <c r="M139" s="547"/>
      <c r="N139" s="547"/>
      <c r="O139" s="547"/>
      <c r="P139" s="547"/>
      <c r="Q139" s="547"/>
      <c r="R139" s="547"/>
      <c r="S139" s="989">
        <f t="shared" si="8"/>
        <v>6746905</v>
      </c>
      <c r="T139" s="547">
        <v>6746905</v>
      </c>
      <c r="U139" s="989">
        <f t="shared" si="11"/>
        <v>7</v>
      </c>
      <c r="V139" s="547">
        <v>7</v>
      </c>
      <c r="W139" s="566"/>
      <c r="X139" s="567"/>
      <c r="Y139" s="989">
        <f t="shared" si="9"/>
        <v>6746905</v>
      </c>
      <c r="Z139" s="812">
        <f t="shared" si="10"/>
        <v>7</v>
      </c>
    </row>
    <row r="140" spans="1:26" ht="27" customHeight="1">
      <c r="A140" s="531">
        <v>3215</v>
      </c>
      <c r="B140" s="531">
        <v>1028</v>
      </c>
      <c r="C140" s="529">
        <v>10</v>
      </c>
      <c r="D140" s="1027" t="s">
        <v>568</v>
      </c>
      <c r="E140" s="1028" t="s">
        <v>153</v>
      </c>
      <c r="F140" s="547">
        <v>-77608958549</v>
      </c>
      <c r="G140" s="547">
        <v>166411957</v>
      </c>
      <c r="H140" s="547">
        <v>33287585344</v>
      </c>
      <c r="I140" s="547"/>
      <c r="J140" s="547"/>
      <c r="K140" s="547"/>
      <c r="L140" s="547"/>
      <c r="M140" s="547">
        <f>320509320-31036323838+5000000000</f>
        <v>-25715814518</v>
      </c>
      <c r="N140" s="547"/>
      <c r="O140" s="547"/>
      <c r="P140" s="547"/>
      <c r="Q140" s="547"/>
      <c r="R140" s="547"/>
      <c r="S140" s="989">
        <f t="shared" si="8"/>
        <v>-69870775766</v>
      </c>
      <c r="T140" s="547">
        <v>-75724691482</v>
      </c>
      <c r="U140" s="989">
        <f t="shared" si="11"/>
        <v>-69871</v>
      </c>
      <c r="V140" s="547">
        <v>-75725</v>
      </c>
      <c r="W140" s="566"/>
      <c r="X140" s="567"/>
      <c r="Y140" s="989">
        <f t="shared" si="9"/>
        <v>-69870775766</v>
      </c>
      <c r="Z140" s="812">
        <f t="shared" si="10"/>
        <v>-69871</v>
      </c>
    </row>
    <row r="141" spans="1:26" ht="27" customHeight="1">
      <c r="A141" s="531"/>
      <c r="B141" s="531">
        <v>406</v>
      </c>
      <c r="C141" s="529">
        <v>4</v>
      </c>
      <c r="D141" s="1027" t="s">
        <v>254</v>
      </c>
      <c r="E141" s="1028" t="s">
        <v>958</v>
      </c>
      <c r="F141" s="547">
        <v>17982062865</v>
      </c>
      <c r="G141" s="547"/>
      <c r="H141" s="547"/>
      <c r="I141" s="547">
        <v>1059888799</v>
      </c>
      <c r="J141" s="547"/>
      <c r="K141" s="547"/>
      <c r="L141" s="547"/>
      <c r="M141" s="547"/>
      <c r="N141" s="547"/>
      <c r="O141" s="547"/>
      <c r="P141" s="547"/>
      <c r="Q141" s="547"/>
      <c r="R141" s="547"/>
      <c r="S141" s="989">
        <f t="shared" si="8"/>
        <v>19041951664</v>
      </c>
      <c r="T141" s="547">
        <v>25460706860</v>
      </c>
      <c r="U141" s="989">
        <f t="shared" si="11"/>
        <v>19042</v>
      </c>
      <c r="V141" s="547">
        <v>25461</v>
      </c>
      <c r="W141" s="566"/>
      <c r="X141" s="567"/>
      <c r="Y141" s="989">
        <f t="shared" si="9"/>
        <v>19041951664</v>
      </c>
      <c r="Z141" s="812">
        <f t="shared" si="10"/>
        <v>19042</v>
      </c>
    </row>
    <row r="142" spans="1:26" ht="27" customHeight="1">
      <c r="A142" s="531"/>
      <c r="B142" s="531">
        <v>1001</v>
      </c>
      <c r="C142" s="529">
        <v>10</v>
      </c>
      <c r="D142" s="1027" t="s">
        <v>569</v>
      </c>
      <c r="E142" s="1028" t="s">
        <v>960</v>
      </c>
      <c r="F142" s="547">
        <v>-3912259473</v>
      </c>
      <c r="G142" s="547"/>
      <c r="H142" s="547"/>
      <c r="I142" s="547"/>
      <c r="J142" s="547"/>
      <c r="K142" s="547"/>
      <c r="L142" s="547"/>
      <c r="M142" s="547"/>
      <c r="N142" s="547"/>
      <c r="O142" s="547"/>
      <c r="P142" s="547"/>
      <c r="Q142" s="547"/>
      <c r="R142" s="547"/>
      <c r="S142" s="989">
        <f t="shared" si="8"/>
        <v>-3912259473</v>
      </c>
      <c r="T142" s="547">
        <v>-3120331424</v>
      </c>
      <c r="U142" s="989">
        <f t="shared" si="11"/>
        <v>-3912</v>
      </c>
      <c r="V142" s="547">
        <v>-3120</v>
      </c>
      <c r="W142" s="566"/>
      <c r="X142" s="567"/>
      <c r="Y142" s="989">
        <f t="shared" si="9"/>
        <v>-3912259473</v>
      </c>
      <c r="Z142" s="812">
        <f t="shared" si="10"/>
        <v>-3912</v>
      </c>
    </row>
    <row r="143" spans="1:26" ht="27" customHeight="1">
      <c r="A143" s="531"/>
      <c r="B143" s="531">
        <v>406</v>
      </c>
      <c r="C143" s="529">
        <v>4</v>
      </c>
      <c r="D143" s="1027" t="s">
        <v>959</v>
      </c>
      <c r="E143" s="1028" t="s">
        <v>961</v>
      </c>
      <c r="F143" s="547">
        <v>983332600</v>
      </c>
      <c r="G143" s="547"/>
      <c r="H143" s="547"/>
      <c r="I143" s="547"/>
      <c r="J143" s="547"/>
      <c r="K143" s="547"/>
      <c r="L143" s="547"/>
      <c r="M143" s="547"/>
      <c r="N143" s="547"/>
      <c r="O143" s="547"/>
      <c r="P143" s="547"/>
      <c r="Q143" s="547"/>
      <c r="R143" s="547"/>
      <c r="S143" s="989">
        <f t="shared" si="8"/>
        <v>983332600</v>
      </c>
      <c r="T143" s="547">
        <v>1319356788</v>
      </c>
      <c r="U143" s="989">
        <f t="shared" si="11"/>
        <v>983</v>
      </c>
      <c r="V143" s="547">
        <v>1319</v>
      </c>
      <c r="W143" s="566"/>
      <c r="X143" s="567"/>
      <c r="Y143" s="989">
        <f t="shared" si="9"/>
        <v>983332600</v>
      </c>
      <c r="Z143" s="812">
        <f t="shared" si="10"/>
        <v>983</v>
      </c>
    </row>
    <row r="144" spans="1:26" ht="27" customHeight="1">
      <c r="A144" s="531"/>
      <c r="B144" s="531">
        <v>406</v>
      </c>
      <c r="C144" s="529">
        <v>4</v>
      </c>
      <c r="D144" s="1027" t="s">
        <v>732</v>
      </c>
      <c r="E144" s="1028" t="s">
        <v>962</v>
      </c>
      <c r="F144" s="547"/>
      <c r="G144" s="547"/>
      <c r="H144" s="547"/>
      <c r="I144" s="547"/>
      <c r="J144" s="547"/>
      <c r="K144" s="547"/>
      <c r="L144" s="547"/>
      <c r="M144" s="547"/>
      <c r="N144" s="547"/>
      <c r="O144" s="547"/>
      <c r="P144" s="547"/>
      <c r="Q144" s="547"/>
      <c r="R144" s="547"/>
      <c r="S144" s="989">
        <f t="shared" si="8"/>
        <v>0</v>
      </c>
      <c r="T144" s="547">
        <v>0</v>
      </c>
      <c r="U144" s="989">
        <f t="shared" si="11"/>
        <v>0</v>
      </c>
      <c r="V144" s="547">
        <v>0</v>
      </c>
      <c r="W144" s="566"/>
      <c r="X144" s="567"/>
      <c r="Y144" s="989">
        <f t="shared" si="9"/>
        <v>0</v>
      </c>
      <c r="Z144" s="812">
        <f t="shared" si="10"/>
        <v>0</v>
      </c>
    </row>
    <row r="145" spans="1:26" ht="27" customHeight="1">
      <c r="A145" s="531"/>
      <c r="B145" s="531">
        <v>406</v>
      </c>
      <c r="C145" s="529">
        <v>4</v>
      </c>
      <c r="D145" s="1027" t="s">
        <v>570</v>
      </c>
      <c r="E145" s="1028" t="s">
        <v>257</v>
      </c>
      <c r="F145" s="547">
        <v>313769896</v>
      </c>
      <c r="G145" s="547"/>
      <c r="H145" s="547"/>
      <c r="I145" s="547"/>
      <c r="J145" s="547"/>
      <c r="K145" s="547"/>
      <c r="L145" s="547"/>
      <c r="M145" s="547"/>
      <c r="N145" s="547"/>
      <c r="O145" s="547"/>
      <c r="P145" s="547"/>
      <c r="Q145" s="547"/>
      <c r="R145" s="547"/>
      <c r="S145" s="989">
        <f t="shared" si="8"/>
        <v>313769896</v>
      </c>
      <c r="T145" s="547">
        <v>598377228</v>
      </c>
      <c r="U145" s="989">
        <f t="shared" si="11"/>
        <v>314</v>
      </c>
      <c r="V145" s="547">
        <v>598</v>
      </c>
      <c r="W145" s="566"/>
      <c r="X145" s="567"/>
      <c r="Y145" s="989">
        <f t="shared" si="9"/>
        <v>313769896</v>
      </c>
      <c r="Z145" s="812">
        <f t="shared" si="10"/>
        <v>314</v>
      </c>
    </row>
    <row r="146" spans="1:26" ht="27" customHeight="1">
      <c r="A146" s="531"/>
      <c r="B146" s="531">
        <v>406</v>
      </c>
      <c r="C146" s="529">
        <v>4</v>
      </c>
      <c r="D146" s="1027" t="s">
        <v>256</v>
      </c>
      <c r="E146" s="1028" t="s">
        <v>258</v>
      </c>
      <c r="F146" s="547"/>
      <c r="G146" s="547"/>
      <c r="H146" s="547"/>
      <c r="I146" s="547"/>
      <c r="J146" s="547"/>
      <c r="K146" s="547"/>
      <c r="L146" s="547"/>
      <c r="M146" s="547"/>
      <c r="N146" s="547"/>
      <c r="O146" s="547"/>
      <c r="P146" s="547"/>
      <c r="Q146" s="547"/>
      <c r="R146" s="547"/>
      <c r="S146" s="989">
        <f t="shared" si="8"/>
        <v>0</v>
      </c>
      <c r="T146" s="547">
        <v>0</v>
      </c>
      <c r="U146" s="989">
        <f t="shared" si="11"/>
        <v>0</v>
      </c>
      <c r="V146" s="547">
        <v>0</v>
      </c>
      <c r="W146" s="566"/>
      <c r="X146" s="567"/>
      <c r="Y146" s="989">
        <f t="shared" si="9"/>
        <v>0</v>
      </c>
      <c r="Z146" s="812">
        <f t="shared" si="10"/>
        <v>0</v>
      </c>
    </row>
    <row r="147" spans="1:26" ht="27" customHeight="1">
      <c r="A147" s="531"/>
      <c r="B147" s="531">
        <v>406</v>
      </c>
      <c r="C147" s="529">
        <v>4</v>
      </c>
      <c r="D147" s="1027" t="s">
        <v>571</v>
      </c>
      <c r="E147" s="1028" t="s">
        <v>259</v>
      </c>
      <c r="F147" s="547">
        <v>178760000</v>
      </c>
      <c r="G147" s="547"/>
      <c r="H147" s="547"/>
      <c r="I147" s="547"/>
      <c r="J147" s="547"/>
      <c r="K147" s="547"/>
      <c r="L147" s="547"/>
      <c r="M147" s="547"/>
      <c r="N147" s="547"/>
      <c r="O147" s="547"/>
      <c r="P147" s="547"/>
      <c r="Q147" s="547"/>
      <c r="R147" s="547"/>
      <c r="S147" s="989">
        <f t="shared" si="8"/>
        <v>178760000</v>
      </c>
      <c r="T147" s="547">
        <v>139520000</v>
      </c>
      <c r="U147" s="989">
        <f t="shared" si="11"/>
        <v>179</v>
      </c>
      <c r="V147" s="547">
        <v>140</v>
      </c>
      <c r="W147" s="566"/>
      <c r="X147" s="567"/>
      <c r="Y147" s="989">
        <f t="shared" si="9"/>
        <v>178760000</v>
      </c>
      <c r="Z147" s="812">
        <f t="shared" si="10"/>
        <v>179</v>
      </c>
    </row>
    <row r="148" spans="1:26" ht="27" customHeight="1">
      <c r="A148" s="531"/>
      <c r="B148" s="531">
        <v>406</v>
      </c>
      <c r="C148" s="529">
        <v>4</v>
      </c>
      <c r="D148" s="1027" t="s">
        <v>963</v>
      </c>
      <c r="E148" s="1028" t="s">
        <v>964</v>
      </c>
      <c r="F148" s="547">
        <v>234234000</v>
      </c>
      <c r="G148" s="547"/>
      <c r="H148" s="547"/>
      <c r="I148" s="547"/>
      <c r="J148" s="547"/>
      <c r="K148" s="547"/>
      <c r="L148" s="547"/>
      <c r="M148" s="547"/>
      <c r="N148" s="547"/>
      <c r="O148" s="547"/>
      <c r="P148" s="547"/>
      <c r="Q148" s="547"/>
      <c r="R148" s="547"/>
      <c r="S148" s="989">
        <f t="shared" si="8"/>
        <v>234234000</v>
      </c>
      <c r="T148" s="547">
        <v>173804400</v>
      </c>
      <c r="U148" s="989">
        <f t="shared" si="11"/>
        <v>234</v>
      </c>
      <c r="V148" s="547">
        <v>174</v>
      </c>
      <c r="W148" s="566"/>
      <c r="X148" s="567"/>
      <c r="Y148" s="989">
        <f t="shared" si="9"/>
        <v>234234000</v>
      </c>
      <c r="Z148" s="812">
        <f t="shared" si="10"/>
        <v>234</v>
      </c>
    </row>
    <row r="149" spans="1:26" ht="27" customHeight="1">
      <c r="A149" s="531"/>
      <c r="B149" s="531">
        <v>406</v>
      </c>
      <c r="C149" s="529">
        <v>4</v>
      </c>
      <c r="D149" s="1027" t="s">
        <v>643</v>
      </c>
      <c r="E149" s="1028" t="s">
        <v>642</v>
      </c>
      <c r="F149" s="547">
        <v>35536702142</v>
      </c>
      <c r="G149" s="547">
        <v>-35326709382</v>
      </c>
      <c r="H149" s="547"/>
      <c r="I149" s="547"/>
      <c r="J149" s="547"/>
      <c r="K149" s="547"/>
      <c r="L149" s="547"/>
      <c r="M149" s="547"/>
      <c r="N149" s="547"/>
      <c r="O149" s="547"/>
      <c r="P149" s="547"/>
      <c r="Q149" s="547"/>
      <c r="R149" s="547"/>
      <c r="S149" s="989">
        <f t="shared" si="8"/>
        <v>209992760</v>
      </c>
      <c r="T149" s="547">
        <v>209992860</v>
      </c>
      <c r="U149" s="989">
        <f t="shared" si="11"/>
        <v>210</v>
      </c>
      <c r="V149" s="547">
        <v>210</v>
      </c>
      <c r="W149" s="566"/>
      <c r="X149" s="567"/>
      <c r="Y149" s="989">
        <f t="shared" si="9"/>
        <v>209992760</v>
      </c>
      <c r="Z149" s="812">
        <f t="shared" si="10"/>
        <v>210</v>
      </c>
    </row>
    <row r="150" spans="1:26" ht="27" customHeight="1">
      <c r="A150" s="531"/>
      <c r="B150" s="531">
        <v>406</v>
      </c>
      <c r="C150" s="529">
        <v>4</v>
      </c>
      <c r="D150" s="1027" t="s">
        <v>572</v>
      </c>
      <c r="E150" s="1028" t="s">
        <v>168</v>
      </c>
      <c r="F150" s="547">
        <v>589142696</v>
      </c>
      <c r="G150" s="547">
        <v>22252589</v>
      </c>
      <c r="H150" s="547"/>
      <c r="I150" s="547"/>
      <c r="J150" s="547"/>
      <c r="K150" s="547"/>
      <c r="L150" s="547"/>
      <c r="M150" s="547"/>
      <c r="N150" s="547"/>
      <c r="O150" s="547"/>
      <c r="P150" s="547"/>
      <c r="Q150" s="547"/>
      <c r="R150" s="547"/>
      <c r="S150" s="989">
        <f t="shared" si="8"/>
        <v>611395285</v>
      </c>
      <c r="T150" s="547">
        <v>1214411898</v>
      </c>
      <c r="U150" s="989">
        <f t="shared" si="11"/>
        <v>611</v>
      </c>
      <c r="V150" s="547">
        <v>1214</v>
      </c>
      <c r="W150" s="566"/>
      <c r="X150" s="567"/>
      <c r="Y150" s="989">
        <f t="shared" si="9"/>
        <v>611395285</v>
      </c>
      <c r="Z150" s="812">
        <f t="shared" si="10"/>
        <v>611</v>
      </c>
    </row>
    <row r="151" spans="1:26" ht="27" customHeight="1">
      <c r="A151" s="531"/>
      <c r="B151" s="531">
        <v>406</v>
      </c>
      <c r="C151" s="1123">
        <v>4</v>
      </c>
      <c r="D151" s="1027" t="s">
        <v>573</v>
      </c>
      <c r="E151" s="1028" t="s">
        <v>965</v>
      </c>
      <c r="F151" s="547">
        <v>-634143315</v>
      </c>
      <c r="G151" s="547">
        <v>679591442</v>
      </c>
      <c r="H151" s="547"/>
      <c r="I151" s="547"/>
      <c r="J151" s="547"/>
      <c r="K151" s="547"/>
      <c r="L151" s="547"/>
      <c r="M151" s="547"/>
      <c r="N151" s="547"/>
      <c r="O151" s="547"/>
      <c r="P151" s="547"/>
      <c r="Q151" s="547"/>
      <c r="R151" s="547"/>
      <c r="S151" s="989">
        <f t="shared" si="8"/>
        <v>45448127</v>
      </c>
      <c r="T151" s="547">
        <v>-330801146</v>
      </c>
      <c r="U151" s="683">
        <f>ROUND((S151/1000000),0)+1</f>
        <v>46</v>
      </c>
      <c r="V151" s="547">
        <v>-331</v>
      </c>
      <c r="W151" s="566"/>
      <c r="X151" s="567"/>
      <c r="Y151" s="989">
        <f t="shared" si="9"/>
        <v>45448127</v>
      </c>
      <c r="Z151" s="812">
        <f t="shared" si="10"/>
        <v>45</v>
      </c>
    </row>
    <row r="152" spans="1:26" ht="27" customHeight="1">
      <c r="A152" s="531"/>
      <c r="B152" s="531">
        <v>1001</v>
      </c>
      <c r="C152" s="529">
        <v>10</v>
      </c>
      <c r="D152" s="1027" t="s">
        <v>575</v>
      </c>
      <c r="E152" s="1028" t="s">
        <v>1567</v>
      </c>
      <c r="F152" s="547">
        <v>-3641360</v>
      </c>
      <c r="G152" s="547"/>
      <c r="H152" s="547"/>
      <c r="I152" s="547"/>
      <c r="J152" s="547"/>
      <c r="K152" s="547"/>
      <c r="L152" s="547"/>
      <c r="M152" s="547"/>
      <c r="N152" s="547"/>
      <c r="O152" s="547"/>
      <c r="P152" s="547"/>
      <c r="Q152" s="547"/>
      <c r="R152" s="547"/>
      <c r="S152" s="989">
        <f t="shared" si="8"/>
        <v>-3641360</v>
      </c>
      <c r="T152" s="547">
        <v>-2413080</v>
      </c>
      <c r="U152" s="989">
        <f t="shared" si="11"/>
        <v>-4</v>
      </c>
      <c r="V152" s="547">
        <v>-2</v>
      </c>
      <c r="W152" s="566"/>
      <c r="X152" s="567"/>
      <c r="Y152" s="989">
        <f t="shared" si="9"/>
        <v>-3641360</v>
      </c>
      <c r="Z152" s="812">
        <f t="shared" si="10"/>
        <v>-4</v>
      </c>
    </row>
    <row r="153" spans="1:26" ht="27" customHeight="1">
      <c r="A153" s="531"/>
      <c r="B153" s="531">
        <v>1018</v>
      </c>
      <c r="C153" s="529">
        <v>10</v>
      </c>
      <c r="D153" s="1027" t="s">
        <v>577</v>
      </c>
      <c r="E153" s="1028" t="s">
        <v>578</v>
      </c>
      <c r="F153" s="547">
        <v>-7058431531</v>
      </c>
      <c r="G153" s="547">
        <v>417600765</v>
      </c>
      <c r="H153" s="547">
        <v>-270679700</v>
      </c>
      <c r="I153" s="547">
        <v>-61380856</v>
      </c>
      <c r="J153" s="547"/>
      <c r="K153" s="547"/>
      <c r="L153" s="547"/>
      <c r="M153" s="547"/>
      <c r="N153" s="547"/>
      <c r="O153" s="547"/>
      <c r="P153" s="547"/>
      <c r="Q153" s="547"/>
      <c r="R153" s="547"/>
      <c r="S153" s="989">
        <f t="shared" si="8"/>
        <v>-6972891322</v>
      </c>
      <c r="T153" s="547">
        <v>-6044997104</v>
      </c>
      <c r="U153" s="989">
        <f t="shared" si="11"/>
        <v>-6973</v>
      </c>
      <c r="V153" s="547">
        <v>-6045</v>
      </c>
      <c r="W153" s="566"/>
      <c r="X153" s="567"/>
      <c r="Y153" s="989">
        <f t="shared" si="9"/>
        <v>-6972891322</v>
      </c>
      <c r="Z153" s="812">
        <f t="shared" si="10"/>
        <v>-6973</v>
      </c>
    </row>
    <row r="154" spans="1:26" ht="27" customHeight="1">
      <c r="A154" s="531"/>
      <c r="B154" s="531">
        <v>1001</v>
      </c>
      <c r="C154" s="529">
        <v>10</v>
      </c>
      <c r="D154" s="1027" t="s">
        <v>1176</v>
      </c>
      <c r="E154" s="1028" t="s">
        <v>1177</v>
      </c>
      <c r="F154" s="547">
        <v>-1842908588</v>
      </c>
      <c r="G154" s="547"/>
      <c r="H154" s="547"/>
      <c r="I154" s="547"/>
      <c r="J154" s="547"/>
      <c r="K154" s="547"/>
      <c r="L154" s="547"/>
      <c r="M154" s="547"/>
      <c r="N154" s="547"/>
      <c r="O154" s="547"/>
      <c r="P154" s="547"/>
      <c r="Q154" s="547"/>
      <c r="R154" s="547"/>
      <c r="S154" s="989">
        <f t="shared" si="8"/>
        <v>-1842908588</v>
      </c>
      <c r="T154" s="547">
        <v>-1876262588</v>
      </c>
      <c r="U154" s="989">
        <f t="shared" si="11"/>
        <v>-1843</v>
      </c>
      <c r="V154" s="547">
        <v>-1876</v>
      </c>
      <c r="W154" s="566"/>
      <c r="X154" s="567"/>
      <c r="Y154" s="989">
        <f t="shared" si="9"/>
        <v>-1842908588</v>
      </c>
      <c r="Z154" s="812">
        <f t="shared" si="10"/>
        <v>-1843</v>
      </c>
    </row>
    <row r="155" spans="1:26" ht="27" customHeight="1">
      <c r="A155" s="531"/>
      <c r="B155" s="531">
        <v>406</v>
      </c>
      <c r="C155" s="529">
        <v>4</v>
      </c>
      <c r="D155" s="530" t="s">
        <v>1770</v>
      </c>
      <c r="E155" s="1028" t="s">
        <v>1764</v>
      </c>
      <c r="F155" s="547">
        <v>69760000</v>
      </c>
      <c r="G155" s="547"/>
      <c r="H155" s="547"/>
      <c r="I155" s="547"/>
      <c r="J155" s="547"/>
      <c r="K155" s="547"/>
      <c r="L155" s="547"/>
      <c r="M155" s="547"/>
      <c r="N155" s="547"/>
      <c r="O155" s="547"/>
      <c r="P155" s="547"/>
      <c r="Q155" s="547"/>
      <c r="R155" s="547"/>
      <c r="S155" s="989">
        <f t="shared" si="8"/>
        <v>69760000</v>
      </c>
      <c r="T155" s="547"/>
      <c r="U155" s="989">
        <f t="shared" si="11"/>
        <v>70</v>
      </c>
      <c r="V155" s="547"/>
      <c r="W155" s="566"/>
      <c r="X155" s="567"/>
      <c r="Y155" s="989">
        <f t="shared" si="9"/>
        <v>69760000</v>
      </c>
      <c r="Z155" s="812">
        <f t="shared" si="10"/>
        <v>70</v>
      </c>
    </row>
    <row r="156" spans="1:26" ht="27" customHeight="1">
      <c r="A156" s="531"/>
      <c r="B156" s="531">
        <v>406</v>
      </c>
      <c r="C156" s="529">
        <v>4</v>
      </c>
      <c r="D156" s="1027" t="s">
        <v>579</v>
      </c>
      <c r="E156" s="1028" t="s">
        <v>580</v>
      </c>
      <c r="F156" s="547">
        <v>2531362670</v>
      </c>
      <c r="G156" s="547"/>
      <c r="H156" s="547"/>
      <c r="I156" s="547"/>
      <c r="J156" s="547"/>
      <c r="K156" s="547"/>
      <c r="L156" s="547"/>
      <c r="M156" s="547"/>
      <c r="N156" s="547"/>
      <c r="O156" s="547"/>
      <c r="P156" s="547"/>
      <c r="Q156" s="547"/>
      <c r="R156" s="547"/>
      <c r="S156" s="989">
        <f t="shared" si="8"/>
        <v>2531362670</v>
      </c>
      <c r="T156" s="547">
        <v>2531362670</v>
      </c>
      <c r="U156" s="683">
        <f>ROUND((S156/1000000),0)+1</f>
        <v>2532</v>
      </c>
      <c r="V156" s="547">
        <v>2531</v>
      </c>
      <c r="W156" s="566"/>
      <c r="X156" s="567"/>
      <c r="Y156" s="989">
        <f t="shared" si="9"/>
        <v>2531362670</v>
      </c>
      <c r="Z156" s="812">
        <f t="shared" si="10"/>
        <v>2531</v>
      </c>
    </row>
    <row r="157" spans="1:26" ht="27" customHeight="1">
      <c r="A157" s="531"/>
      <c r="B157" s="531">
        <v>406</v>
      </c>
      <c r="C157" s="529">
        <v>4</v>
      </c>
      <c r="D157" s="1027" t="s">
        <v>581</v>
      </c>
      <c r="E157" s="1028" t="s">
        <v>755</v>
      </c>
      <c r="F157" s="547">
        <v>25897418975</v>
      </c>
      <c r="G157" s="547">
        <v>20901548135</v>
      </c>
      <c r="H157" s="547"/>
      <c r="I157" s="547"/>
      <c r="J157" s="547">
        <v>-389864028</v>
      </c>
      <c r="K157" s="547"/>
      <c r="L157" s="547"/>
      <c r="M157" s="547"/>
      <c r="N157" s="547">
        <f>-8837626912+3778571110</f>
        <v>-5059055802</v>
      </c>
      <c r="O157" s="547"/>
      <c r="P157" s="547"/>
      <c r="Q157" s="547"/>
      <c r="R157" s="547"/>
      <c r="S157" s="989">
        <f t="shared" si="8"/>
        <v>41350047280</v>
      </c>
      <c r="T157" s="547">
        <v>10667494341</v>
      </c>
      <c r="U157" s="989">
        <f t="shared" si="11"/>
        <v>41350</v>
      </c>
      <c r="V157" s="547">
        <v>10667</v>
      </c>
      <c r="W157" s="566"/>
      <c r="X157" s="567"/>
      <c r="Y157" s="989">
        <f t="shared" si="9"/>
        <v>41350047280</v>
      </c>
      <c r="Z157" s="812">
        <f t="shared" si="10"/>
        <v>41350</v>
      </c>
    </row>
    <row r="158" spans="1:26" ht="27" customHeight="1">
      <c r="A158" s="531"/>
      <c r="B158" s="531">
        <v>406</v>
      </c>
      <c r="C158" s="529">
        <v>4</v>
      </c>
      <c r="D158" s="1027" t="s">
        <v>881</v>
      </c>
      <c r="E158" s="1028" t="s">
        <v>882</v>
      </c>
      <c r="F158" s="547"/>
      <c r="G158" s="547"/>
      <c r="H158" s="547"/>
      <c r="I158" s="547"/>
      <c r="J158" s="547"/>
      <c r="K158" s="547"/>
      <c r="L158" s="547"/>
      <c r="M158" s="547"/>
      <c r="N158" s="547"/>
      <c r="O158" s="547"/>
      <c r="P158" s="547"/>
      <c r="Q158" s="547"/>
      <c r="R158" s="547"/>
      <c r="S158" s="989">
        <f t="shared" si="8"/>
        <v>0</v>
      </c>
      <c r="T158" s="547">
        <v>0</v>
      </c>
      <c r="U158" s="989">
        <f t="shared" si="11"/>
        <v>0</v>
      </c>
      <c r="V158" s="547">
        <v>0</v>
      </c>
      <c r="W158" s="566"/>
      <c r="X158" s="567"/>
      <c r="Y158" s="989">
        <f t="shared" si="9"/>
        <v>0</v>
      </c>
      <c r="Z158" s="812">
        <f t="shared" si="10"/>
        <v>0</v>
      </c>
    </row>
    <row r="159" spans="1:26" ht="27" customHeight="1">
      <c r="A159" s="531"/>
      <c r="B159" s="531">
        <v>1001</v>
      </c>
      <c r="C159" s="529">
        <v>10</v>
      </c>
      <c r="D159" s="1027" t="s">
        <v>582</v>
      </c>
      <c r="E159" s="1028" t="s">
        <v>583</v>
      </c>
      <c r="F159" s="547">
        <v>-3880545445</v>
      </c>
      <c r="G159" s="547">
        <v>192996831</v>
      </c>
      <c r="H159" s="547"/>
      <c r="I159" s="547"/>
      <c r="J159" s="547"/>
      <c r="K159" s="547"/>
      <c r="L159" s="547"/>
      <c r="M159" s="547"/>
      <c r="N159" s="547"/>
      <c r="O159" s="547"/>
      <c r="P159" s="547"/>
      <c r="Q159" s="547"/>
      <c r="R159" s="547"/>
      <c r="S159" s="989">
        <f t="shared" si="8"/>
        <v>-3687548614</v>
      </c>
      <c r="T159" s="547">
        <v>-2054714948</v>
      </c>
      <c r="U159" s="989">
        <f t="shared" si="11"/>
        <v>-3688</v>
      </c>
      <c r="V159" s="547">
        <v>-2055</v>
      </c>
      <c r="W159" s="566"/>
      <c r="X159" s="567"/>
      <c r="Y159" s="989">
        <f t="shared" si="9"/>
        <v>-3687548614</v>
      </c>
      <c r="Z159" s="812">
        <f t="shared" si="10"/>
        <v>-3688</v>
      </c>
    </row>
    <row r="160" spans="1:26" ht="27" customHeight="1">
      <c r="A160" s="531"/>
      <c r="B160" s="531">
        <v>406</v>
      </c>
      <c r="C160" s="529">
        <v>4</v>
      </c>
      <c r="D160" s="1027" t="s">
        <v>260</v>
      </c>
      <c r="E160" s="1028" t="s">
        <v>261</v>
      </c>
      <c r="F160" s="547">
        <v>125077500</v>
      </c>
      <c r="G160" s="547"/>
      <c r="H160" s="547"/>
      <c r="I160" s="547"/>
      <c r="J160" s="547"/>
      <c r="K160" s="547"/>
      <c r="L160" s="547"/>
      <c r="M160" s="547"/>
      <c r="N160" s="547"/>
      <c r="O160" s="547"/>
      <c r="P160" s="547"/>
      <c r="Q160" s="547"/>
      <c r="R160" s="547"/>
      <c r="S160" s="989">
        <f t="shared" si="8"/>
        <v>125077500</v>
      </c>
      <c r="T160" s="547">
        <v>91723500</v>
      </c>
      <c r="U160" s="989">
        <f t="shared" si="11"/>
        <v>125</v>
      </c>
      <c r="V160" s="547">
        <v>92</v>
      </c>
      <c r="W160" s="566"/>
      <c r="X160" s="567"/>
      <c r="Y160" s="989">
        <f t="shared" si="9"/>
        <v>125077500</v>
      </c>
      <c r="Z160" s="812">
        <f t="shared" si="10"/>
        <v>125</v>
      </c>
    </row>
    <row r="161" spans="1:26" ht="27" customHeight="1">
      <c r="A161" s="531"/>
      <c r="B161" s="531">
        <v>1001</v>
      </c>
      <c r="C161" s="529">
        <v>10</v>
      </c>
      <c r="D161" s="1027" t="s">
        <v>262</v>
      </c>
      <c r="E161" s="1028" t="s">
        <v>263</v>
      </c>
      <c r="F161" s="547">
        <v>-707676534</v>
      </c>
      <c r="G161" s="547">
        <v>-110233826</v>
      </c>
      <c r="H161" s="547">
        <v>-180278752</v>
      </c>
      <c r="I161" s="547"/>
      <c r="J161" s="547">
        <v>-2207250</v>
      </c>
      <c r="K161" s="547"/>
      <c r="L161" s="547"/>
      <c r="M161" s="547"/>
      <c r="N161" s="547"/>
      <c r="O161" s="547"/>
      <c r="P161" s="547"/>
      <c r="Q161" s="547"/>
      <c r="R161" s="547"/>
      <c r="S161" s="989">
        <f t="shared" si="8"/>
        <v>-1000396362</v>
      </c>
      <c r="T161" s="547">
        <v>-2555392604</v>
      </c>
      <c r="U161" s="989">
        <f t="shared" si="11"/>
        <v>-1000</v>
      </c>
      <c r="V161" s="547">
        <v>-2555</v>
      </c>
      <c r="W161" s="566"/>
      <c r="X161" s="567"/>
      <c r="Y161" s="989">
        <f t="shared" si="9"/>
        <v>-1000396362</v>
      </c>
      <c r="Z161" s="812">
        <f t="shared" si="10"/>
        <v>-1000</v>
      </c>
    </row>
    <row r="162" spans="1:26" ht="27" customHeight="1">
      <c r="A162" s="531"/>
      <c r="B162" s="1281">
        <v>1001</v>
      </c>
      <c r="C162" s="1123">
        <v>10</v>
      </c>
      <c r="D162" s="1027" t="s">
        <v>584</v>
      </c>
      <c r="E162" s="1028" t="s">
        <v>645</v>
      </c>
      <c r="F162" s="547">
        <v>-234253660</v>
      </c>
      <c r="G162" s="547"/>
      <c r="H162" s="547"/>
      <c r="I162" s="547"/>
      <c r="J162" s="547"/>
      <c r="K162" s="547"/>
      <c r="L162" s="547"/>
      <c r="M162" s="547"/>
      <c r="N162" s="547"/>
      <c r="O162" s="547"/>
      <c r="P162" s="547"/>
      <c r="Q162" s="547"/>
      <c r="R162" s="547"/>
      <c r="S162" s="989">
        <f t="shared" si="8"/>
        <v>-234253660</v>
      </c>
      <c r="T162" s="547">
        <v>218106340</v>
      </c>
      <c r="U162" s="989">
        <f t="shared" si="11"/>
        <v>-234</v>
      </c>
      <c r="V162" s="547">
        <v>218</v>
      </c>
      <c r="W162" s="566"/>
      <c r="X162" s="567"/>
      <c r="Y162" s="989">
        <f t="shared" si="9"/>
        <v>-234253660</v>
      </c>
      <c r="Z162" s="812">
        <f t="shared" si="10"/>
        <v>-234</v>
      </c>
    </row>
    <row r="163" spans="1:26" ht="27" customHeight="1">
      <c r="A163" s="531"/>
      <c r="B163" s="531">
        <v>1001</v>
      </c>
      <c r="C163" s="529">
        <v>10</v>
      </c>
      <c r="D163" s="1027" t="s">
        <v>546</v>
      </c>
      <c r="E163" s="1028" t="s">
        <v>170</v>
      </c>
      <c r="F163" s="547">
        <v>-12801241075</v>
      </c>
      <c r="G163" s="547">
        <v>-1329057683</v>
      </c>
      <c r="H163" s="547"/>
      <c r="I163" s="547">
        <v>503181336</v>
      </c>
      <c r="J163" s="547"/>
      <c r="K163" s="547"/>
      <c r="L163" s="547"/>
      <c r="M163" s="547"/>
      <c r="N163" s="547"/>
      <c r="O163" s="547"/>
      <c r="P163" s="547"/>
      <c r="Q163" s="547"/>
      <c r="R163" s="547"/>
      <c r="S163" s="989">
        <f t="shared" si="8"/>
        <v>-13627117422</v>
      </c>
      <c r="T163" s="547">
        <v>-11841350408</v>
      </c>
      <c r="U163" s="989">
        <f t="shared" si="11"/>
        <v>-13627</v>
      </c>
      <c r="V163" s="547">
        <v>-11841</v>
      </c>
      <c r="W163" s="566"/>
      <c r="X163" s="567"/>
      <c r="Y163" s="989">
        <f t="shared" si="9"/>
        <v>-13627117422</v>
      </c>
      <c r="Z163" s="812">
        <f t="shared" si="10"/>
        <v>-13627</v>
      </c>
    </row>
    <row r="164" spans="1:26" ht="27" customHeight="1">
      <c r="A164" s="531"/>
      <c r="B164" s="531">
        <v>406</v>
      </c>
      <c r="C164" s="529">
        <v>4</v>
      </c>
      <c r="D164" s="530" t="s">
        <v>1771</v>
      </c>
      <c r="E164" s="1028" t="s">
        <v>1765</v>
      </c>
      <c r="F164" s="547"/>
      <c r="G164" s="547">
        <v>13080000</v>
      </c>
      <c r="H164" s="547"/>
      <c r="I164" s="547"/>
      <c r="J164" s="547"/>
      <c r="K164" s="547"/>
      <c r="L164" s="547"/>
      <c r="M164" s="547"/>
      <c r="N164" s="547"/>
      <c r="O164" s="547"/>
      <c r="P164" s="547"/>
      <c r="Q164" s="547"/>
      <c r="R164" s="547"/>
      <c r="S164" s="989">
        <f t="shared" si="8"/>
        <v>13080000</v>
      </c>
      <c r="T164" s="547"/>
      <c r="U164" s="989">
        <f t="shared" si="11"/>
        <v>13</v>
      </c>
      <c r="V164" s="547"/>
      <c r="W164" s="566"/>
      <c r="X164" s="567"/>
      <c r="Y164" s="989">
        <f t="shared" si="9"/>
        <v>13080000</v>
      </c>
      <c r="Z164" s="812">
        <f t="shared" si="10"/>
        <v>13</v>
      </c>
    </row>
    <row r="165" spans="1:26" ht="27" customHeight="1">
      <c r="A165" s="531"/>
      <c r="B165" s="531">
        <v>406</v>
      </c>
      <c r="C165" s="529">
        <v>4</v>
      </c>
      <c r="D165" s="1027" t="s">
        <v>162</v>
      </c>
      <c r="E165" s="1028" t="s">
        <v>171</v>
      </c>
      <c r="F165" s="547">
        <v>403600856</v>
      </c>
      <c r="G165" s="547">
        <v>-81786600</v>
      </c>
      <c r="H165" s="547">
        <v>7128500</v>
      </c>
      <c r="I165" s="547">
        <v>-11451127</v>
      </c>
      <c r="J165" s="547">
        <v>-7128500</v>
      </c>
      <c r="K165" s="547"/>
      <c r="L165" s="547"/>
      <c r="M165" s="547"/>
      <c r="N165" s="547"/>
      <c r="O165" s="547"/>
      <c r="P165" s="547"/>
      <c r="Q165" s="547"/>
      <c r="R165" s="547"/>
      <c r="S165" s="989">
        <f t="shared" si="8"/>
        <v>310363129</v>
      </c>
      <c r="T165" s="547">
        <v>-349548150</v>
      </c>
      <c r="U165" s="989">
        <f t="shared" si="11"/>
        <v>310</v>
      </c>
      <c r="V165" s="547">
        <v>-350</v>
      </c>
      <c r="W165" s="566"/>
      <c r="X165" s="567"/>
      <c r="Y165" s="989">
        <f t="shared" si="9"/>
        <v>310363129</v>
      </c>
      <c r="Z165" s="812">
        <f t="shared" si="10"/>
        <v>310</v>
      </c>
    </row>
    <row r="166" spans="1:26" ht="27" customHeight="1">
      <c r="A166" s="531"/>
      <c r="B166" s="531">
        <v>406</v>
      </c>
      <c r="C166" s="529">
        <v>4</v>
      </c>
      <c r="D166" s="1027" t="s">
        <v>299</v>
      </c>
      <c r="E166" s="1028" t="s">
        <v>644</v>
      </c>
      <c r="F166" s="547"/>
      <c r="G166" s="547"/>
      <c r="H166" s="547"/>
      <c r="I166" s="547"/>
      <c r="J166" s="547"/>
      <c r="K166" s="547"/>
      <c r="L166" s="547"/>
      <c r="M166" s="547"/>
      <c r="N166" s="547"/>
      <c r="O166" s="547"/>
      <c r="P166" s="547"/>
      <c r="Q166" s="547"/>
      <c r="R166" s="547"/>
      <c r="S166" s="989">
        <f t="shared" si="8"/>
        <v>0</v>
      </c>
      <c r="T166" s="547">
        <v>0</v>
      </c>
      <c r="U166" s="989">
        <f t="shared" si="11"/>
        <v>0</v>
      </c>
      <c r="V166" s="547">
        <v>0</v>
      </c>
      <c r="W166" s="566"/>
      <c r="X166" s="567"/>
      <c r="Y166" s="989">
        <f t="shared" si="9"/>
        <v>0</v>
      </c>
      <c r="Z166" s="812">
        <f t="shared" si="10"/>
        <v>0</v>
      </c>
    </row>
    <row r="167" spans="1:26" ht="27" customHeight="1">
      <c r="A167" s="531"/>
      <c r="B167" s="531">
        <v>406</v>
      </c>
      <c r="C167" s="529">
        <v>4</v>
      </c>
      <c r="D167" s="1027" t="s">
        <v>838</v>
      </c>
      <c r="E167" s="1028" t="s">
        <v>837</v>
      </c>
      <c r="F167" s="547">
        <v>77820342</v>
      </c>
      <c r="G167" s="547"/>
      <c r="H167" s="547"/>
      <c r="I167" s="547"/>
      <c r="J167" s="547"/>
      <c r="K167" s="547"/>
      <c r="L167" s="547"/>
      <c r="M167" s="547"/>
      <c r="N167" s="547"/>
      <c r="O167" s="547"/>
      <c r="P167" s="547"/>
      <c r="Q167" s="547"/>
      <c r="R167" s="547"/>
      <c r="S167" s="989">
        <f t="shared" si="8"/>
        <v>77820342</v>
      </c>
      <c r="T167" s="547">
        <v>77820342</v>
      </c>
      <c r="U167" s="989">
        <f t="shared" si="11"/>
        <v>78</v>
      </c>
      <c r="V167" s="547">
        <v>78</v>
      </c>
      <c r="W167" s="566"/>
      <c r="X167" s="567"/>
      <c r="Y167" s="989">
        <f t="shared" si="9"/>
        <v>77820342</v>
      </c>
      <c r="Z167" s="812">
        <f t="shared" si="10"/>
        <v>78</v>
      </c>
    </row>
    <row r="168" spans="1:26" ht="27" customHeight="1">
      <c r="A168" s="531"/>
      <c r="B168" s="531">
        <v>406</v>
      </c>
      <c r="C168" s="529">
        <v>4</v>
      </c>
      <c r="D168" s="1027" t="s">
        <v>883</v>
      </c>
      <c r="E168" s="1028" t="s">
        <v>884</v>
      </c>
      <c r="F168" s="547">
        <v>78118066</v>
      </c>
      <c r="G168" s="547"/>
      <c r="H168" s="547"/>
      <c r="I168" s="547"/>
      <c r="J168" s="547"/>
      <c r="K168" s="547"/>
      <c r="L168" s="547"/>
      <c r="M168" s="547"/>
      <c r="N168" s="547"/>
      <c r="O168" s="547"/>
      <c r="P168" s="547"/>
      <c r="Q168" s="547"/>
      <c r="R168" s="547"/>
      <c r="S168" s="989">
        <f t="shared" si="8"/>
        <v>78118066</v>
      </c>
      <c r="T168" s="547">
        <v>44764066</v>
      </c>
      <c r="U168" s="989">
        <f t="shared" si="11"/>
        <v>78</v>
      </c>
      <c r="V168" s="547">
        <v>45</v>
      </c>
      <c r="W168" s="566"/>
      <c r="X168" s="567"/>
      <c r="Y168" s="989">
        <f t="shared" si="9"/>
        <v>78118066</v>
      </c>
      <c r="Z168" s="812">
        <f t="shared" si="10"/>
        <v>78</v>
      </c>
    </row>
    <row r="169" spans="1:26" ht="27" customHeight="1">
      <c r="A169" s="531"/>
      <c r="B169" s="531">
        <v>1001</v>
      </c>
      <c r="C169" s="529">
        <v>10</v>
      </c>
      <c r="D169" s="1027" t="s">
        <v>301</v>
      </c>
      <c r="E169" s="1028" t="s">
        <v>885</v>
      </c>
      <c r="F169" s="547"/>
      <c r="G169" s="547"/>
      <c r="H169" s="547"/>
      <c r="I169" s="547"/>
      <c r="J169" s="547"/>
      <c r="K169" s="547"/>
      <c r="L169" s="547"/>
      <c r="M169" s="547"/>
      <c r="N169" s="547"/>
      <c r="O169" s="547"/>
      <c r="P169" s="547"/>
      <c r="Q169" s="547"/>
      <c r="R169" s="547"/>
      <c r="S169" s="989">
        <f t="shared" si="8"/>
        <v>0</v>
      </c>
      <c r="T169" s="547">
        <v>0</v>
      </c>
      <c r="U169" s="989">
        <f t="shared" si="11"/>
        <v>0</v>
      </c>
      <c r="V169" s="547">
        <v>0</v>
      </c>
      <c r="W169" s="566"/>
      <c r="X169" s="567"/>
      <c r="Y169" s="989">
        <f t="shared" si="9"/>
        <v>0</v>
      </c>
      <c r="Z169" s="812">
        <f t="shared" si="10"/>
        <v>0</v>
      </c>
    </row>
    <row r="170" spans="1:26" ht="27" customHeight="1">
      <c r="A170" s="531"/>
      <c r="B170" s="531">
        <v>406</v>
      </c>
      <c r="C170" s="529">
        <v>4</v>
      </c>
      <c r="D170" s="1027" t="s">
        <v>264</v>
      </c>
      <c r="E170" s="1028" t="s">
        <v>265</v>
      </c>
      <c r="F170" s="547"/>
      <c r="G170" s="547"/>
      <c r="H170" s="547"/>
      <c r="I170" s="547"/>
      <c r="J170" s="547"/>
      <c r="K170" s="547"/>
      <c r="L170" s="547"/>
      <c r="M170" s="547"/>
      <c r="N170" s="547"/>
      <c r="O170" s="547"/>
      <c r="P170" s="547"/>
      <c r="Q170" s="547"/>
      <c r="R170" s="547"/>
      <c r="S170" s="989">
        <f t="shared" si="8"/>
        <v>0</v>
      </c>
      <c r="T170" s="547">
        <v>0</v>
      </c>
      <c r="U170" s="989">
        <f t="shared" si="11"/>
        <v>0</v>
      </c>
      <c r="V170" s="547">
        <v>0</v>
      </c>
      <c r="W170" s="566"/>
      <c r="X170" s="567"/>
      <c r="Y170" s="989">
        <f t="shared" si="9"/>
        <v>0</v>
      </c>
      <c r="Z170" s="812">
        <f t="shared" si="10"/>
        <v>0</v>
      </c>
    </row>
    <row r="171" spans="1:26" ht="27" customHeight="1">
      <c r="A171" s="531"/>
      <c r="B171" s="531">
        <v>406</v>
      </c>
      <c r="C171" s="529">
        <v>4</v>
      </c>
      <c r="D171" s="1027" t="s">
        <v>647</v>
      </c>
      <c r="E171" s="1028" t="s">
        <v>646</v>
      </c>
      <c r="F171" s="547"/>
      <c r="G171" s="547"/>
      <c r="H171" s="547"/>
      <c r="I171" s="547"/>
      <c r="J171" s="547"/>
      <c r="K171" s="547"/>
      <c r="L171" s="547"/>
      <c r="M171" s="547"/>
      <c r="N171" s="547"/>
      <c r="O171" s="547"/>
      <c r="P171" s="547"/>
      <c r="Q171" s="547"/>
      <c r="R171" s="547"/>
      <c r="S171" s="989">
        <f t="shared" si="8"/>
        <v>0</v>
      </c>
      <c r="T171" s="547">
        <v>0</v>
      </c>
      <c r="U171" s="989">
        <f t="shared" si="11"/>
        <v>0</v>
      </c>
      <c r="V171" s="547">
        <v>0</v>
      </c>
      <c r="W171" s="566"/>
      <c r="X171" s="567"/>
      <c r="Y171" s="989">
        <f t="shared" si="9"/>
        <v>0</v>
      </c>
      <c r="Z171" s="812">
        <f t="shared" si="10"/>
        <v>0</v>
      </c>
    </row>
    <row r="172" spans="1:26" ht="27" customHeight="1">
      <c r="A172" s="531"/>
      <c r="B172" s="531">
        <v>1026</v>
      </c>
      <c r="C172" s="529">
        <v>10</v>
      </c>
      <c r="D172" s="1027" t="s">
        <v>305</v>
      </c>
      <c r="E172" s="1028" t="s">
        <v>172</v>
      </c>
      <c r="F172" s="547">
        <v>-8677647782</v>
      </c>
      <c r="G172" s="547">
        <v>-476421856</v>
      </c>
      <c r="H172" s="547">
        <v>-25758076</v>
      </c>
      <c r="I172" s="547"/>
      <c r="J172" s="547"/>
      <c r="K172" s="547"/>
      <c r="L172" s="547"/>
      <c r="M172" s="547"/>
      <c r="N172" s="547"/>
      <c r="O172" s="547"/>
      <c r="P172" s="547"/>
      <c r="Q172" s="547"/>
      <c r="R172" s="547"/>
      <c r="S172" s="989">
        <f t="shared" si="8"/>
        <v>-9179827714</v>
      </c>
      <c r="T172" s="547">
        <v>-7176517455</v>
      </c>
      <c r="U172" s="989">
        <f t="shared" si="11"/>
        <v>-9180</v>
      </c>
      <c r="V172" s="547">
        <v>-7177</v>
      </c>
      <c r="W172" s="566"/>
      <c r="X172" s="567"/>
      <c r="Y172" s="989">
        <f t="shared" si="9"/>
        <v>-9179827714</v>
      </c>
      <c r="Z172" s="812">
        <f t="shared" si="10"/>
        <v>-9180</v>
      </c>
    </row>
    <row r="173" spans="1:26" ht="27" customHeight="1">
      <c r="A173" s="531"/>
      <c r="B173" s="531">
        <v>406</v>
      </c>
      <c r="C173" s="529">
        <v>4</v>
      </c>
      <c r="D173" s="1027" t="s">
        <v>306</v>
      </c>
      <c r="E173" s="1028" t="s">
        <v>307</v>
      </c>
      <c r="F173" s="547">
        <v>74298246</v>
      </c>
      <c r="G173" s="547">
        <v>-876142</v>
      </c>
      <c r="H173" s="547">
        <v>-39595558</v>
      </c>
      <c r="I173" s="547"/>
      <c r="J173" s="547">
        <v>-15014248</v>
      </c>
      <c r="K173" s="547"/>
      <c r="L173" s="547"/>
      <c r="M173" s="547"/>
      <c r="N173" s="547"/>
      <c r="O173" s="547"/>
      <c r="P173" s="547"/>
      <c r="Q173" s="547"/>
      <c r="R173" s="547"/>
      <c r="S173" s="989">
        <f t="shared" si="8"/>
        <v>18812298</v>
      </c>
      <c r="T173" s="547">
        <v>355834710</v>
      </c>
      <c r="U173" s="989">
        <f t="shared" si="11"/>
        <v>19</v>
      </c>
      <c r="V173" s="547">
        <v>356</v>
      </c>
      <c r="W173" s="566"/>
      <c r="X173" s="567"/>
      <c r="Y173" s="989">
        <f t="shared" si="9"/>
        <v>18812298</v>
      </c>
      <c r="Z173" s="812">
        <f t="shared" si="10"/>
        <v>19</v>
      </c>
    </row>
    <row r="174" spans="1:26" ht="27" customHeight="1">
      <c r="A174" s="531"/>
      <c r="B174" s="531">
        <v>1018</v>
      </c>
      <c r="C174" s="529">
        <v>10</v>
      </c>
      <c r="D174" s="1027" t="s">
        <v>308</v>
      </c>
      <c r="E174" s="1028" t="s">
        <v>309</v>
      </c>
      <c r="F174" s="547">
        <v>-286145227550</v>
      </c>
      <c r="G174" s="547"/>
      <c r="H174" s="547">
        <v>-151472976854</v>
      </c>
      <c r="I174" s="547"/>
      <c r="J174" s="547">
        <v>-578571772</v>
      </c>
      <c r="K174" s="547">
        <v>-4725532205</v>
      </c>
      <c r="L174" s="547"/>
      <c r="M174" s="547">
        <v>637958950</v>
      </c>
      <c r="N174" s="547"/>
      <c r="O174" s="547"/>
      <c r="P174" s="547"/>
      <c r="Q174" s="547"/>
      <c r="R174" s="547"/>
      <c r="S174" s="989">
        <f t="shared" si="8"/>
        <v>-442284349431</v>
      </c>
      <c r="T174" s="547">
        <v>-1038209866</v>
      </c>
      <c r="U174" s="989">
        <f t="shared" si="11"/>
        <v>-442284</v>
      </c>
      <c r="V174" s="547">
        <v>-1038</v>
      </c>
      <c r="W174" s="566"/>
      <c r="X174" s="567"/>
      <c r="Y174" s="989">
        <f t="shared" si="9"/>
        <v>-442284349431</v>
      </c>
      <c r="Z174" s="812">
        <f t="shared" si="10"/>
        <v>-442284</v>
      </c>
    </row>
    <row r="175" spans="1:26" ht="27" customHeight="1">
      <c r="A175" s="531"/>
      <c r="B175" s="1281">
        <v>1018</v>
      </c>
      <c r="C175" s="1123">
        <v>10</v>
      </c>
      <c r="D175" s="1027" t="s">
        <v>310</v>
      </c>
      <c r="E175" s="1028" t="s">
        <v>966</v>
      </c>
      <c r="F175" s="547">
        <v>-457239565</v>
      </c>
      <c r="G175" s="547">
        <v>440223626</v>
      </c>
      <c r="H175" s="547"/>
      <c r="I175" s="547">
        <v>-4246575</v>
      </c>
      <c r="J175" s="547"/>
      <c r="K175" s="547"/>
      <c r="L175" s="547"/>
      <c r="M175" s="547"/>
      <c r="N175" s="547"/>
      <c r="O175" s="547"/>
      <c r="P175" s="547"/>
      <c r="Q175" s="547"/>
      <c r="R175" s="547"/>
      <c r="S175" s="989">
        <f t="shared" si="8"/>
        <v>-21262514</v>
      </c>
      <c r="T175" s="547">
        <v>119948641</v>
      </c>
      <c r="U175" s="989">
        <f t="shared" si="11"/>
        <v>-21</v>
      </c>
      <c r="V175" s="547">
        <v>120</v>
      </c>
      <c r="W175" s="566"/>
      <c r="X175" s="567"/>
      <c r="Y175" s="989">
        <f t="shared" si="9"/>
        <v>-21262514</v>
      </c>
      <c r="Z175" s="812">
        <f t="shared" si="10"/>
        <v>-21</v>
      </c>
    </row>
    <row r="176" spans="1:26" ht="27" customHeight="1">
      <c r="A176" s="531"/>
      <c r="B176" s="531">
        <v>406</v>
      </c>
      <c r="C176" s="529">
        <v>4</v>
      </c>
      <c r="D176" s="1027" t="s">
        <v>1058</v>
      </c>
      <c r="E176" s="1028" t="s">
        <v>1057</v>
      </c>
      <c r="F176" s="547"/>
      <c r="G176" s="547"/>
      <c r="H176" s="547"/>
      <c r="I176" s="547"/>
      <c r="J176" s="547"/>
      <c r="K176" s="547"/>
      <c r="L176" s="547"/>
      <c r="M176" s="547"/>
      <c r="N176" s="547"/>
      <c r="O176" s="547"/>
      <c r="P176" s="547"/>
      <c r="Q176" s="547"/>
      <c r="R176" s="547"/>
      <c r="S176" s="989">
        <f t="shared" si="8"/>
        <v>0</v>
      </c>
      <c r="T176" s="547">
        <v>754655645</v>
      </c>
      <c r="U176" s="989">
        <f t="shared" si="11"/>
        <v>0</v>
      </c>
      <c r="V176" s="547">
        <v>755</v>
      </c>
      <c r="W176" s="566"/>
      <c r="X176" s="567"/>
      <c r="Y176" s="989">
        <f t="shared" si="9"/>
        <v>0</v>
      </c>
      <c r="Z176" s="812">
        <f t="shared" si="10"/>
        <v>0</v>
      </c>
    </row>
    <row r="177" spans="1:26" ht="27" customHeight="1">
      <c r="A177" s="531"/>
      <c r="B177" s="531">
        <v>406</v>
      </c>
      <c r="C177" s="529">
        <v>4</v>
      </c>
      <c r="D177" s="1027" t="s">
        <v>109</v>
      </c>
      <c r="E177" s="1028" t="s">
        <v>839</v>
      </c>
      <c r="F177" s="547">
        <v>1150122088</v>
      </c>
      <c r="G177" s="547">
        <v>10901056</v>
      </c>
      <c r="H177" s="547">
        <v>-70264606</v>
      </c>
      <c r="I177" s="547"/>
      <c r="J177" s="547"/>
      <c r="K177" s="547"/>
      <c r="L177" s="547"/>
      <c r="M177" s="547"/>
      <c r="N177" s="547"/>
      <c r="O177" s="547"/>
      <c r="P177" s="547"/>
      <c r="Q177" s="547"/>
      <c r="R177" s="547"/>
      <c r="S177" s="989">
        <f t="shared" si="8"/>
        <v>1090758538</v>
      </c>
      <c r="T177" s="547">
        <v>775026640</v>
      </c>
      <c r="U177" s="989">
        <f t="shared" si="11"/>
        <v>1091</v>
      </c>
      <c r="V177" s="547">
        <v>775</v>
      </c>
      <c r="W177" s="566"/>
      <c r="X177" s="567"/>
      <c r="Y177" s="989">
        <f t="shared" si="9"/>
        <v>1090758538</v>
      </c>
      <c r="Z177" s="812">
        <f t="shared" si="10"/>
        <v>1091</v>
      </c>
    </row>
    <row r="178" spans="1:26" ht="27" customHeight="1">
      <c r="A178" s="531"/>
      <c r="B178" s="531">
        <v>406</v>
      </c>
      <c r="C178" s="529">
        <v>4</v>
      </c>
      <c r="D178" s="1027" t="s">
        <v>110</v>
      </c>
      <c r="E178" s="1028" t="s">
        <v>174</v>
      </c>
      <c r="F178" s="547">
        <v>1665750720</v>
      </c>
      <c r="G178" s="547"/>
      <c r="H178" s="547"/>
      <c r="I178" s="547"/>
      <c r="J178" s="547"/>
      <c r="K178" s="547"/>
      <c r="L178" s="547"/>
      <c r="M178" s="547"/>
      <c r="N178" s="547"/>
      <c r="O178" s="547"/>
      <c r="P178" s="547"/>
      <c r="Q178" s="547"/>
      <c r="R178" s="547"/>
      <c r="S178" s="989">
        <f t="shared" si="8"/>
        <v>1665750720</v>
      </c>
      <c r="T178" s="547">
        <v>530759403</v>
      </c>
      <c r="U178" s="989">
        <f t="shared" si="11"/>
        <v>1666</v>
      </c>
      <c r="V178" s="547">
        <v>531</v>
      </c>
      <c r="W178" s="566"/>
      <c r="X178" s="567"/>
      <c r="Y178" s="989">
        <f t="shared" si="9"/>
        <v>1665750720</v>
      </c>
      <c r="Z178" s="812">
        <f t="shared" si="10"/>
        <v>1666</v>
      </c>
    </row>
    <row r="179" spans="1:26" ht="27" customHeight="1">
      <c r="A179" s="531"/>
      <c r="B179" s="531">
        <v>1001</v>
      </c>
      <c r="C179" s="529">
        <v>10</v>
      </c>
      <c r="D179" s="1027" t="s">
        <v>335</v>
      </c>
      <c r="E179" s="1028" t="s">
        <v>762</v>
      </c>
      <c r="F179" s="547"/>
      <c r="G179" s="547"/>
      <c r="H179" s="547"/>
      <c r="I179" s="547"/>
      <c r="J179" s="547"/>
      <c r="K179" s="547"/>
      <c r="L179" s="547"/>
      <c r="M179" s="547"/>
      <c r="N179" s="547"/>
      <c r="O179" s="547"/>
      <c r="P179" s="547"/>
      <c r="Q179" s="547"/>
      <c r="R179" s="547"/>
      <c r="S179" s="989">
        <f t="shared" si="8"/>
        <v>0</v>
      </c>
      <c r="T179" s="547">
        <v>0</v>
      </c>
      <c r="U179" s="989">
        <f t="shared" si="11"/>
        <v>0</v>
      </c>
      <c r="V179" s="547">
        <v>0</v>
      </c>
      <c r="W179" s="566"/>
      <c r="X179" s="567"/>
      <c r="Y179" s="989">
        <f t="shared" si="9"/>
        <v>0</v>
      </c>
      <c r="Z179" s="812">
        <f t="shared" si="10"/>
        <v>0</v>
      </c>
    </row>
    <row r="180" spans="1:26" ht="27" customHeight="1">
      <c r="A180" s="531"/>
      <c r="B180" s="531">
        <v>406</v>
      </c>
      <c r="C180" s="529">
        <v>4</v>
      </c>
      <c r="D180" s="1027" t="s">
        <v>336</v>
      </c>
      <c r="E180" s="1028" t="s">
        <v>656</v>
      </c>
      <c r="F180" s="547">
        <v>7929595040</v>
      </c>
      <c r="G180" s="547">
        <v>-28200480</v>
      </c>
      <c r="H180" s="547"/>
      <c r="I180" s="547"/>
      <c r="J180" s="547"/>
      <c r="K180" s="547"/>
      <c r="L180" s="547"/>
      <c r="M180" s="547"/>
      <c r="N180" s="547"/>
      <c r="O180" s="547"/>
      <c r="P180" s="547"/>
      <c r="Q180" s="547"/>
      <c r="R180" s="547"/>
      <c r="S180" s="989">
        <f t="shared" si="8"/>
        <v>7901394560</v>
      </c>
      <c r="T180" s="547">
        <v>3766148070</v>
      </c>
      <c r="U180" s="989">
        <f t="shared" si="11"/>
        <v>7901</v>
      </c>
      <c r="V180" s="547">
        <v>3766</v>
      </c>
      <c r="W180" s="566"/>
      <c r="X180" s="567"/>
      <c r="Y180" s="989">
        <f t="shared" si="9"/>
        <v>7901394560</v>
      </c>
      <c r="Z180" s="812">
        <f t="shared" si="10"/>
        <v>7901</v>
      </c>
    </row>
    <row r="181" spans="1:26" ht="27" customHeight="1">
      <c r="A181" s="531"/>
      <c r="B181" s="531">
        <v>409</v>
      </c>
      <c r="C181" s="529">
        <v>4</v>
      </c>
      <c r="D181" s="1027" t="s">
        <v>336</v>
      </c>
      <c r="E181" s="1028" t="s">
        <v>655</v>
      </c>
      <c r="F181" s="547"/>
      <c r="G181" s="547"/>
      <c r="H181" s="547"/>
      <c r="I181" s="547"/>
      <c r="J181" s="547"/>
      <c r="K181" s="547"/>
      <c r="L181" s="547"/>
      <c r="M181" s="547"/>
      <c r="N181" s="547"/>
      <c r="O181" s="547"/>
      <c r="P181" s="547"/>
      <c r="Q181" s="547"/>
      <c r="R181" s="547"/>
      <c r="S181" s="989">
        <f t="shared" si="8"/>
        <v>0</v>
      </c>
      <c r="T181" s="547">
        <v>0</v>
      </c>
      <c r="U181" s="989">
        <f t="shared" si="11"/>
        <v>0</v>
      </c>
      <c r="V181" s="547">
        <v>0</v>
      </c>
      <c r="W181" s="566"/>
      <c r="X181" s="567"/>
      <c r="Y181" s="989">
        <f t="shared" si="9"/>
        <v>0</v>
      </c>
      <c r="Z181" s="812">
        <f t="shared" si="10"/>
        <v>0</v>
      </c>
    </row>
    <row r="182" spans="1:26" ht="27" customHeight="1">
      <c r="A182" s="531">
        <v>1</v>
      </c>
      <c r="B182" s="531">
        <v>414</v>
      </c>
      <c r="C182" s="529">
        <v>4</v>
      </c>
      <c r="D182" s="1027" t="s">
        <v>338</v>
      </c>
      <c r="E182" s="1028" t="s">
        <v>152</v>
      </c>
      <c r="F182" s="547">
        <v>-3024397781</v>
      </c>
      <c r="G182" s="547">
        <v>3121903695</v>
      </c>
      <c r="H182" s="547">
        <v>-615867109</v>
      </c>
      <c r="I182" s="547"/>
      <c r="J182" s="547">
        <v>518361195</v>
      </c>
      <c r="K182" s="547">
        <v>-1379604708</v>
      </c>
      <c r="L182" s="547"/>
      <c r="M182" s="547">
        <f>-8831554247-9835661227-635295913</f>
        <v>-19302511387</v>
      </c>
      <c r="N182" s="547"/>
      <c r="O182" s="547"/>
      <c r="P182" s="547"/>
      <c r="Q182" s="547"/>
      <c r="R182" s="547"/>
      <c r="S182" s="989">
        <f t="shared" si="8"/>
        <v>-20682116095</v>
      </c>
      <c r="T182" s="547">
        <v>304112338</v>
      </c>
      <c r="U182" s="989">
        <f t="shared" si="11"/>
        <v>-20682</v>
      </c>
      <c r="V182" s="547">
        <v>304</v>
      </c>
      <c r="W182" s="566"/>
      <c r="X182" s="567"/>
      <c r="Y182" s="989">
        <f t="shared" si="9"/>
        <v>-20682116095</v>
      </c>
      <c r="Z182" s="812">
        <f t="shared" si="10"/>
        <v>-20682</v>
      </c>
    </row>
    <row r="183" spans="1:26" ht="27" customHeight="1">
      <c r="A183" s="531">
        <v>7</v>
      </c>
      <c r="B183" s="531">
        <v>414</v>
      </c>
      <c r="C183" s="529">
        <v>4</v>
      </c>
      <c r="D183" s="1027" t="s">
        <v>1367</v>
      </c>
      <c r="E183" s="1028" t="s">
        <v>1368</v>
      </c>
      <c r="F183" s="547">
        <v>1385315629387</v>
      </c>
      <c r="G183" s="547">
        <v>121283505756</v>
      </c>
      <c r="H183" s="547"/>
      <c r="I183" s="547"/>
      <c r="J183" s="547">
        <v>-518361195</v>
      </c>
      <c r="K183" s="547">
        <v>-850000000000</v>
      </c>
      <c r="L183" s="547">
        <v>-119683108867</v>
      </c>
      <c r="M183" s="547">
        <v>300719924</v>
      </c>
      <c r="N183" s="547">
        <v>661796186</v>
      </c>
      <c r="O183" s="547"/>
      <c r="P183" s="547"/>
      <c r="Q183" s="547"/>
      <c r="R183" s="547"/>
      <c r="S183" s="989">
        <f t="shared" si="8"/>
        <v>537360181191</v>
      </c>
      <c r="T183" s="547">
        <v>0</v>
      </c>
      <c r="U183" s="989">
        <f t="shared" si="11"/>
        <v>537360</v>
      </c>
      <c r="V183" s="547">
        <v>0</v>
      </c>
      <c r="W183" s="566"/>
      <c r="X183" s="567"/>
      <c r="Y183" s="989">
        <f t="shared" si="9"/>
        <v>537360181191</v>
      </c>
      <c r="Z183" s="812">
        <f t="shared" si="10"/>
        <v>537360</v>
      </c>
    </row>
    <row r="184" spans="1:26" ht="27" customHeight="1">
      <c r="A184" s="531">
        <v>1</v>
      </c>
      <c r="B184" s="531">
        <v>1005</v>
      </c>
      <c r="C184" s="529">
        <v>10</v>
      </c>
      <c r="D184" s="1027" t="s">
        <v>527</v>
      </c>
      <c r="E184" s="1028" t="s">
        <v>528</v>
      </c>
      <c r="F184" s="547">
        <v>-1303169185</v>
      </c>
      <c r="G184" s="547">
        <v>-820601433</v>
      </c>
      <c r="H184" s="547"/>
      <c r="I184" s="547">
        <v>-351961000</v>
      </c>
      <c r="J184" s="547">
        <v>2475731618</v>
      </c>
      <c r="K184" s="547"/>
      <c r="L184" s="547"/>
      <c r="M184" s="547"/>
      <c r="N184" s="547"/>
      <c r="O184" s="547"/>
      <c r="P184" s="547"/>
      <c r="Q184" s="547"/>
      <c r="R184" s="547"/>
      <c r="S184" s="989">
        <f t="shared" si="8"/>
        <v>0</v>
      </c>
      <c r="T184" s="547">
        <v>-122800099</v>
      </c>
      <c r="U184" s="989">
        <f t="shared" si="11"/>
        <v>0</v>
      </c>
      <c r="V184" s="547">
        <v>-123</v>
      </c>
      <c r="W184" s="566"/>
      <c r="X184" s="567"/>
      <c r="Y184" s="989">
        <f t="shared" si="9"/>
        <v>0</v>
      </c>
      <c r="Z184" s="812">
        <f t="shared" si="10"/>
        <v>0</v>
      </c>
    </row>
    <row r="185" spans="1:26" ht="27" customHeight="1">
      <c r="A185" s="531">
        <v>7</v>
      </c>
      <c r="B185" s="531">
        <v>1005</v>
      </c>
      <c r="C185" s="529">
        <v>10</v>
      </c>
      <c r="D185" s="1027" t="s">
        <v>1369</v>
      </c>
      <c r="E185" s="1028" t="s">
        <v>1370</v>
      </c>
      <c r="F185" s="547">
        <v>287504714543</v>
      </c>
      <c r="G185" s="547">
        <v>28173385904</v>
      </c>
      <c r="H185" s="547"/>
      <c r="I185" s="547"/>
      <c r="J185" s="547">
        <v>-2475731618</v>
      </c>
      <c r="K185" s="547">
        <v>-313202368829</v>
      </c>
      <c r="L185" s="547">
        <v>-25077232278</v>
      </c>
      <c r="M185" s="547"/>
      <c r="N185" s="547"/>
      <c r="O185" s="547"/>
      <c r="P185" s="547"/>
      <c r="Q185" s="547"/>
      <c r="R185" s="547"/>
      <c r="S185" s="989">
        <f t="shared" si="8"/>
        <v>-25077232278</v>
      </c>
      <c r="T185" s="547">
        <v>0</v>
      </c>
      <c r="U185" s="989">
        <f t="shared" si="11"/>
        <v>-25077</v>
      </c>
      <c r="V185" s="547">
        <v>0</v>
      </c>
      <c r="W185" s="566"/>
      <c r="X185" s="567"/>
      <c r="Y185" s="989">
        <f t="shared" si="9"/>
        <v>-25077232278</v>
      </c>
      <c r="Z185" s="812">
        <f t="shared" si="10"/>
        <v>-25077</v>
      </c>
    </row>
    <row r="186" spans="1:26" ht="27" customHeight="1">
      <c r="A186" s="531">
        <v>1</v>
      </c>
      <c r="B186" s="531">
        <v>1006</v>
      </c>
      <c r="C186" s="529">
        <v>4</v>
      </c>
      <c r="D186" s="1027" t="s">
        <v>529</v>
      </c>
      <c r="E186" s="1028" t="s">
        <v>156</v>
      </c>
      <c r="F186" s="547">
        <v>-29367630227</v>
      </c>
      <c r="G186" s="547">
        <v>-4955763453</v>
      </c>
      <c r="H186" s="547">
        <v>-863401627</v>
      </c>
      <c r="I186" s="547">
        <v>-4384041770</v>
      </c>
      <c r="J186" s="547">
        <v>39458037077</v>
      </c>
      <c r="K186" s="547"/>
      <c r="L186" s="547"/>
      <c r="M186" s="547"/>
      <c r="N186" s="547"/>
      <c r="O186" s="547"/>
      <c r="P186" s="547"/>
      <c r="Q186" s="547"/>
      <c r="R186" s="547"/>
      <c r="S186" s="989">
        <f t="shared" si="8"/>
        <v>-112800000</v>
      </c>
      <c r="T186" s="547">
        <v>-997423361</v>
      </c>
      <c r="U186" s="989">
        <f t="shared" si="11"/>
        <v>-113</v>
      </c>
      <c r="V186" s="547">
        <v>-997</v>
      </c>
      <c r="W186" s="566"/>
      <c r="X186" s="567"/>
      <c r="Y186" s="989">
        <f t="shared" si="9"/>
        <v>-112800000</v>
      </c>
      <c r="Z186" s="812">
        <f t="shared" si="10"/>
        <v>-113</v>
      </c>
    </row>
    <row r="187" spans="1:26" ht="27" customHeight="1">
      <c r="A187" s="531">
        <v>7</v>
      </c>
      <c r="B187" s="531">
        <v>1006</v>
      </c>
      <c r="C187" s="529">
        <v>4</v>
      </c>
      <c r="D187" s="1027" t="s">
        <v>1372</v>
      </c>
      <c r="E187" s="1028" t="s">
        <v>1371</v>
      </c>
      <c r="F187" s="547">
        <v>1810570418064</v>
      </c>
      <c r="G187" s="547">
        <v>157852306400</v>
      </c>
      <c r="H187" s="547"/>
      <c r="I187" s="547"/>
      <c r="J187" s="547">
        <v>-39570837077</v>
      </c>
      <c r="K187" s="547">
        <v>-1233242645535</v>
      </c>
      <c r="L187" s="547">
        <v>-155145217250</v>
      </c>
      <c r="M187" s="547"/>
      <c r="N187" s="547"/>
      <c r="O187" s="547"/>
      <c r="P187" s="547"/>
      <c r="Q187" s="547"/>
      <c r="R187" s="547"/>
      <c r="S187" s="989">
        <f t="shared" si="8"/>
        <v>540464024602</v>
      </c>
      <c r="T187" s="547">
        <v>0</v>
      </c>
      <c r="U187" s="989">
        <f t="shared" si="11"/>
        <v>540464</v>
      </c>
      <c r="V187" s="547">
        <v>0</v>
      </c>
      <c r="W187" s="566"/>
      <c r="X187" s="567"/>
      <c r="Y187" s="989">
        <f t="shared" si="9"/>
        <v>540464024602</v>
      </c>
      <c r="Z187" s="812">
        <f t="shared" si="10"/>
        <v>540464</v>
      </c>
    </row>
    <row r="188" spans="1:26" ht="27" customHeight="1">
      <c r="A188" s="531">
        <v>1</v>
      </c>
      <c r="B188" s="531">
        <v>415</v>
      </c>
      <c r="C188" s="529">
        <v>10</v>
      </c>
      <c r="D188" s="1027" t="s">
        <v>157</v>
      </c>
      <c r="E188" s="1028" t="s">
        <v>558</v>
      </c>
      <c r="F188" s="547">
        <v>-1971287108</v>
      </c>
      <c r="G188" s="547">
        <v>-2705893921</v>
      </c>
      <c r="H188" s="547">
        <v>-169535892</v>
      </c>
      <c r="I188" s="547"/>
      <c r="J188" s="547">
        <v>3276011618</v>
      </c>
      <c r="K188" s="547"/>
      <c r="L188" s="547"/>
      <c r="M188" s="547"/>
      <c r="N188" s="547"/>
      <c r="O188" s="547"/>
      <c r="P188" s="547"/>
      <c r="Q188" s="547"/>
      <c r="R188" s="547"/>
      <c r="S188" s="989">
        <f t="shared" si="8"/>
        <v>-1570705303</v>
      </c>
      <c r="T188" s="547">
        <v>5118691563</v>
      </c>
      <c r="U188" s="989">
        <f t="shared" si="11"/>
        <v>-1571</v>
      </c>
      <c r="V188" s="547">
        <v>5119</v>
      </c>
      <c r="W188" s="566"/>
      <c r="X188" s="567"/>
      <c r="Y188" s="989">
        <f t="shared" si="9"/>
        <v>-1570705303</v>
      </c>
      <c r="Z188" s="812">
        <f t="shared" si="10"/>
        <v>-1571</v>
      </c>
    </row>
    <row r="189" spans="1:26" ht="27" customHeight="1">
      <c r="A189" s="531">
        <v>7</v>
      </c>
      <c r="B189" s="531">
        <v>415</v>
      </c>
      <c r="C189" s="529">
        <v>10</v>
      </c>
      <c r="D189" s="1027" t="s">
        <v>1323</v>
      </c>
      <c r="E189" s="1028" t="s">
        <v>558</v>
      </c>
      <c r="F189" s="547">
        <v>631553130285</v>
      </c>
      <c r="G189" s="547">
        <v>53847033100</v>
      </c>
      <c r="H189" s="547"/>
      <c r="I189" s="547"/>
      <c r="J189" s="547">
        <v>-4846716921</v>
      </c>
      <c r="K189" s="547">
        <v>-680553446464</v>
      </c>
      <c r="L189" s="547">
        <v>-54446730229</v>
      </c>
      <c r="N189" s="547">
        <v>1303845</v>
      </c>
      <c r="O189" s="547"/>
      <c r="P189" s="547"/>
      <c r="Q189" s="547"/>
      <c r="R189" s="547"/>
      <c r="S189" s="989">
        <f t="shared" si="8"/>
        <v>-54445426384</v>
      </c>
      <c r="T189" s="547">
        <v>0</v>
      </c>
      <c r="U189" s="989">
        <f t="shared" si="11"/>
        <v>-54445</v>
      </c>
      <c r="V189" s="547">
        <v>0</v>
      </c>
      <c r="W189" s="566"/>
      <c r="X189" s="567"/>
      <c r="Y189" s="989">
        <f t="shared" si="9"/>
        <v>-54445426384</v>
      </c>
      <c r="Z189" s="812">
        <f t="shared" si="10"/>
        <v>-54445</v>
      </c>
    </row>
    <row r="190" spans="1:26" ht="27" customHeight="1">
      <c r="A190" s="531">
        <v>1</v>
      </c>
      <c r="B190" s="531">
        <v>1019</v>
      </c>
      <c r="C190" s="529">
        <v>10</v>
      </c>
      <c r="D190" s="1027" t="s">
        <v>158</v>
      </c>
      <c r="E190" s="1028" t="s">
        <v>159</v>
      </c>
      <c r="F190" s="547">
        <v>1410914163</v>
      </c>
      <c r="G190" s="547">
        <v>0</v>
      </c>
      <c r="H190" s="547">
        <v>-1675355071</v>
      </c>
      <c r="I190" s="547">
        <v>-4369179740</v>
      </c>
      <c r="J190" s="547">
        <v>4633620648</v>
      </c>
      <c r="K190" s="547"/>
      <c r="L190" s="547"/>
      <c r="M190" s="547"/>
      <c r="N190" s="547"/>
      <c r="O190" s="547"/>
      <c r="P190" s="547"/>
      <c r="Q190" s="547"/>
      <c r="R190" s="547"/>
      <c r="S190" s="989">
        <f t="shared" si="8"/>
        <v>0</v>
      </c>
      <c r="T190" s="547">
        <v>0</v>
      </c>
      <c r="U190" s="989">
        <f t="shared" si="11"/>
        <v>0</v>
      </c>
      <c r="V190" s="547">
        <v>0</v>
      </c>
      <c r="W190" s="566"/>
      <c r="X190" s="567"/>
      <c r="Y190" s="989">
        <f t="shared" si="9"/>
        <v>0</v>
      </c>
      <c r="Z190" s="812">
        <f t="shared" si="10"/>
        <v>0</v>
      </c>
    </row>
    <row r="191" spans="1:26" ht="27" customHeight="1">
      <c r="A191" s="531">
        <v>7</v>
      </c>
      <c r="B191" s="531">
        <v>1019</v>
      </c>
      <c r="C191" s="529">
        <v>10</v>
      </c>
      <c r="D191" s="1027" t="s">
        <v>1529</v>
      </c>
      <c r="E191" s="1028" t="s">
        <v>159</v>
      </c>
      <c r="F191" s="547">
        <v>191668328324</v>
      </c>
      <c r="G191" s="547">
        <v>11215963523</v>
      </c>
      <c r="H191" s="547"/>
      <c r="I191" s="547">
        <v>-63196435660</v>
      </c>
      <c r="J191" s="547">
        <v>-4633620648</v>
      </c>
      <c r="K191" s="547">
        <v>-127852779020</v>
      </c>
      <c r="L191" s="547">
        <v>-10858066404</v>
      </c>
      <c r="M191" s="547">
        <v>-87028659</v>
      </c>
      <c r="N191" s="547"/>
      <c r="O191" s="547"/>
      <c r="P191" s="547"/>
      <c r="Q191" s="547"/>
      <c r="R191" s="547"/>
      <c r="S191" s="989">
        <f t="shared" si="8"/>
        <v>-3743638544</v>
      </c>
      <c r="T191" s="547">
        <v>0</v>
      </c>
      <c r="U191" s="989">
        <f t="shared" si="11"/>
        <v>-3744</v>
      </c>
      <c r="V191" s="547">
        <v>0</v>
      </c>
      <c r="W191" s="566"/>
      <c r="X191" s="567"/>
      <c r="Y191" s="989">
        <f t="shared" si="9"/>
        <v>-3743638544</v>
      </c>
      <c r="Z191" s="812">
        <f t="shared" si="10"/>
        <v>-3744</v>
      </c>
    </row>
    <row r="192" spans="1:26" ht="27" customHeight="1">
      <c r="A192" s="531">
        <v>1</v>
      </c>
      <c r="B192" s="531">
        <v>1023</v>
      </c>
      <c r="C192" s="529">
        <v>4</v>
      </c>
      <c r="D192" s="1027" t="s">
        <v>521</v>
      </c>
      <c r="E192" s="1028" t="s">
        <v>207</v>
      </c>
      <c r="F192" s="547">
        <v>-33899736474</v>
      </c>
      <c r="G192" s="547">
        <v>-1880808638</v>
      </c>
      <c r="H192" s="547">
        <v>-3400987704</v>
      </c>
      <c r="I192" s="547">
        <v>-4878977749</v>
      </c>
      <c r="J192" s="547">
        <v>43016617709</v>
      </c>
      <c r="K192" s="547"/>
      <c r="L192" s="547"/>
      <c r="M192" s="547"/>
      <c r="N192" s="547">
        <f>-23660000-141960000</f>
        <v>-165620000</v>
      </c>
      <c r="O192" s="547"/>
      <c r="P192" s="547"/>
      <c r="Q192" s="547"/>
      <c r="R192" s="547"/>
      <c r="S192" s="989">
        <f t="shared" si="8"/>
        <v>-1209512856</v>
      </c>
      <c r="T192" s="547">
        <v>-25968891306</v>
      </c>
      <c r="U192" s="989">
        <f t="shared" si="11"/>
        <v>-1210</v>
      </c>
      <c r="V192" s="547">
        <v>-25969</v>
      </c>
      <c r="W192" s="566"/>
      <c r="X192" s="567"/>
      <c r="Y192" s="989">
        <f t="shared" si="9"/>
        <v>-1209512856</v>
      </c>
      <c r="Z192" s="812">
        <f t="shared" si="10"/>
        <v>-1210</v>
      </c>
    </row>
    <row r="193" spans="1:26" ht="27" customHeight="1">
      <c r="A193" s="531">
        <v>7</v>
      </c>
      <c r="B193" s="531">
        <v>1023</v>
      </c>
      <c r="C193" s="529">
        <v>4</v>
      </c>
      <c r="D193" s="1027" t="s">
        <v>1324</v>
      </c>
      <c r="E193" s="1028" t="s">
        <v>207</v>
      </c>
      <c r="F193" s="547">
        <v>2966779482761</v>
      </c>
      <c r="G193" s="547">
        <v>167283577071</v>
      </c>
      <c r="H193" s="547"/>
      <c r="I193" s="547"/>
      <c r="J193" s="547">
        <v>-44060510565</v>
      </c>
      <c r="K193" s="547">
        <v>-3090002549267</v>
      </c>
      <c r="L193" s="547">
        <v>16445123122</v>
      </c>
      <c r="M193" s="547"/>
      <c r="N193" s="547"/>
      <c r="O193" s="547"/>
      <c r="P193" s="547"/>
      <c r="Q193" s="547"/>
      <c r="R193" s="547"/>
      <c r="S193" s="989">
        <f t="shared" si="8"/>
        <v>16445123122</v>
      </c>
      <c r="T193" s="547">
        <v>1111011977312</v>
      </c>
      <c r="U193" s="989">
        <f t="shared" si="11"/>
        <v>16445</v>
      </c>
      <c r="V193" s="547">
        <v>1111012</v>
      </c>
      <c r="W193" s="566"/>
      <c r="X193" s="567"/>
      <c r="Y193" s="989">
        <f t="shared" si="9"/>
        <v>16445123122</v>
      </c>
      <c r="Z193" s="812">
        <f t="shared" si="10"/>
        <v>16445</v>
      </c>
    </row>
    <row r="194" spans="1:26" ht="27" customHeight="1">
      <c r="A194" s="531">
        <v>1</v>
      </c>
      <c r="B194" s="531">
        <v>1003</v>
      </c>
      <c r="C194" s="529">
        <v>10</v>
      </c>
      <c r="D194" s="1027" t="s">
        <v>208</v>
      </c>
      <c r="E194" s="1028" t="s">
        <v>209</v>
      </c>
      <c r="F194" s="547">
        <v>5361585474</v>
      </c>
      <c r="G194" s="547">
        <v>-184736443</v>
      </c>
      <c r="H194" s="547">
        <v>-67619539</v>
      </c>
      <c r="I194" s="547">
        <v>-2018255333</v>
      </c>
      <c r="J194" s="547">
        <v>-3111804035</v>
      </c>
      <c r="K194" s="547"/>
      <c r="L194" s="547"/>
      <c r="M194" s="547"/>
      <c r="N194" s="547"/>
      <c r="O194" s="547"/>
      <c r="P194" s="547"/>
      <c r="Q194" s="547"/>
      <c r="R194" s="547"/>
      <c r="S194" s="989">
        <f t="shared" si="8"/>
        <v>-20829876</v>
      </c>
      <c r="T194" s="547">
        <v>112956600706</v>
      </c>
      <c r="U194" s="989">
        <f t="shared" si="11"/>
        <v>-21</v>
      </c>
      <c r="V194" s="547">
        <v>112957</v>
      </c>
      <c r="W194" s="566"/>
      <c r="X194" s="567"/>
      <c r="Y194" s="989">
        <f t="shared" si="9"/>
        <v>-20829876</v>
      </c>
      <c r="Z194" s="812">
        <f t="shared" si="10"/>
        <v>-21</v>
      </c>
    </row>
    <row r="195" spans="1:26" ht="27" customHeight="1">
      <c r="A195" s="531">
        <v>7</v>
      </c>
      <c r="B195" s="531">
        <v>1003</v>
      </c>
      <c r="C195" s="529">
        <v>10</v>
      </c>
      <c r="D195" s="1027" t="s">
        <v>1325</v>
      </c>
      <c r="E195" s="1028" t="s">
        <v>209</v>
      </c>
      <c r="F195" s="547">
        <v>1335396491387</v>
      </c>
      <c r="G195" s="547">
        <v>122526551934</v>
      </c>
      <c r="H195" s="547"/>
      <c r="I195" s="547"/>
      <c r="J195" s="547">
        <v>3090974159</v>
      </c>
      <c r="K195" s="547">
        <v>-1461014017480</v>
      </c>
      <c r="L195" s="547">
        <v>-115816316526</v>
      </c>
      <c r="M195" s="547"/>
      <c r="N195" s="547"/>
      <c r="O195" s="547"/>
      <c r="P195" s="547"/>
      <c r="Q195" s="547"/>
      <c r="R195" s="547"/>
      <c r="S195" s="989">
        <f t="shared" si="8"/>
        <v>-115816316526</v>
      </c>
      <c r="T195" s="547">
        <v>0</v>
      </c>
      <c r="U195" s="989">
        <f t="shared" si="11"/>
        <v>-115816</v>
      </c>
      <c r="V195" s="547">
        <v>0</v>
      </c>
      <c r="W195" s="566"/>
      <c r="X195" s="567"/>
      <c r="Y195" s="989">
        <f t="shared" si="9"/>
        <v>-115816316526</v>
      </c>
      <c r="Z195" s="812">
        <f t="shared" si="10"/>
        <v>-115816</v>
      </c>
    </row>
    <row r="196" spans="1:26" ht="27" customHeight="1">
      <c r="A196" s="531">
        <v>1</v>
      </c>
      <c r="B196" s="531">
        <v>1021</v>
      </c>
      <c r="C196" s="529">
        <v>10</v>
      </c>
      <c r="D196" s="1027" t="s">
        <v>343</v>
      </c>
      <c r="E196" s="1028" t="s">
        <v>344</v>
      </c>
      <c r="F196" s="547">
        <v>-7635303057</v>
      </c>
      <c r="G196" s="547">
        <v>-1970675315</v>
      </c>
      <c r="H196" s="547"/>
      <c r="I196" s="547">
        <v>-23657606727</v>
      </c>
      <c r="J196" s="547"/>
      <c r="K196" s="547"/>
      <c r="L196" s="547"/>
      <c r="M196" s="547"/>
      <c r="N196" s="547"/>
      <c r="O196" s="547"/>
      <c r="P196" s="547"/>
      <c r="Q196" s="547"/>
      <c r="R196" s="547"/>
      <c r="S196" s="989">
        <f t="shared" si="8"/>
        <v>-33263585099</v>
      </c>
      <c r="T196" s="547">
        <v>-163396185914</v>
      </c>
      <c r="U196" s="989">
        <f t="shared" si="11"/>
        <v>-33264</v>
      </c>
      <c r="V196" s="547">
        <v>-163396</v>
      </c>
      <c r="W196" s="566"/>
      <c r="X196" s="567"/>
      <c r="Y196" s="989">
        <f t="shared" si="9"/>
        <v>-33263585099</v>
      </c>
      <c r="Z196" s="812">
        <f t="shared" si="10"/>
        <v>-33264</v>
      </c>
    </row>
    <row r="197" spans="1:26" ht="27" customHeight="1">
      <c r="A197" s="531"/>
      <c r="B197" s="531">
        <v>1018</v>
      </c>
      <c r="C197" s="529">
        <v>10</v>
      </c>
      <c r="D197" s="1027" t="s">
        <v>266</v>
      </c>
      <c r="E197" s="1028" t="s">
        <v>267</v>
      </c>
      <c r="F197" s="547">
        <v>-1607928631</v>
      </c>
      <c r="G197" s="547">
        <v>220000000</v>
      </c>
      <c r="H197" s="547"/>
      <c r="I197" s="547"/>
      <c r="J197" s="547"/>
      <c r="K197" s="547"/>
      <c r="L197" s="547"/>
      <c r="M197" s="547"/>
      <c r="N197" s="547"/>
      <c r="O197" s="547"/>
      <c r="P197" s="547"/>
      <c r="Q197" s="547"/>
      <c r="R197" s="547"/>
      <c r="S197" s="989">
        <f t="shared" si="8"/>
        <v>-1387928631</v>
      </c>
      <c r="T197" s="547">
        <v>-2126495719</v>
      </c>
      <c r="U197" s="989">
        <f t="shared" si="11"/>
        <v>-1388</v>
      </c>
      <c r="V197" s="547">
        <v>-2126</v>
      </c>
      <c r="W197" s="566"/>
      <c r="X197" s="567"/>
      <c r="Y197" s="989">
        <f t="shared" si="9"/>
        <v>-1387928631</v>
      </c>
      <c r="Z197" s="812">
        <f t="shared" si="10"/>
        <v>-1388</v>
      </c>
    </row>
    <row r="198" spans="1:26" ht="27" customHeight="1">
      <c r="A198" s="531"/>
      <c r="B198" s="531">
        <v>1001</v>
      </c>
      <c r="C198" s="529">
        <v>10</v>
      </c>
      <c r="D198" s="1027" t="s">
        <v>393</v>
      </c>
      <c r="E198" s="1028" t="s">
        <v>394</v>
      </c>
      <c r="F198" s="547"/>
      <c r="G198" s="547"/>
      <c r="H198" s="547"/>
      <c r="I198" s="547"/>
      <c r="J198" s="547"/>
      <c r="K198" s="547"/>
      <c r="L198" s="547"/>
      <c r="M198" s="547"/>
      <c r="N198" s="547"/>
      <c r="O198" s="547"/>
      <c r="P198" s="547"/>
      <c r="Q198" s="547"/>
      <c r="R198" s="547"/>
      <c r="S198" s="989">
        <f t="shared" ref="S198:S261" si="12">SUM(F198:R198)</f>
        <v>0</v>
      </c>
      <c r="T198" s="547">
        <v>0</v>
      </c>
      <c r="U198" s="989">
        <f t="shared" si="11"/>
        <v>0</v>
      </c>
      <c r="V198" s="547">
        <v>0</v>
      </c>
      <c r="W198" s="566"/>
      <c r="X198" s="567"/>
      <c r="Y198" s="989">
        <f t="shared" ref="Y198:Y261" si="13">S198+X198-W198</f>
        <v>0</v>
      </c>
      <c r="Z198" s="812">
        <f t="shared" ref="Z198:Z261" si="14">ROUND((Y198/1000000),0)</f>
        <v>0</v>
      </c>
    </row>
    <row r="199" spans="1:26" ht="27" customHeight="1">
      <c r="A199" s="531"/>
      <c r="B199" s="531">
        <v>406</v>
      </c>
      <c r="C199" s="529">
        <v>4</v>
      </c>
      <c r="D199" s="1027" t="s">
        <v>345</v>
      </c>
      <c r="E199" s="1028" t="s">
        <v>1331</v>
      </c>
      <c r="F199" s="547">
        <v>133416000</v>
      </c>
      <c r="G199" s="547"/>
      <c r="H199" s="547"/>
      <c r="I199" s="547"/>
      <c r="J199" s="547"/>
      <c r="K199" s="547"/>
      <c r="L199" s="547"/>
      <c r="M199" s="547"/>
      <c r="N199" s="547"/>
      <c r="O199" s="547"/>
      <c r="P199" s="547"/>
      <c r="Q199" s="547"/>
      <c r="R199" s="547"/>
      <c r="S199" s="989">
        <f t="shared" si="12"/>
        <v>133416000</v>
      </c>
      <c r="T199" s="547">
        <v>100062000</v>
      </c>
      <c r="U199" s="683">
        <f>ROUND((S199/1000000),0)+1</f>
        <v>134</v>
      </c>
      <c r="V199" s="547">
        <v>100</v>
      </c>
      <c r="W199" s="566"/>
      <c r="X199" s="567"/>
      <c r="Y199" s="989">
        <f t="shared" si="13"/>
        <v>133416000</v>
      </c>
      <c r="Z199" s="812">
        <f t="shared" si="14"/>
        <v>133</v>
      </c>
    </row>
    <row r="200" spans="1:26" ht="27" customHeight="1">
      <c r="A200" s="531"/>
      <c r="B200" s="1281">
        <v>1001</v>
      </c>
      <c r="C200" s="1021">
        <v>10</v>
      </c>
      <c r="D200" s="1027" t="s">
        <v>269</v>
      </c>
      <c r="E200" s="1028" t="s">
        <v>268</v>
      </c>
      <c r="F200" s="547">
        <v>-202844971</v>
      </c>
      <c r="G200" s="547"/>
      <c r="H200" s="547"/>
      <c r="I200" s="547"/>
      <c r="J200" s="547"/>
      <c r="K200" s="547"/>
      <c r="L200" s="547"/>
      <c r="M200" s="547"/>
      <c r="N200" s="547"/>
      <c r="O200" s="547"/>
      <c r="P200" s="547"/>
      <c r="Q200" s="547"/>
      <c r="R200" s="547"/>
      <c r="S200" s="989">
        <f t="shared" si="12"/>
        <v>-202844971</v>
      </c>
      <c r="T200" s="547">
        <v>171833516</v>
      </c>
      <c r="U200" s="989">
        <f t="shared" ref="U200:U263" si="15">ROUND((S200/1000000),0)</f>
        <v>-203</v>
      </c>
      <c r="V200" s="547">
        <v>172</v>
      </c>
      <c r="W200" s="566"/>
      <c r="X200" s="567"/>
      <c r="Y200" s="989">
        <f t="shared" si="13"/>
        <v>-202844971</v>
      </c>
      <c r="Z200" s="812">
        <f t="shared" si="14"/>
        <v>-203</v>
      </c>
    </row>
    <row r="201" spans="1:26" ht="27" customHeight="1">
      <c r="A201" s="531"/>
      <c r="B201" s="1281">
        <v>406</v>
      </c>
      <c r="C201" s="1021">
        <v>4</v>
      </c>
      <c r="D201" s="1027" t="s">
        <v>535</v>
      </c>
      <c r="E201" s="1028" t="s">
        <v>64</v>
      </c>
      <c r="F201" s="547">
        <v>116739000</v>
      </c>
      <c r="G201" s="547"/>
      <c r="H201" s="547"/>
      <c r="I201" s="547"/>
      <c r="J201" s="547"/>
      <c r="K201" s="547"/>
      <c r="L201" s="547"/>
      <c r="M201" s="547"/>
      <c r="N201" s="547"/>
      <c r="O201" s="547"/>
      <c r="P201" s="547"/>
      <c r="Q201" s="547"/>
      <c r="R201" s="547"/>
      <c r="S201" s="989">
        <f t="shared" si="12"/>
        <v>116739000</v>
      </c>
      <c r="T201" s="547">
        <v>50031000</v>
      </c>
      <c r="U201" s="989">
        <f t="shared" si="15"/>
        <v>117</v>
      </c>
      <c r="V201" s="547">
        <v>50</v>
      </c>
      <c r="W201" s="566"/>
      <c r="X201" s="567"/>
      <c r="Y201" s="989">
        <f t="shared" si="13"/>
        <v>116739000</v>
      </c>
      <c r="Z201" s="812">
        <f t="shared" si="14"/>
        <v>117</v>
      </c>
    </row>
    <row r="202" spans="1:26" ht="27" customHeight="1">
      <c r="A202" s="531"/>
      <c r="B202" s="531">
        <v>406</v>
      </c>
      <c r="C202" s="529">
        <v>4</v>
      </c>
      <c r="D202" s="1027" t="s">
        <v>347</v>
      </c>
      <c r="E202" s="1028" t="s">
        <v>1059</v>
      </c>
      <c r="F202" s="547"/>
      <c r="G202" s="547"/>
      <c r="H202" s="547"/>
      <c r="I202" s="547"/>
      <c r="J202" s="547"/>
      <c r="K202" s="547"/>
      <c r="L202" s="547"/>
      <c r="M202" s="547"/>
      <c r="N202" s="547"/>
      <c r="O202" s="547"/>
      <c r="P202" s="547"/>
      <c r="Q202" s="547"/>
      <c r="R202" s="547"/>
      <c r="S202" s="989">
        <f t="shared" si="12"/>
        <v>0</v>
      </c>
      <c r="T202" s="547">
        <v>0</v>
      </c>
      <c r="U202" s="989">
        <f t="shared" si="15"/>
        <v>0</v>
      </c>
      <c r="V202" s="547">
        <v>0</v>
      </c>
      <c r="W202" s="566"/>
      <c r="X202" s="567"/>
      <c r="Y202" s="989">
        <f t="shared" si="13"/>
        <v>0</v>
      </c>
      <c r="Z202" s="812">
        <f t="shared" si="14"/>
        <v>0</v>
      </c>
    </row>
    <row r="203" spans="1:26" ht="27" customHeight="1">
      <c r="A203" s="531"/>
      <c r="B203" s="531">
        <v>406</v>
      </c>
      <c r="C203" s="529">
        <v>4</v>
      </c>
      <c r="D203" s="1027" t="s">
        <v>270</v>
      </c>
      <c r="E203" s="1028" t="s">
        <v>271</v>
      </c>
      <c r="F203" s="547"/>
      <c r="G203" s="547"/>
      <c r="H203" s="547"/>
      <c r="I203" s="547"/>
      <c r="J203" s="547"/>
      <c r="K203" s="547"/>
      <c r="L203" s="547"/>
      <c r="M203" s="547"/>
      <c r="N203" s="547"/>
      <c r="O203" s="547"/>
      <c r="P203" s="547"/>
      <c r="Q203" s="547"/>
      <c r="R203" s="547"/>
      <c r="S203" s="989">
        <f t="shared" si="12"/>
        <v>0</v>
      </c>
      <c r="T203" s="547">
        <v>0</v>
      </c>
      <c r="U203" s="989">
        <f t="shared" si="15"/>
        <v>0</v>
      </c>
      <c r="V203" s="547">
        <v>0</v>
      </c>
      <c r="W203" s="566"/>
      <c r="X203" s="567"/>
      <c r="Y203" s="989">
        <f t="shared" si="13"/>
        <v>0</v>
      </c>
      <c r="Z203" s="812">
        <f t="shared" si="14"/>
        <v>0</v>
      </c>
    </row>
    <row r="204" spans="1:26" ht="27" customHeight="1">
      <c r="A204" s="531"/>
      <c r="B204" s="531">
        <v>1001</v>
      </c>
      <c r="C204" s="529">
        <v>10</v>
      </c>
      <c r="D204" s="1027" t="s">
        <v>967</v>
      </c>
      <c r="E204" s="1028" t="s">
        <v>968</v>
      </c>
      <c r="F204" s="547"/>
      <c r="G204" s="547"/>
      <c r="H204" s="547"/>
      <c r="I204" s="547"/>
      <c r="J204" s="547"/>
      <c r="K204" s="547"/>
      <c r="L204" s="547"/>
      <c r="M204" s="547"/>
      <c r="N204" s="547"/>
      <c r="O204" s="547"/>
      <c r="P204" s="547"/>
      <c r="Q204" s="547"/>
      <c r="R204" s="547"/>
      <c r="S204" s="989">
        <f t="shared" si="12"/>
        <v>0</v>
      </c>
      <c r="T204" s="547">
        <v>0</v>
      </c>
      <c r="U204" s="989">
        <f t="shared" si="15"/>
        <v>0</v>
      </c>
      <c r="V204" s="547">
        <v>0</v>
      </c>
      <c r="W204" s="566"/>
      <c r="X204" s="567"/>
      <c r="Y204" s="989">
        <f t="shared" si="13"/>
        <v>0</v>
      </c>
      <c r="Z204" s="812">
        <f t="shared" si="14"/>
        <v>0</v>
      </c>
    </row>
    <row r="205" spans="1:26" ht="27" customHeight="1">
      <c r="A205" s="531"/>
      <c r="B205" s="531">
        <v>1001</v>
      </c>
      <c r="C205" s="529">
        <v>10</v>
      </c>
      <c r="D205" s="1027" t="s">
        <v>349</v>
      </c>
      <c r="E205" s="1028" t="s">
        <v>285</v>
      </c>
      <c r="F205" s="547"/>
      <c r="G205" s="547"/>
      <c r="H205" s="547"/>
      <c r="I205" s="547"/>
      <c r="J205" s="547"/>
      <c r="K205" s="547"/>
      <c r="L205" s="547"/>
      <c r="M205" s="547"/>
      <c r="N205" s="547"/>
      <c r="O205" s="547"/>
      <c r="P205" s="547"/>
      <c r="Q205" s="547"/>
      <c r="R205" s="547"/>
      <c r="S205" s="989">
        <f t="shared" si="12"/>
        <v>0</v>
      </c>
      <c r="T205" s="547">
        <v>0</v>
      </c>
      <c r="U205" s="989">
        <f t="shared" si="15"/>
        <v>0</v>
      </c>
      <c r="V205" s="547">
        <v>0</v>
      </c>
      <c r="W205" s="566"/>
      <c r="X205" s="567"/>
      <c r="Y205" s="989">
        <f t="shared" si="13"/>
        <v>0</v>
      </c>
      <c r="Z205" s="812">
        <f t="shared" si="14"/>
        <v>0</v>
      </c>
    </row>
    <row r="206" spans="1:26" ht="27" customHeight="1">
      <c r="A206" s="531"/>
      <c r="B206" s="531">
        <v>1001</v>
      </c>
      <c r="C206" s="529">
        <v>10</v>
      </c>
      <c r="D206" s="1027" t="s">
        <v>1063</v>
      </c>
      <c r="E206" s="1028" t="s">
        <v>1237</v>
      </c>
      <c r="F206" s="547"/>
      <c r="G206" s="547"/>
      <c r="H206" s="547"/>
      <c r="I206" s="547"/>
      <c r="J206" s="547"/>
      <c r="K206" s="547"/>
      <c r="L206" s="547"/>
      <c r="M206" s="547"/>
      <c r="N206" s="547"/>
      <c r="O206" s="547"/>
      <c r="P206" s="547"/>
      <c r="Q206" s="547"/>
      <c r="R206" s="547"/>
      <c r="S206" s="989">
        <f t="shared" si="12"/>
        <v>0</v>
      </c>
      <c r="T206" s="547">
        <v>0</v>
      </c>
      <c r="U206" s="989">
        <f t="shared" si="15"/>
        <v>0</v>
      </c>
      <c r="V206" s="547">
        <v>0</v>
      </c>
      <c r="W206" s="566"/>
      <c r="X206" s="567"/>
      <c r="Y206" s="989">
        <f t="shared" si="13"/>
        <v>0</v>
      </c>
      <c r="Z206" s="812">
        <f t="shared" si="14"/>
        <v>0</v>
      </c>
    </row>
    <row r="207" spans="1:26" ht="27" customHeight="1">
      <c r="A207" s="531"/>
      <c r="B207" s="531">
        <v>406</v>
      </c>
      <c r="C207" s="529">
        <v>4</v>
      </c>
      <c r="D207" s="1027" t="s">
        <v>1060</v>
      </c>
      <c r="E207" s="1028" t="s">
        <v>1061</v>
      </c>
      <c r="F207" s="547"/>
      <c r="G207" s="547"/>
      <c r="H207" s="547"/>
      <c r="I207" s="547"/>
      <c r="J207" s="547"/>
      <c r="K207" s="547"/>
      <c r="L207" s="547"/>
      <c r="M207" s="547"/>
      <c r="N207" s="547"/>
      <c r="O207" s="547"/>
      <c r="P207" s="547"/>
      <c r="Q207" s="547"/>
      <c r="R207" s="547"/>
      <c r="S207" s="989">
        <f t="shared" si="12"/>
        <v>0</v>
      </c>
      <c r="T207" s="547">
        <v>537808263</v>
      </c>
      <c r="U207" s="989">
        <f t="shared" si="15"/>
        <v>0</v>
      </c>
      <c r="V207" s="547">
        <v>538</v>
      </c>
      <c r="W207" s="566"/>
      <c r="X207" s="567"/>
      <c r="Y207" s="989">
        <f t="shared" si="13"/>
        <v>0</v>
      </c>
      <c r="Z207" s="812">
        <f t="shared" si="14"/>
        <v>0</v>
      </c>
    </row>
    <row r="208" spans="1:26" ht="27" customHeight="1">
      <c r="A208" s="531"/>
      <c r="B208" s="531">
        <v>1001</v>
      </c>
      <c r="C208" s="529">
        <v>10</v>
      </c>
      <c r="D208" s="1027" t="s">
        <v>657</v>
      </c>
      <c r="E208" s="1028" t="s">
        <v>658</v>
      </c>
      <c r="F208" s="547"/>
      <c r="G208" s="547"/>
      <c r="H208" s="547"/>
      <c r="I208" s="547"/>
      <c r="J208" s="547"/>
      <c r="K208" s="547"/>
      <c r="L208" s="547"/>
      <c r="M208" s="547"/>
      <c r="N208" s="547"/>
      <c r="O208" s="547"/>
      <c r="P208" s="547"/>
      <c r="Q208" s="547"/>
      <c r="R208" s="547"/>
      <c r="S208" s="989">
        <f t="shared" si="12"/>
        <v>0</v>
      </c>
      <c r="T208" s="547">
        <v>0</v>
      </c>
      <c r="U208" s="989">
        <f t="shared" si="15"/>
        <v>0</v>
      </c>
      <c r="V208" s="547">
        <v>0</v>
      </c>
      <c r="W208" s="566"/>
      <c r="X208" s="567"/>
      <c r="Y208" s="989">
        <f t="shared" si="13"/>
        <v>0</v>
      </c>
      <c r="Z208" s="812">
        <f t="shared" si="14"/>
        <v>0</v>
      </c>
    </row>
    <row r="209" spans="1:26" ht="27" customHeight="1">
      <c r="A209" s="531"/>
      <c r="B209" s="531">
        <v>406</v>
      </c>
      <c r="C209" s="529">
        <v>4</v>
      </c>
      <c r="D209" s="1027" t="s">
        <v>272</v>
      </c>
      <c r="E209" s="1028" t="s">
        <v>969</v>
      </c>
      <c r="F209" s="547"/>
      <c r="G209" s="547"/>
      <c r="H209" s="547"/>
      <c r="I209" s="547"/>
      <c r="J209" s="547"/>
      <c r="K209" s="547"/>
      <c r="L209" s="547"/>
      <c r="M209" s="547"/>
      <c r="N209" s="547"/>
      <c r="O209" s="547"/>
      <c r="P209" s="547"/>
      <c r="Q209" s="547"/>
      <c r="R209" s="547"/>
      <c r="S209" s="989">
        <f t="shared" si="12"/>
        <v>0</v>
      </c>
      <c r="T209" s="547">
        <v>0</v>
      </c>
      <c r="U209" s="989">
        <f t="shared" si="15"/>
        <v>0</v>
      </c>
      <c r="V209" s="547">
        <v>0</v>
      </c>
      <c r="W209" s="566"/>
      <c r="X209" s="567"/>
      <c r="Y209" s="989">
        <f t="shared" si="13"/>
        <v>0</v>
      </c>
      <c r="Z209" s="812">
        <f t="shared" si="14"/>
        <v>0</v>
      </c>
    </row>
    <row r="210" spans="1:26" ht="27" customHeight="1">
      <c r="A210" s="531"/>
      <c r="B210" s="531">
        <v>406</v>
      </c>
      <c r="C210" s="529">
        <v>4</v>
      </c>
      <c r="D210" s="1027" t="s">
        <v>235</v>
      </c>
      <c r="E210" s="1028" t="s">
        <v>1062</v>
      </c>
      <c r="F210" s="547"/>
      <c r="G210" s="547"/>
      <c r="H210" s="547"/>
      <c r="I210" s="547"/>
      <c r="J210" s="547"/>
      <c r="K210" s="547"/>
      <c r="L210" s="547"/>
      <c r="M210" s="547"/>
      <c r="N210" s="547"/>
      <c r="O210" s="547"/>
      <c r="P210" s="547"/>
      <c r="Q210" s="547"/>
      <c r="R210" s="547"/>
      <c r="S210" s="989">
        <f t="shared" si="12"/>
        <v>0</v>
      </c>
      <c r="T210" s="547">
        <v>0</v>
      </c>
      <c r="U210" s="989">
        <f t="shared" si="15"/>
        <v>0</v>
      </c>
      <c r="V210" s="547">
        <v>0</v>
      </c>
      <c r="W210" s="566"/>
      <c r="X210" s="567"/>
      <c r="Y210" s="989">
        <f t="shared" si="13"/>
        <v>0</v>
      </c>
      <c r="Z210" s="812">
        <f t="shared" si="14"/>
        <v>0</v>
      </c>
    </row>
    <row r="211" spans="1:26" ht="27" customHeight="1">
      <c r="A211" s="531"/>
      <c r="B211" s="531">
        <v>1001</v>
      </c>
      <c r="C211" s="529">
        <v>10</v>
      </c>
      <c r="D211" s="1027" t="s">
        <v>237</v>
      </c>
      <c r="E211" s="1028" t="s">
        <v>1002</v>
      </c>
      <c r="F211" s="547"/>
      <c r="G211" s="547"/>
      <c r="H211" s="547"/>
      <c r="I211" s="547"/>
      <c r="J211" s="547"/>
      <c r="K211" s="547"/>
      <c r="L211" s="547"/>
      <c r="M211" s="547"/>
      <c r="N211" s="547"/>
      <c r="O211" s="547"/>
      <c r="P211" s="547"/>
      <c r="Q211" s="547"/>
      <c r="R211" s="547"/>
      <c r="S211" s="989">
        <f t="shared" si="12"/>
        <v>0</v>
      </c>
      <c r="T211" s="547">
        <v>0</v>
      </c>
      <c r="U211" s="989">
        <f t="shared" si="15"/>
        <v>0</v>
      </c>
      <c r="V211" s="547">
        <v>0</v>
      </c>
      <c r="W211" s="566"/>
      <c r="X211" s="567"/>
      <c r="Y211" s="989">
        <f t="shared" si="13"/>
        <v>0</v>
      </c>
      <c r="Z211" s="812">
        <f t="shared" si="14"/>
        <v>0</v>
      </c>
    </row>
    <row r="212" spans="1:26" ht="27" customHeight="1">
      <c r="A212" s="531"/>
      <c r="B212" s="531">
        <v>406</v>
      </c>
      <c r="C212" s="529">
        <v>4</v>
      </c>
      <c r="D212" s="1027" t="s">
        <v>970</v>
      </c>
      <c r="E212" s="1028" t="s">
        <v>971</v>
      </c>
      <c r="F212" s="547">
        <v>1005452193</v>
      </c>
      <c r="G212" s="547"/>
      <c r="H212" s="547"/>
      <c r="I212" s="547"/>
      <c r="J212" s="547"/>
      <c r="K212" s="547"/>
      <c r="L212" s="547"/>
      <c r="M212" s="547"/>
      <c r="N212" s="547"/>
      <c r="O212" s="547"/>
      <c r="P212" s="547"/>
      <c r="Q212" s="547"/>
      <c r="R212" s="547"/>
      <c r="S212" s="989">
        <f t="shared" si="12"/>
        <v>1005452193</v>
      </c>
      <c r="T212" s="547">
        <v>815399793</v>
      </c>
      <c r="U212" s="989">
        <f t="shared" si="15"/>
        <v>1005</v>
      </c>
      <c r="V212" s="547">
        <v>815</v>
      </c>
      <c r="W212" s="566"/>
      <c r="X212" s="567"/>
      <c r="Y212" s="989">
        <f t="shared" si="13"/>
        <v>1005452193</v>
      </c>
      <c r="Z212" s="812">
        <f t="shared" si="14"/>
        <v>1005</v>
      </c>
    </row>
    <row r="213" spans="1:26" ht="27" customHeight="1">
      <c r="A213" s="531"/>
      <c r="B213" s="531">
        <v>406</v>
      </c>
      <c r="C213" s="529">
        <v>4</v>
      </c>
      <c r="D213" s="1027" t="s">
        <v>1264</v>
      </c>
      <c r="E213" s="1028" t="s">
        <v>1064</v>
      </c>
      <c r="G213" s="547"/>
      <c r="H213" s="547"/>
      <c r="I213" s="547"/>
      <c r="J213" s="547"/>
      <c r="K213" s="547"/>
      <c r="L213" s="547"/>
      <c r="M213" s="547"/>
      <c r="N213" s="547"/>
      <c r="O213" s="547"/>
      <c r="P213" s="547"/>
      <c r="Q213" s="547"/>
      <c r="R213" s="547"/>
      <c r="S213" s="989">
        <f t="shared" si="12"/>
        <v>0</v>
      </c>
      <c r="T213" s="547">
        <v>0</v>
      </c>
      <c r="U213" s="989">
        <f t="shared" si="15"/>
        <v>0</v>
      </c>
      <c r="V213" s="547">
        <v>0</v>
      </c>
      <c r="W213" s="566"/>
      <c r="X213" s="567"/>
      <c r="Y213" s="989">
        <f t="shared" si="13"/>
        <v>0</v>
      </c>
      <c r="Z213" s="812">
        <f t="shared" si="14"/>
        <v>0</v>
      </c>
    </row>
    <row r="214" spans="1:26" ht="27" customHeight="1">
      <c r="A214" s="531"/>
      <c r="B214" s="531">
        <v>406</v>
      </c>
      <c r="C214" s="529">
        <v>4</v>
      </c>
      <c r="D214" s="1027" t="s">
        <v>210</v>
      </c>
      <c r="E214" s="1028" t="s">
        <v>211</v>
      </c>
      <c r="F214" s="547">
        <v>105893486</v>
      </c>
      <c r="G214" s="547"/>
      <c r="H214" s="547"/>
      <c r="I214" s="547"/>
      <c r="J214" s="547"/>
      <c r="K214" s="547"/>
      <c r="L214" s="547"/>
      <c r="M214" s="547"/>
      <c r="N214" s="547"/>
      <c r="O214" s="547"/>
      <c r="P214" s="547"/>
      <c r="Q214" s="547"/>
      <c r="R214" s="547"/>
      <c r="S214" s="989">
        <f t="shared" si="12"/>
        <v>105893486</v>
      </c>
      <c r="T214" s="547">
        <v>554829926</v>
      </c>
      <c r="U214" s="989">
        <f t="shared" si="15"/>
        <v>106</v>
      </c>
      <c r="V214" s="547">
        <v>555</v>
      </c>
      <c r="W214" s="566"/>
      <c r="X214" s="567"/>
      <c r="Y214" s="989">
        <f t="shared" si="13"/>
        <v>105893486</v>
      </c>
      <c r="Z214" s="812">
        <f t="shared" si="14"/>
        <v>106</v>
      </c>
    </row>
    <row r="215" spans="1:26" ht="27" customHeight="1">
      <c r="A215" s="531"/>
      <c r="B215" s="531">
        <v>406</v>
      </c>
      <c r="C215" s="529">
        <v>4</v>
      </c>
      <c r="D215" s="1027" t="s">
        <v>274</v>
      </c>
      <c r="E215" s="1028" t="s">
        <v>276</v>
      </c>
      <c r="F215" s="547"/>
      <c r="G215" s="547"/>
      <c r="H215" s="547"/>
      <c r="I215" s="547"/>
      <c r="J215" s="547"/>
      <c r="K215" s="547"/>
      <c r="L215" s="547"/>
      <c r="M215" s="547"/>
      <c r="N215" s="547"/>
      <c r="O215" s="547"/>
      <c r="P215" s="547"/>
      <c r="Q215" s="547"/>
      <c r="R215" s="547"/>
      <c r="S215" s="989">
        <f t="shared" si="12"/>
        <v>0</v>
      </c>
      <c r="T215" s="547">
        <v>0</v>
      </c>
      <c r="U215" s="989">
        <f t="shared" si="15"/>
        <v>0</v>
      </c>
      <c r="V215" s="547">
        <v>0</v>
      </c>
      <c r="W215" s="566"/>
      <c r="X215" s="567"/>
      <c r="Y215" s="989">
        <f t="shared" si="13"/>
        <v>0</v>
      </c>
      <c r="Z215" s="812">
        <f t="shared" si="14"/>
        <v>0</v>
      </c>
    </row>
    <row r="216" spans="1:26" ht="27" customHeight="1">
      <c r="A216" s="531"/>
      <c r="B216" s="531">
        <v>406</v>
      </c>
      <c r="C216" s="529">
        <v>4</v>
      </c>
      <c r="D216" s="1027" t="s">
        <v>1030</v>
      </c>
      <c r="E216" s="1028" t="s">
        <v>1031</v>
      </c>
      <c r="F216" s="547"/>
      <c r="G216" s="547"/>
      <c r="H216" s="547"/>
      <c r="I216" s="547"/>
      <c r="J216" s="547"/>
      <c r="K216" s="547"/>
      <c r="L216" s="547"/>
      <c r="M216" s="547"/>
      <c r="N216" s="547"/>
      <c r="O216" s="547"/>
      <c r="P216" s="547"/>
      <c r="Q216" s="547"/>
      <c r="R216" s="547"/>
      <c r="S216" s="989">
        <f t="shared" si="12"/>
        <v>0</v>
      </c>
      <c r="T216" s="547">
        <v>0</v>
      </c>
      <c r="U216" s="989">
        <f t="shared" si="15"/>
        <v>0</v>
      </c>
      <c r="V216" s="547">
        <v>0</v>
      </c>
      <c r="W216" s="566"/>
      <c r="X216" s="567"/>
      <c r="Y216" s="989">
        <f t="shared" si="13"/>
        <v>0</v>
      </c>
      <c r="Z216" s="812">
        <f t="shared" si="14"/>
        <v>0</v>
      </c>
    </row>
    <row r="217" spans="1:26" ht="27" customHeight="1">
      <c r="A217" s="531"/>
      <c r="B217" s="531">
        <v>406</v>
      </c>
      <c r="C217" s="529">
        <v>4</v>
      </c>
      <c r="D217" s="1027" t="s">
        <v>1004</v>
      </c>
      <c r="E217" s="1028" t="s">
        <v>840</v>
      </c>
      <c r="F217" s="547"/>
      <c r="G217" s="547"/>
      <c r="H217" s="547"/>
      <c r="I217" s="547"/>
      <c r="J217" s="547"/>
      <c r="K217" s="547"/>
      <c r="L217" s="547"/>
      <c r="M217" s="547"/>
      <c r="N217" s="547"/>
      <c r="O217" s="547"/>
      <c r="P217" s="547"/>
      <c r="Q217" s="547"/>
      <c r="R217" s="547"/>
      <c r="S217" s="989">
        <f t="shared" si="12"/>
        <v>0</v>
      </c>
      <c r="T217" s="547">
        <v>0</v>
      </c>
      <c r="U217" s="989">
        <f t="shared" si="15"/>
        <v>0</v>
      </c>
      <c r="V217" s="547">
        <v>0</v>
      </c>
      <c r="W217" s="566"/>
      <c r="X217" s="567"/>
      <c r="Y217" s="989">
        <f t="shared" si="13"/>
        <v>0</v>
      </c>
      <c r="Z217" s="812">
        <f t="shared" si="14"/>
        <v>0</v>
      </c>
    </row>
    <row r="218" spans="1:26" ht="27" customHeight="1">
      <c r="A218" s="531"/>
      <c r="B218" s="531">
        <v>1001</v>
      </c>
      <c r="C218" s="529">
        <v>10</v>
      </c>
      <c r="D218" s="1027" t="s">
        <v>65</v>
      </c>
      <c r="E218" s="1028" t="s">
        <v>1332</v>
      </c>
      <c r="F218" s="547"/>
      <c r="G218" s="547"/>
      <c r="H218" s="547"/>
      <c r="I218" s="547"/>
      <c r="J218" s="547"/>
      <c r="K218" s="547"/>
      <c r="L218" s="547"/>
      <c r="M218" s="547"/>
      <c r="N218" s="547"/>
      <c r="O218" s="547"/>
      <c r="P218" s="547"/>
      <c r="Q218" s="547"/>
      <c r="R218" s="547"/>
      <c r="S218" s="989">
        <f t="shared" si="12"/>
        <v>0</v>
      </c>
      <c r="T218" s="547">
        <v>0</v>
      </c>
      <c r="U218" s="989">
        <f t="shared" si="15"/>
        <v>0</v>
      </c>
      <c r="V218" s="547">
        <v>0</v>
      </c>
      <c r="W218" s="566"/>
      <c r="X218" s="567"/>
      <c r="Y218" s="989">
        <f t="shared" si="13"/>
        <v>0</v>
      </c>
      <c r="Z218" s="812">
        <f t="shared" si="14"/>
        <v>0</v>
      </c>
    </row>
    <row r="219" spans="1:26" ht="27" customHeight="1">
      <c r="A219" s="531"/>
      <c r="B219" s="531">
        <v>1001</v>
      </c>
      <c r="C219" s="529">
        <v>10</v>
      </c>
      <c r="D219" s="1027" t="s">
        <v>1065</v>
      </c>
      <c r="E219" s="1028" t="s">
        <v>1066</v>
      </c>
      <c r="F219" s="547"/>
      <c r="G219" s="547"/>
      <c r="H219" s="547"/>
      <c r="I219" s="547"/>
      <c r="J219" s="547"/>
      <c r="K219" s="547"/>
      <c r="L219" s="547"/>
      <c r="M219" s="547"/>
      <c r="N219" s="547"/>
      <c r="O219" s="547"/>
      <c r="P219" s="547"/>
      <c r="Q219" s="547"/>
      <c r="R219" s="547"/>
      <c r="S219" s="989">
        <f t="shared" si="12"/>
        <v>0</v>
      </c>
      <c r="T219" s="547">
        <v>0</v>
      </c>
      <c r="U219" s="989">
        <f t="shared" si="15"/>
        <v>0</v>
      </c>
      <c r="V219" s="547">
        <v>0</v>
      </c>
      <c r="W219" s="566"/>
      <c r="X219" s="567"/>
      <c r="Y219" s="989">
        <f t="shared" si="13"/>
        <v>0</v>
      </c>
      <c r="Z219" s="812">
        <f t="shared" si="14"/>
        <v>0</v>
      </c>
    </row>
    <row r="220" spans="1:26" ht="27" customHeight="1">
      <c r="A220" s="531"/>
      <c r="B220" s="531">
        <v>406</v>
      </c>
      <c r="C220" s="529">
        <v>4</v>
      </c>
      <c r="D220" s="1027" t="s">
        <v>1067</v>
      </c>
      <c r="E220" s="1028" t="s">
        <v>1068</v>
      </c>
      <c r="F220" s="547"/>
      <c r="G220" s="547"/>
      <c r="H220" s="547"/>
      <c r="I220" s="547"/>
      <c r="J220" s="547"/>
      <c r="K220" s="547"/>
      <c r="L220" s="547"/>
      <c r="M220" s="547"/>
      <c r="N220" s="547"/>
      <c r="O220" s="547"/>
      <c r="P220" s="547"/>
      <c r="Q220" s="547"/>
      <c r="R220" s="547"/>
      <c r="S220" s="989">
        <f t="shared" si="12"/>
        <v>0</v>
      </c>
      <c r="T220" s="547">
        <v>0</v>
      </c>
      <c r="U220" s="989">
        <f t="shared" si="15"/>
        <v>0</v>
      </c>
      <c r="V220" s="547">
        <v>0</v>
      </c>
      <c r="W220" s="566"/>
      <c r="X220" s="567"/>
      <c r="Y220" s="989">
        <f t="shared" si="13"/>
        <v>0</v>
      </c>
      <c r="Z220" s="812">
        <f t="shared" si="14"/>
        <v>0</v>
      </c>
    </row>
    <row r="221" spans="1:26" ht="27" customHeight="1">
      <c r="A221" s="531"/>
      <c r="B221" s="531">
        <v>406</v>
      </c>
      <c r="C221" s="529">
        <v>4</v>
      </c>
      <c r="D221" s="1027" t="s">
        <v>1069</v>
      </c>
      <c r="E221" s="1028" t="s">
        <v>1070</v>
      </c>
      <c r="F221" s="547">
        <v>336857340</v>
      </c>
      <c r="G221" s="547"/>
      <c r="H221" s="547"/>
      <c r="I221" s="547"/>
      <c r="J221" s="547"/>
      <c r="K221" s="547"/>
      <c r="L221" s="547"/>
      <c r="M221" s="547"/>
      <c r="N221" s="547"/>
      <c r="O221" s="547"/>
      <c r="P221" s="547"/>
      <c r="Q221" s="547"/>
      <c r="R221" s="547"/>
      <c r="S221" s="989">
        <f t="shared" si="12"/>
        <v>336857340</v>
      </c>
      <c r="T221" s="547">
        <v>257357100</v>
      </c>
      <c r="U221" s="989">
        <f t="shared" si="15"/>
        <v>337</v>
      </c>
      <c r="V221" s="547">
        <v>257</v>
      </c>
      <c r="W221" s="566"/>
      <c r="X221" s="567"/>
      <c r="Y221" s="989">
        <f t="shared" si="13"/>
        <v>336857340</v>
      </c>
      <c r="Z221" s="812">
        <f t="shared" si="14"/>
        <v>337</v>
      </c>
    </row>
    <row r="222" spans="1:26" ht="27" customHeight="1">
      <c r="A222" s="531"/>
      <c r="B222" s="531">
        <v>1001</v>
      </c>
      <c r="C222" s="529">
        <v>10</v>
      </c>
      <c r="D222" s="1027" t="s">
        <v>1072</v>
      </c>
      <c r="E222" s="1028" t="s">
        <v>1071</v>
      </c>
      <c r="F222" s="547">
        <v>-550934059</v>
      </c>
      <c r="G222" s="547"/>
      <c r="H222" s="547"/>
      <c r="I222" s="547"/>
      <c r="J222" s="547"/>
      <c r="K222" s="547"/>
      <c r="L222" s="547"/>
      <c r="M222" s="547"/>
      <c r="N222" s="547"/>
      <c r="O222" s="547"/>
      <c r="P222" s="547"/>
      <c r="Q222" s="547"/>
      <c r="R222" s="547"/>
      <c r="S222" s="989">
        <f t="shared" si="12"/>
        <v>-550934059</v>
      </c>
      <c r="T222" s="547">
        <v>0</v>
      </c>
      <c r="U222" s="989">
        <f t="shared" si="15"/>
        <v>-551</v>
      </c>
      <c r="V222" s="547">
        <v>0</v>
      </c>
      <c r="W222" s="566"/>
      <c r="X222" s="567"/>
      <c r="Y222" s="989">
        <f t="shared" si="13"/>
        <v>-550934059</v>
      </c>
      <c r="Z222" s="812">
        <f t="shared" si="14"/>
        <v>-551</v>
      </c>
    </row>
    <row r="223" spans="1:26" ht="27" customHeight="1">
      <c r="A223" s="531"/>
      <c r="B223" s="531">
        <v>1001</v>
      </c>
      <c r="C223" s="529">
        <v>10</v>
      </c>
      <c r="D223" s="1027" t="s">
        <v>1680</v>
      </c>
      <c r="E223" s="1028" t="s">
        <v>1681</v>
      </c>
      <c r="F223" s="547"/>
      <c r="G223" s="547"/>
      <c r="H223" s="547"/>
      <c r="I223" s="547"/>
      <c r="J223" s="547"/>
      <c r="K223" s="547"/>
      <c r="L223" s="547"/>
      <c r="M223" s="547"/>
      <c r="N223" s="547"/>
      <c r="O223" s="547"/>
      <c r="P223" s="547"/>
      <c r="Q223" s="547"/>
      <c r="R223" s="547"/>
      <c r="S223" s="989">
        <f t="shared" si="12"/>
        <v>0</v>
      </c>
      <c r="T223" s="547">
        <v>-45065933</v>
      </c>
      <c r="U223" s="989">
        <f t="shared" si="15"/>
        <v>0</v>
      </c>
      <c r="V223" s="547">
        <v>-45</v>
      </c>
      <c r="W223" s="566"/>
      <c r="X223" s="567"/>
      <c r="Y223" s="989">
        <f t="shared" si="13"/>
        <v>0</v>
      </c>
      <c r="Z223" s="812">
        <f t="shared" si="14"/>
        <v>0</v>
      </c>
    </row>
    <row r="224" spans="1:26" ht="27" customHeight="1">
      <c r="A224" s="531"/>
      <c r="B224" s="531">
        <v>406</v>
      </c>
      <c r="C224" s="529">
        <v>4</v>
      </c>
      <c r="D224" s="1027" t="s">
        <v>974</v>
      </c>
      <c r="E224" s="1028" t="s">
        <v>975</v>
      </c>
      <c r="F224" s="547">
        <v>389918367</v>
      </c>
      <c r="G224" s="547"/>
      <c r="H224" s="547"/>
      <c r="I224" s="547"/>
      <c r="J224" s="547"/>
      <c r="K224" s="547"/>
      <c r="L224" s="547"/>
      <c r="M224" s="547"/>
      <c r="N224" s="547"/>
      <c r="O224" s="547"/>
      <c r="P224" s="547"/>
      <c r="Q224" s="547"/>
      <c r="R224" s="547"/>
      <c r="S224" s="989">
        <f t="shared" si="12"/>
        <v>389918367</v>
      </c>
      <c r="T224" s="547">
        <v>381285567</v>
      </c>
      <c r="U224" s="989">
        <f t="shared" si="15"/>
        <v>390</v>
      </c>
      <c r="V224" s="547">
        <v>381</v>
      </c>
      <c r="W224" s="566"/>
      <c r="X224" s="567"/>
      <c r="Y224" s="989">
        <f t="shared" si="13"/>
        <v>389918367</v>
      </c>
      <c r="Z224" s="812">
        <f t="shared" si="14"/>
        <v>390</v>
      </c>
    </row>
    <row r="225" spans="1:26" ht="27" customHeight="1">
      <c r="A225" s="531"/>
      <c r="B225" s="531">
        <v>406</v>
      </c>
      <c r="C225" s="529">
        <v>4</v>
      </c>
      <c r="D225" s="1027" t="s">
        <v>976</v>
      </c>
      <c r="E225" s="1028" t="s">
        <v>977</v>
      </c>
      <c r="F225" s="547">
        <v>294469793</v>
      </c>
      <c r="G225" s="547"/>
      <c r="H225" s="547"/>
      <c r="I225" s="547"/>
      <c r="J225" s="547"/>
      <c r="K225" s="547"/>
      <c r="L225" s="547"/>
      <c r="M225" s="547"/>
      <c r="N225" s="547"/>
      <c r="O225" s="547"/>
      <c r="P225" s="547"/>
      <c r="Q225" s="547"/>
      <c r="R225" s="547"/>
      <c r="S225" s="989">
        <f t="shared" si="12"/>
        <v>294469793</v>
      </c>
      <c r="T225" s="547">
        <v>0</v>
      </c>
      <c r="U225" s="683">
        <f>ROUND((S225/1000000),0)+1</f>
        <v>295</v>
      </c>
      <c r="V225" s="547">
        <v>0</v>
      </c>
      <c r="W225" s="566"/>
      <c r="X225" s="567"/>
      <c r="Y225" s="989">
        <f t="shared" si="13"/>
        <v>294469793</v>
      </c>
      <c r="Z225" s="812">
        <f t="shared" si="14"/>
        <v>294</v>
      </c>
    </row>
    <row r="226" spans="1:26" ht="27" customHeight="1">
      <c r="A226" s="531"/>
      <c r="B226" s="531">
        <v>1001</v>
      </c>
      <c r="C226" s="529">
        <v>10</v>
      </c>
      <c r="D226" s="1027" t="s">
        <v>745</v>
      </c>
      <c r="E226" s="1028" t="s">
        <v>744</v>
      </c>
      <c r="F226" s="547"/>
      <c r="G226" s="547"/>
      <c r="H226" s="547"/>
      <c r="I226" s="547"/>
      <c r="J226" s="547"/>
      <c r="K226" s="547"/>
      <c r="L226" s="547"/>
      <c r="M226" s="547"/>
      <c r="N226" s="547"/>
      <c r="O226" s="547"/>
      <c r="P226" s="547"/>
      <c r="Q226" s="547"/>
      <c r="R226" s="547"/>
      <c r="S226" s="989">
        <f t="shared" si="12"/>
        <v>0</v>
      </c>
      <c r="T226" s="547">
        <v>-103000000</v>
      </c>
      <c r="U226" s="989">
        <f t="shared" si="15"/>
        <v>0</v>
      </c>
      <c r="V226" s="547">
        <v>-103</v>
      </c>
      <c r="W226" s="566"/>
      <c r="X226" s="567"/>
      <c r="Y226" s="989">
        <f t="shared" si="13"/>
        <v>0</v>
      </c>
      <c r="Z226" s="812">
        <f t="shared" si="14"/>
        <v>0</v>
      </c>
    </row>
    <row r="227" spans="1:26" ht="27" customHeight="1">
      <c r="A227" s="531"/>
      <c r="B227" s="531">
        <v>1001</v>
      </c>
      <c r="C227" s="529">
        <v>10</v>
      </c>
      <c r="D227" s="1027" t="s">
        <v>1682</v>
      </c>
      <c r="E227" s="1028" t="s">
        <v>1683</v>
      </c>
      <c r="F227" s="547">
        <v>-115601478</v>
      </c>
      <c r="G227" s="547"/>
      <c r="H227" s="547"/>
      <c r="I227" s="547"/>
      <c r="J227" s="547"/>
      <c r="K227" s="547"/>
      <c r="L227" s="547"/>
      <c r="M227" s="547"/>
      <c r="N227" s="547"/>
      <c r="O227" s="547"/>
      <c r="P227" s="547"/>
      <c r="Q227" s="547"/>
      <c r="R227" s="547"/>
      <c r="S227" s="989">
        <f t="shared" si="12"/>
        <v>-115601478</v>
      </c>
      <c r="T227" s="547">
        <v>-115601478</v>
      </c>
      <c r="U227" s="989">
        <f t="shared" si="15"/>
        <v>-116</v>
      </c>
      <c r="V227" s="547">
        <v>-116</v>
      </c>
      <c r="W227" s="566"/>
      <c r="X227" s="567"/>
      <c r="Y227" s="989">
        <f t="shared" si="13"/>
        <v>-115601478</v>
      </c>
      <c r="Z227" s="812">
        <f t="shared" si="14"/>
        <v>-116</v>
      </c>
    </row>
    <row r="228" spans="1:26" ht="27" customHeight="1">
      <c r="A228" s="531"/>
      <c r="B228" s="531">
        <v>1001</v>
      </c>
      <c r="C228" s="529">
        <v>10</v>
      </c>
      <c r="D228" s="1027" t="s">
        <v>978</v>
      </c>
      <c r="E228" s="1028" t="s">
        <v>979</v>
      </c>
      <c r="F228" s="547"/>
      <c r="G228" s="547"/>
      <c r="H228" s="547"/>
      <c r="I228" s="547"/>
      <c r="J228" s="547"/>
      <c r="K228" s="547"/>
      <c r="L228" s="547"/>
      <c r="M228" s="547"/>
      <c r="N228" s="547"/>
      <c r="O228" s="547"/>
      <c r="P228" s="547"/>
      <c r="Q228" s="547"/>
      <c r="R228" s="547"/>
      <c r="S228" s="989">
        <f t="shared" si="12"/>
        <v>0</v>
      </c>
      <c r="T228" s="547">
        <v>-9364000</v>
      </c>
      <c r="U228" s="989">
        <f t="shared" si="15"/>
        <v>0</v>
      </c>
      <c r="V228" s="547">
        <v>-9</v>
      </c>
      <c r="W228" s="566"/>
      <c r="X228" s="567"/>
      <c r="Y228" s="989">
        <f t="shared" si="13"/>
        <v>0</v>
      </c>
      <c r="Z228" s="812">
        <f t="shared" si="14"/>
        <v>0</v>
      </c>
    </row>
    <row r="229" spans="1:26" ht="27" customHeight="1">
      <c r="A229" s="531"/>
      <c r="B229" s="531">
        <v>1001</v>
      </c>
      <c r="C229" s="529">
        <v>10</v>
      </c>
      <c r="D229" s="1027" t="s">
        <v>275</v>
      </c>
      <c r="E229" s="1028" t="s">
        <v>843</v>
      </c>
      <c r="F229" s="547">
        <v>-1016814710</v>
      </c>
      <c r="G229" s="547"/>
      <c r="H229" s="547"/>
      <c r="I229" s="547"/>
      <c r="J229" s="547"/>
      <c r="K229" s="547"/>
      <c r="L229" s="547"/>
      <c r="M229" s="547"/>
      <c r="N229" s="547"/>
      <c r="O229" s="547"/>
      <c r="P229" s="547"/>
      <c r="Q229" s="547"/>
      <c r="R229" s="547"/>
      <c r="S229" s="989">
        <f t="shared" si="12"/>
        <v>-1016814710</v>
      </c>
      <c r="T229" s="547">
        <v>-1018254299</v>
      </c>
      <c r="U229" s="989">
        <f t="shared" si="15"/>
        <v>-1017</v>
      </c>
      <c r="V229" s="547">
        <v>-1018</v>
      </c>
      <c r="W229" s="566"/>
      <c r="X229" s="567"/>
      <c r="Y229" s="989">
        <f t="shared" si="13"/>
        <v>-1016814710</v>
      </c>
      <c r="Z229" s="812">
        <f t="shared" si="14"/>
        <v>-1017</v>
      </c>
    </row>
    <row r="230" spans="1:26" ht="27" customHeight="1">
      <c r="A230" s="531"/>
      <c r="B230" s="531">
        <v>406</v>
      </c>
      <c r="C230" s="529">
        <v>4</v>
      </c>
      <c r="D230" s="1027" t="s">
        <v>980</v>
      </c>
      <c r="E230" s="1028" t="s">
        <v>981</v>
      </c>
      <c r="F230" s="547"/>
      <c r="G230" s="547"/>
      <c r="H230" s="547"/>
      <c r="I230" s="547"/>
      <c r="J230" s="547"/>
      <c r="K230" s="547"/>
      <c r="L230" s="547"/>
      <c r="M230" s="547"/>
      <c r="N230" s="547"/>
      <c r="O230" s="547"/>
      <c r="P230" s="547"/>
      <c r="Q230" s="547"/>
      <c r="R230" s="547"/>
      <c r="S230" s="989">
        <f t="shared" si="12"/>
        <v>0</v>
      </c>
      <c r="T230" s="547">
        <v>0</v>
      </c>
      <c r="U230" s="989">
        <f t="shared" si="15"/>
        <v>0</v>
      </c>
      <c r="V230" s="547">
        <v>0</v>
      </c>
      <c r="W230" s="566"/>
      <c r="X230" s="567"/>
      <c r="Y230" s="989">
        <f t="shared" si="13"/>
        <v>0</v>
      </c>
      <c r="Z230" s="812">
        <f t="shared" si="14"/>
        <v>0</v>
      </c>
    </row>
    <row r="231" spans="1:26" ht="27" customHeight="1">
      <c r="A231" s="531"/>
      <c r="B231" s="531">
        <v>406</v>
      </c>
      <c r="C231" s="529">
        <v>4</v>
      </c>
      <c r="D231" s="1027" t="s">
        <v>982</v>
      </c>
      <c r="E231" s="1028" t="s">
        <v>983</v>
      </c>
      <c r="F231" s="547"/>
      <c r="G231" s="547"/>
      <c r="H231" s="547"/>
      <c r="I231" s="547"/>
      <c r="J231" s="547"/>
      <c r="K231" s="547"/>
      <c r="L231" s="547"/>
      <c r="M231" s="547"/>
      <c r="N231" s="547"/>
      <c r="O231" s="547"/>
      <c r="P231" s="547"/>
      <c r="Q231" s="547"/>
      <c r="R231" s="547"/>
      <c r="S231" s="989">
        <f t="shared" si="12"/>
        <v>0</v>
      </c>
      <c r="T231" s="547">
        <v>0</v>
      </c>
      <c r="U231" s="989">
        <f t="shared" si="15"/>
        <v>0</v>
      </c>
      <c r="V231" s="547">
        <v>0</v>
      </c>
      <c r="W231" s="566"/>
      <c r="X231" s="567"/>
      <c r="Y231" s="989">
        <f t="shared" si="13"/>
        <v>0</v>
      </c>
      <c r="Z231" s="812">
        <f t="shared" si="14"/>
        <v>0</v>
      </c>
    </row>
    <row r="232" spans="1:26" ht="27" customHeight="1">
      <c r="A232" s="531"/>
      <c r="B232" s="531">
        <v>406</v>
      </c>
      <c r="C232" s="529">
        <v>4</v>
      </c>
      <c r="D232" s="1027" t="s">
        <v>1333</v>
      </c>
      <c r="E232" s="1028" t="s">
        <v>1334</v>
      </c>
      <c r="F232" s="547">
        <v>3994000</v>
      </c>
      <c r="G232" s="547"/>
      <c r="H232" s="547"/>
      <c r="I232" s="547"/>
      <c r="J232" s="547"/>
      <c r="K232" s="547"/>
      <c r="L232" s="547"/>
      <c r="M232" s="547"/>
      <c r="N232" s="547"/>
      <c r="O232" s="547"/>
      <c r="P232" s="547"/>
      <c r="Q232" s="547"/>
      <c r="R232" s="547"/>
      <c r="S232" s="989">
        <f t="shared" si="12"/>
        <v>3994000</v>
      </c>
      <c r="T232" s="547">
        <v>3994000</v>
      </c>
      <c r="U232" s="989">
        <f t="shared" si="15"/>
        <v>4</v>
      </c>
      <c r="V232" s="547">
        <v>4</v>
      </c>
      <c r="W232" s="566"/>
      <c r="X232" s="567"/>
      <c r="Y232" s="989">
        <f t="shared" si="13"/>
        <v>3994000</v>
      </c>
      <c r="Z232" s="812">
        <f t="shared" si="14"/>
        <v>4</v>
      </c>
    </row>
    <row r="233" spans="1:26" ht="27" customHeight="1">
      <c r="A233" s="531"/>
      <c r="B233" s="531">
        <v>1001</v>
      </c>
      <c r="C233" s="529">
        <v>10</v>
      </c>
      <c r="D233" s="1027" t="s">
        <v>1684</v>
      </c>
      <c r="E233" s="1028" t="s">
        <v>1685</v>
      </c>
      <c r="F233" s="547"/>
      <c r="G233" s="547"/>
      <c r="H233" s="547"/>
      <c r="I233" s="547"/>
      <c r="J233" s="547"/>
      <c r="K233" s="547"/>
      <c r="L233" s="547"/>
      <c r="M233" s="547"/>
      <c r="N233" s="547"/>
      <c r="O233" s="547"/>
      <c r="P233" s="547"/>
      <c r="Q233" s="547"/>
      <c r="R233" s="547"/>
      <c r="S233" s="989">
        <f t="shared" si="12"/>
        <v>0</v>
      </c>
      <c r="T233" s="547">
        <v>-127809476</v>
      </c>
      <c r="U233" s="989">
        <f t="shared" si="15"/>
        <v>0</v>
      </c>
      <c r="V233" s="547">
        <v>-128</v>
      </c>
      <c r="W233" s="566"/>
      <c r="X233" s="567"/>
      <c r="Y233" s="989">
        <f t="shared" si="13"/>
        <v>0</v>
      </c>
      <c r="Z233" s="812">
        <f t="shared" si="14"/>
        <v>0</v>
      </c>
    </row>
    <row r="234" spans="1:26" ht="27" customHeight="1">
      <c r="A234" s="531"/>
      <c r="B234" s="531">
        <v>406</v>
      </c>
      <c r="C234" s="529">
        <v>4</v>
      </c>
      <c r="D234" s="1027" t="s">
        <v>984</v>
      </c>
      <c r="E234" s="1028" t="s">
        <v>985</v>
      </c>
      <c r="F234" s="547">
        <v>65907182</v>
      </c>
      <c r="G234" s="547"/>
      <c r="H234" s="547"/>
      <c r="I234" s="547"/>
      <c r="J234" s="547"/>
      <c r="K234" s="547"/>
      <c r="L234" s="547"/>
      <c r="M234" s="547"/>
      <c r="N234" s="547"/>
      <c r="O234" s="547"/>
      <c r="P234" s="547"/>
      <c r="Q234" s="547"/>
      <c r="R234" s="547"/>
      <c r="S234" s="989">
        <f t="shared" si="12"/>
        <v>65907182</v>
      </c>
      <c r="T234" s="547">
        <v>889270531</v>
      </c>
      <c r="U234" s="989">
        <f t="shared" si="15"/>
        <v>66</v>
      </c>
      <c r="V234" s="547">
        <v>889</v>
      </c>
      <c r="W234" s="566"/>
      <c r="X234" s="567"/>
      <c r="Y234" s="989">
        <f t="shared" si="13"/>
        <v>65907182</v>
      </c>
      <c r="Z234" s="812">
        <f t="shared" si="14"/>
        <v>66</v>
      </c>
    </row>
    <row r="235" spans="1:26" ht="27" customHeight="1">
      <c r="A235" s="531"/>
      <c r="B235" s="531">
        <v>1001</v>
      </c>
      <c r="C235" s="529">
        <v>10</v>
      </c>
      <c r="D235" s="1027" t="s">
        <v>1073</v>
      </c>
      <c r="E235" s="1028" t="s">
        <v>1074</v>
      </c>
      <c r="F235" s="547"/>
      <c r="G235" s="547"/>
      <c r="H235" s="547"/>
      <c r="I235" s="547"/>
      <c r="J235" s="547"/>
      <c r="K235" s="547"/>
      <c r="L235" s="547"/>
      <c r="M235" s="547"/>
      <c r="N235" s="547"/>
      <c r="O235" s="547"/>
      <c r="P235" s="547"/>
      <c r="Q235" s="547"/>
      <c r="R235" s="547"/>
      <c r="S235" s="989">
        <f t="shared" si="12"/>
        <v>0</v>
      </c>
      <c r="T235" s="547">
        <v>0</v>
      </c>
      <c r="U235" s="989">
        <f t="shared" si="15"/>
        <v>0</v>
      </c>
      <c r="V235" s="547">
        <v>0</v>
      </c>
      <c r="W235" s="566"/>
      <c r="X235" s="567"/>
      <c r="Y235" s="989">
        <f t="shared" si="13"/>
        <v>0</v>
      </c>
      <c r="Z235" s="812">
        <f t="shared" si="14"/>
        <v>0</v>
      </c>
    </row>
    <row r="236" spans="1:26" ht="27" customHeight="1">
      <c r="A236" s="531"/>
      <c r="B236" s="531">
        <v>1001</v>
      </c>
      <c r="C236" s="529">
        <v>10</v>
      </c>
      <c r="D236" s="1027" t="s">
        <v>1238</v>
      </c>
      <c r="E236" s="1028" t="s">
        <v>1239</v>
      </c>
      <c r="F236" s="547"/>
      <c r="G236" s="547"/>
      <c r="H236" s="547"/>
      <c r="I236" s="547"/>
      <c r="J236" s="547"/>
      <c r="K236" s="547"/>
      <c r="L236" s="547"/>
      <c r="M236" s="547"/>
      <c r="N236" s="547"/>
      <c r="O236" s="547"/>
      <c r="P236" s="547"/>
      <c r="Q236" s="547"/>
      <c r="R236" s="547"/>
      <c r="S236" s="989">
        <f t="shared" si="12"/>
        <v>0</v>
      </c>
      <c r="T236" s="547">
        <v>-2255564</v>
      </c>
      <c r="U236" s="989">
        <f t="shared" si="15"/>
        <v>0</v>
      </c>
      <c r="V236" s="547">
        <v>-2</v>
      </c>
      <c r="W236" s="566"/>
      <c r="X236" s="567"/>
      <c r="Y236" s="989">
        <f t="shared" si="13"/>
        <v>0</v>
      </c>
      <c r="Z236" s="812">
        <f t="shared" si="14"/>
        <v>0</v>
      </c>
    </row>
    <row r="237" spans="1:26" ht="27" customHeight="1">
      <c r="A237" s="531"/>
      <c r="B237" s="531">
        <v>406</v>
      </c>
      <c r="C237" s="529">
        <v>4</v>
      </c>
      <c r="D237" s="1027" t="s">
        <v>986</v>
      </c>
      <c r="E237" s="1028" t="s">
        <v>987</v>
      </c>
      <c r="F237" s="547"/>
      <c r="G237" s="547"/>
      <c r="H237" s="547"/>
      <c r="I237" s="547"/>
      <c r="J237" s="547"/>
      <c r="K237" s="547"/>
      <c r="L237" s="547"/>
      <c r="M237" s="547"/>
      <c r="N237" s="547"/>
      <c r="O237" s="547"/>
      <c r="P237" s="547"/>
      <c r="Q237" s="547"/>
      <c r="R237" s="547"/>
      <c r="S237" s="989">
        <f t="shared" si="12"/>
        <v>0</v>
      </c>
      <c r="T237" s="547">
        <v>712800</v>
      </c>
      <c r="U237" s="989">
        <f t="shared" si="15"/>
        <v>0</v>
      </c>
      <c r="V237" s="547">
        <v>1</v>
      </c>
      <c r="W237" s="566"/>
      <c r="X237" s="567"/>
      <c r="Y237" s="989">
        <f t="shared" si="13"/>
        <v>0</v>
      </c>
      <c r="Z237" s="812">
        <f t="shared" si="14"/>
        <v>0</v>
      </c>
    </row>
    <row r="238" spans="1:26" ht="27" customHeight="1">
      <c r="A238" s="531"/>
      <c r="B238" s="531">
        <v>1001</v>
      </c>
      <c r="C238" s="529">
        <v>10</v>
      </c>
      <c r="D238" s="1027" t="s">
        <v>1075</v>
      </c>
      <c r="E238" s="1028" t="s">
        <v>1076</v>
      </c>
      <c r="F238" s="547">
        <v>-2128838886</v>
      </c>
      <c r="G238" s="547"/>
      <c r="H238" s="547"/>
      <c r="I238" s="547"/>
      <c r="J238" s="547"/>
      <c r="K238" s="547"/>
      <c r="L238" s="547"/>
      <c r="M238" s="547"/>
      <c r="N238" s="547"/>
      <c r="O238" s="547"/>
      <c r="P238" s="547"/>
      <c r="Q238" s="547"/>
      <c r="R238" s="547"/>
      <c r="S238" s="989">
        <f t="shared" si="12"/>
        <v>-2128838886</v>
      </c>
      <c r="T238" s="547">
        <v>-3128838886</v>
      </c>
      <c r="U238" s="989">
        <f t="shared" si="15"/>
        <v>-2129</v>
      </c>
      <c r="V238" s="547">
        <v>-3129</v>
      </c>
      <c r="W238" s="566"/>
      <c r="X238" s="567"/>
      <c r="Y238" s="989">
        <f t="shared" si="13"/>
        <v>-2128838886</v>
      </c>
      <c r="Z238" s="812">
        <f t="shared" si="14"/>
        <v>-2129</v>
      </c>
    </row>
    <row r="239" spans="1:26" ht="27" customHeight="1">
      <c r="A239" s="531"/>
      <c r="B239" s="531">
        <v>1001</v>
      </c>
      <c r="C239" s="529">
        <v>10</v>
      </c>
      <c r="D239" s="1027" t="s">
        <v>239</v>
      </c>
      <c r="E239" s="1028" t="s">
        <v>1601</v>
      </c>
      <c r="F239" s="547">
        <v>-1268247</v>
      </c>
      <c r="G239" s="547"/>
      <c r="H239" s="547"/>
      <c r="I239" s="547"/>
      <c r="J239" s="547"/>
      <c r="K239" s="547"/>
      <c r="L239" s="547"/>
      <c r="M239" s="547"/>
      <c r="N239" s="547"/>
      <c r="O239" s="547"/>
      <c r="P239" s="547"/>
      <c r="Q239" s="547"/>
      <c r="R239" s="547"/>
      <c r="S239" s="989">
        <f t="shared" si="12"/>
        <v>-1268247</v>
      </c>
      <c r="T239" s="547">
        <v>-391592728</v>
      </c>
      <c r="U239" s="989">
        <f t="shared" si="15"/>
        <v>-1</v>
      </c>
      <c r="V239" s="547">
        <v>-392</v>
      </c>
      <c r="W239" s="566"/>
      <c r="X239" s="567"/>
      <c r="Y239" s="989">
        <f t="shared" si="13"/>
        <v>-1268247</v>
      </c>
      <c r="Z239" s="812">
        <f t="shared" si="14"/>
        <v>-1</v>
      </c>
    </row>
    <row r="240" spans="1:26" ht="27" customHeight="1">
      <c r="A240" s="531"/>
      <c r="B240" s="531">
        <v>1001</v>
      </c>
      <c r="C240" s="529">
        <v>10</v>
      </c>
      <c r="D240" s="1027" t="s">
        <v>1568</v>
      </c>
      <c r="E240" s="1028" t="s">
        <v>1569</v>
      </c>
      <c r="F240" s="547">
        <v>-67705290</v>
      </c>
      <c r="G240" s="547"/>
      <c r="H240" s="547"/>
      <c r="I240" s="547"/>
      <c r="J240" s="547"/>
      <c r="K240" s="547"/>
      <c r="L240" s="547"/>
      <c r="M240" s="547"/>
      <c r="N240" s="547"/>
      <c r="O240" s="547"/>
      <c r="P240" s="547"/>
      <c r="Q240" s="547"/>
      <c r="R240" s="547"/>
      <c r="S240" s="989">
        <f t="shared" si="12"/>
        <v>-67705290</v>
      </c>
      <c r="T240" s="547">
        <v>-67705290</v>
      </c>
      <c r="U240" s="989">
        <f t="shared" si="15"/>
        <v>-68</v>
      </c>
      <c r="V240" s="547">
        <v>-68</v>
      </c>
      <c r="W240" s="566"/>
      <c r="X240" s="567"/>
      <c r="Y240" s="989">
        <f t="shared" si="13"/>
        <v>-67705290</v>
      </c>
      <c r="Z240" s="812">
        <f t="shared" si="14"/>
        <v>-68</v>
      </c>
    </row>
    <row r="241" spans="1:26" ht="27" customHeight="1">
      <c r="A241" s="531"/>
      <c r="B241" s="531">
        <v>1001</v>
      </c>
      <c r="C241" s="529">
        <v>10</v>
      </c>
      <c r="D241" s="1027" t="s">
        <v>1240</v>
      </c>
      <c r="E241" s="1028" t="s">
        <v>1241</v>
      </c>
      <c r="F241" s="547"/>
      <c r="G241" s="547"/>
      <c r="H241" s="547"/>
      <c r="I241" s="547"/>
      <c r="J241" s="547"/>
      <c r="K241" s="547"/>
      <c r="L241" s="547"/>
      <c r="M241" s="547"/>
      <c r="N241" s="547"/>
      <c r="O241" s="547"/>
      <c r="P241" s="547"/>
      <c r="Q241" s="547"/>
      <c r="R241" s="547"/>
      <c r="S241" s="989">
        <f t="shared" si="12"/>
        <v>0</v>
      </c>
      <c r="T241" s="547">
        <v>-3942158</v>
      </c>
      <c r="U241" s="989">
        <f t="shared" si="15"/>
        <v>0</v>
      </c>
      <c r="V241" s="547">
        <v>-4</v>
      </c>
      <c r="W241" s="566"/>
      <c r="X241" s="567"/>
      <c r="Y241" s="989">
        <f t="shared" si="13"/>
        <v>0</v>
      </c>
      <c r="Z241" s="812">
        <f t="shared" si="14"/>
        <v>0</v>
      </c>
    </row>
    <row r="242" spans="1:26" ht="27" customHeight="1">
      <c r="A242" s="531"/>
      <c r="B242" s="1281">
        <v>406</v>
      </c>
      <c r="C242" s="1021">
        <v>4</v>
      </c>
      <c r="D242" s="1027" t="s">
        <v>241</v>
      </c>
      <c r="E242" s="1028" t="s">
        <v>754</v>
      </c>
      <c r="F242" s="547"/>
      <c r="G242" s="547"/>
      <c r="H242" s="547"/>
      <c r="I242" s="547"/>
      <c r="J242" s="547"/>
      <c r="K242" s="547"/>
      <c r="L242" s="547"/>
      <c r="M242" s="547"/>
      <c r="N242" s="547"/>
      <c r="O242" s="547"/>
      <c r="P242" s="547"/>
      <c r="Q242" s="547"/>
      <c r="R242" s="547"/>
      <c r="S242" s="989">
        <f t="shared" si="12"/>
        <v>0</v>
      </c>
      <c r="T242" s="547">
        <v>22792553</v>
      </c>
      <c r="U242" s="989">
        <f t="shared" si="15"/>
        <v>0</v>
      </c>
      <c r="V242" s="547">
        <v>23</v>
      </c>
      <c r="W242" s="566"/>
      <c r="X242" s="567"/>
      <c r="Y242" s="989">
        <f t="shared" si="13"/>
        <v>0</v>
      </c>
      <c r="Z242" s="812">
        <f t="shared" si="14"/>
        <v>0</v>
      </c>
    </row>
    <row r="243" spans="1:26" ht="27" customHeight="1">
      <c r="A243" s="531"/>
      <c r="B243" s="531">
        <v>1001</v>
      </c>
      <c r="C243" s="1123">
        <v>10</v>
      </c>
      <c r="D243" s="1027" t="s">
        <v>1243</v>
      </c>
      <c r="E243" s="1028" t="s">
        <v>1242</v>
      </c>
      <c r="F243" s="547">
        <v>-2623775</v>
      </c>
      <c r="G243" s="547"/>
      <c r="H243" s="547"/>
      <c r="I243" s="547"/>
      <c r="J243" s="547"/>
      <c r="K243" s="547"/>
      <c r="L243" s="547"/>
      <c r="M243" s="547"/>
      <c r="N243" s="547"/>
      <c r="O243" s="547"/>
      <c r="P243" s="547"/>
      <c r="Q243" s="547"/>
      <c r="R243" s="547"/>
      <c r="S243" s="989">
        <f t="shared" si="12"/>
        <v>-2623775</v>
      </c>
      <c r="T243" s="547">
        <v>42771997</v>
      </c>
      <c r="U243" s="989">
        <f t="shared" si="15"/>
        <v>-3</v>
      </c>
      <c r="V243" s="547">
        <v>43</v>
      </c>
      <c r="W243" s="566"/>
      <c r="X243" s="567"/>
      <c r="Y243" s="989">
        <f t="shared" si="13"/>
        <v>-2623775</v>
      </c>
      <c r="Z243" s="812">
        <f t="shared" si="14"/>
        <v>-3</v>
      </c>
    </row>
    <row r="244" spans="1:26" ht="27" customHeight="1">
      <c r="A244" s="531"/>
      <c r="B244" s="531">
        <v>406</v>
      </c>
      <c r="C244" s="529">
        <v>4</v>
      </c>
      <c r="D244" s="1027" t="s">
        <v>491</v>
      </c>
      <c r="E244" s="1028" t="s">
        <v>659</v>
      </c>
      <c r="F244" s="547">
        <v>0</v>
      </c>
      <c r="G244" s="547"/>
      <c r="H244" s="547"/>
      <c r="I244" s="547"/>
      <c r="J244" s="547"/>
      <c r="K244" s="547">
        <v>1029795952</v>
      </c>
      <c r="L244" s="547"/>
      <c r="M244" s="547"/>
      <c r="N244" s="547"/>
      <c r="O244" s="547"/>
      <c r="P244" s="547"/>
      <c r="Q244" s="547"/>
      <c r="R244" s="547"/>
      <c r="S244" s="989">
        <f t="shared" si="12"/>
        <v>1029795952</v>
      </c>
      <c r="T244" s="547">
        <v>0</v>
      </c>
      <c r="U244" s="989">
        <f t="shared" si="15"/>
        <v>1030</v>
      </c>
      <c r="V244" s="547">
        <v>0</v>
      </c>
      <c r="W244" s="566"/>
      <c r="X244" s="567"/>
      <c r="Y244" s="989">
        <f t="shared" si="13"/>
        <v>1029795952</v>
      </c>
      <c r="Z244" s="812">
        <f t="shared" si="14"/>
        <v>1030</v>
      </c>
    </row>
    <row r="245" spans="1:26" ht="27" customHeight="1">
      <c r="A245" s="531"/>
      <c r="B245" s="1281">
        <v>406</v>
      </c>
      <c r="C245" s="1021">
        <v>4</v>
      </c>
      <c r="D245" s="1027" t="s">
        <v>1032</v>
      </c>
      <c r="E245" s="1028" t="s">
        <v>1033</v>
      </c>
      <c r="F245" s="547">
        <v>468438323</v>
      </c>
      <c r="G245" s="547"/>
      <c r="H245" s="547"/>
      <c r="I245" s="547"/>
      <c r="J245" s="547"/>
      <c r="K245" s="547"/>
      <c r="L245" s="547"/>
      <c r="M245" s="547"/>
      <c r="N245" s="547"/>
      <c r="O245" s="547"/>
      <c r="P245" s="547"/>
      <c r="Q245" s="547"/>
      <c r="R245" s="547"/>
      <c r="S245" s="989">
        <f t="shared" si="12"/>
        <v>468438323</v>
      </c>
      <c r="T245" s="547">
        <v>102015203</v>
      </c>
      <c r="U245" s="683">
        <f>ROUND((S245/1000000),0)+1</f>
        <v>469</v>
      </c>
      <c r="V245" s="547">
        <v>102</v>
      </c>
      <c r="W245" s="566"/>
      <c r="X245" s="567"/>
      <c r="Y245" s="989">
        <f t="shared" si="13"/>
        <v>468438323</v>
      </c>
      <c r="Z245" s="812">
        <f t="shared" si="14"/>
        <v>468</v>
      </c>
    </row>
    <row r="246" spans="1:26" ht="27" customHeight="1">
      <c r="A246" s="531"/>
      <c r="B246" s="531">
        <v>406</v>
      </c>
      <c r="C246" s="529">
        <v>4</v>
      </c>
      <c r="D246" s="1027" t="s">
        <v>660</v>
      </c>
      <c r="E246" s="1028" t="s">
        <v>661</v>
      </c>
      <c r="F246" s="547">
        <v>250707796</v>
      </c>
      <c r="G246" s="547"/>
      <c r="H246" s="547">
        <v>387158039</v>
      </c>
      <c r="I246" s="547"/>
      <c r="J246" s="547"/>
      <c r="K246" s="547"/>
      <c r="L246" s="547"/>
      <c r="M246" s="547"/>
      <c r="N246" s="547"/>
      <c r="O246" s="547"/>
      <c r="P246" s="547"/>
      <c r="Q246" s="547"/>
      <c r="R246" s="547"/>
      <c r="S246" s="989">
        <f t="shared" si="12"/>
        <v>637865835</v>
      </c>
      <c r="T246" s="547">
        <v>33790448</v>
      </c>
      <c r="U246" s="989">
        <f t="shared" si="15"/>
        <v>638</v>
      </c>
      <c r="V246" s="547">
        <v>34</v>
      </c>
      <c r="W246" s="566"/>
      <c r="X246" s="567"/>
      <c r="Y246" s="989">
        <f t="shared" si="13"/>
        <v>637865835</v>
      </c>
      <c r="Z246" s="812">
        <f t="shared" si="14"/>
        <v>638</v>
      </c>
    </row>
    <row r="247" spans="1:26" ht="27" customHeight="1">
      <c r="A247" s="531"/>
      <c r="B247" s="531">
        <v>1001</v>
      </c>
      <c r="C247" s="529">
        <v>10</v>
      </c>
      <c r="D247" s="1027" t="s">
        <v>1687</v>
      </c>
      <c r="E247" s="1028" t="s">
        <v>1686</v>
      </c>
      <c r="F247" s="547"/>
      <c r="G247" s="547"/>
      <c r="H247" s="547"/>
      <c r="I247" s="547"/>
      <c r="J247" s="547"/>
      <c r="K247" s="547"/>
      <c r="L247" s="547"/>
      <c r="M247" s="547"/>
      <c r="N247" s="547"/>
      <c r="O247" s="547"/>
      <c r="P247" s="547"/>
      <c r="Q247" s="547"/>
      <c r="R247" s="547"/>
      <c r="S247" s="989">
        <f t="shared" si="12"/>
        <v>0</v>
      </c>
      <c r="T247" s="547">
        <v>-804586663</v>
      </c>
      <c r="U247" s="989">
        <f t="shared" si="15"/>
        <v>0</v>
      </c>
      <c r="V247" s="547">
        <v>-805</v>
      </c>
      <c r="W247" s="566"/>
      <c r="X247" s="567"/>
      <c r="Y247" s="989">
        <f t="shared" si="13"/>
        <v>0</v>
      </c>
      <c r="Z247" s="812">
        <f t="shared" si="14"/>
        <v>0</v>
      </c>
    </row>
    <row r="248" spans="1:26" ht="27" customHeight="1">
      <c r="A248" s="531"/>
      <c r="B248" s="531">
        <v>1001</v>
      </c>
      <c r="C248" s="529">
        <v>10</v>
      </c>
      <c r="D248" s="1027" t="s">
        <v>887</v>
      </c>
      <c r="E248" s="1028" t="s">
        <v>886</v>
      </c>
      <c r="F248" s="547"/>
      <c r="G248" s="547"/>
      <c r="H248" s="547"/>
      <c r="I248" s="547"/>
      <c r="J248" s="547"/>
      <c r="K248" s="547"/>
      <c r="L248" s="547"/>
      <c r="M248" s="547"/>
      <c r="N248" s="547"/>
      <c r="O248" s="547"/>
      <c r="P248" s="547"/>
      <c r="Q248" s="547"/>
      <c r="R248" s="547"/>
      <c r="S248" s="989">
        <f t="shared" si="12"/>
        <v>0</v>
      </c>
      <c r="T248" s="547">
        <v>0</v>
      </c>
      <c r="U248" s="989">
        <f t="shared" si="15"/>
        <v>0</v>
      </c>
      <c r="V248" s="547">
        <v>0</v>
      </c>
      <c r="W248" s="566"/>
      <c r="X248" s="567"/>
      <c r="Y248" s="989">
        <f t="shared" si="13"/>
        <v>0</v>
      </c>
      <c r="Z248" s="812">
        <f t="shared" si="14"/>
        <v>0</v>
      </c>
    </row>
    <row r="249" spans="1:26" ht="27" customHeight="1">
      <c r="A249" s="531"/>
      <c r="B249" s="531">
        <v>406</v>
      </c>
      <c r="C249" s="529">
        <v>4</v>
      </c>
      <c r="D249" s="1027" t="s">
        <v>493</v>
      </c>
      <c r="E249" s="1028" t="s">
        <v>890</v>
      </c>
      <c r="F249" s="547"/>
      <c r="G249" s="547"/>
      <c r="H249" s="547"/>
      <c r="I249" s="547"/>
      <c r="J249" s="547"/>
      <c r="K249" s="547"/>
      <c r="L249" s="547"/>
      <c r="M249" s="547"/>
      <c r="N249" s="547"/>
      <c r="O249" s="547"/>
      <c r="P249" s="547"/>
      <c r="Q249" s="547"/>
      <c r="R249" s="547"/>
      <c r="S249" s="989">
        <f t="shared" si="12"/>
        <v>0</v>
      </c>
      <c r="T249" s="547">
        <v>0</v>
      </c>
      <c r="U249" s="989">
        <f t="shared" si="15"/>
        <v>0</v>
      </c>
      <c r="V249" s="547">
        <v>0</v>
      </c>
      <c r="W249" s="566"/>
      <c r="X249" s="567"/>
      <c r="Y249" s="989">
        <f t="shared" si="13"/>
        <v>0</v>
      </c>
      <c r="Z249" s="812">
        <f t="shared" si="14"/>
        <v>0</v>
      </c>
    </row>
    <row r="250" spans="1:26" ht="27" customHeight="1">
      <c r="A250" s="531"/>
      <c r="B250" s="531"/>
      <c r="C250" s="529">
        <v>4</v>
      </c>
      <c r="D250" s="1027" t="s">
        <v>841</v>
      </c>
      <c r="E250" s="1028" t="s">
        <v>1244</v>
      </c>
      <c r="F250" s="547"/>
      <c r="G250" s="547"/>
      <c r="H250" s="547"/>
      <c r="I250" s="547"/>
      <c r="J250" s="547"/>
      <c r="K250" s="547"/>
      <c r="L250" s="547"/>
      <c r="M250" s="547"/>
      <c r="N250" s="547"/>
      <c r="O250" s="547"/>
      <c r="P250" s="547"/>
      <c r="Q250" s="547"/>
      <c r="R250" s="547"/>
      <c r="S250" s="989">
        <f t="shared" si="12"/>
        <v>0</v>
      </c>
      <c r="T250" s="547">
        <v>0</v>
      </c>
      <c r="U250" s="989">
        <f t="shared" si="15"/>
        <v>0</v>
      </c>
      <c r="V250" s="547">
        <v>0</v>
      </c>
      <c r="W250" s="566"/>
      <c r="X250" s="567"/>
      <c r="Y250" s="989">
        <f t="shared" si="13"/>
        <v>0</v>
      </c>
      <c r="Z250" s="812">
        <f t="shared" si="14"/>
        <v>0</v>
      </c>
    </row>
    <row r="251" spans="1:26" ht="27" customHeight="1">
      <c r="A251" s="531"/>
      <c r="B251" s="531">
        <v>406</v>
      </c>
      <c r="C251" s="529">
        <v>4</v>
      </c>
      <c r="D251" s="1027" t="s">
        <v>842</v>
      </c>
      <c r="E251" s="1028" t="s">
        <v>888</v>
      </c>
      <c r="F251" s="547"/>
      <c r="G251" s="547"/>
      <c r="H251" s="547"/>
      <c r="I251" s="547"/>
      <c r="J251" s="547"/>
      <c r="K251" s="547"/>
      <c r="L251" s="547"/>
      <c r="M251" s="547"/>
      <c r="N251" s="547"/>
      <c r="O251" s="547"/>
      <c r="P251" s="547"/>
      <c r="Q251" s="547"/>
      <c r="R251" s="547"/>
      <c r="S251" s="989">
        <f t="shared" si="12"/>
        <v>0</v>
      </c>
      <c r="T251" s="547">
        <v>0</v>
      </c>
      <c r="U251" s="989">
        <f t="shared" si="15"/>
        <v>0</v>
      </c>
      <c r="V251" s="547">
        <v>0</v>
      </c>
      <c r="W251" s="566"/>
      <c r="X251" s="567"/>
      <c r="Y251" s="989">
        <f t="shared" si="13"/>
        <v>0</v>
      </c>
      <c r="Z251" s="812">
        <f t="shared" si="14"/>
        <v>0</v>
      </c>
    </row>
    <row r="252" spans="1:26" ht="27" customHeight="1">
      <c r="A252" s="531"/>
      <c r="B252" s="531">
        <v>406</v>
      </c>
      <c r="C252" s="529">
        <v>4</v>
      </c>
      <c r="D252" s="1027" t="s">
        <v>1077</v>
      </c>
      <c r="E252" s="1028" t="s">
        <v>1078</v>
      </c>
      <c r="F252" s="547"/>
      <c r="G252" s="547"/>
      <c r="H252" s="547"/>
      <c r="I252" s="547"/>
      <c r="J252" s="547"/>
      <c r="K252" s="547"/>
      <c r="L252" s="547"/>
      <c r="M252" s="547"/>
      <c r="N252" s="547"/>
      <c r="O252" s="547"/>
      <c r="P252" s="547"/>
      <c r="Q252" s="547"/>
      <c r="R252" s="547"/>
      <c r="S252" s="989">
        <f t="shared" si="12"/>
        <v>0</v>
      </c>
      <c r="T252" s="547">
        <v>0</v>
      </c>
      <c r="U252" s="989">
        <f t="shared" si="15"/>
        <v>0</v>
      </c>
      <c r="V252" s="547">
        <v>0</v>
      </c>
      <c r="W252" s="566"/>
      <c r="X252" s="567"/>
      <c r="Y252" s="989">
        <f t="shared" si="13"/>
        <v>0</v>
      </c>
      <c r="Z252" s="812">
        <f t="shared" si="14"/>
        <v>0</v>
      </c>
    </row>
    <row r="253" spans="1:26" ht="27" customHeight="1">
      <c r="A253" s="531"/>
      <c r="B253" s="531">
        <v>1001</v>
      </c>
      <c r="C253" s="529">
        <v>10</v>
      </c>
      <c r="D253" s="1027" t="s">
        <v>1629</v>
      </c>
      <c r="E253" s="1028" t="s">
        <v>1630</v>
      </c>
      <c r="F253" s="547"/>
      <c r="G253" s="547"/>
      <c r="H253" s="547"/>
      <c r="I253" s="547"/>
      <c r="J253" s="547"/>
      <c r="K253" s="547"/>
      <c r="L253" s="547"/>
      <c r="M253" s="547"/>
      <c r="N253" s="547"/>
      <c r="O253" s="547"/>
      <c r="P253" s="547"/>
      <c r="Q253" s="547"/>
      <c r="R253" s="547"/>
      <c r="S253" s="989">
        <f t="shared" si="12"/>
        <v>0</v>
      </c>
      <c r="T253" s="547">
        <v>-113265040</v>
      </c>
      <c r="U253" s="989">
        <f t="shared" si="15"/>
        <v>0</v>
      </c>
      <c r="V253" s="547">
        <v>-113</v>
      </c>
      <c r="W253" s="566"/>
      <c r="X253" s="567"/>
      <c r="Y253" s="989">
        <f t="shared" si="13"/>
        <v>0</v>
      </c>
      <c r="Z253" s="812">
        <f t="shared" si="14"/>
        <v>0</v>
      </c>
    </row>
    <row r="254" spans="1:26" ht="27" customHeight="1">
      <c r="A254" s="531"/>
      <c r="B254" s="531">
        <v>406</v>
      </c>
      <c r="C254" s="529">
        <v>4</v>
      </c>
      <c r="D254" s="1027" t="s">
        <v>1079</v>
      </c>
      <c r="E254" s="1028" t="s">
        <v>1080</v>
      </c>
      <c r="F254" s="547"/>
      <c r="G254" s="547"/>
      <c r="H254" s="547"/>
      <c r="I254" s="547"/>
      <c r="J254" s="547"/>
      <c r="K254" s="547"/>
      <c r="L254" s="547"/>
      <c r="M254" s="547"/>
      <c r="N254" s="547"/>
      <c r="O254" s="547"/>
      <c r="P254" s="547"/>
      <c r="Q254" s="547"/>
      <c r="R254" s="547"/>
      <c r="S254" s="989">
        <f t="shared" si="12"/>
        <v>0</v>
      </c>
      <c r="T254" s="547">
        <v>0</v>
      </c>
      <c r="U254" s="989">
        <f t="shared" si="15"/>
        <v>0</v>
      </c>
      <c r="V254" s="547">
        <v>0</v>
      </c>
      <c r="W254" s="566"/>
      <c r="X254" s="567"/>
      <c r="Y254" s="989">
        <f t="shared" si="13"/>
        <v>0</v>
      </c>
      <c r="Z254" s="812">
        <f t="shared" si="14"/>
        <v>0</v>
      </c>
    </row>
    <row r="255" spans="1:26" ht="27" customHeight="1">
      <c r="A255" s="531"/>
      <c r="B255" s="531">
        <v>406</v>
      </c>
      <c r="C255" s="529">
        <v>4</v>
      </c>
      <c r="D255" s="1027" t="s">
        <v>560</v>
      </c>
      <c r="E255" s="1028" t="s">
        <v>1180</v>
      </c>
      <c r="F255" s="547">
        <v>1</v>
      </c>
      <c r="G255" s="547"/>
      <c r="H255" s="547"/>
      <c r="I255" s="547"/>
      <c r="J255" s="547"/>
      <c r="K255" s="547"/>
      <c r="L255" s="547"/>
      <c r="M255" s="547"/>
      <c r="N255" s="547"/>
      <c r="O255" s="547"/>
      <c r="P255" s="547"/>
      <c r="Q255" s="547"/>
      <c r="R255" s="547"/>
      <c r="S255" s="989">
        <f t="shared" si="12"/>
        <v>1</v>
      </c>
      <c r="T255" s="547">
        <v>1</v>
      </c>
      <c r="U255" s="989">
        <f t="shared" si="15"/>
        <v>0</v>
      </c>
      <c r="V255" s="547">
        <v>0</v>
      </c>
      <c r="W255" s="566"/>
      <c r="X255" s="567"/>
      <c r="Y255" s="989">
        <f t="shared" si="13"/>
        <v>1</v>
      </c>
      <c r="Z255" s="812">
        <f t="shared" si="14"/>
        <v>0</v>
      </c>
    </row>
    <row r="256" spans="1:26" ht="27" customHeight="1">
      <c r="A256" s="531"/>
      <c r="B256" s="531">
        <v>406</v>
      </c>
      <c r="C256" s="529">
        <v>4</v>
      </c>
      <c r="D256" s="1027" t="s">
        <v>1245</v>
      </c>
      <c r="E256" s="1028" t="s">
        <v>1246</v>
      </c>
      <c r="F256" s="547"/>
      <c r="G256" s="547"/>
      <c r="H256" s="547"/>
      <c r="I256" s="547"/>
      <c r="J256" s="547"/>
      <c r="K256" s="547"/>
      <c r="L256" s="547"/>
      <c r="M256" s="547"/>
      <c r="N256" s="547"/>
      <c r="O256" s="547"/>
      <c r="P256" s="547"/>
      <c r="Q256" s="547"/>
      <c r="R256" s="547"/>
      <c r="S256" s="989">
        <f t="shared" si="12"/>
        <v>0</v>
      </c>
      <c r="T256" s="547">
        <v>0</v>
      </c>
      <c r="U256" s="989">
        <f t="shared" si="15"/>
        <v>0</v>
      </c>
      <c r="V256" s="547">
        <v>0</v>
      </c>
      <c r="W256" s="566"/>
      <c r="X256" s="567"/>
      <c r="Y256" s="989">
        <f t="shared" si="13"/>
        <v>0</v>
      </c>
      <c r="Z256" s="812">
        <f t="shared" si="14"/>
        <v>0</v>
      </c>
    </row>
    <row r="257" spans="1:26" ht="27" customHeight="1">
      <c r="A257" s="531"/>
      <c r="B257" s="531">
        <v>406</v>
      </c>
      <c r="C257" s="529">
        <v>4</v>
      </c>
      <c r="D257" s="1027" t="s">
        <v>662</v>
      </c>
      <c r="E257" s="1028" t="s">
        <v>988</v>
      </c>
      <c r="F257" s="547">
        <v>3352276940</v>
      </c>
      <c r="G257" s="547"/>
      <c r="H257" s="547">
        <v>-552723130</v>
      </c>
      <c r="I257" s="547"/>
      <c r="J257" s="547">
        <v>-234433365</v>
      </c>
      <c r="K257" s="547"/>
      <c r="L257" s="547"/>
      <c r="M257" s="547"/>
      <c r="N257" s="547"/>
      <c r="O257" s="547"/>
      <c r="P257" s="547"/>
      <c r="Q257" s="547"/>
      <c r="R257" s="547"/>
      <c r="S257" s="989">
        <f t="shared" si="12"/>
        <v>2565120445</v>
      </c>
      <c r="T257" s="547">
        <v>19750336229</v>
      </c>
      <c r="U257" s="989">
        <f t="shared" si="15"/>
        <v>2565</v>
      </c>
      <c r="V257" s="547">
        <v>19750</v>
      </c>
      <c r="W257" s="566"/>
      <c r="X257" s="567"/>
      <c r="Y257" s="989">
        <f t="shared" si="13"/>
        <v>2565120445</v>
      </c>
      <c r="Z257" s="812">
        <f t="shared" si="14"/>
        <v>2565</v>
      </c>
    </row>
    <row r="258" spans="1:26" ht="27" customHeight="1">
      <c r="A258" s="531"/>
      <c r="B258" s="531">
        <v>1018</v>
      </c>
      <c r="C258" s="529">
        <v>10</v>
      </c>
      <c r="D258" s="1027" t="s">
        <v>889</v>
      </c>
      <c r="E258" s="1028" t="s">
        <v>891</v>
      </c>
      <c r="F258" s="547"/>
      <c r="G258" s="547"/>
      <c r="H258" s="547"/>
      <c r="I258" s="547"/>
      <c r="J258" s="547"/>
      <c r="K258" s="547"/>
      <c r="L258" s="547"/>
      <c r="M258" s="547"/>
      <c r="N258" s="547"/>
      <c r="O258" s="547"/>
      <c r="P258" s="547"/>
      <c r="Q258" s="547"/>
      <c r="R258" s="547"/>
      <c r="S258" s="989">
        <f t="shared" si="12"/>
        <v>0</v>
      </c>
      <c r="T258" s="547">
        <v>0</v>
      </c>
      <c r="U258" s="989">
        <f t="shared" si="15"/>
        <v>0</v>
      </c>
      <c r="V258" s="547">
        <v>0</v>
      </c>
      <c r="W258" s="566"/>
      <c r="X258" s="567"/>
      <c r="Y258" s="989">
        <f t="shared" si="13"/>
        <v>0</v>
      </c>
      <c r="Z258" s="812">
        <f t="shared" si="14"/>
        <v>0</v>
      </c>
    </row>
    <row r="259" spans="1:26" ht="27" customHeight="1">
      <c r="A259" s="531"/>
      <c r="B259" s="531">
        <v>1001</v>
      </c>
      <c r="C259" s="529">
        <v>10</v>
      </c>
      <c r="D259" s="1027" t="s">
        <v>116</v>
      </c>
      <c r="E259" s="1028" t="s">
        <v>1265</v>
      </c>
      <c r="F259" s="547">
        <v>-8000000</v>
      </c>
      <c r="G259" s="547"/>
      <c r="H259" s="547"/>
      <c r="I259" s="547"/>
      <c r="J259" s="547"/>
      <c r="K259" s="547"/>
      <c r="L259" s="547"/>
      <c r="M259" s="547"/>
      <c r="N259" s="547"/>
      <c r="O259" s="547"/>
      <c r="P259" s="547"/>
      <c r="Q259" s="547"/>
      <c r="R259" s="547"/>
      <c r="S259" s="989">
        <f t="shared" si="12"/>
        <v>-8000000</v>
      </c>
      <c r="T259" s="547">
        <v>0</v>
      </c>
      <c r="U259" s="989">
        <f t="shared" si="15"/>
        <v>-8</v>
      </c>
      <c r="V259" s="547">
        <v>0</v>
      </c>
      <c r="W259" s="566"/>
      <c r="X259" s="567"/>
      <c r="Y259" s="989">
        <f t="shared" si="13"/>
        <v>-8000000</v>
      </c>
      <c r="Z259" s="812">
        <f t="shared" si="14"/>
        <v>-8</v>
      </c>
    </row>
    <row r="260" spans="1:26" ht="27" customHeight="1">
      <c r="A260" s="531"/>
      <c r="B260" s="531">
        <v>1001</v>
      </c>
      <c r="C260" s="529">
        <v>10</v>
      </c>
      <c r="D260" s="1027" t="s">
        <v>485</v>
      </c>
      <c r="E260" s="1028" t="s">
        <v>898</v>
      </c>
      <c r="F260" s="547">
        <v>-329450327</v>
      </c>
      <c r="G260" s="547">
        <v>330860121</v>
      </c>
      <c r="H260" s="547"/>
      <c r="I260" s="547"/>
      <c r="J260" s="547"/>
      <c r="K260" s="547"/>
      <c r="L260" s="547"/>
      <c r="M260" s="547"/>
      <c r="N260" s="547"/>
      <c r="O260" s="547"/>
      <c r="P260" s="547"/>
      <c r="Q260" s="547"/>
      <c r="R260" s="547"/>
      <c r="S260" s="989">
        <f t="shared" si="12"/>
        <v>1409794</v>
      </c>
      <c r="T260" s="547">
        <v>1529794</v>
      </c>
      <c r="U260" s="989">
        <f t="shared" si="15"/>
        <v>1</v>
      </c>
      <c r="V260" s="547">
        <v>2</v>
      </c>
      <c r="W260" s="566"/>
      <c r="X260" s="567"/>
      <c r="Y260" s="989">
        <f t="shared" si="13"/>
        <v>1409794</v>
      </c>
      <c r="Z260" s="812">
        <f t="shared" si="14"/>
        <v>1</v>
      </c>
    </row>
    <row r="261" spans="1:26" ht="27" customHeight="1">
      <c r="A261" s="531"/>
      <c r="B261" s="531">
        <v>1001</v>
      </c>
      <c r="C261" s="529">
        <v>10</v>
      </c>
      <c r="D261" s="1027" t="s">
        <v>485</v>
      </c>
      <c r="E261" s="1028" t="s">
        <v>898</v>
      </c>
      <c r="F261" s="547"/>
      <c r="G261" s="547"/>
      <c r="H261" s="547"/>
      <c r="I261" s="547"/>
      <c r="J261" s="547"/>
      <c r="K261" s="547"/>
      <c r="L261" s="547"/>
      <c r="M261" s="547"/>
      <c r="N261" s="547"/>
      <c r="O261" s="547"/>
      <c r="P261" s="547"/>
      <c r="Q261" s="547"/>
      <c r="R261" s="547"/>
      <c r="S261" s="989">
        <f t="shared" si="12"/>
        <v>0</v>
      </c>
      <c r="T261" s="547">
        <v>0</v>
      </c>
      <c r="U261" s="989">
        <f t="shared" si="15"/>
        <v>0</v>
      </c>
      <c r="V261" s="547">
        <v>0</v>
      </c>
      <c r="W261" s="566"/>
      <c r="X261" s="567"/>
      <c r="Y261" s="989">
        <f t="shared" si="13"/>
        <v>0</v>
      </c>
      <c r="Z261" s="812">
        <f t="shared" si="14"/>
        <v>0</v>
      </c>
    </row>
    <row r="262" spans="1:26" ht="27" customHeight="1">
      <c r="A262" s="531"/>
      <c r="B262" s="531">
        <v>1018</v>
      </c>
      <c r="C262" s="529">
        <v>10</v>
      </c>
      <c r="D262" s="1027" t="s">
        <v>845</v>
      </c>
      <c r="E262" s="1028" t="s">
        <v>899</v>
      </c>
      <c r="F262" s="547">
        <v>492202</v>
      </c>
      <c r="G262" s="547"/>
      <c r="H262" s="547"/>
      <c r="I262" s="547"/>
      <c r="J262" s="547">
        <v>112800000</v>
      </c>
      <c r="K262" s="547"/>
      <c r="L262" s="547"/>
      <c r="M262" s="547"/>
      <c r="N262" s="547"/>
      <c r="O262" s="547"/>
      <c r="P262" s="547"/>
      <c r="Q262" s="547"/>
      <c r="R262" s="547"/>
      <c r="S262" s="989">
        <f t="shared" ref="S262:S325" si="16">SUM(F262:R262)</f>
        <v>113292202</v>
      </c>
      <c r="T262" s="547">
        <v>67613634</v>
      </c>
      <c r="U262" s="989">
        <f t="shared" si="15"/>
        <v>113</v>
      </c>
      <c r="V262" s="547">
        <v>68</v>
      </c>
      <c r="W262" s="566"/>
      <c r="X262" s="567"/>
      <c r="Y262" s="989">
        <f t="shared" ref="Y262:Y325" si="17">S262+X262-W262</f>
        <v>113292202</v>
      </c>
      <c r="Z262" s="812">
        <f t="shared" ref="Z262:Z325" si="18">ROUND((Y262/1000000),0)</f>
        <v>113</v>
      </c>
    </row>
    <row r="263" spans="1:26" ht="27" customHeight="1">
      <c r="A263" s="531"/>
      <c r="B263" s="531">
        <v>1018</v>
      </c>
      <c r="C263" s="529">
        <v>10</v>
      </c>
      <c r="D263" s="1027" t="s">
        <v>892</v>
      </c>
      <c r="E263" s="1028" t="s">
        <v>1181</v>
      </c>
      <c r="F263" s="547">
        <v>-18195021</v>
      </c>
      <c r="G263" s="547"/>
      <c r="H263" s="547"/>
      <c r="I263" s="547"/>
      <c r="J263" s="547"/>
      <c r="K263" s="547"/>
      <c r="L263" s="547"/>
      <c r="M263" s="547"/>
      <c r="N263" s="547"/>
      <c r="O263" s="547"/>
      <c r="P263" s="547"/>
      <c r="Q263" s="547"/>
      <c r="R263" s="547"/>
      <c r="S263" s="989">
        <f t="shared" si="16"/>
        <v>-18195021</v>
      </c>
      <c r="T263" s="547">
        <v>-14316199</v>
      </c>
      <c r="U263" s="989">
        <f t="shared" si="15"/>
        <v>-18</v>
      </c>
      <c r="V263" s="547">
        <v>-14</v>
      </c>
      <c r="W263" s="566"/>
      <c r="X263" s="567"/>
      <c r="Y263" s="989">
        <f t="shared" si="17"/>
        <v>-18195021</v>
      </c>
      <c r="Z263" s="812">
        <f t="shared" si="18"/>
        <v>-18</v>
      </c>
    </row>
    <row r="264" spans="1:26" ht="27" customHeight="1">
      <c r="A264" s="531"/>
      <c r="B264" s="531">
        <v>1018</v>
      </c>
      <c r="C264" s="529">
        <v>10</v>
      </c>
      <c r="D264" s="1027" t="s">
        <v>1182</v>
      </c>
      <c r="E264" s="1028" t="s">
        <v>1183</v>
      </c>
      <c r="F264" s="547">
        <v>-30000</v>
      </c>
      <c r="G264" s="547"/>
      <c r="H264" s="547"/>
      <c r="I264" s="547"/>
      <c r="J264" s="547"/>
      <c r="K264" s="547"/>
      <c r="L264" s="547"/>
      <c r="M264" s="547"/>
      <c r="N264" s="547"/>
      <c r="O264" s="547"/>
      <c r="P264" s="547"/>
      <c r="Q264" s="547"/>
      <c r="R264" s="547"/>
      <c r="S264" s="989">
        <f t="shared" si="16"/>
        <v>-30000</v>
      </c>
      <c r="T264" s="547">
        <v>-240000</v>
      </c>
      <c r="U264" s="989">
        <f t="shared" ref="U264:U327" si="19">ROUND((S264/1000000),0)</f>
        <v>0</v>
      </c>
      <c r="V264" s="547">
        <v>0</v>
      </c>
      <c r="W264" s="566"/>
      <c r="X264" s="567"/>
      <c r="Y264" s="989">
        <f t="shared" si="17"/>
        <v>-30000</v>
      </c>
      <c r="Z264" s="812">
        <f t="shared" si="18"/>
        <v>0</v>
      </c>
    </row>
    <row r="265" spans="1:26" ht="27" customHeight="1">
      <c r="A265" s="531"/>
      <c r="B265" s="531">
        <v>1018</v>
      </c>
      <c r="C265" s="529">
        <v>10</v>
      </c>
      <c r="D265" s="1027" t="s">
        <v>1184</v>
      </c>
      <c r="E265" s="1028" t="s">
        <v>1185</v>
      </c>
      <c r="F265" s="547">
        <v>-6600000</v>
      </c>
      <c r="G265" s="547">
        <v>6600000</v>
      </c>
      <c r="H265" s="547"/>
      <c r="I265" s="547"/>
      <c r="J265" s="547"/>
      <c r="K265" s="547"/>
      <c r="L265" s="547"/>
      <c r="M265" s="547"/>
      <c r="N265" s="547"/>
      <c r="O265" s="547"/>
      <c r="P265" s="547"/>
      <c r="Q265" s="547"/>
      <c r="R265" s="547"/>
      <c r="S265" s="989">
        <f t="shared" si="16"/>
        <v>0</v>
      </c>
      <c r="T265" s="547">
        <v>-6460000</v>
      </c>
      <c r="U265" s="989">
        <f t="shared" si="19"/>
        <v>0</v>
      </c>
      <c r="V265" s="547">
        <v>-6</v>
      </c>
      <c r="W265" s="566"/>
      <c r="X265" s="567"/>
      <c r="Y265" s="989">
        <f t="shared" si="17"/>
        <v>0</v>
      </c>
      <c r="Z265" s="812">
        <f t="shared" si="18"/>
        <v>0</v>
      </c>
    </row>
    <row r="266" spans="1:26" ht="27" customHeight="1">
      <c r="A266" s="531"/>
      <c r="B266" s="531">
        <v>1018</v>
      </c>
      <c r="C266" s="529">
        <v>10</v>
      </c>
      <c r="D266" s="1027" t="s">
        <v>1186</v>
      </c>
      <c r="E266" s="1028" t="s">
        <v>1187</v>
      </c>
      <c r="F266" s="547">
        <v>180589</v>
      </c>
      <c r="G266" s="547"/>
      <c r="H266" s="547"/>
      <c r="I266" s="547"/>
      <c r="J266" s="547"/>
      <c r="K266" s="547"/>
      <c r="L266" s="547"/>
      <c r="M266" s="547"/>
      <c r="N266" s="547"/>
      <c r="O266" s="547"/>
      <c r="P266" s="547"/>
      <c r="Q266" s="547"/>
      <c r="R266" s="547"/>
      <c r="S266" s="989">
        <f t="shared" si="16"/>
        <v>180589</v>
      </c>
      <c r="T266" s="547">
        <v>330459</v>
      </c>
      <c r="U266" s="989">
        <f t="shared" si="19"/>
        <v>0</v>
      </c>
      <c r="V266" s="547">
        <v>0</v>
      </c>
      <c r="W266" s="566"/>
      <c r="X266" s="567"/>
      <c r="Y266" s="989">
        <f t="shared" si="17"/>
        <v>180589</v>
      </c>
      <c r="Z266" s="812">
        <f t="shared" si="18"/>
        <v>0</v>
      </c>
    </row>
    <row r="267" spans="1:26" ht="27" customHeight="1">
      <c r="A267" s="531"/>
      <c r="B267" s="531">
        <v>1018</v>
      </c>
      <c r="C267" s="529">
        <v>10</v>
      </c>
      <c r="D267" s="1027" t="s">
        <v>844</v>
      </c>
      <c r="E267" s="1028" t="s">
        <v>1188</v>
      </c>
      <c r="F267" s="547">
        <v>-240000</v>
      </c>
      <c r="G267" s="547">
        <v>240000</v>
      </c>
      <c r="H267" s="547"/>
      <c r="I267" s="547"/>
      <c r="J267" s="547"/>
      <c r="K267" s="547"/>
      <c r="L267" s="547"/>
      <c r="M267" s="547"/>
      <c r="N267" s="547"/>
      <c r="O267" s="547"/>
      <c r="P267" s="547"/>
      <c r="Q267" s="547"/>
      <c r="R267" s="547"/>
      <c r="S267" s="989">
        <f t="shared" si="16"/>
        <v>0</v>
      </c>
      <c r="T267" s="547">
        <v>0</v>
      </c>
      <c r="U267" s="989">
        <f t="shared" si="19"/>
        <v>0</v>
      </c>
      <c r="V267" s="547">
        <v>0</v>
      </c>
      <c r="W267" s="566"/>
      <c r="X267" s="567"/>
      <c r="Y267" s="989">
        <f t="shared" si="17"/>
        <v>0</v>
      </c>
      <c r="Z267" s="812">
        <f t="shared" si="18"/>
        <v>0</v>
      </c>
    </row>
    <row r="268" spans="1:26" ht="27" customHeight="1">
      <c r="A268" s="531"/>
      <c r="B268" s="531">
        <v>1018</v>
      </c>
      <c r="C268" s="529">
        <v>10</v>
      </c>
      <c r="D268" s="1027" t="s">
        <v>1247</v>
      </c>
      <c r="E268" s="1028" t="s">
        <v>1105</v>
      </c>
      <c r="F268" s="547">
        <v>-1200000</v>
      </c>
      <c r="G268" s="547"/>
      <c r="H268" s="547"/>
      <c r="I268" s="547"/>
      <c r="J268" s="547"/>
      <c r="K268" s="547"/>
      <c r="L268" s="547"/>
      <c r="M268" s="547"/>
      <c r="N268" s="547"/>
      <c r="O268" s="547"/>
      <c r="P268" s="547"/>
      <c r="Q268" s="547"/>
      <c r="R268" s="547"/>
      <c r="S268" s="989">
        <f t="shared" si="16"/>
        <v>-1200000</v>
      </c>
      <c r="T268" s="547">
        <v>-600000</v>
      </c>
      <c r="U268" s="989">
        <f t="shared" si="19"/>
        <v>-1</v>
      </c>
      <c r="V268" s="547">
        <v>-1</v>
      </c>
      <c r="W268" s="566"/>
      <c r="X268" s="567"/>
      <c r="Y268" s="989">
        <f t="shared" si="17"/>
        <v>-1200000</v>
      </c>
      <c r="Z268" s="812">
        <f t="shared" si="18"/>
        <v>-1</v>
      </c>
    </row>
    <row r="269" spans="1:26" ht="27" customHeight="1">
      <c r="A269" s="531"/>
      <c r="B269" s="531">
        <v>401</v>
      </c>
      <c r="C269" s="529">
        <v>4</v>
      </c>
      <c r="D269" s="1027" t="s">
        <v>487</v>
      </c>
      <c r="E269" s="1028" t="s">
        <v>663</v>
      </c>
      <c r="F269" s="547"/>
      <c r="G269" s="547"/>
      <c r="H269" s="547"/>
      <c r="I269" s="547"/>
      <c r="J269" s="547"/>
      <c r="K269" s="547"/>
      <c r="L269" s="547"/>
      <c r="M269" s="547"/>
      <c r="N269" s="547"/>
      <c r="O269" s="547"/>
      <c r="P269" s="547"/>
      <c r="Q269" s="547"/>
      <c r="R269" s="547"/>
      <c r="S269" s="989">
        <f t="shared" si="16"/>
        <v>0</v>
      </c>
      <c r="T269" s="547">
        <v>0</v>
      </c>
      <c r="U269" s="989">
        <f t="shared" si="19"/>
        <v>0</v>
      </c>
      <c r="V269" s="547">
        <v>0</v>
      </c>
      <c r="W269" s="566"/>
      <c r="X269" s="567"/>
      <c r="Y269" s="989">
        <f t="shared" si="17"/>
        <v>0</v>
      </c>
      <c r="Z269" s="812">
        <f t="shared" si="18"/>
        <v>0</v>
      </c>
    </row>
    <row r="270" spans="1:26" ht="27" customHeight="1">
      <c r="A270" s="531"/>
      <c r="B270" s="531">
        <v>401</v>
      </c>
      <c r="C270" s="529">
        <v>4</v>
      </c>
      <c r="D270" s="1027" t="s">
        <v>846</v>
      </c>
      <c r="E270" s="1028" t="s">
        <v>847</v>
      </c>
      <c r="F270" s="547"/>
      <c r="G270" s="547"/>
      <c r="H270" s="547"/>
      <c r="I270" s="547"/>
      <c r="J270" s="547"/>
      <c r="K270" s="547"/>
      <c r="L270" s="547"/>
      <c r="M270" s="547"/>
      <c r="N270" s="547"/>
      <c r="O270" s="547"/>
      <c r="P270" s="547"/>
      <c r="Q270" s="547"/>
      <c r="R270" s="547"/>
      <c r="S270" s="989">
        <f t="shared" si="16"/>
        <v>0</v>
      </c>
      <c r="T270" s="547">
        <v>0</v>
      </c>
      <c r="U270" s="989">
        <f t="shared" si="19"/>
        <v>0</v>
      </c>
      <c r="V270" s="547">
        <v>0</v>
      </c>
      <c r="W270" s="566"/>
      <c r="X270" s="567"/>
      <c r="Y270" s="989">
        <f t="shared" si="17"/>
        <v>0</v>
      </c>
      <c r="Z270" s="812">
        <f t="shared" si="18"/>
        <v>0</v>
      </c>
    </row>
    <row r="271" spans="1:26" ht="27" customHeight="1">
      <c r="A271" s="531"/>
      <c r="B271" s="531">
        <v>1018</v>
      </c>
      <c r="C271" s="529">
        <v>10</v>
      </c>
      <c r="D271" s="1027" t="s">
        <v>1189</v>
      </c>
      <c r="E271" s="1028" t="s">
        <v>1190</v>
      </c>
      <c r="F271" s="547">
        <v>-470038790</v>
      </c>
      <c r="G271" s="547">
        <v>-1182850</v>
      </c>
      <c r="H271" s="547"/>
      <c r="I271" s="547"/>
      <c r="J271" s="547"/>
      <c r="K271" s="547"/>
      <c r="L271" s="547"/>
      <c r="M271" s="547"/>
      <c r="N271" s="547"/>
      <c r="O271" s="547"/>
      <c r="P271" s="547"/>
      <c r="Q271" s="547"/>
      <c r="R271" s="547"/>
      <c r="S271" s="989">
        <f t="shared" si="16"/>
        <v>-471221640</v>
      </c>
      <c r="T271" s="547">
        <v>-20000</v>
      </c>
      <c r="U271" s="989">
        <f t="shared" si="19"/>
        <v>-471</v>
      </c>
      <c r="V271" s="547">
        <v>0</v>
      </c>
      <c r="W271" s="566"/>
      <c r="X271" s="567"/>
      <c r="Y271" s="989">
        <f t="shared" si="17"/>
        <v>-471221640</v>
      </c>
      <c r="Z271" s="812">
        <f t="shared" si="18"/>
        <v>-471</v>
      </c>
    </row>
    <row r="272" spans="1:26" ht="27" customHeight="1">
      <c r="A272" s="531"/>
      <c r="B272" s="531">
        <v>1001</v>
      </c>
      <c r="C272" s="529">
        <v>10</v>
      </c>
      <c r="D272" s="1027" t="s">
        <v>1335</v>
      </c>
      <c r="E272" s="1028" t="s">
        <v>1336</v>
      </c>
      <c r="F272" s="547">
        <v>11304644</v>
      </c>
      <c r="G272" s="547"/>
      <c r="H272" s="547"/>
      <c r="I272" s="547"/>
      <c r="J272" s="547"/>
      <c r="K272" s="547"/>
      <c r="L272" s="547"/>
      <c r="M272" s="547"/>
      <c r="N272" s="547"/>
      <c r="O272" s="547"/>
      <c r="P272" s="547"/>
      <c r="Q272" s="547"/>
      <c r="R272" s="547"/>
      <c r="S272" s="989">
        <f t="shared" si="16"/>
        <v>11304644</v>
      </c>
      <c r="T272" s="547">
        <v>1123388</v>
      </c>
      <c r="U272" s="989">
        <f t="shared" si="19"/>
        <v>11</v>
      </c>
      <c r="V272" s="547">
        <v>1</v>
      </c>
      <c r="W272" s="566"/>
      <c r="X272" s="567"/>
      <c r="Y272" s="989">
        <f t="shared" si="17"/>
        <v>11304644</v>
      </c>
      <c r="Z272" s="812">
        <f t="shared" si="18"/>
        <v>11</v>
      </c>
    </row>
    <row r="273" spans="1:26" ht="27" customHeight="1">
      <c r="A273" s="531"/>
      <c r="B273" s="531">
        <v>1001</v>
      </c>
      <c r="C273" s="529">
        <v>10</v>
      </c>
      <c r="D273" s="1027" t="s">
        <v>1538</v>
      </c>
      <c r="E273" s="1028" t="s">
        <v>1545</v>
      </c>
      <c r="F273" s="547">
        <v>-158134</v>
      </c>
      <c r="G273" s="547"/>
      <c r="H273" s="547"/>
      <c r="I273" s="547"/>
      <c r="J273" s="547"/>
      <c r="K273" s="547"/>
      <c r="L273" s="547"/>
      <c r="M273" s="547"/>
      <c r="N273" s="547"/>
      <c r="O273" s="547"/>
      <c r="P273" s="547"/>
      <c r="Q273" s="547"/>
      <c r="R273" s="547"/>
      <c r="S273" s="989">
        <f t="shared" si="16"/>
        <v>-158134</v>
      </c>
      <c r="T273" s="547">
        <v>-160975</v>
      </c>
      <c r="U273" s="989">
        <f t="shared" si="19"/>
        <v>0</v>
      </c>
      <c r="V273" s="547">
        <v>0</v>
      </c>
      <c r="W273" s="566"/>
      <c r="X273" s="567"/>
      <c r="Y273" s="989">
        <f t="shared" si="17"/>
        <v>-158134</v>
      </c>
      <c r="Z273" s="812">
        <f t="shared" si="18"/>
        <v>0</v>
      </c>
    </row>
    <row r="274" spans="1:26" ht="27" customHeight="1">
      <c r="A274" s="531"/>
      <c r="B274" s="531">
        <v>1001</v>
      </c>
      <c r="C274" s="529">
        <v>10</v>
      </c>
      <c r="D274" s="1027" t="s">
        <v>1539</v>
      </c>
      <c r="E274" s="1028" t="s">
        <v>1546</v>
      </c>
      <c r="F274" s="547">
        <v>151658</v>
      </c>
      <c r="G274" s="547"/>
      <c r="H274" s="547"/>
      <c r="I274" s="547"/>
      <c r="J274" s="547"/>
      <c r="K274" s="547"/>
      <c r="L274" s="547"/>
      <c r="M274" s="547"/>
      <c r="N274" s="547"/>
      <c r="O274" s="547"/>
      <c r="P274" s="547"/>
      <c r="Q274" s="547"/>
      <c r="R274" s="547"/>
      <c r="S274" s="989">
        <f t="shared" si="16"/>
        <v>151658</v>
      </c>
      <c r="T274" s="547">
        <v>14738</v>
      </c>
      <c r="U274" s="989">
        <f t="shared" si="19"/>
        <v>0</v>
      </c>
      <c r="V274" s="547">
        <v>0</v>
      </c>
      <c r="W274" s="566"/>
      <c r="X274" s="567"/>
      <c r="Y274" s="989">
        <f t="shared" si="17"/>
        <v>151658</v>
      </c>
      <c r="Z274" s="812">
        <f t="shared" si="18"/>
        <v>0</v>
      </c>
    </row>
    <row r="275" spans="1:26" ht="27" customHeight="1">
      <c r="A275" s="531"/>
      <c r="B275" s="531">
        <v>1001</v>
      </c>
      <c r="C275" s="529">
        <v>10</v>
      </c>
      <c r="D275" s="1027" t="s">
        <v>1540</v>
      </c>
      <c r="E275" s="1028" t="s">
        <v>1547</v>
      </c>
      <c r="F275" s="547">
        <v>-198380</v>
      </c>
      <c r="G275" s="547"/>
      <c r="H275" s="547"/>
      <c r="I275" s="547"/>
      <c r="J275" s="547"/>
      <c r="K275" s="547"/>
      <c r="L275" s="547"/>
      <c r="M275" s="547"/>
      <c r="N275" s="547"/>
      <c r="O275" s="547"/>
      <c r="P275" s="547"/>
      <c r="Q275" s="547"/>
      <c r="R275" s="547"/>
      <c r="S275" s="989">
        <f t="shared" si="16"/>
        <v>-198380</v>
      </c>
      <c r="T275" s="547">
        <v>-253355</v>
      </c>
      <c r="U275" s="989">
        <f t="shared" si="19"/>
        <v>0</v>
      </c>
      <c r="V275" s="547">
        <v>0</v>
      </c>
      <c r="W275" s="566"/>
      <c r="X275" s="567"/>
      <c r="Y275" s="989">
        <f t="shared" si="17"/>
        <v>-198380</v>
      </c>
      <c r="Z275" s="812">
        <f t="shared" si="18"/>
        <v>0</v>
      </c>
    </row>
    <row r="276" spans="1:26" ht="27" customHeight="1">
      <c r="A276" s="531"/>
      <c r="B276" s="531">
        <v>1001</v>
      </c>
      <c r="C276" s="529">
        <v>10</v>
      </c>
      <c r="D276" s="1027" t="s">
        <v>1541</v>
      </c>
      <c r="E276" s="1028" t="s">
        <v>1548</v>
      </c>
      <c r="F276" s="547">
        <v>3533240</v>
      </c>
      <c r="G276" s="547"/>
      <c r="H276" s="547"/>
      <c r="I276" s="547"/>
      <c r="J276" s="547"/>
      <c r="K276" s="547"/>
      <c r="L276" s="547"/>
      <c r="M276" s="547"/>
      <c r="N276" s="547"/>
      <c r="O276" s="547"/>
      <c r="P276" s="547"/>
      <c r="Q276" s="547"/>
      <c r="R276" s="547"/>
      <c r="S276" s="989">
        <f t="shared" si="16"/>
        <v>3533240</v>
      </c>
      <c r="T276" s="547">
        <v>1685087</v>
      </c>
      <c r="U276" s="989">
        <f t="shared" si="19"/>
        <v>4</v>
      </c>
      <c r="V276" s="547">
        <v>2</v>
      </c>
      <c r="W276" s="566"/>
      <c r="X276" s="567"/>
      <c r="Y276" s="989">
        <f t="shared" si="17"/>
        <v>3533240</v>
      </c>
      <c r="Z276" s="812">
        <f t="shared" si="18"/>
        <v>4</v>
      </c>
    </row>
    <row r="277" spans="1:26" ht="27" customHeight="1">
      <c r="A277" s="531"/>
      <c r="B277" s="531">
        <v>1001</v>
      </c>
      <c r="C277" s="529">
        <v>10</v>
      </c>
      <c r="D277" s="1027" t="s">
        <v>1542</v>
      </c>
      <c r="E277" s="1028" t="s">
        <v>1549</v>
      </c>
      <c r="F277" s="547">
        <v>-632610</v>
      </c>
      <c r="G277" s="547"/>
      <c r="H277" s="547"/>
      <c r="I277" s="547"/>
      <c r="J277" s="547"/>
      <c r="K277" s="547"/>
      <c r="L277" s="547"/>
      <c r="M277" s="547"/>
      <c r="N277" s="547"/>
      <c r="O277" s="547"/>
      <c r="P277" s="547"/>
      <c r="Q277" s="547"/>
      <c r="R277" s="547"/>
      <c r="S277" s="989">
        <f t="shared" si="16"/>
        <v>-632610</v>
      </c>
      <c r="T277" s="547">
        <v>-643869</v>
      </c>
      <c r="U277" s="989">
        <f t="shared" si="19"/>
        <v>-1</v>
      </c>
      <c r="V277" s="547">
        <v>-1</v>
      </c>
      <c r="W277" s="566"/>
      <c r="X277" s="567"/>
      <c r="Y277" s="989">
        <f t="shared" si="17"/>
        <v>-632610</v>
      </c>
      <c r="Z277" s="812">
        <f t="shared" si="18"/>
        <v>-1</v>
      </c>
    </row>
    <row r="278" spans="1:26" ht="27" customHeight="1">
      <c r="A278" s="531"/>
      <c r="B278" s="531">
        <v>1001</v>
      </c>
      <c r="C278" s="529">
        <v>10</v>
      </c>
      <c r="D278" s="1027" t="s">
        <v>1543</v>
      </c>
      <c r="E278" s="1028" t="s">
        <v>1550</v>
      </c>
      <c r="F278" s="547">
        <v>303284</v>
      </c>
      <c r="G278" s="547"/>
      <c r="H278" s="547"/>
      <c r="I278" s="547"/>
      <c r="J278" s="547"/>
      <c r="K278" s="547"/>
      <c r="L278" s="547"/>
      <c r="M278" s="547"/>
      <c r="N278" s="547"/>
      <c r="O278" s="547"/>
      <c r="P278" s="547"/>
      <c r="Q278" s="547"/>
      <c r="R278" s="547"/>
      <c r="S278" s="989">
        <f t="shared" si="16"/>
        <v>303284</v>
      </c>
      <c r="T278" s="547">
        <v>29486</v>
      </c>
      <c r="U278" s="989">
        <f t="shared" si="19"/>
        <v>0</v>
      </c>
      <c r="V278" s="547">
        <v>0</v>
      </c>
      <c r="W278" s="566"/>
      <c r="X278" s="567"/>
      <c r="Y278" s="989">
        <f t="shared" si="17"/>
        <v>303284</v>
      </c>
      <c r="Z278" s="812">
        <f t="shared" si="18"/>
        <v>0</v>
      </c>
    </row>
    <row r="279" spans="1:26" ht="27" customHeight="1">
      <c r="A279" s="531"/>
      <c r="B279" s="531">
        <v>1001</v>
      </c>
      <c r="C279" s="529">
        <v>10</v>
      </c>
      <c r="D279" s="1027" t="s">
        <v>1544</v>
      </c>
      <c r="E279" s="1028" t="s">
        <v>1551</v>
      </c>
      <c r="F279" s="547">
        <v>1104060</v>
      </c>
      <c r="G279" s="547"/>
      <c r="H279" s="547"/>
      <c r="I279" s="547"/>
      <c r="J279" s="547"/>
      <c r="K279" s="547"/>
      <c r="L279" s="547"/>
      <c r="M279" s="547"/>
      <c r="N279" s="547"/>
      <c r="O279" s="547"/>
      <c r="P279" s="547"/>
      <c r="Q279" s="547"/>
      <c r="R279" s="547"/>
      <c r="S279" s="989">
        <f t="shared" si="16"/>
        <v>1104060</v>
      </c>
      <c r="T279" s="547">
        <v>-342789</v>
      </c>
      <c r="U279" s="989">
        <f t="shared" si="19"/>
        <v>1</v>
      </c>
      <c r="V279" s="547">
        <v>0</v>
      </c>
      <c r="W279" s="566"/>
      <c r="X279" s="567"/>
      <c r="Y279" s="989">
        <f t="shared" si="17"/>
        <v>1104060</v>
      </c>
      <c r="Z279" s="812">
        <f t="shared" si="18"/>
        <v>1</v>
      </c>
    </row>
    <row r="280" spans="1:26" ht="27" customHeight="1">
      <c r="A280" s="531"/>
      <c r="B280" s="531">
        <v>406</v>
      </c>
      <c r="C280" s="529">
        <v>4</v>
      </c>
      <c r="D280" s="1027" t="s">
        <v>1191</v>
      </c>
      <c r="E280" s="1028" t="s">
        <v>1192</v>
      </c>
      <c r="F280" s="547">
        <v>3233832</v>
      </c>
      <c r="G280" s="547"/>
      <c r="H280" s="547"/>
      <c r="I280" s="547"/>
      <c r="J280" s="547"/>
      <c r="K280" s="547"/>
      <c r="L280" s="547"/>
      <c r="M280" s="547"/>
      <c r="N280" s="547"/>
      <c r="O280" s="547"/>
      <c r="P280" s="547"/>
      <c r="Q280" s="547"/>
      <c r="R280" s="547"/>
      <c r="S280" s="989">
        <f t="shared" si="16"/>
        <v>3233832</v>
      </c>
      <c r="T280" s="547">
        <v>3233832</v>
      </c>
      <c r="U280" s="989">
        <f t="shared" si="19"/>
        <v>3</v>
      </c>
      <c r="V280" s="547">
        <v>3</v>
      </c>
      <c r="W280" s="566"/>
      <c r="X280" s="567"/>
      <c r="Y280" s="989">
        <f t="shared" si="17"/>
        <v>3233832</v>
      </c>
      <c r="Z280" s="812">
        <f t="shared" si="18"/>
        <v>3</v>
      </c>
    </row>
    <row r="281" spans="1:26" ht="27" customHeight="1">
      <c r="A281" s="531"/>
      <c r="B281" s="531">
        <v>1018</v>
      </c>
      <c r="C281" s="529">
        <v>10</v>
      </c>
      <c r="D281" s="1027" t="s">
        <v>989</v>
      </c>
      <c r="E281" s="1028" t="s">
        <v>990</v>
      </c>
      <c r="F281" s="547"/>
      <c r="G281" s="547"/>
      <c r="H281" s="547"/>
      <c r="I281" s="547"/>
      <c r="J281" s="547"/>
      <c r="K281" s="547"/>
      <c r="L281" s="547"/>
      <c r="M281" s="547"/>
      <c r="N281" s="547"/>
      <c r="O281" s="547"/>
      <c r="P281" s="547"/>
      <c r="Q281" s="547"/>
      <c r="R281" s="547"/>
      <c r="S281" s="989">
        <f t="shared" si="16"/>
        <v>0</v>
      </c>
      <c r="T281" s="547">
        <v>0</v>
      </c>
      <c r="U281" s="989">
        <f t="shared" si="19"/>
        <v>0</v>
      </c>
      <c r="V281" s="547">
        <v>0</v>
      </c>
      <c r="W281" s="566"/>
      <c r="X281" s="567"/>
      <c r="Y281" s="989">
        <f t="shared" si="17"/>
        <v>0</v>
      </c>
      <c r="Z281" s="812">
        <f t="shared" si="18"/>
        <v>0</v>
      </c>
    </row>
    <row r="282" spans="1:26" ht="27" customHeight="1">
      <c r="A282" s="531"/>
      <c r="B282" s="531">
        <v>1018</v>
      </c>
      <c r="C282" s="529">
        <v>10</v>
      </c>
      <c r="D282" s="1027" t="s">
        <v>991</v>
      </c>
      <c r="E282" s="1028" t="s">
        <v>992</v>
      </c>
      <c r="F282" s="547">
        <v>-3200000</v>
      </c>
      <c r="G282" s="547"/>
      <c r="H282" s="547"/>
      <c r="I282" s="547"/>
      <c r="J282" s="547"/>
      <c r="K282" s="547"/>
      <c r="L282" s="547"/>
      <c r="M282" s="547"/>
      <c r="N282" s="547"/>
      <c r="O282" s="547"/>
      <c r="P282" s="547"/>
      <c r="Q282" s="547"/>
      <c r="R282" s="547"/>
      <c r="S282" s="989">
        <f t="shared" si="16"/>
        <v>-3200000</v>
      </c>
      <c r="T282" s="547">
        <v>-800000</v>
      </c>
      <c r="U282" s="989">
        <f t="shared" si="19"/>
        <v>-3</v>
      </c>
      <c r="V282" s="547">
        <v>-1</v>
      </c>
      <c r="W282" s="566"/>
      <c r="X282" s="567"/>
      <c r="Y282" s="989">
        <f t="shared" si="17"/>
        <v>-3200000</v>
      </c>
      <c r="Z282" s="812">
        <f t="shared" si="18"/>
        <v>-3</v>
      </c>
    </row>
    <row r="283" spans="1:26" ht="27" customHeight="1">
      <c r="A283" s="531"/>
      <c r="B283" s="531">
        <v>1018</v>
      </c>
      <c r="C283" s="529">
        <v>10</v>
      </c>
      <c r="D283" s="1027" t="s">
        <v>277</v>
      </c>
      <c r="E283" s="1028" t="s">
        <v>278</v>
      </c>
      <c r="F283" s="547">
        <v>381800</v>
      </c>
      <c r="G283" s="547"/>
      <c r="H283" s="547"/>
      <c r="I283" s="547"/>
      <c r="J283" s="547"/>
      <c r="K283" s="547"/>
      <c r="L283" s="547"/>
      <c r="M283" s="547"/>
      <c r="N283" s="547"/>
      <c r="O283" s="547"/>
      <c r="P283" s="547"/>
      <c r="Q283" s="547"/>
      <c r="R283" s="547"/>
      <c r="S283" s="989">
        <f t="shared" si="16"/>
        <v>381800</v>
      </c>
      <c r="T283" s="547">
        <v>0</v>
      </c>
      <c r="U283" s="989">
        <f t="shared" si="19"/>
        <v>0</v>
      </c>
      <c r="V283" s="547">
        <v>0</v>
      </c>
      <c r="W283" s="566"/>
      <c r="X283" s="567"/>
      <c r="Y283" s="989">
        <f t="shared" si="17"/>
        <v>381800</v>
      </c>
      <c r="Z283" s="812">
        <f t="shared" si="18"/>
        <v>0</v>
      </c>
    </row>
    <row r="284" spans="1:26" ht="27" customHeight="1">
      <c r="A284" s="531"/>
      <c r="B284" s="531">
        <v>1018</v>
      </c>
      <c r="C284" s="529">
        <v>10</v>
      </c>
      <c r="D284" s="1027" t="s">
        <v>993</v>
      </c>
      <c r="E284" s="1028" t="s">
        <v>994</v>
      </c>
      <c r="F284" s="547">
        <v>-200000</v>
      </c>
      <c r="G284" s="547"/>
      <c r="H284" s="547"/>
      <c r="I284" s="547"/>
      <c r="J284" s="547"/>
      <c r="K284" s="547"/>
      <c r="L284" s="547"/>
      <c r="M284" s="547"/>
      <c r="N284" s="547"/>
      <c r="O284" s="547"/>
      <c r="P284" s="547"/>
      <c r="Q284" s="547"/>
      <c r="R284" s="547"/>
      <c r="S284" s="989">
        <f t="shared" si="16"/>
        <v>-200000</v>
      </c>
      <c r="T284" s="547">
        <v>-200000</v>
      </c>
      <c r="U284" s="989">
        <f t="shared" si="19"/>
        <v>0</v>
      </c>
      <c r="V284" s="547">
        <v>0</v>
      </c>
      <c r="W284" s="566"/>
      <c r="X284" s="567"/>
      <c r="Y284" s="989">
        <f t="shared" si="17"/>
        <v>-200000</v>
      </c>
      <c r="Z284" s="812">
        <f t="shared" si="18"/>
        <v>0</v>
      </c>
    </row>
    <row r="285" spans="1:26" ht="27" customHeight="1">
      <c r="A285" s="531"/>
      <c r="B285" s="531">
        <v>1018</v>
      </c>
      <c r="C285" s="529">
        <v>10</v>
      </c>
      <c r="D285" s="1027" t="s">
        <v>995</v>
      </c>
      <c r="E285" s="1028" t="s">
        <v>996</v>
      </c>
      <c r="F285" s="547">
        <v>100000</v>
      </c>
      <c r="G285" s="547"/>
      <c r="H285" s="547"/>
      <c r="I285" s="547"/>
      <c r="J285" s="547"/>
      <c r="K285" s="547"/>
      <c r="L285" s="547"/>
      <c r="M285" s="547"/>
      <c r="N285" s="547"/>
      <c r="O285" s="547"/>
      <c r="P285" s="547"/>
      <c r="Q285" s="547"/>
      <c r="R285" s="547"/>
      <c r="S285" s="989">
        <f t="shared" si="16"/>
        <v>100000</v>
      </c>
      <c r="T285" s="547">
        <v>0</v>
      </c>
      <c r="U285" s="989">
        <f t="shared" si="19"/>
        <v>0</v>
      </c>
      <c r="V285" s="547">
        <v>0</v>
      </c>
      <c r="W285" s="566"/>
      <c r="X285" s="567"/>
      <c r="Y285" s="989">
        <f t="shared" si="17"/>
        <v>100000</v>
      </c>
      <c r="Z285" s="812">
        <f t="shared" si="18"/>
        <v>0</v>
      </c>
    </row>
    <row r="286" spans="1:26" ht="27" customHeight="1">
      <c r="A286" s="531"/>
      <c r="B286" s="531">
        <v>406</v>
      </c>
      <c r="C286" s="529">
        <v>4</v>
      </c>
      <c r="D286" s="1027" t="s">
        <v>1106</v>
      </c>
      <c r="E286" s="1028" t="s">
        <v>1337</v>
      </c>
      <c r="F286" s="547"/>
      <c r="G286" s="547"/>
      <c r="H286" s="547"/>
      <c r="I286" s="547"/>
      <c r="J286" s="547"/>
      <c r="K286" s="547"/>
      <c r="L286" s="547"/>
      <c r="M286" s="547"/>
      <c r="N286" s="547"/>
      <c r="O286" s="547"/>
      <c r="P286" s="547"/>
      <c r="Q286" s="547"/>
      <c r="R286" s="547"/>
      <c r="S286" s="989">
        <f t="shared" si="16"/>
        <v>0</v>
      </c>
      <c r="T286" s="547">
        <v>0</v>
      </c>
      <c r="U286" s="989">
        <f t="shared" si="19"/>
        <v>0</v>
      </c>
      <c r="V286" s="547">
        <v>0</v>
      </c>
      <c r="W286" s="566"/>
      <c r="X286" s="567"/>
      <c r="Y286" s="989">
        <f t="shared" si="17"/>
        <v>0</v>
      </c>
      <c r="Z286" s="812">
        <f t="shared" si="18"/>
        <v>0</v>
      </c>
    </row>
    <row r="287" spans="1:26" ht="27" customHeight="1">
      <c r="A287" s="531"/>
      <c r="B287" s="531">
        <v>1018</v>
      </c>
      <c r="C287" s="529">
        <v>10</v>
      </c>
      <c r="D287" s="1027" t="s">
        <v>1373</v>
      </c>
      <c r="E287" s="1028" t="s">
        <v>1374</v>
      </c>
      <c r="F287" s="547"/>
      <c r="G287" s="547"/>
      <c r="H287" s="547"/>
      <c r="I287" s="547"/>
      <c r="J287" s="547"/>
      <c r="K287" s="547"/>
      <c r="L287" s="547"/>
      <c r="M287" s="547"/>
      <c r="N287" s="547"/>
      <c r="O287" s="547"/>
      <c r="P287" s="547"/>
      <c r="Q287" s="547"/>
      <c r="R287" s="547"/>
      <c r="S287" s="989">
        <f t="shared" si="16"/>
        <v>0</v>
      </c>
      <c r="T287" s="547">
        <v>0</v>
      </c>
      <c r="U287" s="989">
        <f t="shared" si="19"/>
        <v>0</v>
      </c>
      <c r="V287" s="547">
        <v>0</v>
      </c>
      <c r="W287" s="566"/>
      <c r="X287" s="567"/>
      <c r="Y287" s="989">
        <f t="shared" si="17"/>
        <v>0</v>
      </c>
      <c r="Z287" s="812">
        <f t="shared" si="18"/>
        <v>0</v>
      </c>
    </row>
    <row r="288" spans="1:26" ht="27" customHeight="1">
      <c r="A288" s="531"/>
      <c r="B288" s="531">
        <v>1018</v>
      </c>
      <c r="C288" s="529">
        <v>10</v>
      </c>
      <c r="D288" s="1027" t="s">
        <v>1193</v>
      </c>
      <c r="E288" s="1028" t="s">
        <v>1194</v>
      </c>
      <c r="F288" s="547">
        <v>-430000</v>
      </c>
      <c r="G288" s="547"/>
      <c r="H288" s="547"/>
      <c r="I288" s="547"/>
      <c r="J288" s="547"/>
      <c r="K288" s="547"/>
      <c r="L288" s="547"/>
      <c r="M288" s="547"/>
      <c r="N288" s="547"/>
      <c r="O288" s="547"/>
      <c r="P288" s="547"/>
      <c r="Q288" s="547"/>
      <c r="R288" s="547"/>
      <c r="S288" s="989">
        <f t="shared" si="16"/>
        <v>-430000</v>
      </c>
      <c r="T288" s="547">
        <v>-2910000</v>
      </c>
      <c r="U288" s="989">
        <f t="shared" si="19"/>
        <v>0</v>
      </c>
      <c r="V288" s="547">
        <v>-3</v>
      </c>
      <c r="W288" s="566"/>
      <c r="X288" s="567"/>
      <c r="Y288" s="989">
        <f t="shared" si="17"/>
        <v>-430000</v>
      </c>
      <c r="Z288" s="812">
        <f t="shared" si="18"/>
        <v>0</v>
      </c>
    </row>
    <row r="289" spans="1:26" ht="27" customHeight="1">
      <c r="A289" s="531"/>
      <c r="B289" s="531">
        <v>1001</v>
      </c>
      <c r="C289" s="529">
        <v>10</v>
      </c>
      <c r="D289" s="1027" t="s">
        <v>1338</v>
      </c>
      <c r="E289" s="1028" t="s">
        <v>1339</v>
      </c>
      <c r="F289" s="547"/>
      <c r="G289" s="547"/>
      <c r="H289" s="547"/>
      <c r="I289" s="547"/>
      <c r="J289" s="547"/>
      <c r="K289" s="547"/>
      <c r="L289" s="547"/>
      <c r="M289" s="547"/>
      <c r="N289" s="547"/>
      <c r="O289" s="547"/>
      <c r="P289" s="547"/>
      <c r="Q289" s="547"/>
      <c r="R289" s="547"/>
      <c r="S289" s="989">
        <f t="shared" si="16"/>
        <v>0</v>
      </c>
      <c r="T289" s="547">
        <v>-50740000</v>
      </c>
      <c r="U289" s="989">
        <f t="shared" si="19"/>
        <v>0</v>
      </c>
      <c r="V289" s="547">
        <v>-51</v>
      </c>
      <c r="W289" s="566"/>
      <c r="X289" s="567"/>
      <c r="Y289" s="989">
        <f t="shared" si="17"/>
        <v>0</v>
      </c>
      <c r="Z289" s="812">
        <f t="shared" si="18"/>
        <v>0</v>
      </c>
    </row>
    <row r="290" spans="1:26" ht="27" customHeight="1">
      <c r="A290" s="531"/>
      <c r="B290" s="531">
        <v>1018</v>
      </c>
      <c r="C290" s="529">
        <v>10</v>
      </c>
      <c r="D290" s="1027" t="s">
        <v>752</v>
      </c>
      <c r="E290" s="1028" t="s">
        <v>997</v>
      </c>
      <c r="F290" s="547"/>
      <c r="G290" s="547"/>
      <c r="H290" s="547"/>
      <c r="I290" s="547"/>
      <c r="J290" s="547"/>
      <c r="K290" s="547"/>
      <c r="L290" s="547"/>
      <c r="M290" s="547"/>
      <c r="N290" s="547"/>
      <c r="O290" s="547"/>
      <c r="P290" s="547"/>
      <c r="Q290" s="547"/>
      <c r="R290" s="547"/>
      <c r="S290" s="989">
        <f t="shared" si="16"/>
        <v>0</v>
      </c>
      <c r="T290" s="547">
        <v>0</v>
      </c>
      <c r="U290" s="989">
        <f t="shared" si="19"/>
        <v>0</v>
      </c>
      <c r="V290" s="547">
        <v>0</v>
      </c>
      <c r="W290" s="566"/>
      <c r="X290" s="567"/>
      <c r="Y290" s="989">
        <f t="shared" si="17"/>
        <v>0</v>
      </c>
      <c r="Z290" s="812">
        <f t="shared" si="18"/>
        <v>0</v>
      </c>
    </row>
    <row r="291" spans="1:26" ht="27" customHeight="1">
      <c r="A291" s="531"/>
      <c r="B291" s="531">
        <v>1018</v>
      </c>
      <c r="C291" s="529">
        <v>10</v>
      </c>
      <c r="D291" s="1027" t="s">
        <v>665</v>
      </c>
      <c r="E291" s="1028" t="s">
        <v>664</v>
      </c>
      <c r="F291" s="547"/>
      <c r="G291" s="547"/>
      <c r="H291" s="547"/>
      <c r="I291" s="547"/>
      <c r="J291" s="547"/>
      <c r="K291" s="547"/>
      <c r="L291" s="547"/>
      <c r="M291" s="547"/>
      <c r="N291" s="547"/>
      <c r="O291" s="547"/>
      <c r="P291" s="547"/>
      <c r="Q291" s="547"/>
      <c r="R291" s="547"/>
      <c r="S291" s="989">
        <f t="shared" si="16"/>
        <v>0</v>
      </c>
      <c r="T291" s="547">
        <v>0</v>
      </c>
      <c r="U291" s="989">
        <f t="shared" si="19"/>
        <v>0</v>
      </c>
      <c r="V291" s="547">
        <v>0</v>
      </c>
      <c r="W291" s="566"/>
      <c r="X291" s="567"/>
      <c r="Y291" s="989">
        <f t="shared" si="17"/>
        <v>0</v>
      </c>
      <c r="Z291" s="812">
        <f t="shared" si="18"/>
        <v>0</v>
      </c>
    </row>
    <row r="292" spans="1:26" ht="27" customHeight="1">
      <c r="A292" s="531"/>
      <c r="B292" s="531">
        <v>406</v>
      </c>
      <c r="C292" s="529">
        <v>4</v>
      </c>
      <c r="D292" s="1027" t="s">
        <v>489</v>
      </c>
      <c r="E292" s="1028" t="s">
        <v>854</v>
      </c>
      <c r="F292" s="547">
        <v>71320783</v>
      </c>
      <c r="G292" s="547"/>
      <c r="H292" s="547"/>
      <c r="I292" s="547"/>
      <c r="J292" s="547"/>
      <c r="K292" s="547"/>
      <c r="L292" s="547"/>
      <c r="M292" s="547"/>
      <c r="N292" s="547"/>
      <c r="O292" s="547"/>
      <c r="P292" s="547"/>
      <c r="Q292" s="547"/>
      <c r="R292" s="547"/>
      <c r="S292" s="989">
        <f t="shared" si="16"/>
        <v>71320783</v>
      </c>
      <c r="T292" s="547">
        <v>71320783</v>
      </c>
      <c r="U292" s="989">
        <f t="shared" si="19"/>
        <v>71</v>
      </c>
      <c r="V292" s="547">
        <v>71</v>
      </c>
      <c r="W292" s="566"/>
      <c r="X292" s="567"/>
      <c r="Y292" s="989">
        <f t="shared" si="17"/>
        <v>71320783</v>
      </c>
      <c r="Z292" s="812">
        <f t="shared" si="18"/>
        <v>71</v>
      </c>
    </row>
    <row r="293" spans="1:26" ht="26.25" customHeight="1">
      <c r="A293" s="531"/>
      <c r="B293" s="531">
        <v>406</v>
      </c>
      <c r="C293" s="529">
        <v>4</v>
      </c>
      <c r="D293" s="1027" t="s">
        <v>293</v>
      </c>
      <c r="E293" s="1028" t="s">
        <v>467</v>
      </c>
      <c r="F293" s="547">
        <v>1426342151</v>
      </c>
      <c r="G293" s="547">
        <v>3862151096</v>
      </c>
      <c r="H293" s="547"/>
      <c r="I293" s="547"/>
      <c r="J293" s="547"/>
      <c r="K293" s="547"/>
      <c r="L293" s="547"/>
      <c r="M293" s="547"/>
      <c r="N293" s="547"/>
      <c r="O293" s="547"/>
      <c r="P293" s="547"/>
      <c r="Q293" s="547"/>
      <c r="R293" s="547"/>
      <c r="S293" s="989">
        <f t="shared" si="16"/>
        <v>5288493247</v>
      </c>
      <c r="T293" s="547">
        <v>2011474151</v>
      </c>
      <c r="U293" s="683">
        <f>ROUND((S293/1000000),0)+1</f>
        <v>5289</v>
      </c>
      <c r="V293" s="547">
        <v>2011</v>
      </c>
      <c r="W293" s="566"/>
      <c r="X293" s="567"/>
      <c r="Y293" s="989">
        <f t="shared" si="17"/>
        <v>5288493247</v>
      </c>
      <c r="Z293" s="812">
        <f t="shared" si="18"/>
        <v>5288</v>
      </c>
    </row>
    <row r="294" spans="1:26" ht="27" customHeight="1">
      <c r="A294" s="531">
        <v>3214</v>
      </c>
      <c r="B294" s="531">
        <v>408</v>
      </c>
      <c r="C294" s="529">
        <v>4</v>
      </c>
      <c r="D294" s="1027" t="s">
        <v>293</v>
      </c>
      <c r="E294" s="1028" t="s">
        <v>1435</v>
      </c>
      <c r="F294" s="547"/>
      <c r="G294" s="547"/>
      <c r="H294" s="547"/>
      <c r="I294" s="547"/>
      <c r="J294" s="547"/>
      <c r="K294" s="547">
        <v>160000001</v>
      </c>
      <c r="L294" s="547"/>
      <c r="M294" s="547"/>
      <c r="N294" s="547">
        <v>20334215</v>
      </c>
      <c r="O294" s="547"/>
      <c r="P294" s="547"/>
      <c r="Q294" s="547"/>
      <c r="R294" s="547"/>
      <c r="S294" s="989">
        <f t="shared" si="16"/>
        <v>180334216</v>
      </c>
      <c r="T294" s="547">
        <v>293593756553</v>
      </c>
      <c r="U294" s="989">
        <f t="shared" si="19"/>
        <v>180</v>
      </c>
      <c r="V294" s="547">
        <v>293594</v>
      </c>
      <c r="W294" s="566"/>
      <c r="X294" s="567"/>
      <c r="Y294" s="989">
        <f t="shared" si="17"/>
        <v>180334216</v>
      </c>
      <c r="Z294" s="812">
        <f t="shared" si="18"/>
        <v>180</v>
      </c>
    </row>
    <row r="295" spans="1:26" ht="27" customHeight="1">
      <c r="A295" s="531"/>
      <c r="B295" s="531">
        <v>1018</v>
      </c>
      <c r="C295" s="1021">
        <v>10</v>
      </c>
      <c r="D295" s="1027" t="s">
        <v>296</v>
      </c>
      <c r="E295" s="1028" t="s">
        <v>1552</v>
      </c>
      <c r="F295" s="547">
        <v>-2192189843</v>
      </c>
      <c r="G295" s="547">
        <v>-37833875</v>
      </c>
      <c r="H295" s="547"/>
      <c r="I295" s="547"/>
      <c r="J295" s="547"/>
      <c r="K295" s="547"/>
      <c r="L295" s="547"/>
      <c r="M295" s="547"/>
      <c r="N295" s="547"/>
      <c r="O295" s="547"/>
      <c r="P295" s="547"/>
      <c r="Q295" s="547"/>
      <c r="R295" s="547"/>
      <c r="S295" s="989">
        <f t="shared" si="16"/>
        <v>-2230023718</v>
      </c>
      <c r="T295" s="547">
        <v>-7030824147</v>
      </c>
      <c r="U295" s="989">
        <f t="shared" si="19"/>
        <v>-2230</v>
      </c>
      <c r="V295" s="547">
        <v>-7031</v>
      </c>
      <c r="W295" s="566"/>
      <c r="X295" s="567"/>
      <c r="Y295" s="989">
        <f t="shared" si="17"/>
        <v>-2230023718</v>
      </c>
      <c r="Z295" s="812">
        <f t="shared" si="18"/>
        <v>-2230</v>
      </c>
    </row>
    <row r="296" spans="1:26" ht="27" customHeight="1">
      <c r="A296" s="531"/>
      <c r="B296" s="531">
        <v>1018</v>
      </c>
      <c r="C296" s="529">
        <v>10</v>
      </c>
      <c r="D296" s="1027" t="s">
        <v>298</v>
      </c>
      <c r="E296" s="1028" t="s">
        <v>1553</v>
      </c>
      <c r="F296" s="547">
        <v>-26355313092</v>
      </c>
      <c r="G296" s="547">
        <v>-6032579687</v>
      </c>
      <c r="H296" s="547"/>
      <c r="I296" s="547"/>
      <c r="J296" s="547"/>
      <c r="K296" s="547"/>
      <c r="L296" s="547"/>
      <c r="M296" s="547"/>
      <c r="N296" s="547"/>
      <c r="O296" s="547"/>
      <c r="P296" s="547"/>
      <c r="Q296" s="547"/>
      <c r="R296" s="547"/>
      <c r="S296" s="989">
        <f t="shared" si="16"/>
        <v>-32387892779</v>
      </c>
      <c r="T296" s="547">
        <v>-131562773250</v>
      </c>
      <c r="U296" s="989">
        <f t="shared" si="19"/>
        <v>-32388</v>
      </c>
      <c r="V296" s="547">
        <v>-131563</v>
      </c>
      <c r="W296" s="566"/>
      <c r="X296" s="567"/>
      <c r="Y296" s="989">
        <f t="shared" si="17"/>
        <v>-32387892779</v>
      </c>
      <c r="Z296" s="812">
        <f t="shared" si="18"/>
        <v>-32388</v>
      </c>
    </row>
    <row r="297" spans="1:26" ht="27" customHeight="1">
      <c r="A297" s="531"/>
      <c r="B297" s="531">
        <v>506</v>
      </c>
      <c r="C297" s="1123">
        <v>5</v>
      </c>
      <c r="D297" s="1027" t="s">
        <v>79</v>
      </c>
      <c r="E297" s="1028" t="s">
        <v>1554</v>
      </c>
      <c r="F297" s="547">
        <v>7164574378</v>
      </c>
      <c r="G297" s="547">
        <v>-1598929631</v>
      </c>
      <c r="H297" s="547"/>
      <c r="I297" s="547">
        <v>0</v>
      </c>
      <c r="J297" s="547"/>
      <c r="K297" s="547"/>
      <c r="L297" s="547"/>
      <c r="M297" s="547"/>
      <c r="N297" s="547"/>
      <c r="O297" s="547"/>
      <c r="P297" s="547"/>
      <c r="Q297" s="547"/>
      <c r="R297" s="547"/>
      <c r="S297" s="989">
        <f t="shared" si="16"/>
        <v>5565644747</v>
      </c>
      <c r="T297" s="547">
        <v>-48169502348</v>
      </c>
      <c r="U297" s="989">
        <f t="shared" si="19"/>
        <v>5566</v>
      </c>
      <c r="V297" s="547">
        <v>-48170</v>
      </c>
      <c r="W297" s="566"/>
      <c r="X297" s="567"/>
      <c r="Y297" s="989">
        <f t="shared" si="17"/>
        <v>5565644747</v>
      </c>
      <c r="Z297" s="812">
        <f t="shared" si="18"/>
        <v>5566</v>
      </c>
    </row>
    <row r="298" spans="1:26" ht="27" customHeight="1">
      <c r="A298" s="531"/>
      <c r="B298" s="531">
        <v>1018</v>
      </c>
      <c r="C298" s="529">
        <v>10</v>
      </c>
      <c r="D298" s="1027" t="s">
        <v>443</v>
      </c>
      <c r="E298" s="1028" t="s">
        <v>1555</v>
      </c>
      <c r="F298" s="547">
        <v>-79771437107</v>
      </c>
      <c r="G298" s="547">
        <v>-8645000</v>
      </c>
      <c r="H298" s="547"/>
      <c r="I298" s="547"/>
      <c r="J298" s="547"/>
      <c r="K298" s="547"/>
      <c r="L298" s="547"/>
      <c r="M298" s="547"/>
      <c r="N298" s="547"/>
      <c r="O298" s="547"/>
      <c r="P298" s="547"/>
      <c r="Q298" s="547"/>
      <c r="R298" s="547"/>
      <c r="S298" s="989">
        <f t="shared" si="16"/>
        <v>-79780082107</v>
      </c>
      <c r="T298" s="547">
        <v>-66968013326</v>
      </c>
      <c r="U298" s="989">
        <f t="shared" si="19"/>
        <v>-79780</v>
      </c>
      <c r="V298" s="547">
        <v>-66968</v>
      </c>
      <c r="W298" s="566"/>
      <c r="X298" s="567"/>
      <c r="Y298" s="989">
        <f t="shared" si="17"/>
        <v>-79780082107</v>
      </c>
      <c r="Z298" s="812">
        <f t="shared" si="18"/>
        <v>-79780</v>
      </c>
    </row>
    <row r="299" spans="1:26" ht="27" customHeight="1">
      <c r="A299" s="531"/>
      <c r="B299" s="531">
        <v>1018</v>
      </c>
      <c r="C299" s="529">
        <v>10</v>
      </c>
      <c r="D299" s="530" t="s">
        <v>1772</v>
      </c>
      <c r="E299" s="1028" t="s">
        <v>1761</v>
      </c>
      <c r="F299" s="547"/>
      <c r="G299" s="547"/>
      <c r="H299" s="547"/>
      <c r="I299" s="547"/>
      <c r="J299" s="547"/>
      <c r="K299" s="547"/>
      <c r="L299" s="547"/>
      <c r="M299" s="547"/>
      <c r="N299" s="547"/>
      <c r="O299" s="547"/>
      <c r="P299" s="547"/>
      <c r="Q299" s="547"/>
      <c r="R299" s="547"/>
      <c r="S299" s="989">
        <f t="shared" si="16"/>
        <v>0</v>
      </c>
      <c r="T299" s="547"/>
      <c r="U299" s="989">
        <f t="shared" si="19"/>
        <v>0</v>
      </c>
      <c r="V299" s="547"/>
      <c r="W299" s="566"/>
      <c r="X299" s="567"/>
      <c r="Y299" s="989">
        <f t="shared" si="17"/>
        <v>0</v>
      </c>
      <c r="Z299" s="812">
        <f t="shared" si="18"/>
        <v>0</v>
      </c>
    </row>
    <row r="300" spans="1:26" ht="27" customHeight="1">
      <c r="A300" s="531"/>
      <c r="B300" s="531">
        <v>506</v>
      </c>
      <c r="C300" s="1123">
        <v>5</v>
      </c>
      <c r="D300" s="1027" t="s">
        <v>445</v>
      </c>
      <c r="E300" s="1028" t="s">
        <v>1556</v>
      </c>
      <c r="F300" s="547">
        <v>16086719794</v>
      </c>
      <c r="G300" s="547">
        <v>-7870755090</v>
      </c>
      <c r="H300" s="547">
        <v>-400000</v>
      </c>
      <c r="I300" s="547"/>
      <c r="J300" s="547"/>
      <c r="K300" s="547"/>
      <c r="L300" s="547"/>
      <c r="M300" s="547"/>
      <c r="N300" s="547"/>
      <c r="O300" s="547"/>
      <c r="P300" s="547"/>
      <c r="Q300" s="547"/>
      <c r="R300" s="547"/>
      <c r="S300" s="989">
        <f t="shared" si="16"/>
        <v>8215564704</v>
      </c>
      <c r="T300" s="547">
        <v>-13921761846</v>
      </c>
      <c r="U300" s="989">
        <f t="shared" si="19"/>
        <v>8216</v>
      </c>
      <c r="V300" s="547">
        <v>-13922</v>
      </c>
      <c r="W300" s="566"/>
      <c r="X300" s="567"/>
      <c r="Y300" s="989">
        <f t="shared" si="17"/>
        <v>8215564704</v>
      </c>
      <c r="Z300" s="812">
        <f t="shared" si="18"/>
        <v>8216</v>
      </c>
    </row>
    <row r="301" spans="1:26" ht="27" customHeight="1">
      <c r="A301" s="531"/>
      <c r="B301" s="531">
        <v>506</v>
      </c>
      <c r="C301" s="1123">
        <v>5</v>
      </c>
      <c r="D301" s="1027" t="s">
        <v>449</v>
      </c>
      <c r="E301" s="1028" t="s">
        <v>1609</v>
      </c>
      <c r="F301" s="547"/>
      <c r="G301" s="547">
        <v>37833875</v>
      </c>
      <c r="H301" s="547"/>
      <c r="I301" s="547"/>
      <c r="J301" s="547"/>
      <c r="K301" s="547"/>
      <c r="L301" s="547"/>
      <c r="M301" s="547"/>
      <c r="N301" s="547"/>
      <c r="O301" s="547"/>
      <c r="P301" s="547"/>
      <c r="Q301" s="547"/>
      <c r="R301" s="547"/>
      <c r="S301" s="989">
        <f t="shared" si="16"/>
        <v>37833875</v>
      </c>
      <c r="T301" s="547">
        <v>0</v>
      </c>
      <c r="U301" s="989">
        <f t="shared" si="19"/>
        <v>38</v>
      </c>
      <c r="V301" s="547">
        <v>0</v>
      </c>
      <c r="W301" s="566"/>
      <c r="X301" s="567"/>
      <c r="Y301" s="989">
        <f t="shared" si="17"/>
        <v>37833875</v>
      </c>
      <c r="Z301" s="812">
        <f t="shared" si="18"/>
        <v>38</v>
      </c>
    </row>
    <row r="302" spans="1:26" ht="27" customHeight="1">
      <c r="A302" s="531"/>
      <c r="B302" s="531">
        <v>1018</v>
      </c>
      <c r="C302" s="529">
        <v>10</v>
      </c>
      <c r="D302" s="1027" t="s">
        <v>450</v>
      </c>
      <c r="E302" s="1028" t="s">
        <v>1011</v>
      </c>
      <c r="F302" s="547"/>
      <c r="G302" s="547">
        <v>-817916887</v>
      </c>
      <c r="H302" s="547"/>
      <c r="I302" s="547"/>
      <c r="J302" s="547"/>
      <c r="K302" s="547"/>
      <c r="L302" s="547"/>
      <c r="M302" s="547"/>
      <c r="N302" s="547"/>
      <c r="O302" s="547"/>
      <c r="P302" s="547"/>
      <c r="Q302" s="547"/>
      <c r="R302" s="547"/>
      <c r="S302" s="989">
        <f t="shared" si="16"/>
        <v>-817916887</v>
      </c>
      <c r="T302" s="547">
        <v>0</v>
      </c>
      <c r="U302" s="989">
        <f t="shared" si="19"/>
        <v>-818</v>
      </c>
      <c r="V302" s="547">
        <v>0</v>
      </c>
      <c r="W302" s="566"/>
      <c r="X302" s="567"/>
      <c r="Y302" s="989">
        <f t="shared" si="17"/>
        <v>-817916887</v>
      </c>
      <c r="Z302" s="812">
        <f t="shared" si="18"/>
        <v>-818</v>
      </c>
    </row>
    <row r="303" spans="1:26" ht="27" customHeight="1">
      <c r="A303" s="531"/>
      <c r="B303" s="531">
        <v>501</v>
      </c>
      <c r="C303" s="529">
        <v>5</v>
      </c>
      <c r="D303" s="1027" t="s">
        <v>452</v>
      </c>
      <c r="E303" s="1028" t="s">
        <v>1610</v>
      </c>
      <c r="F303" s="547"/>
      <c r="G303" s="547">
        <v>3357427</v>
      </c>
      <c r="H303" s="547"/>
      <c r="I303" s="547"/>
      <c r="J303" s="547"/>
      <c r="K303" s="547"/>
      <c r="L303" s="547"/>
      <c r="M303" s="547"/>
      <c r="N303" s="547"/>
      <c r="O303" s="547"/>
      <c r="P303" s="547"/>
      <c r="Q303" s="547"/>
      <c r="R303" s="547"/>
      <c r="S303" s="989">
        <f t="shared" si="16"/>
        <v>3357427</v>
      </c>
      <c r="T303" s="547">
        <v>0</v>
      </c>
      <c r="U303" s="989">
        <f t="shared" si="19"/>
        <v>3</v>
      </c>
      <c r="V303" s="547">
        <v>0</v>
      </c>
      <c r="W303" s="566"/>
      <c r="X303" s="567"/>
      <c r="Y303" s="989">
        <f t="shared" si="17"/>
        <v>3357427</v>
      </c>
      <c r="Z303" s="812">
        <f t="shared" si="18"/>
        <v>3</v>
      </c>
    </row>
    <row r="304" spans="1:26" ht="27" customHeight="1">
      <c r="A304" s="531"/>
      <c r="B304" s="531">
        <v>908</v>
      </c>
      <c r="C304" s="529">
        <v>9</v>
      </c>
      <c r="D304" s="1027" t="s">
        <v>454</v>
      </c>
      <c r="E304" s="1028" t="s">
        <v>1012</v>
      </c>
      <c r="F304" s="547"/>
      <c r="G304" s="547">
        <v>8645000</v>
      </c>
      <c r="H304" s="547"/>
      <c r="I304" s="547"/>
      <c r="J304" s="547"/>
      <c r="K304" s="547"/>
      <c r="L304" s="547"/>
      <c r="M304" s="547"/>
      <c r="N304" s="547"/>
      <c r="O304" s="547"/>
      <c r="P304" s="547"/>
      <c r="Q304" s="547"/>
      <c r="R304" s="547"/>
      <c r="S304" s="989">
        <f t="shared" si="16"/>
        <v>8645000</v>
      </c>
      <c r="T304" s="547">
        <v>0</v>
      </c>
      <c r="U304" s="989">
        <f t="shared" si="19"/>
        <v>9</v>
      </c>
      <c r="V304" s="547">
        <v>0</v>
      </c>
      <c r="W304" s="566"/>
      <c r="X304" s="567"/>
      <c r="Y304" s="989">
        <f t="shared" si="17"/>
        <v>8645000</v>
      </c>
      <c r="Z304" s="812">
        <f t="shared" si="18"/>
        <v>9</v>
      </c>
    </row>
    <row r="305" spans="1:26" ht="27" customHeight="1">
      <c r="A305" s="531"/>
      <c r="B305" s="531">
        <v>501</v>
      </c>
      <c r="C305" s="529">
        <v>5</v>
      </c>
      <c r="D305" s="1027" t="s">
        <v>460</v>
      </c>
      <c r="E305" s="1028" t="s">
        <v>757</v>
      </c>
      <c r="F305" s="547">
        <v>2931095212733</v>
      </c>
      <c r="G305" s="547">
        <v>-6108462621</v>
      </c>
      <c r="H305" s="547"/>
      <c r="I305" s="547"/>
      <c r="J305" s="547">
        <v>-903097883460</v>
      </c>
      <c r="K305" s="547"/>
      <c r="L305" s="547">
        <v>-108090000000</v>
      </c>
      <c r="M305" s="547"/>
      <c r="N305" s="547"/>
      <c r="O305" s="547">
        <v>251256712994</v>
      </c>
      <c r="P305" s="547"/>
      <c r="Q305" s="547"/>
      <c r="R305" s="547"/>
      <c r="S305" s="989">
        <f t="shared" si="16"/>
        <v>2165055579646</v>
      </c>
      <c r="T305" s="547">
        <v>2713540446184</v>
      </c>
      <c r="U305" s="683">
        <f>ROUND((S305/1000000),0)-1</f>
        <v>2165055</v>
      </c>
      <c r="V305" s="547">
        <v>2713540</v>
      </c>
      <c r="W305" s="566"/>
      <c r="X305" s="567"/>
      <c r="Y305" s="989">
        <f t="shared" si="17"/>
        <v>2165055579646</v>
      </c>
      <c r="Z305" s="812">
        <f t="shared" si="18"/>
        <v>2165056</v>
      </c>
    </row>
    <row r="306" spans="1:26" ht="27" customHeight="1">
      <c r="A306" s="531"/>
      <c r="B306" s="531">
        <v>501</v>
      </c>
      <c r="C306" s="529">
        <v>5</v>
      </c>
      <c r="D306" s="1027" t="s">
        <v>460</v>
      </c>
      <c r="E306" s="1028" t="s">
        <v>758</v>
      </c>
      <c r="F306" s="547"/>
      <c r="G306" s="547"/>
      <c r="H306" s="547"/>
      <c r="I306" s="547"/>
      <c r="J306" s="547"/>
      <c r="K306" s="547"/>
      <c r="L306" s="547"/>
      <c r="M306" s="547"/>
      <c r="N306" s="547"/>
      <c r="O306" s="547"/>
      <c r="P306" s="547"/>
      <c r="Q306" s="547"/>
      <c r="R306" s="547"/>
      <c r="S306" s="989">
        <f t="shared" si="16"/>
        <v>0</v>
      </c>
      <c r="T306" s="547">
        <v>0</v>
      </c>
      <c r="U306" s="989">
        <f t="shared" si="19"/>
        <v>0</v>
      </c>
      <c r="V306" s="547">
        <v>0</v>
      </c>
      <c r="W306" s="566"/>
      <c r="X306" s="567"/>
      <c r="Y306" s="989">
        <f t="shared" si="17"/>
        <v>0</v>
      </c>
      <c r="Z306" s="812">
        <f t="shared" si="18"/>
        <v>0</v>
      </c>
    </row>
    <row r="307" spans="1:26" ht="27" customHeight="1">
      <c r="A307" s="531"/>
      <c r="B307" s="531">
        <v>503</v>
      </c>
      <c r="C307" s="529">
        <v>5</v>
      </c>
      <c r="D307" s="1027" t="s">
        <v>460</v>
      </c>
      <c r="E307" s="1028" t="s">
        <v>759</v>
      </c>
      <c r="F307" s="547"/>
      <c r="G307" s="547"/>
      <c r="H307" s="547"/>
      <c r="I307" s="547"/>
      <c r="J307" s="547"/>
      <c r="K307" s="547"/>
      <c r="L307" s="547"/>
      <c r="M307" s="547"/>
      <c r="N307" s="547"/>
      <c r="O307" s="547"/>
      <c r="P307" s="547"/>
      <c r="Q307" s="547"/>
      <c r="R307" s="547"/>
      <c r="S307" s="989">
        <f t="shared" si="16"/>
        <v>0</v>
      </c>
      <c r="T307" s="547">
        <v>0</v>
      </c>
      <c r="U307" s="989">
        <f t="shared" si="19"/>
        <v>0</v>
      </c>
      <c r="V307" s="547">
        <v>0</v>
      </c>
      <c r="W307" s="566"/>
      <c r="X307" s="567"/>
      <c r="Y307" s="989">
        <f t="shared" si="17"/>
        <v>0</v>
      </c>
      <c r="Z307" s="812">
        <f t="shared" si="18"/>
        <v>0</v>
      </c>
    </row>
    <row r="308" spans="1:26" ht="27" customHeight="1">
      <c r="A308" s="531"/>
      <c r="B308" s="531">
        <v>908</v>
      </c>
      <c r="C308" s="529">
        <v>9</v>
      </c>
      <c r="D308" s="1027" t="s">
        <v>462</v>
      </c>
      <c r="E308" s="1028" t="s">
        <v>463</v>
      </c>
      <c r="F308" s="547">
        <v>301487481027</v>
      </c>
      <c r="G308" s="547">
        <v>4055434658</v>
      </c>
      <c r="H308" s="547"/>
      <c r="I308" s="547"/>
      <c r="J308" s="547">
        <v>-305542915685</v>
      </c>
      <c r="K308" s="547"/>
      <c r="L308" s="547">
        <v>108090000000</v>
      </c>
      <c r="M308" s="547"/>
      <c r="N308" s="547"/>
      <c r="O308" s="547"/>
      <c r="P308" s="547"/>
      <c r="Q308" s="547"/>
      <c r="R308" s="547"/>
      <c r="S308" s="989">
        <f t="shared" si="16"/>
        <v>108090000000</v>
      </c>
      <c r="T308" s="547">
        <v>109119070504</v>
      </c>
      <c r="U308" s="989">
        <f t="shared" si="19"/>
        <v>108090</v>
      </c>
      <c r="V308" s="547">
        <v>109119</v>
      </c>
      <c r="W308" s="566"/>
      <c r="X308" s="567"/>
      <c r="Y308" s="989">
        <f t="shared" si="17"/>
        <v>108090000000</v>
      </c>
      <c r="Z308" s="812">
        <f t="shared" si="18"/>
        <v>108090</v>
      </c>
    </row>
    <row r="309" spans="1:26" ht="27" customHeight="1">
      <c r="A309" s="531"/>
      <c r="B309" s="531">
        <v>506</v>
      </c>
      <c r="C309" s="529">
        <v>5</v>
      </c>
      <c r="D309" s="1027" t="s">
        <v>163</v>
      </c>
      <c r="E309" s="1028" t="s">
        <v>1558</v>
      </c>
      <c r="F309" s="547">
        <v>10000</v>
      </c>
      <c r="G309" s="547">
        <v>12097572</v>
      </c>
      <c r="H309" s="547"/>
      <c r="I309" s="547"/>
      <c r="J309" s="547"/>
      <c r="K309" s="547"/>
      <c r="L309" s="547"/>
      <c r="M309" s="547"/>
      <c r="N309" s="547"/>
      <c r="O309" s="547"/>
      <c r="P309" s="547"/>
      <c r="Q309" s="547"/>
      <c r="R309" s="547"/>
      <c r="S309" s="989">
        <f t="shared" si="16"/>
        <v>12107572</v>
      </c>
      <c r="T309" s="547">
        <v>215027053</v>
      </c>
      <c r="U309" s="989">
        <f t="shared" si="19"/>
        <v>12</v>
      </c>
      <c r="V309" s="547">
        <v>215</v>
      </c>
      <c r="W309" s="566"/>
      <c r="X309" s="567"/>
      <c r="Y309" s="989">
        <f t="shared" si="17"/>
        <v>12107572</v>
      </c>
      <c r="Z309" s="812">
        <f t="shared" si="18"/>
        <v>12</v>
      </c>
    </row>
    <row r="310" spans="1:26" ht="27" customHeight="1">
      <c r="A310" s="531"/>
      <c r="B310" s="531">
        <v>506</v>
      </c>
      <c r="C310" s="529">
        <v>5</v>
      </c>
      <c r="D310" s="1027" t="s">
        <v>165</v>
      </c>
      <c r="E310" s="1028" t="s">
        <v>1559</v>
      </c>
      <c r="F310" s="547">
        <v>10144925116</v>
      </c>
      <c r="G310" s="547">
        <v>-103728421</v>
      </c>
      <c r="H310" s="547"/>
      <c r="I310" s="547"/>
      <c r="J310" s="547"/>
      <c r="K310" s="547"/>
      <c r="L310" s="547"/>
      <c r="M310" s="547"/>
      <c r="N310" s="547"/>
      <c r="O310" s="547"/>
      <c r="P310" s="547"/>
      <c r="Q310" s="547"/>
      <c r="R310" s="547"/>
      <c r="S310" s="989">
        <f t="shared" si="16"/>
        <v>10041196695</v>
      </c>
      <c r="T310" s="547">
        <v>31490778625</v>
      </c>
      <c r="U310" s="989">
        <f t="shared" si="19"/>
        <v>10041</v>
      </c>
      <c r="V310" s="547">
        <v>31491</v>
      </c>
      <c r="W310" s="566"/>
      <c r="X310" s="567"/>
      <c r="Y310" s="989">
        <f t="shared" si="17"/>
        <v>10041196695</v>
      </c>
      <c r="Z310" s="812">
        <f t="shared" si="18"/>
        <v>10041</v>
      </c>
    </row>
    <row r="311" spans="1:26" ht="27" customHeight="1">
      <c r="A311" s="531"/>
      <c r="B311" s="531">
        <v>506</v>
      </c>
      <c r="C311" s="529">
        <v>5</v>
      </c>
      <c r="D311" s="1027" t="s">
        <v>1557</v>
      </c>
      <c r="E311" s="1028" t="s">
        <v>1560</v>
      </c>
      <c r="F311" s="547"/>
      <c r="G311" s="547"/>
      <c r="H311" s="547"/>
      <c r="I311" s="547"/>
      <c r="J311" s="547"/>
      <c r="K311" s="547"/>
      <c r="L311" s="547"/>
      <c r="M311" s="547"/>
      <c r="N311" s="547"/>
      <c r="O311" s="547"/>
      <c r="P311" s="547"/>
      <c r="Q311" s="547"/>
      <c r="R311" s="547"/>
      <c r="S311" s="989">
        <f t="shared" si="16"/>
        <v>0</v>
      </c>
      <c r="T311" s="547">
        <v>695428702</v>
      </c>
      <c r="U311" s="989">
        <f t="shared" si="19"/>
        <v>0</v>
      </c>
      <c r="V311" s="547">
        <v>695</v>
      </c>
      <c r="W311" s="566"/>
      <c r="X311" s="567"/>
      <c r="Y311" s="989">
        <f t="shared" si="17"/>
        <v>0</v>
      </c>
      <c r="Z311" s="812">
        <f t="shared" si="18"/>
        <v>0</v>
      </c>
    </row>
    <row r="312" spans="1:26" ht="27" customHeight="1">
      <c r="A312" s="531"/>
      <c r="B312" s="531">
        <v>1018</v>
      </c>
      <c r="C312" s="529">
        <v>10</v>
      </c>
      <c r="D312" s="1027" t="s">
        <v>395</v>
      </c>
      <c r="E312" s="1028" t="s">
        <v>1611</v>
      </c>
      <c r="F312" s="547">
        <v>-148486480232</v>
      </c>
      <c r="G312" s="547">
        <v>148486453232</v>
      </c>
      <c r="H312" s="547">
        <v>27000</v>
      </c>
      <c r="I312" s="547"/>
      <c r="J312" s="547"/>
      <c r="K312" s="547"/>
      <c r="L312" s="547"/>
      <c r="M312" s="547"/>
      <c r="N312" s="547"/>
      <c r="O312" s="547"/>
      <c r="P312" s="547"/>
      <c r="Q312" s="547"/>
      <c r="R312" s="547"/>
      <c r="S312" s="989">
        <f t="shared" si="16"/>
        <v>0</v>
      </c>
      <c r="T312" s="547">
        <v>-2191388776</v>
      </c>
      <c r="U312" s="989">
        <f t="shared" si="19"/>
        <v>0</v>
      </c>
      <c r="V312" s="547">
        <v>-2191</v>
      </c>
      <c r="W312" s="566"/>
      <c r="X312" s="567"/>
      <c r="Y312" s="989">
        <f t="shared" si="17"/>
        <v>0</v>
      </c>
      <c r="Z312" s="812">
        <f t="shared" si="18"/>
        <v>0</v>
      </c>
    </row>
    <row r="313" spans="1:26" ht="27" customHeight="1">
      <c r="A313" s="531"/>
      <c r="B313" s="531">
        <v>506</v>
      </c>
      <c r="C313" s="529">
        <v>5</v>
      </c>
      <c r="D313" s="1027" t="s">
        <v>1006</v>
      </c>
      <c r="E313" s="1028" t="s">
        <v>1007</v>
      </c>
      <c r="F313" s="547">
        <v>205432349</v>
      </c>
      <c r="G313" s="547">
        <v>-205432349</v>
      </c>
      <c r="H313" s="547"/>
      <c r="I313" s="547"/>
      <c r="J313" s="547"/>
      <c r="K313" s="547"/>
      <c r="L313" s="547"/>
      <c r="M313" s="547"/>
      <c r="N313" s="547"/>
      <c r="O313" s="547"/>
      <c r="P313" s="547"/>
      <c r="Q313" s="547"/>
      <c r="R313" s="547"/>
      <c r="S313" s="989">
        <f t="shared" si="16"/>
        <v>0</v>
      </c>
      <c r="T313" s="547">
        <v>-175</v>
      </c>
      <c r="U313" s="989">
        <f t="shared" si="19"/>
        <v>0</v>
      </c>
      <c r="V313" s="547">
        <v>0</v>
      </c>
      <c r="W313" s="566"/>
      <c r="X313" s="567"/>
      <c r="Y313" s="989">
        <f t="shared" si="17"/>
        <v>0</v>
      </c>
      <c r="Z313" s="812">
        <f t="shared" si="18"/>
        <v>0</v>
      </c>
    </row>
    <row r="314" spans="1:26" ht="27" customHeight="1">
      <c r="A314" s="531"/>
      <c r="B314" s="531">
        <v>506</v>
      </c>
      <c r="C314" s="529">
        <v>5</v>
      </c>
      <c r="D314" s="1027" t="s">
        <v>167</v>
      </c>
      <c r="E314" s="1028" t="s">
        <v>1026</v>
      </c>
      <c r="F314" s="547">
        <v>-1486004</v>
      </c>
      <c r="G314" s="547"/>
      <c r="H314" s="547">
        <v>1486004</v>
      </c>
      <c r="I314" s="547"/>
      <c r="J314" s="547"/>
      <c r="K314" s="547"/>
      <c r="L314" s="547"/>
      <c r="M314" s="547"/>
      <c r="N314" s="547"/>
      <c r="O314" s="547"/>
      <c r="P314" s="547"/>
      <c r="Q314" s="547"/>
      <c r="R314" s="547"/>
      <c r="S314" s="989">
        <f t="shared" si="16"/>
        <v>0</v>
      </c>
      <c r="T314" s="547">
        <v>-125543265</v>
      </c>
      <c r="U314" s="989">
        <f t="shared" si="19"/>
        <v>0</v>
      </c>
      <c r="V314" s="547">
        <v>-126</v>
      </c>
      <c r="W314" s="566"/>
      <c r="X314" s="567"/>
      <c r="Y314" s="989">
        <f t="shared" si="17"/>
        <v>0</v>
      </c>
      <c r="Z314" s="812">
        <f t="shared" si="18"/>
        <v>0</v>
      </c>
    </row>
    <row r="315" spans="1:26" ht="27" customHeight="1">
      <c r="A315" s="531"/>
      <c r="B315" s="531">
        <v>506</v>
      </c>
      <c r="C315" s="1123">
        <v>5</v>
      </c>
      <c r="D315" s="1027" t="s">
        <v>1008</v>
      </c>
      <c r="E315" s="1028" t="s">
        <v>1007</v>
      </c>
      <c r="F315" s="547">
        <v>-204293729</v>
      </c>
      <c r="G315" s="547"/>
      <c r="H315" s="547">
        <v>204293729</v>
      </c>
      <c r="I315" s="547"/>
      <c r="J315" s="547"/>
      <c r="K315" s="547"/>
      <c r="L315" s="547"/>
      <c r="M315" s="547"/>
      <c r="N315" s="547"/>
      <c r="O315" s="547"/>
      <c r="P315" s="547"/>
      <c r="Q315" s="547"/>
      <c r="R315" s="547"/>
      <c r="S315" s="989">
        <f t="shared" si="16"/>
        <v>0</v>
      </c>
      <c r="T315" s="547">
        <v>3644964817</v>
      </c>
      <c r="U315" s="989">
        <f t="shared" si="19"/>
        <v>0</v>
      </c>
      <c r="V315" s="547">
        <v>3645</v>
      </c>
      <c r="W315" s="566"/>
      <c r="X315" s="567"/>
      <c r="Y315" s="989">
        <f t="shared" si="17"/>
        <v>0</v>
      </c>
      <c r="Z315" s="812">
        <f t="shared" si="18"/>
        <v>0</v>
      </c>
    </row>
    <row r="316" spans="1:26" ht="27" customHeight="1">
      <c r="A316" s="531"/>
      <c r="B316" s="531">
        <v>506</v>
      </c>
      <c r="C316" s="529">
        <v>5</v>
      </c>
      <c r="D316" s="1027" t="s">
        <v>1023</v>
      </c>
      <c r="E316" s="1028" t="s">
        <v>1024</v>
      </c>
      <c r="F316" s="547">
        <v>5278582</v>
      </c>
      <c r="G316" s="547"/>
      <c r="H316" s="547">
        <v>-5278522</v>
      </c>
      <c r="I316" s="547"/>
      <c r="J316" s="547"/>
      <c r="K316" s="547"/>
      <c r="L316" s="547"/>
      <c r="M316" s="547"/>
      <c r="N316" s="547"/>
      <c r="O316" s="547"/>
      <c r="P316" s="547"/>
      <c r="Q316" s="547"/>
      <c r="R316" s="547"/>
      <c r="S316" s="989">
        <f t="shared" si="16"/>
        <v>60</v>
      </c>
      <c r="T316" s="547">
        <v>2000</v>
      </c>
      <c r="U316" s="989">
        <f t="shared" si="19"/>
        <v>0</v>
      </c>
      <c r="V316" s="547">
        <v>0</v>
      </c>
      <c r="W316" s="566"/>
      <c r="X316" s="567"/>
      <c r="Y316" s="989">
        <f t="shared" si="17"/>
        <v>60</v>
      </c>
      <c r="Z316" s="812">
        <f t="shared" si="18"/>
        <v>0</v>
      </c>
    </row>
    <row r="317" spans="1:26" ht="27" customHeight="1">
      <c r="A317" s="531"/>
      <c r="B317" s="531">
        <v>506</v>
      </c>
      <c r="C317" s="529">
        <v>5</v>
      </c>
      <c r="D317" s="1027" t="s">
        <v>282</v>
      </c>
      <c r="E317" s="1028" t="s">
        <v>283</v>
      </c>
      <c r="F317" s="547">
        <v>320955123</v>
      </c>
      <c r="G317" s="547">
        <v>-320955123</v>
      </c>
      <c r="H317" s="547"/>
      <c r="I317" s="547"/>
      <c r="J317" s="547"/>
      <c r="K317" s="547"/>
      <c r="L317" s="547"/>
      <c r="M317" s="547"/>
      <c r="N317" s="547"/>
      <c r="O317" s="547"/>
      <c r="P317" s="547"/>
      <c r="Q317" s="547"/>
      <c r="R317" s="547"/>
      <c r="S317" s="989">
        <f t="shared" si="16"/>
        <v>0</v>
      </c>
      <c r="T317" s="547">
        <v>320955123</v>
      </c>
      <c r="U317" s="989">
        <f t="shared" si="19"/>
        <v>0</v>
      </c>
      <c r="V317" s="547">
        <v>321</v>
      </c>
      <c r="W317" s="566"/>
      <c r="X317" s="567"/>
      <c r="Y317" s="989">
        <f t="shared" si="17"/>
        <v>0</v>
      </c>
      <c r="Z317" s="812">
        <f t="shared" si="18"/>
        <v>0</v>
      </c>
    </row>
    <row r="318" spans="1:26" ht="27" customHeight="1">
      <c r="A318" s="531"/>
      <c r="B318" s="531">
        <v>506</v>
      </c>
      <c r="C318" s="529">
        <v>5</v>
      </c>
      <c r="D318" s="1027" t="s">
        <v>76</v>
      </c>
      <c r="E318" s="1028" t="s">
        <v>77</v>
      </c>
      <c r="F318" s="547">
        <v>-1413452</v>
      </c>
      <c r="G318" s="547">
        <v>1413453</v>
      </c>
      <c r="H318" s="547">
        <v>-1</v>
      </c>
      <c r="I318" s="547"/>
      <c r="J318" s="547"/>
      <c r="K318" s="547"/>
      <c r="L318" s="547"/>
      <c r="M318" s="547"/>
      <c r="N318" s="547"/>
      <c r="O318" s="547"/>
      <c r="P318" s="547"/>
      <c r="Q318" s="547"/>
      <c r="R318" s="547"/>
      <c r="S318" s="989">
        <f t="shared" si="16"/>
        <v>0</v>
      </c>
      <c r="T318" s="547">
        <v>916433</v>
      </c>
      <c r="U318" s="989">
        <f t="shared" si="19"/>
        <v>0</v>
      </c>
      <c r="V318" s="547">
        <v>1</v>
      </c>
      <c r="W318" s="566"/>
      <c r="X318" s="567"/>
      <c r="Y318" s="989">
        <f t="shared" si="17"/>
        <v>0</v>
      </c>
      <c r="Z318" s="812">
        <f t="shared" si="18"/>
        <v>0</v>
      </c>
    </row>
    <row r="319" spans="1:26" ht="27" customHeight="1">
      <c r="A319" s="531"/>
      <c r="B319" s="531">
        <v>506</v>
      </c>
      <c r="C319" s="529">
        <v>5</v>
      </c>
      <c r="D319" s="1027" t="s">
        <v>1688</v>
      </c>
      <c r="E319" s="1028" t="s">
        <v>77</v>
      </c>
      <c r="F319" s="547"/>
      <c r="G319" s="547"/>
      <c r="H319" s="547"/>
      <c r="I319" s="547"/>
      <c r="J319" s="547"/>
      <c r="K319" s="547"/>
      <c r="L319" s="547"/>
      <c r="M319" s="547"/>
      <c r="N319" s="547"/>
      <c r="O319" s="547"/>
      <c r="P319" s="547"/>
      <c r="Q319" s="547"/>
      <c r="R319" s="547"/>
      <c r="S319" s="989">
        <f t="shared" si="16"/>
        <v>0</v>
      </c>
      <c r="T319" s="547">
        <v>19320</v>
      </c>
      <c r="U319" s="989">
        <f t="shared" si="19"/>
        <v>0</v>
      </c>
      <c r="V319" s="547">
        <v>0</v>
      </c>
      <c r="W319" s="566"/>
      <c r="X319" s="567"/>
      <c r="Y319" s="989">
        <f t="shared" si="17"/>
        <v>0</v>
      </c>
      <c r="Z319" s="812">
        <f t="shared" si="18"/>
        <v>0</v>
      </c>
    </row>
    <row r="320" spans="1:26" ht="27" customHeight="1">
      <c r="A320" s="531"/>
      <c r="B320" s="531">
        <v>1018</v>
      </c>
      <c r="C320" s="529">
        <v>10</v>
      </c>
      <c r="D320" s="1027" t="s">
        <v>464</v>
      </c>
      <c r="E320" s="1028" t="s">
        <v>311</v>
      </c>
      <c r="F320" s="547">
        <v>-842961986</v>
      </c>
      <c r="G320" s="547"/>
      <c r="H320" s="547"/>
      <c r="I320" s="547"/>
      <c r="J320" s="547"/>
      <c r="K320" s="547"/>
      <c r="L320" s="547"/>
      <c r="M320" s="547"/>
      <c r="N320" s="547"/>
      <c r="O320" s="547"/>
      <c r="P320" s="547"/>
      <c r="Q320" s="547"/>
      <c r="R320" s="547"/>
      <c r="S320" s="989">
        <f t="shared" si="16"/>
        <v>-842961986</v>
      </c>
      <c r="T320" s="547">
        <v>-703497266</v>
      </c>
      <c r="U320" s="989">
        <f t="shared" si="19"/>
        <v>-843</v>
      </c>
      <c r="V320" s="547">
        <v>-703</v>
      </c>
      <c r="W320" s="566"/>
      <c r="X320" s="567"/>
      <c r="Y320" s="989">
        <f t="shared" si="17"/>
        <v>-842961986</v>
      </c>
      <c r="Z320" s="812">
        <f t="shared" si="18"/>
        <v>-843</v>
      </c>
    </row>
    <row r="321" spans="1:26" ht="27" customHeight="1">
      <c r="A321" s="531"/>
      <c r="B321" s="531">
        <v>506</v>
      </c>
      <c r="C321" s="529">
        <v>5</v>
      </c>
      <c r="D321" s="1027" t="s">
        <v>1561</v>
      </c>
      <c r="E321" s="1028" t="s">
        <v>1562</v>
      </c>
      <c r="F321" s="547"/>
      <c r="G321" s="547"/>
      <c r="H321" s="547"/>
      <c r="I321" s="547"/>
      <c r="J321" s="547"/>
      <c r="K321" s="547"/>
      <c r="L321" s="547"/>
      <c r="M321" s="547"/>
      <c r="N321" s="547"/>
      <c r="O321" s="547"/>
      <c r="P321" s="547"/>
      <c r="Q321" s="547"/>
      <c r="R321" s="547"/>
      <c r="S321" s="989">
        <f t="shared" si="16"/>
        <v>0</v>
      </c>
      <c r="T321" s="547">
        <v>109610776</v>
      </c>
      <c r="U321" s="989">
        <f t="shared" si="19"/>
        <v>0</v>
      </c>
      <c r="V321" s="547">
        <v>110</v>
      </c>
      <c r="W321" s="566"/>
      <c r="X321" s="567"/>
      <c r="Y321" s="989">
        <f t="shared" si="17"/>
        <v>0</v>
      </c>
      <c r="Z321" s="812">
        <f t="shared" si="18"/>
        <v>0</v>
      </c>
    </row>
    <row r="322" spans="1:26" ht="27" customHeight="1">
      <c r="A322" s="531"/>
      <c r="B322" s="531">
        <v>506</v>
      </c>
      <c r="C322" s="529">
        <v>5</v>
      </c>
      <c r="D322" s="1027" t="s">
        <v>594</v>
      </c>
      <c r="E322" s="1028" t="s">
        <v>314</v>
      </c>
      <c r="F322" s="547"/>
      <c r="G322" s="547"/>
      <c r="H322" s="547"/>
      <c r="I322" s="547"/>
      <c r="J322" s="547"/>
      <c r="K322" s="547"/>
      <c r="L322" s="547"/>
      <c r="M322" s="547"/>
      <c r="N322" s="547"/>
      <c r="O322" s="547"/>
      <c r="P322" s="547"/>
      <c r="Q322" s="547"/>
      <c r="R322" s="547"/>
      <c r="S322" s="989">
        <f t="shared" si="16"/>
        <v>0</v>
      </c>
      <c r="T322" s="547">
        <v>0</v>
      </c>
      <c r="U322" s="989">
        <f t="shared" si="19"/>
        <v>0</v>
      </c>
      <c r="V322" s="547">
        <v>0</v>
      </c>
      <c r="W322" s="566"/>
      <c r="X322" s="567"/>
      <c r="Y322" s="989">
        <f t="shared" si="17"/>
        <v>0</v>
      </c>
      <c r="Z322" s="812">
        <f t="shared" si="18"/>
        <v>0</v>
      </c>
    </row>
    <row r="323" spans="1:26" ht="27" customHeight="1">
      <c r="A323" s="531"/>
      <c r="B323" s="531">
        <v>906</v>
      </c>
      <c r="C323" s="529">
        <v>9</v>
      </c>
      <c r="D323" s="1027" t="s">
        <v>1563</v>
      </c>
      <c r="E323" s="1028" t="s">
        <v>1564</v>
      </c>
      <c r="F323" s="547"/>
      <c r="G323" s="547"/>
      <c r="H323" s="547"/>
      <c r="I323" s="547"/>
      <c r="J323" s="547"/>
      <c r="K323" s="547"/>
      <c r="L323" s="547"/>
      <c r="M323" s="547"/>
      <c r="N323" s="547"/>
      <c r="O323" s="547"/>
      <c r="P323" s="547"/>
      <c r="Q323" s="547"/>
      <c r="R323" s="547"/>
      <c r="S323" s="989">
        <f t="shared" si="16"/>
        <v>0</v>
      </c>
      <c r="T323" s="547">
        <v>0</v>
      </c>
      <c r="U323" s="989">
        <f t="shared" si="19"/>
        <v>0</v>
      </c>
      <c r="V323" s="547">
        <v>0</v>
      </c>
      <c r="W323" s="566"/>
      <c r="X323" s="567"/>
      <c r="Y323" s="989">
        <f t="shared" si="17"/>
        <v>0</v>
      </c>
      <c r="Z323" s="812">
        <f t="shared" si="18"/>
        <v>0</v>
      </c>
    </row>
    <row r="324" spans="1:26" ht="27" customHeight="1">
      <c r="A324" s="531"/>
      <c r="B324" s="531"/>
      <c r="C324" s="529">
        <v>5</v>
      </c>
      <c r="D324" s="1027" t="s">
        <v>595</v>
      </c>
      <c r="E324" s="1028" t="s">
        <v>315</v>
      </c>
      <c r="F324" s="547"/>
      <c r="G324" s="547"/>
      <c r="H324" s="547"/>
      <c r="I324" s="547"/>
      <c r="J324" s="547"/>
      <c r="K324" s="547"/>
      <c r="L324" s="547"/>
      <c r="M324" s="547"/>
      <c r="N324" s="547"/>
      <c r="O324" s="547"/>
      <c r="P324" s="547"/>
      <c r="Q324" s="547"/>
      <c r="R324" s="547"/>
      <c r="S324" s="989">
        <f t="shared" si="16"/>
        <v>0</v>
      </c>
      <c r="T324" s="547">
        <v>0</v>
      </c>
      <c r="U324" s="989">
        <f t="shared" si="19"/>
        <v>0</v>
      </c>
      <c r="V324" s="547">
        <v>0</v>
      </c>
      <c r="W324" s="566"/>
      <c r="X324" s="567"/>
      <c r="Y324" s="989">
        <f t="shared" si="17"/>
        <v>0</v>
      </c>
      <c r="Z324" s="812">
        <f t="shared" si="18"/>
        <v>0</v>
      </c>
    </row>
    <row r="325" spans="1:26" ht="27" customHeight="1">
      <c r="A325" s="531"/>
      <c r="B325" s="531">
        <v>1018</v>
      </c>
      <c r="C325" s="529">
        <v>10</v>
      </c>
      <c r="D325" s="530" t="s">
        <v>1773</v>
      </c>
      <c r="E325" s="1028" t="s">
        <v>1762</v>
      </c>
      <c r="F325" s="547">
        <v>-4448716025</v>
      </c>
      <c r="G325" s="547">
        <v>724317544</v>
      </c>
      <c r="H325" s="547"/>
      <c r="I325" s="547">
        <v>3724398481</v>
      </c>
      <c r="J325" s="547"/>
      <c r="K325" s="547"/>
      <c r="L325" s="547"/>
      <c r="M325" s="547"/>
      <c r="N325" s="547"/>
      <c r="O325" s="547"/>
      <c r="P325" s="547"/>
      <c r="Q325" s="547"/>
      <c r="R325" s="547"/>
      <c r="S325" s="989">
        <f t="shared" si="16"/>
        <v>0</v>
      </c>
      <c r="T325" s="547"/>
      <c r="U325" s="989">
        <f t="shared" si="19"/>
        <v>0</v>
      </c>
      <c r="V325" s="547"/>
      <c r="W325" s="566"/>
      <c r="X325" s="567"/>
      <c r="Y325" s="989">
        <f t="shared" si="17"/>
        <v>0</v>
      </c>
      <c r="Z325" s="812">
        <f t="shared" si="18"/>
        <v>0</v>
      </c>
    </row>
    <row r="326" spans="1:26" ht="27" customHeight="1">
      <c r="A326" s="531"/>
      <c r="B326" s="531">
        <v>506</v>
      </c>
      <c r="C326" s="529">
        <v>5</v>
      </c>
      <c r="D326" s="1027" t="s">
        <v>333</v>
      </c>
      <c r="E326" s="1028" t="s">
        <v>334</v>
      </c>
      <c r="F326" s="547">
        <v>-410393</v>
      </c>
      <c r="G326" s="547"/>
      <c r="H326" s="547">
        <v>410393</v>
      </c>
      <c r="I326" s="547"/>
      <c r="J326" s="547"/>
      <c r="K326" s="547"/>
      <c r="L326" s="547"/>
      <c r="M326" s="547"/>
      <c r="N326" s="547"/>
      <c r="O326" s="547"/>
      <c r="P326" s="547"/>
      <c r="Q326" s="547"/>
      <c r="R326" s="547"/>
      <c r="S326" s="989">
        <f t="shared" ref="S326:S390" si="20">SUM(F326:R326)</f>
        <v>0</v>
      </c>
      <c r="T326" s="547">
        <v>-410393</v>
      </c>
      <c r="U326" s="989">
        <f t="shared" si="19"/>
        <v>0</v>
      </c>
      <c r="V326" s="547">
        <v>0</v>
      </c>
      <c r="W326" s="566"/>
      <c r="X326" s="567"/>
      <c r="Y326" s="989">
        <f t="shared" ref="Y326:Y390" si="21">S326+X326-W326</f>
        <v>0</v>
      </c>
      <c r="Z326" s="812">
        <f t="shared" ref="Z326:Z390" si="22">ROUND((Y326/1000000),0)</f>
        <v>0</v>
      </c>
    </row>
    <row r="327" spans="1:26" ht="27" customHeight="1">
      <c r="A327" s="531"/>
      <c r="B327" s="531">
        <v>501</v>
      </c>
      <c r="C327" s="529">
        <v>5</v>
      </c>
      <c r="D327" s="1027" t="s">
        <v>901</v>
      </c>
      <c r="E327" s="1028" t="s">
        <v>1029</v>
      </c>
      <c r="F327" s="547">
        <v>-2366295647</v>
      </c>
      <c r="G327" s="547">
        <v>-400000</v>
      </c>
      <c r="H327" s="547"/>
      <c r="I327" s="547"/>
      <c r="J327" s="547"/>
      <c r="K327" s="547"/>
      <c r="L327" s="547"/>
      <c r="M327" s="547"/>
      <c r="N327" s="547"/>
      <c r="O327" s="547"/>
      <c r="P327" s="547"/>
      <c r="Q327" s="547"/>
      <c r="R327" s="547"/>
      <c r="S327" s="989">
        <f t="shared" si="20"/>
        <v>-2366695647</v>
      </c>
      <c r="T327" s="547">
        <v>-178435576</v>
      </c>
      <c r="U327" s="989">
        <f t="shared" si="19"/>
        <v>-2367</v>
      </c>
      <c r="V327" s="547">
        <v>-178</v>
      </c>
      <c r="W327" s="566"/>
      <c r="X327" s="567"/>
      <c r="Y327" s="989">
        <f t="shared" si="21"/>
        <v>-2366695647</v>
      </c>
      <c r="Z327" s="812">
        <f t="shared" si="22"/>
        <v>-2367</v>
      </c>
    </row>
    <row r="328" spans="1:26" ht="27" customHeight="1">
      <c r="A328" s="531"/>
      <c r="B328" s="531"/>
      <c r="C328" s="529">
        <v>9</v>
      </c>
      <c r="D328" s="1027" t="s">
        <v>902</v>
      </c>
      <c r="E328" s="1028" t="s">
        <v>911</v>
      </c>
      <c r="F328" s="547"/>
      <c r="G328" s="547"/>
      <c r="H328" s="547"/>
      <c r="I328" s="547"/>
      <c r="J328" s="547"/>
      <c r="K328" s="547"/>
      <c r="L328" s="547"/>
      <c r="M328" s="547"/>
      <c r="N328" s="547"/>
      <c r="O328" s="547"/>
      <c r="P328" s="547"/>
      <c r="Q328" s="547"/>
      <c r="R328" s="547"/>
      <c r="S328" s="989">
        <f t="shared" si="20"/>
        <v>0</v>
      </c>
      <c r="T328" s="547">
        <v>0</v>
      </c>
      <c r="U328" s="989">
        <f t="shared" ref="U328:U392" si="23">ROUND((S328/1000000),0)</f>
        <v>0</v>
      </c>
      <c r="V328" s="547">
        <v>0</v>
      </c>
      <c r="W328" s="566"/>
      <c r="X328" s="567"/>
      <c r="Y328" s="989">
        <f t="shared" si="21"/>
        <v>0</v>
      </c>
      <c r="Z328" s="812">
        <f t="shared" si="22"/>
        <v>0</v>
      </c>
    </row>
    <row r="329" spans="1:26" ht="27" customHeight="1">
      <c r="A329" s="531"/>
      <c r="B329" s="531">
        <v>506</v>
      </c>
      <c r="C329" s="529">
        <v>5</v>
      </c>
      <c r="D329" s="1027" t="s">
        <v>596</v>
      </c>
      <c r="E329" s="1028" t="s">
        <v>761</v>
      </c>
      <c r="F329" s="547">
        <v>22003418061</v>
      </c>
      <c r="G329" s="547">
        <v>-7471156424</v>
      </c>
      <c r="H329" s="547"/>
      <c r="I329" s="547">
        <v>4294846</v>
      </c>
      <c r="J329" s="547"/>
      <c r="K329" s="547"/>
      <c r="L329" s="547"/>
      <c r="M329" s="547">
        <f>35516250+35516250+46044271+46837926-117076771+59120887</f>
        <v>105958813</v>
      </c>
      <c r="N329" s="547"/>
      <c r="O329" s="547"/>
      <c r="P329" s="547"/>
      <c r="Q329" s="547"/>
      <c r="R329" s="547"/>
      <c r="S329" s="989">
        <f t="shared" si="20"/>
        <v>14642515296</v>
      </c>
      <c r="T329" s="547">
        <v>33480102107</v>
      </c>
      <c r="U329" s="989">
        <f t="shared" si="23"/>
        <v>14643</v>
      </c>
      <c r="V329" s="547">
        <v>33480</v>
      </c>
      <c r="W329" s="566"/>
      <c r="X329" s="567"/>
      <c r="Y329" s="989">
        <f t="shared" si="21"/>
        <v>14642515296</v>
      </c>
      <c r="Z329" s="812">
        <f t="shared" si="22"/>
        <v>14643</v>
      </c>
    </row>
    <row r="330" spans="1:26" ht="27" customHeight="1">
      <c r="A330" s="531">
        <v>3214</v>
      </c>
      <c r="B330" s="531">
        <v>907</v>
      </c>
      <c r="C330" s="529">
        <v>9</v>
      </c>
      <c r="D330" s="1027" t="s">
        <v>596</v>
      </c>
      <c r="E330" s="1028" t="s">
        <v>1436</v>
      </c>
      <c r="F330" s="547"/>
      <c r="G330" s="547"/>
      <c r="H330" s="547"/>
      <c r="I330" s="547"/>
      <c r="J330" s="547"/>
      <c r="K330" s="547"/>
      <c r="L330" s="547"/>
      <c r="M330" s="547"/>
      <c r="N330" s="547"/>
      <c r="O330" s="547"/>
      <c r="P330" s="547"/>
      <c r="Q330" s="547"/>
      <c r="R330" s="547"/>
      <c r="S330" s="989">
        <f t="shared" si="20"/>
        <v>0</v>
      </c>
      <c r="T330" s="547">
        <v>0</v>
      </c>
      <c r="U330" s="989">
        <f t="shared" si="23"/>
        <v>0</v>
      </c>
      <c r="V330" s="547">
        <v>0</v>
      </c>
      <c r="W330" s="566"/>
      <c r="X330" s="567"/>
      <c r="Y330" s="989">
        <f t="shared" si="21"/>
        <v>0</v>
      </c>
      <c r="Z330" s="812">
        <f t="shared" si="22"/>
        <v>0</v>
      </c>
    </row>
    <row r="331" spans="1:26" ht="27" customHeight="1">
      <c r="A331" s="531"/>
      <c r="B331" s="531">
        <v>607</v>
      </c>
      <c r="C331" s="529">
        <v>6</v>
      </c>
      <c r="D331" s="1027" t="s">
        <v>1375</v>
      </c>
      <c r="E331" s="1028" t="s">
        <v>1382</v>
      </c>
      <c r="F331" s="547">
        <v>356994467347</v>
      </c>
      <c r="G331" s="547">
        <v>1030195556</v>
      </c>
      <c r="H331" s="547"/>
      <c r="I331" s="547"/>
      <c r="J331" s="547"/>
      <c r="K331" s="547">
        <v>-19472372700</v>
      </c>
      <c r="L331" s="547"/>
      <c r="M331" s="547">
        <v>1074925224</v>
      </c>
      <c r="N331" s="547"/>
      <c r="O331" s="547">
        <v>-251256712994</v>
      </c>
      <c r="P331" s="547"/>
      <c r="Q331" s="547"/>
      <c r="R331" s="547"/>
      <c r="S331" s="989">
        <f t="shared" si="20"/>
        <v>88370502433</v>
      </c>
      <c r="T331" s="547">
        <v>28551130413</v>
      </c>
      <c r="U331" s="989">
        <f t="shared" si="23"/>
        <v>88371</v>
      </c>
      <c r="V331" s="547">
        <v>28551</v>
      </c>
      <c r="W331" s="566"/>
      <c r="X331" s="567"/>
      <c r="Y331" s="989">
        <f t="shared" si="21"/>
        <v>88370502433</v>
      </c>
      <c r="Z331" s="812">
        <f t="shared" si="22"/>
        <v>88371</v>
      </c>
    </row>
    <row r="332" spans="1:26" ht="27" customHeight="1">
      <c r="A332" s="531"/>
      <c r="B332" s="531">
        <v>607</v>
      </c>
      <c r="C332" s="529">
        <v>6</v>
      </c>
      <c r="D332" s="1027" t="s">
        <v>319</v>
      </c>
      <c r="E332" s="1028" t="s">
        <v>1034</v>
      </c>
      <c r="F332" s="547"/>
      <c r="G332" s="547"/>
      <c r="H332" s="547"/>
      <c r="I332" s="547"/>
      <c r="J332" s="547"/>
      <c r="K332" s="547"/>
      <c r="L332" s="547"/>
      <c r="M332" s="547"/>
      <c r="N332" s="547"/>
      <c r="O332" s="547"/>
      <c r="P332" s="547"/>
      <c r="Q332" s="547"/>
      <c r="R332" s="547"/>
      <c r="S332" s="989">
        <f t="shared" si="20"/>
        <v>0</v>
      </c>
      <c r="T332" s="547">
        <v>0</v>
      </c>
      <c r="U332" s="989">
        <f t="shared" si="23"/>
        <v>0</v>
      </c>
      <c r="V332" s="547">
        <v>0</v>
      </c>
      <c r="W332" s="566"/>
      <c r="X332" s="567"/>
      <c r="Y332" s="989">
        <f t="shared" si="21"/>
        <v>0</v>
      </c>
      <c r="Z332" s="812">
        <f t="shared" si="22"/>
        <v>0</v>
      </c>
    </row>
    <row r="333" spans="1:26" ht="27" customHeight="1">
      <c r="A333" s="531"/>
      <c r="B333" s="1126">
        <v>607</v>
      </c>
      <c r="C333" s="1123">
        <v>6</v>
      </c>
      <c r="D333" s="1027" t="s">
        <v>321</v>
      </c>
      <c r="E333" s="1028" t="s">
        <v>1615</v>
      </c>
      <c r="F333" s="547">
        <v>51172990600</v>
      </c>
      <c r="G333" s="547">
        <v>787380000</v>
      </c>
      <c r="H333" s="547"/>
      <c r="I333" s="547">
        <v>409516760</v>
      </c>
      <c r="J333" s="547"/>
      <c r="K333" s="547"/>
      <c r="L333" s="547"/>
      <c r="M333" s="547">
        <v>851598660</v>
      </c>
      <c r="N333" s="547"/>
      <c r="O333" s="547"/>
      <c r="P333" s="547"/>
      <c r="Q333" s="547"/>
      <c r="R333" s="547"/>
      <c r="S333" s="989">
        <f t="shared" si="20"/>
        <v>53221486020</v>
      </c>
      <c r="T333" s="547">
        <v>-26382505305</v>
      </c>
      <c r="U333" s="989">
        <f t="shared" si="23"/>
        <v>53221</v>
      </c>
      <c r="V333" s="547">
        <v>-26383</v>
      </c>
      <c r="W333" s="566"/>
      <c r="X333" s="567"/>
      <c r="Y333" s="989">
        <f t="shared" si="21"/>
        <v>53221486020</v>
      </c>
      <c r="Z333" s="812">
        <f t="shared" si="22"/>
        <v>53221</v>
      </c>
    </row>
    <row r="334" spans="1:26" ht="27" customHeight="1">
      <c r="A334" s="531">
        <v>11</v>
      </c>
      <c r="B334" s="531">
        <v>907</v>
      </c>
      <c r="C334" s="529">
        <v>9</v>
      </c>
      <c r="D334" s="1027" t="s">
        <v>323</v>
      </c>
      <c r="E334" s="1028" t="s">
        <v>1036</v>
      </c>
      <c r="F334" s="547">
        <v>163136258056</v>
      </c>
      <c r="G334" s="547"/>
      <c r="H334" s="547"/>
      <c r="I334" s="547"/>
      <c r="J334" s="547">
        <v>-163136258056</v>
      </c>
      <c r="K334" s="547">
        <v>0</v>
      </c>
      <c r="L334" s="547"/>
      <c r="M334" s="547">
        <f>837168552+4949067239-5786235791</f>
        <v>0</v>
      </c>
      <c r="N334" s="547"/>
      <c r="O334" s="547"/>
      <c r="P334" s="547"/>
      <c r="Q334" s="547"/>
      <c r="R334" s="547"/>
      <c r="S334" s="989">
        <f t="shared" si="20"/>
        <v>0</v>
      </c>
      <c r="T334" s="547">
        <v>0</v>
      </c>
      <c r="U334" s="989">
        <f t="shared" si="23"/>
        <v>0</v>
      </c>
      <c r="V334" s="547">
        <v>0</v>
      </c>
      <c r="W334" s="566"/>
      <c r="X334" s="567"/>
      <c r="Y334" s="989">
        <f t="shared" si="21"/>
        <v>0</v>
      </c>
      <c r="Z334" s="812">
        <f t="shared" si="22"/>
        <v>0</v>
      </c>
    </row>
    <row r="335" spans="1:26" ht="27" customHeight="1">
      <c r="A335" s="531">
        <v>11</v>
      </c>
      <c r="B335" s="531">
        <v>907</v>
      </c>
      <c r="C335" s="529">
        <v>9</v>
      </c>
      <c r="D335" s="1027" t="s">
        <v>325</v>
      </c>
      <c r="E335" s="1028" t="s">
        <v>1037</v>
      </c>
      <c r="F335" s="547">
        <v>17745298414</v>
      </c>
      <c r="G335" s="547">
        <v>6666701600</v>
      </c>
      <c r="H335" s="547"/>
      <c r="I335" s="547"/>
      <c r="J335" s="547">
        <v>-24412000014</v>
      </c>
      <c r="K335" s="547"/>
      <c r="L335" s="547"/>
      <c r="M335" s="547"/>
      <c r="N335" s="547"/>
      <c r="O335" s="547"/>
      <c r="P335" s="547"/>
      <c r="Q335" s="547"/>
      <c r="R335" s="547"/>
      <c r="S335" s="989">
        <f t="shared" si="20"/>
        <v>0</v>
      </c>
      <c r="T335" s="547">
        <v>0</v>
      </c>
      <c r="U335" s="989">
        <f t="shared" si="23"/>
        <v>0</v>
      </c>
      <c r="V335" s="547">
        <v>0</v>
      </c>
      <c r="W335" s="566"/>
      <c r="X335" s="567"/>
      <c r="Y335" s="989">
        <f t="shared" si="21"/>
        <v>0</v>
      </c>
      <c r="Z335" s="812">
        <f t="shared" si="22"/>
        <v>0</v>
      </c>
    </row>
    <row r="336" spans="1:26" ht="27" customHeight="1">
      <c r="A336" s="531"/>
      <c r="B336" s="531">
        <v>906</v>
      </c>
      <c r="C336" s="529">
        <v>9</v>
      </c>
      <c r="D336" s="1027" t="s">
        <v>750</v>
      </c>
      <c r="E336" s="1028" t="s">
        <v>751</v>
      </c>
      <c r="F336" s="547"/>
      <c r="G336" s="547"/>
      <c r="H336" s="547"/>
      <c r="I336" s="547"/>
      <c r="J336" s="547"/>
      <c r="K336" s="547"/>
      <c r="L336" s="547"/>
      <c r="M336" s="547"/>
      <c r="N336" s="547"/>
      <c r="O336" s="547"/>
      <c r="P336" s="547"/>
      <c r="Q336" s="547"/>
      <c r="R336" s="547"/>
      <c r="S336" s="989">
        <f t="shared" si="20"/>
        <v>0</v>
      </c>
      <c r="T336" s="547">
        <v>0</v>
      </c>
      <c r="U336" s="989">
        <f t="shared" si="23"/>
        <v>0</v>
      </c>
      <c r="V336" s="547">
        <v>0</v>
      </c>
      <c r="W336" s="566"/>
      <c r="X336" s="567"/>
      <c r="Y336" s="989">
        <f t="shared" si="21"/>
        <v>0</v>
      </c>
      <c r="Z336" s="812">
        <f t="shared" si="22"/>
        <v>0</v>
      </c>
    </row>
    <row r="337" spans="1:26" ht="27" customHeight="1">
      <c r="A337" s="531"/>
      <c r="B337" s="531">
        <v>907</v>
      </c>
      <c r="C337" s="529">
        <v>9</v>
      </c>
      <c r="D337" s="1027" t="s">
        <v>750</v>
      </c>
      <c r="E337" s="1028" t="s">
        <v>751</v>
      </c>
      <c r="F337" s="547"/>
      <c r="G337" s="547"/>
      <c r="H337" s="547"/>
      <c r="I337" s="547"/>
      <c r="J337" s="547"/>
      <c r="K337" s="547"/>
      <c r="L337" s="547"/>
      <c r="M337" s="547"/>
      <c r="N337" s="547"/>
      <c r="O337" s="547"/>
      <c r="P337" s="547"/>
      <c r="Q337" s="547"/>
      <c r="R337" s="547"/>
      <c r="S337" s="989">
        <f t="shared" si="20"/>
        <v>0</v>
      </c>
      <c r="T337" s="547">
        <v>0</v>
      </c>
      <c r="U337" s="989">
        <f t="shared" si="23"/>
        <v>0</v>
      </c>
      <c r="V337" s="547">
        <v>0</v>
      </c>
      <c r="W337" s="566"/>
      <c r="X337" s="567"/>
      <c r="Y337" s="989">
        <f t="shared" si="21"/>
        <v>0</v>
      </c>
      <c r="Z337" s="812">
        <f t="shared" si="22"/>
        <v>0</v>
      </c>
    </row>
    <row r="338" spans="1:26" ht="27" customHeight="1">
      <c r="A338" s="531"/>
      <c r="B338" s="531">
        <v>601</v>
      </c>
      <c r="C338" s="529">
        <v>6</v>
      </c>
      <c r="D338" s="1027" t="s">
        <v>749</v>
      </c>
      <c r="E338" s="1028" t="s">
        <v>751</v>
      </c>
      <c r="F338" s="547"/>
      <c r="G338" s="547"/>
      <c r="H338" s="547"/>
      <c r="I338" s="547"/>
      <c r="J338" s="547"/>
      <c r="K338" s="547"/>
      <c r="L338" s="547"/>
      <c r="M338" s="547"/>
      <c r="N338" s="547"/>
      <c r="O338" s="547"/>
      <c r="P338" s="547"/>
      <c r="Q338" s="547"/>
      <c r="R338" s="547"/>
      <c r="S338" s="989">
        <f t="shared" si="20"/>
        <v>0</v>
      </c>
      <c r="T338" s="547">
        <v>0</v>
      </c>
      <c r="U338" s="989">
        <f t="shared" si="23"/>
        <v>0</v>
      </c>
      <c r="V338" s="547">
        <v>0</v>
      </c>
      <c r="W338" s="566"/>
      <c r="X338" s="567"/>
      <c r="Y338" s="989">
        <f t="shared" si="21"/>
        <v>0</v>
      </c>
      <c r="Z338" s="812">
        <f t="shared" si="22"/>
        <v>0</v>
      </c>
    </row>
    <row r="339" spans="1:26" ht="27" customHeight="1">
      <c r="A339" s="531"/>
      <c r="B339" s="531">
        <v>302</v>
      </c>
      <c r="C339" s="529">
        <v>3</v>
      </c>
      <c r="D339" s="1027" t="s">
        <v>749</v>
      </c>
      <c r="E339" s="1028" t="s">
        <v>751</v>
      </c>
      <c r="F339" s="547"/>
      <c r="G339" s="547"/>
      <c r="H339" s="547"/>
      <c r="I339" s="547"/>
      <c r="J339" s="547"/>
      <c r="K339" s="547"/>
      <c r="L339" s="547"/>
      <c r="M339" s="547"/>
      <c r="N339" s="547"/>
      <c r="O339" s="547"/>
      <c r="P339" s="547"/>
      <c r="Q339" s="547"/>
      <c r="R339" s="547"/>
      <c r="S339" s="989">
        <f t="shared" si="20"/>
        <v>0</v>
      </c>
      <c r="T339" s="547">
        <v>0</v>
      </c>
      <c r="U339" s="989">
        <f t="shared" si="23"/>
        <v>0</v>
      </c>
      <c r="V339" s="547">
        <v>0</v>
      </c>
      <c r="W339" s="566"/>
      <c r="X339" s="567"/>
      <c r="Y339" s="989">
        <f t="shared" si="21"/>
        <v>0</v>
      </c>
      <c r="Z339" s="812">
        <f t="shared" si="22"/>
        <v>0</v>
      </c>
    </row>
    <row r="340" spans="1:26" ht="27" customHeight="1">
      <c r="A340" s="531"/>
      <c r="B340" s="531"/>
      <c r="C340" s="529">
        <v>12</v>
      </c>
      <c r="D340" s="1027" t="s">
        <v>327</v>
      </c>
      <c r="E340" s="1028" t="s">
        <v>328</v>
      </c>
      <c r="F340" s="547">
        <v>-12000000000000</v>
      </c>
      <c r="G340" s="547"/>
      <c r="H340" s="547"/>
      <c r="I340" s="547"/>
      <c r="J340" s="547"/>
      <c r="K340" s="547"/>
      <c r="L340" s="547"/>
      <c r="M340" s="547"/>
      <c r="N340" s="547"/>
      <c r="O340" s="547"/>
      <c r="P340" s="547"/>
      <c r="Q340" s="547"/>
      <c r="R340" s="547"/>
      <c r="S340" s="989">
        <f t="shared" si="20"/>
        <v>-12000000000000</v>
      </c>
      <c r="T340" s="547">
        <v>-12000000000000</v>
      </c>
      <c r="U340" s="989">
        <f t="shared" si="23"/>
        <v>-12000000</v>
      </c>
      <c r="V340" s="547">
        <v>-12000000</v>
      </c>
      <c r="W340" s="566"/>
      <c r="X340" s="567"/>
      <c r="Y340" s="989">
        <f t="shared" si="21"/>
        <v>-12000000000000</v>
      </c>
      <c r="Z340" s="812">
        <f t="shared" si="22"/>
        <v>-12000000</v>
      </c>
    </row>
    <row r="341" spans="1:26" ht="27" customHeight="1">
      <c r="A341" s="531"/>
      <c r="B341" s="531">
        <v>10040</v>
      </c>
      <c r="C341" s="529">
        <v>4</v>
      </c>
      <c r="D341" s="1027" t="s">
        <v>1340</v>
      </c>
      <c r="E341" s="1028" t="s">
        <v>1341</v>
      </c>
      <c r="F341" s="547"/>
      <c r="G341" s="547"/>
      <c r="H341" s="547"/>
      <c r="I341" s="547"/>
      <c r="J341" s="547"/>
      <c r="K341" s="547"/>
      <c r="L341" s="547"/>
      <c r="M341" s="547"/>
      <c r="N341" s="547"/>
      <c r="O341" s="547"/>
      <c r="P341" s="547"/>
      <c r="Q341" s="547"/>
      <c r="R341" s="547"/>
      <c r="S341" s="989">
        <f t="shared" si="20"/>
        <v>0</v>
      </c>
      <c r="T341" s="547">
        <v>0</v>
      </c>
      <c r="U341" s="989">
        <f t="shared" si="23"/>
        <v>0</v>
      </c>
      <c r="V341" s="547">
        <v>0</v>
      </c>
      <c r="W341" s="566"/>
      <c r="X341" s="567"/>
      <c r="Y341" s="989">
        <f t="shared" si="21"/>
        <v>0</v>
      </c>
      <c r="Z341" s="812">
        <f t="shared" si="22"/>
        <v>0</v>
      </c>
    </row>
    <row r="342" spans="1:26" ht="27" customHeight="1">
      <c r="A342" s="531"/>
      <c r="B342" s="531">
        <v>1401</v>
      </c>
      <c r="C342" s="529">
        <v>13</v>
      </c>
      <c r="D342" s="1027" t="s">
        <v>329</v>
      </c>
      <c r="E342" s="1028" t="s">
        <v>330</v>
      </c>
      <c r="F342" s="547">
        <v>-500000</v>
      </c>
      <c r="G342" s="547"/>
      <c r="H342" s="547"/>
      <c r="I342" s="547"/>
      <c r="J342" s="547"/>
      <c r="K342" s="547"/>
      <c r="L342" s="547"/>
      <c r="M342" s="547"/>
      <c r="N342" s="547"/>
      <c r="O342" s="547"/>
      <c r="P342" s="547"/>
      <c r="Q342" s="547"/>
      <c r="R342" s="547"/>
      <c r="S342" s="989">
        <f t="shared" si="20"/>
        <v>-500000</v>
      </c>
      <c r="T342" s="547">
        <v>-500000</v>
      </c>
      <c r="U342" s="989">
        <f t="shared" si="23"/>
        <v>-1</v>
      </c>
      <c r="V342" s="547">
        <v>-1</v>
      </c>
      <c r="W342" s="566"/>
      <c r="X342" s="567"/>
      <c r="Y342" s="989">
        <f t="shared" si="21"/>
        <v>-500000</v>
      </c>
      <c r="Z342" s="812">
        <f t="shared" si="22"/>
        <v>-1</v>
      </c>
    </row>
    <row r="343" spans="1:26" ht="27" customHeight="1">
      <c r="A343" s="531"/>
      <c r="B343" s="531">
        <v>1402</v>
      </c>
      <c r="C343" s="529">
        <v>13</v>
      </c>
      <c r="D343" s="1027" t="s">
        <v>331</v>
      </c>
      <c r="E343" s="1028" t="s">
        <v>332</v>
      </c>
      <c r="F343" s="547">
        <v>-2735500000</v>
      </c>
      <c r="G343" s="547"/>
      <c r="H343" s="547"/>
      <c r="I343" s="547"/>
      <c r="J343" s="547"/>
      <c r="K343" s="547"/>
      <c r="L343" s="547"/>
      <c r="M343" s="547"/>
      <c r="N343" s="547"/>
      <c r="O343" s="547"/>
      <c r="P343" s="547"/>
      <c r="Q343" s="547"/>
      <c r="R343" s="547"/>
      <c r="S343" s="989">
        <f t="shared" si="20"/>
        <v>-2735500000</v>
      </c>
      <c r="T343" s="547">
        <v>-2735500000</v>
      </c>
      <c r="U343" s="989">
        <f t="shared" si="23"/>
        <v>-2736</v>
      </c>
      <c r="V343" s="547">
        <v>-2736</v>
      </c>
      <c r="W343" s="566"/>
      <c r="X343" s="567"/>
      <c r="Y343" s="989">
        <f t="shared" si="21"/>
        <v>-2735500000</v>
      </c>
      <c r="Z343" s="812">
        <f t="shared" si="22"/>
        <v>-2736</v>
      </c>
    </row>
    <row r="344" spans="1:26" ht="27" customHeight="1">
      <c r="A344" s="531"/>
      <c r="B344" s="531">
        <v>406</v>
      </c>
      <c r="C344" s="529">
        <v>4</v>
      </c>
      <c r="D344" s="1027" t="s">
        <v>1208</v>
      </c>
      <c r="E344" s="1028" t="s">
        <v>1164</v>
      </c>
      <c r="F344" s="547"/>
      <c r="G344" s="547"/>
      <c r="H344" s="547"/>
      <c r="I344" s="547"/>
      <c r="J344" s="547"/>
      <c r="K344" s="547"/>
      <c r="L344" s="547"/>
      <c r="M344" s="547"/>
      <c r="N344" s="547"/>
      <c r="O344" s="547"/>
      <c r="P344" s="547"/>
      <c r="Q344" s="547"/>
      <c r="R344" s="547"/>
      <c r="S344" s="989">
        <f t="shared" si="20"/>
        <v>0</v>
      </c>
      <c r="T344" s="547">
        <v>0</v>
      </c>
      <c r="U344" s="989">
        <f t="shared" si="23"/>
        <v>0</v>
      </c>
      <c r="V344" s="547">
        <v>0</v>
      </c>
      <c r="W344" s="566"/>
      <c r="X344" s="567"/>
      <c r="Y344" s="989">
        <f t="shared" si="21"/>
        <v>0</v>
      </c>
      <c r="Z344" s="812">
        <f t="shared" si="22"/>
        <v>0</v>
      </c>
    </row>
    <row r="345" spans="1:26" ht="27" customHeight="1">
      <c r="A345" s="531"/>
      <c r="B345" s="531">
        <v>901</v>
      </c>
      <c r="C345" s="529">
        <v>9</v>
      </c>
      <c r="D345" s="1027" t="s">
        <v>112</v>
      </c>
      <c r="E345" s="1028" t="s">
        <v>113</v>
      </c>
      <c r="F345" s="547">
        <v>2311572271172</v>
      </c>
      <c r="G345" s="547">
        <v>0</v>
      </c>
      <c r="H345" s="547">
        <v>36197451825</v>
      </c>
      <c r="I345" s="547"/>
      <c r="J345" s="547"/>
      <c r="K345" s="547"/>
      <c r="L345" s="547"/>
      <c r="M345" s="547"/>
      <c r="N345" s="547"/>
      <c r="O345" s="547"/>
      <c r="P345" s="547"/>
      <c r="Q345" s="547"/>
      <c r="R345" s="547"/>
      <c r="S345" s="989">
        <f t="shared" si="20"/>
        <v>2347769722997</v>
      </c>
      <c r="T345" s="547">
        <v>2311572271172</v>
      </c>
      <c r="U345" s="989">
        <f>ROUND((S345/1000000),0)-1</f>
        <v>2347769</v>
      </c>
      <c r="V345" s="547">
        <v>2311572</v>
      </c>
      <c r="W345" s="566"/>
      <c r="X345" s="567"/>
      <c r="Y345" s="989">
        <f t="shared" si="21"/>
        <v>2347769722997</v>
      </c>
      <c r="Z345" s="812">
        <f t="shared" si="22"/>
        <v>2347770</v>
      </c>
    </row>
    <row r="346" spans="1:26" ht="27" customHeight="1">
      <c r="A346" s="531"/>
      <c r="B346" s="531">
        <v>901</v>
      </c>
      <c r="C346" s="1119">
        <v>9</v>
      </c>
      <c r="D346" s="1118">
        <v>90002006</v>
      </c>
      <c r="E346" s="1028" t="s">
        <v>1766</v>
      </c>
      <c r="F346" s="547"/>
      <c r="G346" s="547"/>
      <c r="H346" s="547">
        <v>36197451825</v>
      </c>
      <c r="I346" s="547">
        <v>-36197451825</v>
      </c>
      <c r="J346" s="547"/>
      <c r="K346" s="547"/>
      <c r="L346" s="547"/>
      <c r="M346" s="547"/>
      <c r="N346" s="547"/>
      <c r="O346" s="547"/>
      <c r="P346" s="547"/>
      <c r="Q346" s="547"/>
      <c r="R346" s="547"/>
      <c r="S346" s="989">
        <f t="shared" si="20"/>
        <v>0</v>
      </c>
      <c r="T346" s="547"/>
      <c r="U346" s="989">
        <f t="shared" si="23"/>
        <v>0</v>
      </c>
      <c r="V346" s="547"/>
      <c r="W346" s="566"/>
      <c r="X346" s="567"/>
      <c r="Y346" s="989">
        <f t="shared" si="21"/>
        <v>0</v>
      </c>
      <c r="Z346" s="812">
        <f t="shared" si="22"/>
        <v>0</v>
      </c>
    </row>
    <row r="347" spans="1:26" ht="27" customHeight="1">
      <c r="A347" s="531"/>
      <c r="B347" s="531">
        <v>902</v>
      </c>
      <c r="C347" s="529">
        <v>9</v>
      </c>
      <c r="D347" s="1027" t="s">
        <v>114</v>
      </c>
      <c r="E347" s="1028" t="s">
        <v>920</v>
      </c>
      <c r="F347" s="547">
        <v>31786351911258</v>
      </c>
      <c r="G347" s="547">
        <v>300423986812</v>
      </c>
      <c r="H347" s="547">
        <v>231468431037</v>
      </c>
      <c r="I347" s="547"/>
      <c r="J347" s="547"/>
      <c r="K347" s="547"/>
      <c r="L347" s="547"/>
      <c r="M347" s="547"/>
      <c r="N347" s="547"/>
      <c r="O347" s="547"/>
      <c r="P347" s="547"/>
      <c r="Q347" s="547"/>
      <c r="R347" s="547"/>
      <c r="S347" s="989">
        <f t="shared" si="20"/>
        <v>32318244329107</v>
      </c>
      <c r="T347" s="547">
        <v>31055981989806</v>
      </c>
      <c r="U347" s="989">
        <f t="shared" si="23"/>
        <v>32318244</v>
      </c>
      <c r="V347" s="547">
        <v>31055982</v>
      </c>
      <c r="W347" s="566"/>
      <c r="X347" s="567"/>
      <c r="Y347" s="989">
        <f t="shared" si="21"/>
        <v>32318244329107</v>
      </c>
      <c r="Z347" s="812">
        <f t="shared" si="22"/>
        <v>32318244</v>
      </c>
    </row>
    <row r="348" spans="1:26" ht="27" customHeight="1">
      <c r="A348" s="531"/>
      <c r="B348" s="531"/>
      <c r="C348" s="529"/>
      <c r="D348" s="1027">
        <v>90002102</v>
      </c>
      <c r="E348" s="1028"/>
      <c r="F348" s="547"/>
      <c r="G348" s="547"/>
      <c r="H348" s="547"/>
      <c r="I348" s="547"/>
      <c r="J348" s="547"/>
      <c r="K348" s="547"/>
      <c r="L348" s="547"/>
      <c r="M348" s="547"/>
      <c r="N348" s="547"/>
      <c r="O348" s="547"/>
      <c r="P348" s="547"/>
      <c r="Q348" s="547"/>
      <c r="R348" s="547"/>
      <c r="S348" s="989"/>
      <c r="T348" s="547"/>
      <c r="U348" s="989"/>
      <c r="V348" s="547"/>
      <c r="W348" s="566"/>
      <c r="X348" s="567"/>
      <c r="Y348" s="989"/>
      <c r="Z348" s="812"/>
    </row>
    <row r="349" spans="1:26" ht="27" customHeight="1">
      <c r="A349" s="531"/>
      <c r="B349" s="531">
        <v>902</v>
      </c>
      <c r="C349" s="529">
        <v>9</v>
      </c>
      <c r="D349" s="1027" t="s">
        <v>1624</v>
      </c>
      <c r="E349" s="1028" t="s">
        <v>1604</v>
      </c>
      <c r="F349" s="547"/>
      <c r="G349" s="547"/>
      <c r="H349" s="547"/>
      <c r="I349" s="547"/>
      <c r="J349" s="547"/>
      <c r="K349" s="547"/>
      <c r="L349" s="547"/>
      <c r="M349" s="547"/>
      <c r="N349" s="547"/>
      <c r="O349" s="547"/>
      <c r="P349" s="547"/>
      <c r="Q349" s="547"/>
      <c r="R349" s="547"/>
      <c r="S349" s="989">
        <f t="shared" si="20"/>
        <v>0</v>
      </c>
      <c r="T349" s="547">
        <v>0</v>
      </c>
      <c r="U349" s="989">
        <f t="shared" si="23"/>
        <v>0</v>
      </c>
      <c r="V349" s="547">
        <v>0</v>
      </c>
      <c r="W349" s="566"/>
      <c r="X349" s="567"/>
      <c r="Y349" s="989">
        <f t="shared" si="21"/>
        <v>0</v>
      </c>
      <c r="Z349" s="812">
        <f t="shared" si="22"/>
        <v>0</v>
      </c>
    </row>
    <row r="350" spans="1:26" ht="27" customHeight="1">
      <c r="A350" s="531"/>
      <c r="B350" s="531"/>
      <c r="C350" s="529">
        <v>8</v>
      </c>
      <c r="D350" s="1027" t="s">
        <v>667</v>
      </c>
      <c r="E350" s="1028" t="s">
        <v>666</v>
      </c>
      <c r="F350" s="547">
        <v>8557763010</v>
      </c>
      <c r="G350" s="547"/>
      <c r="H350" s="547"/>
      <c r="I350" s="547"/>
      <c r="J350" s="547"/>
      <c r="K350" s="547"/>
      <c r="L350" s="547"/>
      <c r="M350" s="547"/>
      <c r="N350" s="547"/>
      <c r="O350" s="547"/>
      <c r="P350" s="547"/>
      <c r="Q350" s="547"/>
      <c r="R350" s="547"/>
      <c r="S350" s="989">
        <f t="shared" si="20"/>
        <v>8557763010</v>
      </c>
      <c r="T350" s="547">
        <v>8557763010</v>
      </c>
      <c r="U350" s="989">
        <f t="shared" si="23"/>
        <v>8558</v>
      </c>
      <c r="V350" s="547">
        <v>8558</v>
      </c>
      <c r="W350" s="566"/>
      <c r="X350" s="567"/>
      <c r="Y350" s="989">
        <f t="shared" si="21"/>
        <v>8557763010</v>
      </c>
      <c r="Z350" s="812">
        <f t="shared" si="22"/>
        <v>8558</v>
      </c>
    </row>
    <row r="351" spans="1:26" ht="27" customHeight="1">
      <c r="A351" s="531"/>
      <c r="B351" s="531">
        <v>903</v>
      </c>
      <c r="C351" s="529">
        <v>9</v>
      </c>
      <c r="D351" s="1027" t="s">
        <v>105</v>
      </c>
      <c r="E351" s="1028" t="s">
        <v>913</v>
      </c>
      <c r="F351" s="547">
        <v>1274580222376</v>
      </c>
      <c r="G351" s="547"/>
      <c r="H351" s="547"/>
      <c r="I351" s="547">
        <v>271467039483</v>
      </c>
      <c r="J351" s="547"/>
      <c r="K351" s="547"/>
      <c r="L351" s="547"/>
      <c r="M351" s="547"/>
      <c r="N351" s="547"/>
      <c r="O351" s="547"/>
      <c r="P351" s="547"/>
      <c r="Q351" s="547"/>
      <c r="R351" s="547"/>
      <c r="S351" s="989">
        <f t="shared" si="20"/>
        <v>1546047261859</v>
      </c>
      <c r="T351" s="547">
        <v>1274580222376</v>
      </c>
      <c r="U351" s="989">
        <f t="shared" si="23"/>
        <v>1546047</v>
      </c>
      <c r="V351" s="547">
        <v>1274580</v>
      </c>
      <c r="W351" s="566"/>
      <c r="X351" s="567"/>
      <c r="Y351" s="989">
        <f t="shared" si="21"/>
        <v>1546047261859</v>
      </c>
      <c r="Z351" s="812">
        <f t="shared" si="22"/>
        <v>1546047</v>
      </c>
    </row>
    <row r="352" spans="1:26" ht="27" customHeight="1">
      <c r="A352" s="531"/>
      <c r="B352" s="531">
        <v>903</v>
      </c>
      <c r="C352" s="529">
        <v>9</v>
      </c>
      <c r="D352" s="1027" t="s">
        <v>1107</v>
      </c>
      <c r="E352" s="1028" t="s">
        <v>1108</v>
      </c>
      <c r="F352" s="547">
        <v>226514969242</v>
      </c>
      <c r="G352" s="547">
        <v>17688616457</v>
      </c>
      <c r="H352" s="547">
        <v>28687994213</v>
      </c>
      <c r="I352" s="547">
        <v>-272891579912</v>
      </c>
      <c r="J352" s="547"/>
      <c r="K352" s="547"/>
      <c r="L352" s="547"/>
      <c r="M352" s="547"/>
      <c r="N352" s="547"/>
      <c r="O352" s="547"/>
      <c r="P352" s="547"/>
      <c r="Q352" s="547"/>
      <c r="R352" s="547"/>
      <c r="S352" s="989">
        <f t="shared" si="20"/>
        <v>0</v>
      </c>
      <c r="T352" s="547">
        <v>0</v>
      </c>
      <c r="U352" s="989">
        <f t="shared" si="23"/>
        <v>0</v>
      </c>
      <c r="V352" s="547">
        <v>0</v>
      </c>
      <c r="W352" s="566"/>
      <c r="X352" s="567"/>
      <c r="Y352" s="989">
        <f t="shared" si="21"/>
        <v>0</v>
      </c>
      <c r="Z352" s="812">
        <f t="shared" si="22"/>
        <v>0</v>
      </c>
    </row>
    <row r="353" spans="1:26" ht="27" customHeight="1">
      <c r="A353" s="531"/>
      <c r="B353" s="531">
        <v>903</v>
      </c>
      <c r="C353" s="529">
        <v>9</v>
      </c>
      <c r="D353" s="1027" t="s">
        <v>1109</v>
      </c>
      <c r="E353" s="1028" t="s">
        <v>1110</v>
      </c>
      <c r="F353" s="547">
        <v>-1424540429</v>
      </c>
      <c r="G353" s="547"/>
      <c r="H353" s="547"/>
      <c r="I353" s="547">
        <v>1424540429</v>
      </c>
      <c r="J353" s="547"/>
      <c r="K353" s="547"/>
      <c r="L353" s="547"/>
      <c r="M353" s="547"/>
      <c r="N353" s="547"/>
      <c r="O353" s="547"/>
      <c r="P353" s="547"/>
      <c r="Q353" s="547"/>
      <c r="R353" s="547"/>
      <c r="S353" s="989">
        <f t="shared" si="20"/>
        <v>0</v>
      </c>
      <c r="T353" s="547">
        <v>0</v>
      </c>
      <c r="U353" s="989">
        <f t="shared" si="23"/>
        <v>0</v>
      </c>
      <c r="V353" s="547">
        <v>0</v>
      </c>
      <c r="W353" s="566"/>
      <c r="X353" s="567"/>
      <c r="Y353" s="989">
        <f t="shared" si="21"/>
        <v>0</v>
      </c>
      <c r="Z353" s="812">
        <f t="shared" si="22"/>
        <v>0</v>
      </c>
    </row>
    <row r="354" spans="1:26" ht="27" customHeight="1">
      <c r="A354" s="531"/>
      <c r="B354" s="531">
        <v>903</v>
      </c>
      <c r="C354" s="529">
        <v>9</v>
      </c>
      <c r="D354" s="1027" t="s">
        <v>1571</v>
      </c>
      <c r="E354" s="1028" t="s">
        <v>1111</v>
      </c>
      <c r="F354" s="547"/>
      <c r="G354" s="547"/>
      <c r="H354" s="547"/>
      <c r="I354" s="547"/>
      <c r="J354" s="547"/>
      <c r="K354" s="547"/>
      <c r="L354" s="547"/>
      <c r="M354" s="547"/>
      <c r="N354" s="547"/>
      <c r="O354" s="547"/>
      <c r="P354" s="547"/>
      <c r="Q354" s="547"/>
      <c r="R354" s="547"/>
      <c r="S354" s="989">
        <f t="shared" si="20"/>
        <v>0</v>
      </c>
      <c r="T354" s="547">
        <v>0</v>
      </c>
      <c r="U354" s="989">
        <f t="shared" si="23"/>
        <v>0</v>
      </c>
      <c r="V354" s="547">
        <v>0</v>
      </c>
      <c r="W354" s="566"/>
      <c r="X354" s="567"/>
      <c r="Y354" s="989">
        <f t="shared" si="21"/>
        <v>0</v>
      </c>
      <c r="Z354" s="812">
        <f t="shared" si="22"/>
        <v>0</v>
      </c>
    </row>
    <row r="355" spans="1:26" ht="27" customHeight="1">
      <c r="A355" s="531"/>
      <c r="B355" s="531">
        <v>902</v>
      </c>
      <c r="C355" s="529">
        <v>9</v>
      </c>
      <c r="D355" s="1027">
        <v>90002140</v>
      </c>
      <c r="E355" s="1028" t="s">
        <v>1756</v>
      </c>
      <c r="F355" s="547"/>
      <c r="G355" s="547"/>
      <c r="H355" s="547"/>
      <c r="I355" s="547"/>
      <c r="J355" s="547"/>
      <c r="K355" s="547"/>
      <c r="L355" s="547"/>
      <c r="M355" s="547"/>
      <c r="N355" s="547"/>
      <c r="O355" s="547"/>
      <c r="P355" s="547"/>
      <c r="Q355" s="547"/>
      <c r="R355" s="547"/>
      <c r="S355" s="989">
        <f t="shared" si="20"/>
        <v>0</v>
      </c>
      <c r="T355" s="547"/>
      <c r="U355" s="989">
        <f t="shared" si="23"/>
        <v>0</v>
      </c>
      <c r="V355" s="547"/>
      <c r="W355" s="566"/>
      <c r="X355" s="567"/>
      <c r="Y355" s="989">
        <f t="shared" si="21"/>
        <v>0</v>
      </c>
      <c r="Z355" s="812">
        <f t="shared" si="22"/>
        <v>0</v>
      </c>
    </row>
    <row r="356" spans="1:26" ht="27" customHeight="1">
      <c r="A356" s="531"/>
      <c r="B356" s="531">
        <v>905</v>
      </c>
      <c r="C356" s="529">
        <v>9</v>
      </c>
      <c r="D356" s="1027" t="s">
        <v>107</v>
      </c>
      <c r="E356" s="1028" t="s">
        <v>917</v>
      </c>
      <c r="F356" s="547">
        <v>645834579657</v>
      </c>
      <c r="G356" s="547"/>
      <c r="H356" s="547"/>
      <c r="I356" s="547">
        <v>14483423633</v>
      </c>
      <c r="J356" s="547"/>
      <c r="K356" s="547"/>
      <c r="L356" s="547"/>
      <c r="M356" s="547"/>
      <c r="N356" s="547"/>
      <c r="O356" s="547"/>
      <c r="P356" s="547"/>
      <c r="Q356" s="547"/>
      <c r="R356" s="547"/>
      <c r="S356" s="989">
        <f t="shared" si="20"/>
        <v>660318003290</v>
      </c>
      <c r="T356" s="547">
        <v>645834579657</v>
      </c>
      <c r="U356" s="989">
        <f t="shared" si="23"/>
        <v>660318</v>
      </c>
      <c r="V356" s="547">
        <v>645835</v>
      </c>
      <c r="W356" s="566"/>
      <c r="X356" s="567"/>
      <c r="Y356" s="989">
        <f t="shared" si="21"/>
        <v>660318003290</v>
      </c>
      <c r="Z356" s="812">
        <f t="shared" si="22"/>
        <v>660318</v>
      </c>
    </row>
    <row r="357" spans="1:26" ht="27" customHeight="1">
      <c r="A357" s="531"/>
      <c r="B357" s="531">
        <v>905</v>
      </c>
      <c r="C357" s="529">
        <v>9</v>
      </c>
      <c r="D357" s="1027" t="s">
        <v>1112</v>
      </c>
      <c r="E357" s="1028" t="s">
        <v>1113</v>
      </c>
      <c r="F357" s="547">
        <v>13292865633</v>
      </c>
      <c r="G357" s="547">
        <v>108000</v>
      </c>
      <c r="H357" s="547">
        <v>1194200000</v>
      </c>
      <c r="I357" s="547">
        <v>-14487173633</v>
      </c>
      <c r="J357" s="547"/>
      <c r="K357" s="547"/>
      <c r="L357" s="547"/>
      <c r="M357" s="547"/>
      <c r="N357" s="547"/>
      <c r="O357" s="547"/>
      <c r="P357" s="547"/>
      <c r="Q357" s="547"/>
      <c r="R357" s="547"/>
      <c r="S357" s="989">
        <f t="shared" si="20"/>
        <v>0</v>
      </c>
      <c r="T357" s="547">
        <v>0</v>
      </c>
      <c r="U357" s="989">
        <f t="shared" si="23"/>
        <v>0</v>
      </c>
      <c r="V357" s="547">
        <v>0</v>
      </c>
      <c r="W357" s="566"/>
      <c r="X357" s="567"/>
      <c r="Y357" s="989">
        <f t="shared" si="21"/>
        <v>0</v>
      </c>
      <c r="Z357" s="812">
        <f t="shared" si="22"/>
        <v>0</v>
      </c>
    </row>
    <row r="358" spans="1:26" ht="27" customHeight="1">
      <c r="A358" s="531"/>
      <c r="B358" s="531">
        <v>905</v>
      </c>
      <c r="C358" s="529">
        <v>9</v>
      </c>
      <c r="D358" s="1027" t="s">
        <v>1115</v>
      </c>
      <c r="E358" s="1028" t="s">
        <v>1114</v>
      </c>
      <c r="F358" s="547">
        <v>-3750000</v>
      </c>
      <c r="G358" s="547"/>
      <c r="H358" s="547"/>
      <c r="I358" s="547">
        <v>3750000</v>
      </c>
      <c r="J358" s="547"/>
      <c r="K358" s="547"/>
      <c r="L358" s="547"/>
      <c r="M358" s="547"/>
      <c r="N358" s="547"/>
      <c r="O358" s="547"/>
      <c r="P358" s="547"/>
      <c r="Q358" s="547"/>
      <c r="R358" s="547"/>
      <c r="S358" s="989">
        <f t="shared" si="20"/>
        <v>0</v>
      </c>
      <c r="T358" s="547">
        <v>0</v>
      </c>
      <c r="U358" s="989">
        <f t="shared" si="23"/>
        <v>0</v>
      </c>
      <c r="V358" s="547">
        <v>0</v>
      </c>
      <c r="W358" s="566"/>
      <c r="X358" s="567"/>
      <c r="Y358" s="989">
        <f t="shared" si="21"/>
        <v>0</v>
      </c>
      <c r="Z358" s="812">
        <f t="shared" si="22"/>
        <v>0</v>
      </c>
    </row>
    <row r="359" spans="1:26" ht="27" customHeight="1">
      <c r="A359" s="531"/>
      <c r="B359" s="531"/>
      <c r="C359" s="529">
        <v>9</v>
      </c>
      <c r="D359" s="1027" t="s">
        <v>1017</v>
      </c>
      <c r="E359" s="1028" t="s">
        <v>1018</v>
      </c>
      <c r="F359" s="547"/>
      <c r="G359" s="547"/>
      <c r="H359" s="547"/>
      <c r="I359" s="547"/>
      <c r="J359" s="547"/>
      <c r="K359" s="547"/>
      <c r="L359" s="547"/>
      <c r="M359" s="547"/>
      <c r="N359" s="547"/>
      <c r="O359" s="547"/>
      <c r="P359" s="547"/>
      <c r="Q359" s="547"/>
      <c r="R359" s="547"/>
      <c r="S359" s="989">
        <f t="shared" si="20"/>
        <v>0</v>
      </c>
      <c r="T359" s="547">
        <v>0</v>
      </c>
      <c r="U359" s="989">
        <f t="shared" si="23"/>
        <v>0</v>
      </c>
      <c r="V359" s="547">
        <v>0</v>
      </c>
      <c r="W359" s="566"/>
      <c r="X359" s="567"/>
      <c r="Y359" s="989">
        <f t="shared" si="21"/>
        <v>0</v>
      </c>
      <c r="Z359" s="812">
        <f t="shared" si="22"/>
        <v>0</v>
      </c>
    </row>
    <row r="360" spans="1:26" ht="27" customHeight="1">
      <c r="A360" s="531"/>
      <c r="B360" s="531"/>
      <c r="C360" s="529">
        <v>9</v>
      </c>
      <c r="D360" s="1027" t="s">
        <v>1197</v>
      </c>
      <c r="E360" s="1028" t="s">
        <v>1198</v>
      </c>
      <c r="F360" s="547"/>
      <c r="G360" s="547"/>
      <c r="H360" s="547"/>
      <c r="I360" s="547"/>
      <c r="J360" s="547"/>
      <c r="K360" s="547"/>
      <c r="L360" s="547"/>
      <c r="M360" s="547"/>
      <c r="N360" s="547"/>
      <c r="O360" s="547"/>
      <c r="P360" s="547"/>
      <c r="Q360" s="547"/>
      <c r="R360" s="547"/>
      <c r="S360" s="989">
        <f t="shared" si="20"/>
        <v>0</v>
      </c>
      <c r="T360" s="547">
        <v>0</v>
      </c>
      <c r="U360" s="989">
        <f t="shared" si="23"/>
        <v>0</v>
      </c>
      <c r="V360" s="547">
        <v>0</v>
      </c>
      <c r="W360" s="566"/>
      <c r="X360" s="567"/>
      <c r="Y360" s="989">
        <f t="shared" si="21"/>
        <v>0</v>
      </c>
      <c r="Z360" s="812">
        <f t="shared" si="22"/>
        <v>0</v>
      </c>
    </row>
    <row r="361" spans="1:26" ht="27" customHeight="1">
      <c r="A361" s="531"/>
      <c r="B361" s="531">
        <v>904</v>
      </c>
      <c r="C361" s="529">
        <v>9</v>
      </c>
      <c r="D361" s="1027" t="s">
        <v>149</v>
      </c>
      <c r="E361" s="1028" t="s">
        <v>915</v>
      </c>
      <c r="F361" s="547">
        <v>370073795649</v>
      </c>
      <c r="G361" s="547"/>
      <c r="H361" s="547">
        <v>-750963207</v>
      </c>
      <c r="I361" s="547">
        <v>36577683469</v>
      </c>
      <c r="J361" s="547"/>
      <c r="K361" s="547"/>
      <c r="L361" s="547"/>
      <c r="M361" s="547"/>
      <c r="N361" s="547"/>
      <c r="O361" s="547"/>
      <c r="P361" s="547"/>
      <c r="Q361" s="547"/>
      <c r="R361" s="547"/>
      <c r="S361" s="989">
        <f t="shared" si="20"/>
        <v>405900515911</v>
      </c>
      <c r="T361" s="547">
        <v>370073795649</v>
      </c>
      <c r="U361" s="989">
        <f t="shared" si="23"/>
        <v>405901</v>
      </c>
      <c r="V361" s="547">
        <v>370074</v>
      </c>
      <c r="W361" s="566"/>
      <c r="X361" s="567"/>
      <c r="Y361" s="989">
        <f t="shared" si="21"/>
        <v>405900515911</v>
      </c>
      <c r="Z361" s="812">
        <f t="shared" si="22"/>
        <v>405901</v>
      </c>
    </row>
    <row r="362" spans="1:26" ht="27" customHeight="1">
      <c r="A362" s="531"/>
      <c r="B362" s="531">
        <v>904</v>
      </c>
      <c r="C362" s="529">
        <v>9</v>
      </c>
      <c r="D362" s="1027" t="s">
        <v>1116</v>
      </c>
      <c r="E362" s="1028" t="s">
        <v>1119</v>
      </c>
      <c r="F362" s="547">
        <v>29134310892</v>
      </c>
      <c r="G362" s="547">
        <v>2079095092</v>
      </c>
      <c r="H362" s="547">
        <v>6862924770</v>
      </c>
      <c r="I362" s="547">
        <v>-38076330754</v>
      </c>
      <c r="J362" s="547"/>
      <c r="K362" s="547"/>
      <c r="L362" s="547"/>
      <c r="M362" s="547"/>
      <c r="N362" s="547"/>
      <c r="O362" s="547"/>
      <c r="P362" s="547"/>
      <c r="Q362" s="547"/>
      <c r="R362" s="547"/>
      <c r="S362" s="989">
        <f t="shared" si="20"/>
        <v>0</v>
      </c>
      <c r="T362" s="547">
        <v>0</v>
      </c>
      <c r="U362" s="989">
        <f t="shared" si="23"/>
        <v>0</v>
      </c>
      <c r="V362" s="547">
        <v>0</v>
      </c>
      <c r="W362" s="566"/>
      <c r="X362" s="567"/>
      <c r="Y362" s="989">
        <f t="shared" si="21"/>
        <v>0</v>
      </c>
      <c r="Z362" s="812">
        <f t="shared" si="22"/>
        <v>0</v>
      </c>
    </row>
    <row r="363" spans="1:26" ht="27" customHeight="1">
      <c r="A363" s="531"/>
      <c r="B363" s="531">
        <v>904</v>
      </c>
      <c r="C363" s="529">
        <v>9</v>
      </c>
      <c r="D363" s="1027" t="s">
        <v>1117</v>
      </c>
      <c r="E363" s="1028" t="s">
        <v>1120</v>
      </c>
      <c r="F363" s="547">
        <v>-1496210561</v>
      </c>
      <c r="G363" s="547">
        <v>-2436724</v>
      </c>
      <c r="H363" s="547"/>
      <c r="I363" s="547">
        <v>1498647285</v>
      </c>
      <c r="J363" s="547"/>
      <c r="K363" s="547"/>
      <c r="L363" s="547"/>
      <c r="M363" s="547"/>
      <c r="N363" s="547"/>
      <c r="O363" s="547"/>
      <c r="P363" s="547"/>
      <c r="Q363" s="547"/>
      <c r="R363" s="547"/>
      <c r="S363" s="989">
        <f t="shared" si="20"/>
        <v>0</v>
      </c>
      <c r="T363" s="547">
        <v>0</v>
      </c>
      <c r="U363" s="989">
        <f t="shared" si="23"/>
        <v>0</v>
      </c>
      <c r="V363" s="547">
        <v>0</v>
      </c>
      <c r="W363" s="566"/>
      <c r="X363" s="567"/>
      <c r="Y363" s="989">
        <f t="shared" si="21"/>
        <v>0</v>
      </c>
      <c r="Z363" s="812">
        <f t="shared" si="22"/>
        <v>0</v>
      </c>
    </row>
    <row r="364" spans="1:26" ht="27" customHeight="1">
      <c r="A364" s="531"/>
      <c r="B364" s="531">
        <v>904</v>
      </c>
      <c r="C364" s="529">
        <v>9</v>
      </c>
      <c r="D364" s="1027" t="s">
        <v>1118</v>
      </c>
      <c r="E364" s="1028" t="s">
        <v>1121</v>
      </c>
      <c r="F364" s="547"/>
      <c r="G364" s="547"/>
      <c r="H364" s="547"/>
      <c r="I364" s="547"/>
      <c r="J364" s="547"/>
      <c r="K364" s="547"/>
      <c r="L364" s="547"/>
      <c r="M364" s="547"/>
      <c r="N364" s="547"/>
      <c r="O364" s="547"/>
      <c r="P364" s="547"/>
      <c r="Q364" s="547"/>
      <c r="R364" s="547"/>
      <c r="S364" s="989">
        <f t="shared" si="20"/>
        <v>0</v>
      </c>
      <c r="T364" s="547">
        <v>0</v>
      </c>
      <c r="U364" s="989">
        <f t="shared" si="23"/>
        <v>0</v>
      </c>
      <c r="V364" s="547">
        <v>0</v>
      </c>
      <c r="W364" s="566"/>
      <c r="X364" s="567"/>
      <c r="Y364" s="989">
        <f t="shared" si="21"/>
        <v>0</v>
      </c>
      <c r="Z364" s="812">
        <f t="shared" si="22"/>
        <v>0</v>
      </c>
    </row>
    <row r="365" spans="1:26" ht="27" customHeight="1">
      <c r="A365" s="531"/>
      <c r="B365" s="531">
        <v>9</v>
      </c>
      <c r="C365" s="529">
        <v>9</v>
      </c>
      <c r="D365" s="1027" t="s">
        <v>1019</v>
      </c>
      <c r="E365" s="1028" t="s">
        <v>1020</v>
      </c>
      <c r="F365" s="547">
        <v>-71813541048</v>
      </c>
      <c r="G365" s="547">
        <v>95758504892</v>
      </c>
      <c r="H365" s="547">
        <v>-60142415669</v>
      </c>
      <c r="I365" s="547">
        <v>36197451825</v>
      </c>
      <c r="J365" s="547"/>
      <c r="K365" s="547"/>
      <c r="L365" s="547"/>
      <c r="M365" s="547"/>
      <c r="N365" s="547"/>
      <c r="O365" s="547"/>
      <c r="P365" s="547"/>
      <c r="Q365" s="547"/>
      <c r="R365" s="547"/>
      <c r="S365" s="989">
        <f t="shared" si="20"/>
        <v>0</v>
      </c>
      <c r="T365" s="547">
        <v>0</v>
      </c>
      <c r="U365" s="989">
        <f t="shared" si="23"/>
        <v>0</v>
      </c>
      <c r="V365" s="547">
        <v>0</v>
      </c>
      <c r="W365" s="566"/>
      <c r="X365" s="567"/>
      <c r="Y365" s="989">
        <f t="shared" si="21"/>
        <v>0</v>
      </c>
      <c r="Z365" s="812">
        <f t="shared" si="22"/>
        <v>0</v>
      </c>
    </row>
    <row r="366" spans="1:26" ht="27" customHeight="1">
      <c r="A366" s="531"/>
      <c r="B366" s="531">
        <v>902</v>
      </c>
      <c r="C366" s="529">
        <v>9</v>
      </c>
      <c r="D366" s="1027" t="s">
        <v>1009</v>
      </c>
      <c r="E366" s="1028" t="s">
        <v>1010</v>
      </c>
      <c r="F366" s="547">
        <v>-2070168061052</v>
      </c>
      <c r="G366" s="547">
        <v>-8634392344</v>
      </c>
      <c r="H366" s="547">
        <v>1725031633455</v>
      </c>
      <c r="I366" s="547">
        <v>353770819941</v>
      </c>
      <c r="J366" s="547"/>
      <c r="K366" s="547"/>
      <c r="L366" s="547"/>
      <c r="M366" s="547"/>
      <c r="N366" s="547"/>
      <c r="O366" s="547"/>
      <c r="P366" s="547"/>
      <c r="Q366" s="547"/>
      <c r="R366" s="547"/>
      <c r="S366" s="989">
        <f t="shared" si="20"/>
        <v>0</v>
      </c>
      <c r="T366" s="547">
        <v>0</v>
      </c>
      <c r="U366" s="989">
        <f t="shared" si="23"/>
        <v>0</v>
      </c>
      <c r="V366" s="547">
        <v>0</v>
      </c>
      <c r="W366" s="566"/>
      <c r="X366" s="567"/>
      <c r="Y366" s="989">
        <f t="shared" si="21"/>
        <v>0</v>
      </c>
      <c r="Z366" s="812">
        <f t="shared" si="22"/>
        <v>0</v>
      </c>
    </row>
    <row r="367" spans="1:26" ht="27" customHeight="1">
      <c r="A367" s="531"/>
      <c r="B367" s="531"/>
      <c r="C367" s="529">
        <v>9</v>
      </c>
      <c r="D367" s="1027" t="s">
        <v>1625</v>
      </c>
      <c r="E367" s="1028" t="s">
        <v>1249</v>
      </c>
      <c r="F367" s="547"/>
      <c r="G367" s="547"/>
      <c r="H367" s="547"/>
      <c r="I367" s="547"/>
      <c r="J367" s="547"/>
      <c r="K367" s="547"/>
      <c r="L367" s="547"/>
      <c r="M367" s="547"/>
      <c r="N367" s="547"/>
      <c r="O367" s="547"/>
      <c r="P367" s="547"/>
      <c r="Q367" s="547"/>
      <c r="R367" s="547"/>
      <c r="S367" s="989">
        <f t="shared" si="20"/>
        <v>0</v>
      </c>
      <c r="T367" s="547">
        <v>0</v>
      </c>
      <c r="U367" s="989">
        <f t="shared" si="23"/>
        <v>0</v>
      </c>
      <c r="V367" s="547">
        <v>0</v>
      </c>
      <c r="W367" s="566"/>
      <c r="X367" s="567"/>
      <c r="Y367" s="989">
        <f t="shared" si="21"/>
        <v>0</v>
      </c>
      <c r="Z367" s="812">
        <f t="shared" si="22"/>
        <v>0</v>
      </c>
    </row>
    <row r="368" spans="1:26" ht="27" customHeight="1">
      <c r="A368" s="531"/>
      <c r="B368" s="531">
        <v>903</v>
      </c>
      <c r="C368" s="529">
        <v>9</v>
      </c>
      <c r="D368" s="1027" t="s">
        <v>1250</v>
      </c>
      <c r="E368" s="1028" t="s">
        <v>1249</v>
      </c>
      <c r="F368" s="547">
        <v>-3065148</v>
      </c>
      <c r="G368" s="547"/>
      <c r="H368" s="547"/>
      <c r="I368" s="547">
        <v>3065148</v>
      </c>
      <c r="J368" s="547"/>
      <c r="K368" s="547"/>
      <c r="L368" s="547"/>
      <c r="M368" s="547"/>
      <c r="N368" s="547"/>
      <c r="O368" s="547"/>
      <c r="P368" s="547"/>
      <c r="Q368" s="547"/>
      <c r="R368" s="547"/>
      <c r="S368" s="989">
        <f t="shared" si="20"/>
        <v>0</v>
      </c>
      <c r="T368" s="547">
        <v>0</v>
      </c>
      <c r="U368" s="989">
        <f t="shared" si="23"/>
        <v>0</v>
      </c>
      <c r="V368" s="547">
        <v>0</v>
      </c>
      <c r="W368" s="566"/>
      <c r="X368" s="567"/>
      <c r="Y368" s="989">
        <f t="shared" si="21"/>
        <v>0</v>
      </c>
      <c r="Z368" s="812">
        <f t="shared" si="22"/>
        <v>0</v>
      </c>
    </row>
    <row r="369" spans="1:26" ht="27" customHeight="1">
      <c r="A369" s="531"/>
      <c r="B369" s="531">
        <v>902</v>
      </c>
      <c r="C369" s="529">
        <v>9</v>
      </c>
      <c r="D369" s="1027" t="s">
        <v>1122</v>
      </c>
      <c r="E369" s="1028" t="s">
        <v>1123</v>
      </c>
      <c r="F369" s="547">
        <v>-117784800362</v>
      </c>
      <c r="G369" s="547"/>
      <c r="H369" s="547">
        <v>-1575171847</v>
      </c>
      <c r="I369" s="547">
        <v>119359972209</v>
      </c>
      <c r="J369" s="547"/>
      <c r="K369" s="547"/>
      <c r="L369" s="547"/>
      <c r="M369" s="547"/>
      <c r="N369" s="547"/>
      <c r="O369" s="547"/>
      <c r="P369" s="547"/>
      <c r="Q369" s="547"/>
      <c r="R369" s="547"/>
      <c r="S369" s="989">
        <f t="shared" si="20"/>
        <v>0</v>
      </c>
      <c r="T369" s="547">
        <v>0</v>
      </c>
      <c r="U369" s="989">
        <f t="shared" si="23"/>
        <v>0</v>
      </c>
      <c r="V369" s="547">
        <v>0</v>
      </c>
      <c r="W369" s="566"/>
      <c r="X369" s="567"/>
      <c r="Y369" s="989">
        <f t="shared" si="21"/>
        <v>0</v>
      </c>
      <c r="Z369" s="812">
        <f t="shared" si="22"/>
        <v>0</v>
      </c>
    </row>
    <row r="370" spans="1:26" ht="27" customHeight="1">
      <c r="A370" s="531"/>
      <c r="B370" s="531"/>
      <c r="C370" s="529">
        <v>9</v>
      </c>
      <c r="D370" s="1027" t="s">
        <v>1251</v>
      </c>
      <c r="E370" s="1028" t="s">
        <v>1252</v>
      </c>
      <c r="F370" s="547"/>
      <c r="G370" s="547"/>
      <c r="H370" s="547"/>
      <c r="I370" s="547"/>
      <c r="J370" s="547"/>
      <c r="K370" s="547"/>
      <c r="L370" s="547"/>
      <c r="M370" s="547"/>
      <c r="N370" s="547"/>
      <c r="O370" s="547"/>
      <c r="P370" s="547"/>
      <c r="Q370" s="547"/>
      <c r="R370" s="547"/>
      <c r="S370" s="989">
        <f t="shared" si="20"/>
        <v>0</v>
      </c>
      <c r="T370" s="547">
        <v>0</v>
      </c>
      <c r="U370" s="989">
        <f t="shared" si="23"/>
        <v>0</v>
      </c>
      <c r="V370" s="547">
        <v>0</v>
      </c>
      <c r="W370" s="566"/>
      <c r="X370" s="567"/>
      <c r="Y370" s="989">
        <f t="shared" si="21"/>
        <v>0</v>
      </c>
      <c r="Z370" s="812">
        <f t="shared" si="22"/>
        <v>0</v>
      </c>
    </row>
    <row r="371" spans="1:26" ht="27" customHeight="1">
      <c r="A371" s="531"/>
      <c r="B371" s="531">
        <v>902</v>
      </c>
      <c r="C371" s="529">
        <v>9</v>
      </c>
      <c r="D371" s="1027" t="s">
        <v>1124</v>
      </c>
      <c r="E371" s="1028" t="s">
        <v>1125</v>
      </c>
      <c r="F371" s="547">
        <v>-50357105219</v>
      </c>
      <c r="G371" s="547">
        <v>-40117768</v>
      </c>
      <c r="H371" s="547">
        <v>-4057606772</v>
      </c>
      <c r="I371" s="547">
        <v>54454829759</v>
      </c>
      <c r="J371" s="547"/>
      <c r="K371" s="547"/>
      <c r="L371" s="547"/>
      <c r="M371" s="547"/>
      <c r="N371" s="547"/>
      <c r="O371" s="547"/>
      <c r="P371" s="547"/>
      <c r="Q371" s="547"/>
      <c r="R371" s="547"/>
      <c r="S371" s="989">
        <f t="shared" si="20"/>
        <v>0</v>
      </c>
      <c r="T371" s="547">
        <v>0</v>
      </c>
      <c r="U371" s="989">
        <f t="shared" si="23"/>
        <v>0</v>
      </c>
      <c r="V371" s="547">
        <v>0</v>
      </c>
      <c r="W371" s="566"/>
      <c r="X371" s="567"/>
      <c r="Y371" s="989">
        <f t="shared" si="21"/>
        <v>0</v>
      </c>
      <c r="Z371" s="812">
        <f t="shared" si="22"/>
        <v>0</v>
      </c>
    </row>
    <row r="372" spans="1:26" ht="27" customHeight="1">
      <c r="A372" s="531"/>
      <c r="B372" s="531"/>
      <c r="C372" s="529">
        <v>9</v>
      </c>
      <c r="D372" s="1027" t="s">
        <v>1199</v>
      </c>
      <c r="E372" s="1028" t="s">
        <v>1200</v>
      </c>
      <c r="F372" s="547"/>
      <c r="G372" s="547"/>
      <c r="H372" s="547"/>
      <c r="I372" s="547"/>
      <c r="J372" s="547"/>
      <c r="K372" s="547"/>
      <c r="L372" s="547"/>
      <c r="M372" s="547"/>
      <c r="N372" s="547"/>
      <c r="O372" s="547"/>
      <c r="P372" s="547"/>
      <c r="Q372" s="547"/>
      <c r="R372" s="547"/>
      <c r="S372" s="989">
        <f t="shared" si="20"/>
        <v>0</v>
      </c>
      <c r="T372" s="547">
        <v>0</v>
      </c>
      <c r="U372" s="989">
        <f t="shared" si="23"/>
        <v>0</v>
      </c>
      <c r="V372" s="547">
        <v>0</v>
      </c>
      <c r="W372" s="566"/>
      <c r="X372" s="567"/>
      <c r="Y372" s="989">
        <f t="shared" si="21"/>
        <v>0</v>
      </c>
      <c r="Z372" s="812">
        <f t="shared" si="22"/>
        <v>0</v>
      </c>
    </row>
    <row r="373" spans="1:26" ht="27" customHeight="1">
      <c r="A373" s="531"/>
      <c r="B373" s="531">
        <v>902</v>
      </c>
      <c r="C373" s="529">
        <v>9</v>
      </c>
      <c r="D373" s="1027" t="s">
        <v>151</v>
      </c>
      <c r="E373" s="1028" t="s">
        <v>914</v>
      </c>
      <c r="F373" s="547">
        <v>-21742769841653</v>
      </c>
      <c r="G373" s="547">
        <v>899407547</v>
      </c>
      <c r="H373" s="547"/>
      <c r="I373" s="547">
        <v>-1492565740826</v>
      </c>
      <c r="J373" s="547"/>
      <c r="K373" s="547"/>
      <c r="L373" s="547"/>
      <c r="M373" s="547"/>
      <c r="N373" s="547"/>
      <c r="O373" s="547"/>
      <c r="P373" s="547"/>
      <c r="Q373" s="547"/>
      <c r="R373" s="547"/>
      <c r="S373" s="989">
        <f t="shared" si="20"/>
        <v>-23234436174932</v>
      </c>
      <c r="T373" s="547">
        <v>-21767719856634</v>
      </c>
      <c r="U373" s="989">
        <f t="shared" si="23"/>
        <v>-23234436</v>
      </c>
      <c r="V373" s="547">
        <v>-21767720</v>
      </c>
      <c r="W373" s="566"/>
      <c r="X373" s="567"/>
      <c r="Y373" s="989">
        <f t="shared" si="21"/>
        <v>-23234436174932</v>
      </c>
      <c r="Z373" s="812">
        <f t="shared" si="22"/>
        <v>-23234436</v>
      </c>
    </row>
    <row r="374" spans="1:26" ht="27" customHeight="1">
      <c r="A374" s="531"/>
      <c r="B374" s="531"/>
      <c r="C374" s="529">
        <v>9</v>
      </c>
      <c r="D374" s="1027" t="s">
        <v>1253</v>
      </c>
      <c r="E374" s="1028" t="s">
        <v>1254</v>
      </c>
      <c r="F374" s="547"/>
      <c r="G374" s="547"/>
      <c r="H374" s="547"/>
      <c r="I374" s="547"/>
      <c r="J374" s="547"/>
      <c r="K374" s="547"/>
      <c r="L374" s="547"/>
      <c r="M374" s="547"/>
      <c r="N374" s="547"/>
      <c r="O374" s="547"/>
      <c r="P374" s="547"/>
      <c r="Q374" s="547"/>
      <c r="R374" s="547"/>
      <c r="S374" s="989">
        <f t="shared" si="20"/>
        <v>0</v>
      </c>
      <c r="T374" s="547">
        <v>0</v>
      </c>
      <c r="U374" s="989">
        <f t="shared" si="23"/>
        <v>0</v>
      </c>
      <c r="V374" s="547">
        <v>0</v>
      </c>
      <c r="W374" s="566"/>
      <c r="X374" s="567"/>
      <c r="Y374" s="989">
        <f t="shared" si="21"/>
        <v>0</v>
      </c>
      <c r="Z374" s="812">
        <f t="shared" si="22"/>
        <v>0</v>
      </c>
    </row>
    <row r="375" spans="1:26" ht="27" customHeight="1">
      <c r="A375" s="531"/>
      <c r="B375" s="531">
        <v>902</v>
      </c>
      <c r="C375" s="529">
        <v>9</v>
      </c>
      <c r="D375" s="1027" t="s">
        <v>1126</v>
      </c>
      <c r="E375" s="1028" t="s">
        <v>1127</v>
      </c>
      <c r="F375" s="547">
        <v>-7978506582</v>
      </c>
      <c r="G375" s="547">
        <v>35994119</v>
      </c>
      <c r="H375" s="547">
        <v>194313076</v>
      </c>
      <c r="I375" s="547">
        <v>7748199387</v>
      </c>
      <c r="J375" s="547"/>
      <c r="K375" s="547"/>
      <c r="L375" s="547"/>
      <c r="M375" s="547"/>
      <c r="N375" s="547"/>
      <c r="O375" s="547"/>
      <c r="P375" s="547"/>
      <c r="Q375" s="547"/>
      <c r="R375" s="547"/>
      <c r="S375" s="989">
        <f t="shared" si="20"/>
        <v>0</v>
      </c>
      <c r="T375" s="547">
        <v>0</v>
      </c>
      <c r="U375" s="989">
        <f t="shared" si="23"/>
        <v>0</v>
      </c>
      <c r="V375" s="547">
        <v>0</v>
      </c>
      <c r="W375" s="566"/>
      <c r="X375" s="567"/>
      <c r="Y375" s="989">
        <f t="shared" si="21"/>
        <v>0</v>
      </c>
      <c r="Z375" s="812">
        <f t="shared" si="22"/>
        <v>0</v>
      </c>
    </row>
    <row r="376" spans="1:26" ht="27" customHeight="1">
      <c r="A376" s="531"/>
      <c r="B376" s="531">
        <v>903</v>
      </c>
      <c r="C376" s="529">
        <v>9</v>
      </c>
      <c r="D376" s="1027" t="s">
        <v>509</v>
      </c>
      <c r="E376" s="1028" t="s">
        <v>921</v>
      </c>
      <c r="F376" s="547">
        <v>-760000067976</v>
      </c>
      <c r="G376" s="547"/>
      <c r="H376" s="547"/>
      <c r="I376" s="547">
        <v>-122265276143</v>
      </c>
      <c r="J376" s="547"/>
      <c r="K376" s="547"/>
      <c r="L376" s="547"/>
      <c r="M376" s="547"/>
      <c r="N376" s="547"/>
      <c r="O376" s="547"/>
      <c r="P376" s="547"/>
      <c r="Q376" s="547"/>
      <c r="R376" s="547"/>
      <c r="S376" s="989">
        <f t="shared" si="20"/>
        <v>-882265344119</v>
      </c>
      <c r="T376" s="547">
        <v>-760000067976</v>
      </c>
      <c r="U376" s="989">
        <f t="shared" si="23"/>
        <v>-882265</v>
      </c>
      <c r="V376" s="547">
        <v>-760000</v>
      </c>
      <c r="W376" s="566"/>
      <c r="X376" s="567"/>
      <c r="Y376" s="989">
        <f t="shared" si="21"/>
        <v>-882265344119</v>
      </c>
      <c r="Z376" s="812">
        <f t="shared" si="22"/>
        <v>-882265</v>
      </c>
    </row>
    <row r="377" spans="1:26" ht="27" customHeight="1">
      <c r="A377" s="531"/>
      <c r="B377" s="531">
        <v>903</v>
      </c>
      <c r="C377" s="529">
        <v>9</v>
      </c>
      <c r="D377" s="1027" t="s">
        <v>1128</v>
      </c>
      <c r="E377" s="1028" t="s">
        <v>1133</v>
      </c>
      <c r="F377" s="547">
        <v>-127465531695</v>
      </c>
      <c r="G377" s="547">
        <v>-608647730</v>
      </c>
      <c r="H377" s="547">
        <v>-1121306676</v>
      </c>
      <c r="I377" s="547">
        <v>129195486101</v>
      </c>
      <c r="J377" s="547"/>
      <c r="K377" s="547"/>
      <c r="L377" s="547"/>
      <c r="M377" s="547"/>
      <c r="N377" s="547"/>
      <c r="O377" s="547"/>
      <c r="P377" s="547"/>
      <c r="Q377" s="547"/>
      <c r="R377" s="547"/>
      <c r="S377" s="989">
        <f t="shared" si="20"/>
        <v>0</v>
      </c>
      <c r="T377" s="547">
        <v>0</v>
      </c>
      <c r="U377" s="989">
        <f t="shared" si="23"/>
        <v>0</v>
      </c>
      <c r="V377" s="547">
        <v>0</v>
      </c>
      <c r="W377" s="566"/>
      <c r="X377" s="567"/>
      <c r="Y377" s="989">
        <f t="shared" si="21"/>
        <v>0</v>
      </c>
      <c r="Z377" s="812">
        <f t="shared" si="22"/>
        <v>0</v>
      </c>
    </row>
    <row r="378" spans="1:26" ht="27" customHeight="1">
      <c r="A378" s="531"/>
      <c r="B378" s="531">
        <v>903</v>
      </c>
      <c r="C378" s="529">
        <v>9</v>
      </c>
      <c r="D378" s="1027" t="s">
        <v>1129</v>
      </c>
      <c r="E378" s="1028" t="s">
        <v>1131</v>
      </c>
      <c r="F378" s="547">
        <v>1361372512</v>
      </c>
      <c r="G378" s="547"/>
      <c r="H378" s="547"/>
      <c r="I378" s="547">
        <v>-1361372512</v>
      </c>
      <c r="J378" s="547"/>
      <c r="K378" s="547"/>
      <c r="L378" s="547"/>
      <c r="M378" s="547"/>
      <c r="N378" s="547"/>
      <c r="O378" s="547"/>
      <c r="P378" s="547"/>
      <c r="Q378" s="547"/>
      <c r="R378" s="547"/>
      <c r="S378" s="989">
        <f t="shared" si="20"/>
        <v>0</v>
      </c>
      <c r="T378" s="547">
        <v>0</v>
      </c>
      <c r="U378" s="989">
        <f t="shared" si="23"/>
        <v>0</v>
      </c>
      <c r="V378" s="547">
        <v>0</v>
      </c>
      <c r="W378" s="566"/>
      <c r="X378" s="567"/>
      <c r="Y378" s="989">
        <f t="shared" si="21"/>
        <v>0</v>
      </c>
      <c r="Z378" s="812">
        <f t="shared" si="22"/>
        <v>0</v>
      </c>
    </row>
    <row r="379" spans="1:26" ht="27" customHeight="1">
      <c r="A379" s="531"/>
      <c r="B379" s="531"/>
      <c r="C379" s="529">
        <v>9</v>
      </c>
      <c r="D379" s="1027" t="s">
        <v>1130</v>
      </c>
      <c r="E379" s="1028" t="s">
        <v>1132</v>
      </c>
      <c r="F379" s="547"/>
      <c r="G379" s="547"/>
      <c r="H379" s="547"/>
      <c r="I379" s="547"/>
      <c r="J379" s="547"/>
      <c r="K379" s="547"/>
      <c r="L379" s="547"/>
      <c r="M379" s="547"/>
      <c r="N379" s="547"/>
      <c r="O379" s="547"/>
      <c r="P379" s="547"/>
      <c r="Q379" s="547"/>
      <c r="R379" s="547"/>
      <c r="S379" s="989">
        <f t="shared" si="20"/>
        <v>0</v>
      </c>
      <c r="T379" s="547">
        <v>0</v>
      </c>
      <c r="U379" s="989">
        <f t="shared" si="23"/>
        <v>0</v>
      </c>
      <c r="V379" s="547">
        <v>0</v>
      </c>
      <c r="W379" s="566"/>
      <c r="X379" s="567"/>
      <c r="Y379" s="989">
        <f t="shared" si="21"/>
        <v>0</v>
      </c>
      <c r="Z379" s="812">
        <f t="shared" si="22"/>
        <v>0</v>
      </c>
    </row>
    <row r="380" spans="1:26" ht="27" customHeight="1">
      <c r="A380" s="531"/>
      <c r="B380" s="531">
        <v>905</v>
      </c>
      <c r="C380" s="529">
        <v>9</v>
      </c>
      <c r="D380" s="1027" t="s">
        <v>287</v>
      </c>
      <c r="E380" s="1028" t="s">
        <v>918</v>
      </c>
      <c r="F380" s="547">
        <v>-520031461166</v>
      </c>
      <c r="G380" s="547"/>
      <c r="H380" s="547"/>
      <c r="I380" s="547">
        <v>-38808605513</v>
      </c>
      <c r="J380" s="547"/>
      <c r="K380" s="547"/>
      <c r="L380" s="547"/>
      <c r="M380" s="547"/>
      <c r="N380" s="547"/>
      <c r="O380" s="547"/>
      <c r="P380" s="547"/>
      <c r="Q380" s="547"/>
      <c r="R380" s="547"/>
      <c r="S380" s="989">
        <f t="shared" si="20"/>
        <v>-558840066679</v>
      </c>
      <c r="T380" s="547">
        <v>-520031461166</v>
      </c>
      <c r="U380" s="989">
        <f t="shared" si="23"/>
        <v>-558840</v>
      </c>
      <c r="V380" s="547">
        <v>-520031</v>
      </c>
      <c r="W380" s="566"/>
      <c r="X380" s="567"/>
      <c r="Y380" s="989">
        <f t="shared" si="21"/>
        <v>-558840066679</v>
      </c>
      <c r="Z380" s="812">
        <f t="shared" si="22"/>
        <v>-558840</v>
      </c>
    </row>
    <row r="381" spans="1:26" ht="27" customHeight="1">
      <c r="A381" s="531"/>
      <c r="B381" s="531">
        <v>905</v>
      </c>
      <c r="C381" s="529">
        <v>9</v>
      </c>
      <c r="D381" s="1027" t="s">
        <v>1134</v>
      </c>
      <c r="E381" s="1028" t="s">
        <v>1136</v>
      </c>
      <c r="F381" s="547">
        <v>-53032335014</v>
      </c>
      <c r="G381" s="547">
        <v>-34490</v>
      </c>
      <c r="H381" s="547">
        <v>-67094780</v>
      </c>
      <c r="I381" s="547">
        <v>53099464284</v>
      </c>
      <c r="J381" s="547"/>
      <c r="K381" s="547"/>
      <c r="L381" s="547"/>
      <c r="M381" s="547"/>
      <c r="N381" s="547"/>
      <c r="O381" s="547"/>
      <c r="P381" s="547"/>
      <c r="Q381" s="547"/>
      <c r="R381" s="547"/>
      <c r="S381" s="989">
        <f t="shared" si="20"/>
        <v>0</v>
      </c>
      <c r="T381" s="547">
        <v>0</v>
      </c>
      <c r="U381" s="989">
        <f t="shared" si="23"/>
        <v>0</v>
      </c>
      <c r="V381" s="547">
        <v>0</v>
      </c>
      <c r="W381" s="566"/>
      <c r="X381" s="567"/>
      <c r="Y381" s="989">
        <f t="shared" si="21"/>
        <v>0</v>
      </c>
      <c r="Z381" s="812">
        <f t="shared" si="22"/>
        <v>0</v>
      </c>
    </row>
    <row r="382" spans="1:26" ht="27" customHeight="1">
      <c r="A382" s="531"/>
      <c r="B382" s="531">
        <v>905</v>
      </c>
      <c r="C382" s="529">
        <v>9</v>
      </c>
      <c r="D382" s="1027" t="s">
        <v>1135</v>
      </c>
      <c r="E382" s="1028" t="s">
        <v>1137</v>
      </c>
      <c r="F382" s="547">
        <v>3750000</v>
      </c>
      <c r="G382" s="547"/>
      <c r="H382" s="547"/>
      <c r="I382" s="547">
        <v>-3750000</v>
      </c>
      <c r="J382" s="547"/>
      <c r="K382" s="547"/>
      <c r="L382" s="547"/>
      <c r="M382" s="547"/>
      <c r="N382" s="547"/>
      <c r="O382" s="547"/>
      <c r="P382" s="547"/>
      <c r="Q382" s="547"/>
      <c r="R382" s="547"/>
      <c r="S382" s="989">
        <f t="shared" si="20"/>
        <v>0</v>
      </c>
      <c r="T382" s="547">
        <v>0</v>
      </c>
      <c r="U382" s="989">
        <f t="shared" si="23"/>
        <v>0</v>
      </c>
      <c r="V382" s="547">
        <v>0</v>
      </c>
      <c r="W382" s="566"/>
      <c r="X382" s="567"/>
      <c r="Y382" s="989">
        <f t="shared" si="21"/>
        <v>0</v>
      </c>
      <c r="Z382" s="812">
        <f t="shared" si="22"/>
        <v>0</v>
      </c>
    </row>
    <row r="383" spans="1:26" ht="27" customHeight="1">
      <c r="A383" s="531"/>
      <c r="B383" s="531"/>
      <c r="C383" s="529">
        <v>9</v>
      </c>
      <c r="D383" s="1027" t="s">
        <v>1021</v>
      </c>
      <c r="E383" s="1028" t="s">
        <v>1022</v>
      </c>
      <c r="F383" s="547"/>
      <c r="G383" s="547"/>
      <c r="H383" s="547"/>
      <c r="I383" s="547"/>
      <c r="J383" s="547"/>
      <c r="K383" s="547"/>
      <c r="L383" s="547"/>
      <c r="M383" s="547"/>
      <c r="N383" s="547"/>
      <c r="O383" s="547"/>
      <c r="P383" s="547"/>
      <c r="Q383" s="547"/>
      <c r="R383" s="547"/>
      <c r="S383" s="989">
        <f t="shared" si="20"/>
        <v>0</v>
      </c>
      <c r="T383" s="547">
        <v>0</v>
      </c>
      <c r="U383" s="989">
        <f t="shared" si="23"/>
        <v>0</v>
      </c>
      <c r="V383" s="547">
        <v>0</v>
      </c>
      <c r="W383" s="566"/>
      <c r="X383" s="567"/>
      <c r="Y383" s="989">
        <f t="shared" si="21"/>
        <v>0</v>
      </c>
      <c r="Z383" s="812">
        <f t="shared" si="22"/>
        <v>0</v>
      </c>
    </row>
    <row r="384" spans="1:26" ht="27" customHeight="1">
      <c r="A384" s="531"/>
      <c r="B384" s="531">
        <v>904</v>
      </c>
      <c r="C384" s="529">
        <v>9</v>
      </c>
      <c r="D384" s="1027" t="s">
        <v>289</v>
      </c>
      <c r="E384" s="1028" t="s">
        <v>916</v>
      </c>
      <c r="F384" s="547">
        <v>-247156444145</v>
      </c>
      <c r="G384" s="547"/>
      <c r="H384" s="547">
        <v>750963207</v>
      </c>
      <c r="I384" s="547">
        <v>-38510139751</v>
      </c>
      <c r="J384" s="547"/>
      <c r="K384" s="547"/>
      <c r="L384" s="547"/>
      <c r="M384" s="547"/>
      <c r="N384" s="547"/>
      <c r="O384" s="547"/>
      <c r="P384" s="547"/>
      <c r="Q384" s="547"/>
      <c r="R384" s="547"/>
      <c r="S384" s="989">
        <f t="shared" si="20"/>
        <v>-284915620689</v>
      </c>
      <c r="T384" s="547">
        <v>-247156444145</v>
      </c>
      <c r="U384" s="989">
        <f t="shared" si="23"/>
        <v>-284916</v>
      </c>
      <c r="V384" s="547">
        <v>-247156</v>
      </c>
      <c r="W384" s="566"/>
      <c r="X384" s="567"/>
      <c r="Y384" s="989">
        <f t="shared" si="21"/>
        <v>-284915620689</v>
      </c>
      <c r="Z384" s="812">
        <f t="shared" si="22"/>
        <v>-284916</v>
      </c>
    </row>
    <row r="385" spans="1:26" ht="27" customHeight="1">
      <c r="A385" s="531"/>
      <c r="B385" s="531">
        <v>904</v>
      </c>
      <c r="C385" s="529">
        <v>9</v>
      </c>
      <c r="D385" s="1027" t="s">
        <v>1138</v>
      </c>
      <c r="E385" s="1028" t="s">
        <v>1141</v>
      </c>
      <c r="F385" s="547">
        <v>-39102177589</v>
      </c>
      <c r="G385" s="547">
        <v>-45333966</v>
      </c>
      <c r="H385" s="547">
        <v>66646824</v>
      </c>
      <c r="I385" s="547">
        <v>39080864731</v>
      </c>
      <c r="J385" s="547"/>
      <c r="K385" s="547"/>
      <c r="L385" s="547"/>
      <c r="M385" s="547"/>
      <c r="N385" s="547"/>
      <c r="O385" s="547"/>
      <c r="P385" s="547"/>
      <c r="Q385" s="547"/>
      <c r="R385" s="547"/>
      <c r="S385" s="989">
        <f t="shared" si="20"/>
        <v>0</v>
      </c>
      <c r="T385" s="547">
        <v>0</v>
      </c>
      <c r="U385" s="989">
        <f t="shared" si="23"/>
        <v>0</v>
      </c>
      <c r="V385" s="547">
        <v>0</v>
      </c>
      <c r="W385" s="566"/>
      <c r="X385" s="567"/>
      <c r="Y385" s="989">
        <f t="shared" si="21"/>
        <v>0</v>
      </c>
      <c r="Z385" s="812">
        <f t="shared" si="22"/>
        <v>0</v>
      </c>
    </row>
    <row r="386" spans="1:26" ht="27" customHeight="1">
      <c r="A386" s="531"/>
      <c r="B386" s="531">
        <v>904</v>
      </c>
      <c r="C386" s="529">
        <v>9</v>
      </c>
      <c r="D386" s="1027" t="s">
        <v>1139</v>
      </c>
      <c r="E386" s="1028" t="s">
        <v>1142</v>
      </c>
      <c r="F386" s="547">
        <v>1412194708</v>
      </c>
      <c r="G386" s="547">
        <v>1006564</v>
      </c>
      <c r="H386" s="547"/>
      <c r="I386" s="547">
        <v>-1413201272</v>
      </c>
      <c r="J386" s="547"/>
      <c r="K386" s="547"/>
      <c r="L386" s="547"/>
      <c r="M386" s="547"/>
      <c r="N386" s="547"/>
      <c r="O386" s="547"/>
      <c r="P386" s="547"/>
      <c r="Q386" s="547"/>
      <c r="R386" s="547"/>
      <c r="S386" s="989">
        <f t="shared" si="20"/>
        <v>0</v>
      </c>
      <c r="T386" s="547">
        <v>0</v>
      </c>
      <c r="U386" s="989">
        <f t="shared" si="23"/>
        <v>0</v>
      </c>
      <c r="V386" s="547">
        <v>0</v>
      </c>
      <c r="W386" s="566"/>
      <c r="X386" s="567"/>
      <c r="Y386" s="989">
        <f t="shared" si="21"/>
        <v>0</v>
      </c>
      <c r="Z386" s="812">
        <f t="shared" si="22"/>
        <v>0</v>
      </c>
    </row>
    <row r="387" spans="1:26" ht="27" customHeight="1">
      <c r="A387" s="531"/>
      <c r="B387" s="531">
        <v>904</v>
      </c>
      <c r="C387" s="529">
        <v>9</v>
      </c>
      <c r="D387" s="1027" t="s">
        <v>1140</v>
      </c>
      <c r="E387" s="1028" t="s">
        <v>1143</v>
      </c>
      <c r="F387" s="547"/>
      <c r="G387" s="547"/>
      <c r="H387" s="547"/>
      <c r="I387" s="547"/>
      <c r="J387" s="547"/>
      <c r="K387" s="547"/>
      <c r="L387" s="547"/>
      <c r="M387" s="547"/>
      <c r="N387" s="547"/>
      <c r="O387" s="547"/>
      <c r="P387" s="547"/>
      <c r="Q387" s="547"/>
      <c r="R387" s="547"/>
      <c r="S387" s="989">
        <f t="shared" si="20"/>
        <v>0</v>
      </c>
      <c r="T387" s="547">
        <v>0</v>
      </c>
      <c r="U387" s="989">
        <f t="shared" si="23"/>
        <v>0</v>
      </c>
      <c r="V387" s="547">
        <v>0</v>
      </c>
      <c r="W387" s="566"/>
      <c r="X387" s="567"/>
      <c r="Y387" s="989">
        <f t="shared" si="21"/>
        <v>0</v>
      </c>
      <c r="Z387" s="812">
        <f t="shared" si="22"/>
        <v>0</v>
      </c>
    </row>
    <row r="388" spans="1:26" ht="27" customHeight="1">
      <c r="A388" s="531"/>
      <c r="B388" s="531">
        <v>902</v>
      </c>
      <c r="C388" s="529">
        <v>9</v>
      </c>
      <c r="D388" s="1027" t="s">
        <v>1144</v>
      </c>
      <c r="E388" s="1028" t="s">
        <v>1146</v>
      </c>
      <c r="F388" s="547">
        <v>-4062583502</v>
      </c>
      <c r="G388" s="547"/>
      <c r="H388" s="547"/>
      <c r="I388" s="547">
        <v>4062583502</v>
      </c>
      <c r="J388" s="547"/>
      <c r="K388" s="547"/>
      <c r="L388" s="547"/>
      <c r="M388" s="547"/>
      <c r="N388" s="547"/>
      <c r="O388" s="547"/>
      <c r="P388" s="547"/>
      <c r="Q388" s="547"/>
      <c r="R388" s="547"/>
      <c r="S388" s="989">
        <f t="shared" si="20"/>
        <v>0</v>
      </c>
      <c r="T388" s="547">
        <v>0</v>
      </c>
      <c r="U388" s="989">
        <f t="shared" si="23"/>
        <v>0</v>
      </c>
      <c r="V388" s="547">
        <v>0</v>
      </c>
      <c r="W388" s="566"/>
      <c r="X388" s="567"/>
      <c r="Y388" s="989">
        <f t="shared" si="21"/>
        <v>0</v>
      </c>
      <c r="Z388" s="812">
        <f t="shared" si="22"/>
        <v>0</v>
      </c>
    </row>
    <row r="389" spans="1:26" ht="27" customHeight="1">
      <c r="A389" s="531"/>
      <c r="B389" s="531">
        <v>902</v>
      </c>
      <c r="C389" s="529">
        <v>9</v>
      </c>
      <c r="D389" s="1027" t="s">
        <v>1145</v>
      </c>
      <c r="E389" s="1028" t="s">
        <v>1147</v>
      </c>
      <c r="F389" s="547">
        <v>-1158794844</v>
      </c>
      <c r="G389" s="547"/>
      <c r="H389" s="547"/>
      <c r="I389" s="547">
        <v>1158794844</v>
      </c>
      <c r="J389" s="547"/>
      <c r="K389" s="547"/>
      <c r="L389" s="547"/>
      <c r="M389" s="547"/>
      <c r="N389" s="547"/>
      <c r="O389" s="547"/>
      <c r="P389" s="547"/>
      <c r="Q389" s="547"/>
      <c r="R389" s="547"/>
      <c r="S389" s="989">
        <f t="shared" si="20"/>
        <v>0</v>
      </c>
      <c r="T389" s="547">
        <v>0</v>
      </c>
      <c r="U389" s="989">
        <f t="shared" si="23"/>
        <v>0</v>
      </c>
      <c r="V389" s="547">
        <v>0</v>
      </c>
      <c r="W389" s="566"/>
      <c r="X389" s="567"/>
      <c r="Y389" s="989">
        <f t="shared" si="21"/>
        <v>0</v>
      </c>
      <c r="Z389" s="812">
        <f t="shared" si="22"/>
        <v>0</v>
      </c>
    </row>
    <row r="390" spans="1:26" ht="27" customHeight="1">
      <c r="A390" s="531"/>
      <c r="B390" s="531">
        <v>906</v>
      </c>
      <c r="C390" s="529">
        <v>9</v>
      </c>
      <c r="D390" s="1027" t="s">
        <v>770</v>
      </c>
      <c r="E390" s="1028" t="s">
        <v>772</v>
      </c>
      <c r="F390" s="547">
        <v>6110910443356</v>
      </c>
      <c r="G390" s="547">
        <v>-371568812393</v>
      </c>
      <c r="H390" s="547">
        <v>-272368375530</v>
      </c>
      <c r="I390" s="547">
        <v>-2902867774854</v>
      </c>
      <c r="J390" s="547"/>
      <c r="K390" s="547">
        <f>14577011855+33935000</f>
        <v>14610946855</v>
      </c>
      <c r="L390" s="547">
        <v>2235044688</v>
      </c>
      <c r="M390" s="547">
        <v>212260192324</v>
      </c>
      <c r="N390" s="547">
        <v>1050610660</v>
      </c>
      <c r="O390" s="547"/>
      <c r="P390" s="547"/>
      <c r="Q390" s="547"/>
      <c r="R390" s="547"/>
      <c r="S390" s="989">
        <f t="shared" si="20"/>
        <v>2794262275106</v>
      </c>
      <c r="T390" s="547">
        <v>2564085324383</v>
      </c>
      <c r="U390" s="989">
        <f t="shared" si="23"/>
        <v>2794262</v>
      </c>
      <c r="V390" s="547">
        <v>2564085</v>
      </c>
      <c r="W390" s="566"/>
      <c r="X390" s="567"/>
      <c r="Y390" s="989">
        <f t="shared" si="21"/>
        <v>2794262275106</v>
      </c>
      <c r="Z390" s="812">
        <f t="shared" si="22"/>
        <v>2794262</v>
      </c>
    </row>
    <row r="391" spans="1:26" ht="27" customHeight="1">
      <c r="A391" s="531"/>
      <c r="B391" s="531">
        <v>903</v>
      </c>
      <c r="C391" s="529">
        <v>9</v>
      </c>
      <c r="D391" s="1027" t="s">
        <v>1013</v>
      </c>
      <c r="E391" s="1028" t="s">
        <v>1014</v>
      </c>
      <c r="F391" s="547">
        <v>79873695150</v>
      </c>
      <c r="G391" s="547">
        <v>-70856444614</v>
      </c>
      <c r="H391" s="547">
        <v>-9017250536</v>
      </c>
      <c r="I391" s="547"/>
      <c r="J391" s="547"/>
      <c r="K391" s="547"/>
      <c r="L391" s="547"/>
      <c r="M391" s="547"/>
      <c r="N391" s="547"/>
      <c r="O391" s="547"/>
      <c r="P391" s="547"/>
      <c r="Q391" s="547"/>
      <c r="R391" s="547"/>
      <c r="S391" s="989">
        <f t="shared" ref="S391:S454" si="24">SUM(F391:R391)</f>
        <v>0</v>
      </c>
      <c r="T391" s="547">
        <v>0</v>
      </c>
      <c r="U391" s="989">
        <f t="shared" si="23"/>
        <v>0</v>
      </c>
      <c r="V391" s="547">
        <v>0</v>
      </c>
      <c r="W391" s="566"/>
      <c r="X391" s="567"/>
      <c r="Y391" s="989">
        <f t="shared" ref="Y391:Y454" si="25">S391+X391-W391</f>
        <v>0</v>
      </c>
      <c r="Z391" s="812">
        <f t="shared" ref="Z391:Z454" si="26">ROUND((Y391/1000000),0)</f>
        <v>0</v>
      </c>
    </row>
    <row r="392" spans="1:26" ht="27" customHeight="1">
      <c r="A392" s="531"/>
      <c r="B392" s="531">
        <v>906</v>
      </c>
      <c r="C392" s="529">
        <v>9</v>
      </c>
      <c r="D392" s="1027" t="s">
        <v>771</v>
      </c>
      <c r="E392" s="1028" t="s">
        <v>773</v>
      </c>
      <c r="F392" s="547"/>
      <c r="G392" s="547"/>
      <c r="H392" s="547"/>
      <c r="I392" s="547"/>
      <c r="J392" s="547"/>
      <c r="K392" s="547"/>
      <c r="L392" s="547"/>
      <c r="M392" s="547"/>
      <c r="N392" s="547"/>
      <c r="O392" s="547"/>
      <c r="P392" s="547"/>
      <c r="Q392" s="547"/>
      <c r="R392" s="547"/>
      <c r="S392" s="989">
        <f t="shared" si="24"/>
        <v>0</v>
      </c>
      <c r="T392" s="547">
        <v>0</v>
      </c>
      <c r="U392" s="989">
        <f t="shared" si="23"/>
        <v>0</v>
      </c>
      <c r="V392" s="547">
        <v>0</v>
      </c>
      <c r="W392" s="566"/>
      <c r="X392" s="567"/>
      <c r="Y392" s="989">
        <f t="shared" si="25"/>
        <v>0</v>
      </c>
      <c r="Z392" s="812">
        <f t="shared" si="26"/>
        <v>0</v>
      </c>
    </row>
    <row r="393" spans="1:26" ht="27" customHeight="1">
      <c r="A393" s="531"/>
      <c r="B393" s="531"/>
      <c r="C393" s="529">
        <v>7</v>
      </c>
      <c r="D393" s="1027" t="s">
        <v>291</v>
      </c>
      <c r="E393" s="1028" t="s">
        <v>495</v>
      </c>
      <c r="F393" s="547">
        <v>47500000</v>
      </c>
      <c r="G393" s="547"/>
      <c r="H393" s="547"/>
      <c r="I393" s="547"/>
      <c r="J393" s="547"/>
      <c r="K393" s="547"/>
      <c r="L393" s="547"/>
      <c r="M393" s="547"/>
      <c r="N393" s="547"/>
      <c r="O393" s="547"/>
      <c r="P393" s="547"/>
      <c r="Q393" s="547"/>
      <c r="R393" s="547"/>
      <c r="S393" s="989">
        <f t="shared" si="24"/>
        <v>47500000</v>
      </c>
      <c r="T393" s="547">
        <v>47500000</v>
      </c>
      <c r="U393" s="989">
        <f t="shared" ref="U393:U456" si="27">ROUND((S393/1000000),0)</f>
        <v>48</v>
      </c>
      <c r="V393" s="547">
        <v>48</v>
      </c>
      <c r="W393" s="566"/>
      <c r="X393" s="567"/>
      <c r="Y393" s="989">
        <f t="shared" si="25"/>
        <v>47500000</v>
      </c>
      <c r="Z393" s="812">
        <f t="shared" si="26"/>
        <v>48</v>
      </c>
    </row>
    <row r="394" spans="1:26" ht="27" customHeight="1">
      <c r="A394" s="531"/>
      <c r="B394" s="531">
        <v>421</v>
      </c>
      <c r="C394" s="529">
        <v>4</v>
      </c>
      <c r="D394" s="1027" t="s">
        <v>610</v>
      </c>
      <c r="E394" s="1028" t="s">
        <v>611</v>
      </c>
      <c r="F394" s="683">
        <v>20125875211</v>
      </c>
      <c r="G394" s="547"/>
      <c r="H394" s="547"/>
      <c r="I394" s="547">
        <v>-6732919468</v>
      </c>
      <c r="J394" s="547"/>
      <c r="K394" s="547"/>
      <c r="L394" s="547"/>
      <c r="M394" s="547"/>
      <c r="N394" s="547"/>
      <c r="O394" s="547"/>
      <c r="P394" s="547"/>
      <c r="Q394" s="547"/>
      <c r="R394" s="547"/>
      <c r="S394" s="989">
        <f t="shared" si="24"/>
        <v>13392955743</v>
      </c>
      <c r="T394" s="547">
        <v>20125875211</v>
      </c>
      <c r="U394" s="989">
        <f t="shared" si="27"/>
        <v>13393</v>
      </c>
      <c r="V394" s="547">
        <v>20126</v>
      </c>
      <c r="W394" s="566"/>
      <c r="X394" s="567"/>
      <c r="Y394" s="989">
        <f t="shared" si="25"/>
        <v>13392955743</v>
      </c>
      <c r="Z394" s="812">
        <f t="shared" si="26"/>
        <v>13393</v>
      </c>
    </row>
    <row r="395" spans="1:26" ht="27" customHeight="1">
      <c r="A395" s="531"/>
      <c r="B395" s="531">
        <v>410</v>
      </c>
      <c r="C395" s="529">
        <v>4</v>
      </c>
      <c r="D395" s="1027" t="s">
        <v>610</v>
      </c>
      <c r="E395" s="1028" t="s">
        <v>611</v>
      </c>
      <c r="F395" s="547"/>
      <c r="G395" s="547"/>
      <c r="H395" s="547"/>
      <c r="I395" s="547"/>
      <c r="J395" s="547"/>
      <c r="K395" s="547"/>
      <c r="L395" s="547"/>
      <c r="M395" s="547"/>
      <c r="N395" s="547"/>
      <c r="O395" s="547"/>
      <c r="P395" s="547"/>
      <c r="Q395" s="547"/>
      <c r="R395" s="547"/>
      <c r="S395" s="989">
        <f t="shared" si="24"/>
        <v>0</v>
      </c>
      <c r="T395" s="547">
        <v>0</v>
      </c>
      <c r="U395" s="989">
        <f t="shared" si="27"/>
        <v>0</v>
      </c>
      <c r="V395" s="547">
        <v>0</v>
      </c>
      <c r="W395" s="566"/>
      <c r="X395" s="567"/>
      <c r="Y395" s="989">
        <f t="shared" si="25"/>
        <v>0</v>
      </c>
      <c r="Z395" s="812">
        <f t="shared" si="26"/>
        <v>0</v>
      </c>
    </row>
    <row r="396" spans="1:26" ht="27" customHeight="1">
      <c r="A396" s="531"/>
      <c r="B396" s="531">
        <v>1018</v>
      </c>
      <c r="C396" s="529">
        <v>10</v>
      </c>
      <c r="D396" s="1027" t="s">
        <v>893</v>
      </c>
      <c r="E396" s="1028" t="s">
        <v>894</v>
      </c>
      <c r="F396" s="547">
        <v>-12988037428</v>
      </c>
      <c r="G396" s="547">
        <v>51620000</v>
      </c>
      <c r="H396" s="547"/>
      <c r="I396" s="547"/>
      <c r="J396" s="547"/>
      <c r="K396" s="547"/>
      <c r="L396" s="547"/>
      <c r="M396" s="547"/>
      <c r="N396" s="547"/>
      <c r="O396" s="547"/>
      <c r="P396" s="547"/>
      <c r="Q396" s="547"/>
      <c r="R396" s="547"/>
      <c r="S396" s="989">
        <f t="shared" si="24"/>
        <v>-12936417428</v>
      </c>
      <c r="T396" s="547">
        <v>0</v>
      </c>
      <c r="U396" s="989">
        <f t="shared" si="27"/>
        <v>-12936</v>
      </c>
      <c r="V396" s="547">
        <v>0</v>
      </c>
      <c r="W396" s="566"/>
      <c r="X396" s="567"/>
      <c r="Y396" s="989">
        <f t="shared" si="25"/>
        <v>-12936417428</v>
      </c>
      <c r="Z396" s="812">
        <f t="shared" si="26"/>
        <v>-12936</v>
      </c>
    </row>
    <row r="397" spans="1:26" ht="27" customHeight="1">
      <c r="A397" s="531"/>
      <c r="B397" s="531">
        <v>506</v>
      </c>
      <c r="C397" s="529">
        <v>5</v>
      </c>
      <c r="D397" s="1027" t="s">
        <v>145</v>
      </c>
      <c r="E397" s="1028" t="s">
        <v>760</v>
      </c>
      <c r="F397" s="547">
        <v>214844387</v>
      </c>
      <c r="G397" s="547"/>
      <c r="H397" s="547"/>
      <c r="I397" s="547"/>
      <c r="J397" s="547"/>
      <c r="K397" s="547"/>
      <c r="L397" s="547"/>
      <c r="M397" s="547"/>
      <c r="N397" s="547"/>
      <c r="O397" s="547"/>
      <c r="P397" s="547"/>
      <c r="Q397" s="547"/>
      <c r="R397" s="547"/>
      <c r="S397" s="989">
        <f t="shared" si="24"/>
        <v>214844387</v>
      </c>
      <c r="T397" s="547">
        <v>214844387</v>
      </c>
      <c r="U397" s="989">
        <f t="shared" si="27"/>
        <v>215</v>
      </c>
      <c r="V397" s="547">
        <v>215</v>
      </c>
      <c r="W397" s="566"/>
      <c r="X397" s="567"/>
      <c r="Y397" s="989">
        <f t="shared" si="25"/>
        <v>214844387</v>
      </c>
      <c r="Z397" s="812">
        <f t="shared" si="26"/>
        <v>215</v>
      </c>
    </row>
    <row r="398" spans="1:26" ht="27" customHeight="1">
      <c r="A398" s="531"/>
      <c r="B398" s="531">
        <v>504</v>
      </c>
      <c r="C398" s="529">
        <v>5</v>
      </c>
      <c r="D398" s="1027" t="s">
        <v>119</v>
      </c>
      <c r="E398" s="1028" t="s">
        <v>1148</v>
      </c>
      <c r="F398" s="547">
        <v>28494795000</v>
      </c>
      <c r="G398" s="547">
        <v>-11033053500</v>
      </c>
      <c r="H398" s="547"/>
      <c r="I398" s="547"/>
      <c r="J398" s="547"/>
      <c r="K398" s="547"/>
      <c r="L398" s="547"/>
      <c r="M398" s="547"/>
      <c r="N398" s="547"/>
      <c r="O398" s="547"/>
      <c r="P398" s="547"/>
      <c r="Q398" s="547"/>
      <c r="R398" s="547"/>
      <c r="S398" s="989">
        <f t="shared" si="24"/>
        <v>17461741500</v>
      </c>
      <c r="T398" s="547">
        <v>28494795000</v>
      </c>
      <c r="U398" s="989">
        <f t="shared" si="27"/>
        <v>17462</v>
      </c>
      <c r="V398" s="547">
        <v>28495</v>
      </c>
      <c r="W398" s="566"/>
      <c r="X398" s="567"/>
      <c r="Y398" s="989">
        <f t="shared" si="25"/>
        <v>17461741500</v>
      </c>
      <c r="Z398" s="812">
        <f t="shared" si="26"/>
        <v>17462</v>
      </c>
    </row>
    <row r="399" spans="1:26" ht="27" customHeight="1">
      <c r="A399" s="531"/>
      <c r="B399" s="531">
        <v>1022</v>
      </c>
      <c r="C399" s="529">
        <v>10</v>
      </c>
      <c r="D399" s="1027" t="s">
        <v>121</v>
      </c>
      <c r="E399" s="1028" t="s">
        <v>1149</v>
      </c>
      <c r="F399" s="547"/>
      <c r="G399" s="547"/>
      <c r="H399" s="547"/>
      <c r="I399" s="547"/>
      <c r="J399" s="547"/>
      <c r="K399" s="547"/>
      <c r="L399" s="547"/>
      <c r="M399" s="547"/>
      <c r="N399" s="547"/>
      <c r="O399" s="547"/>
      <c r="P399" s="547"/>
      <c r="Q399" s="547"/>
      <c r="R399" s="547"/>
      <c r="S399" s="989">
        <f t="shared" si="24"/>
        <v>0</v>
      </c>
      <c r="T399" s="547">
        <v>0</v>
      </c>
      <c r="U399" s="989">
        <f t="shared" si="27"/>
        <v>0</v>
      </c>
      <c r="V399" s="547">
        <v>0</v>
      </c>
      <c r="W399" s="566"/>
      <c r="X399" s="567"/>
      <c r="Y399" s="989">
        <f t="shared" si="25"/>
        <v>0</v>
      </c>
      <c r="Z399" s="812">
        <f t="shared" si="26"/>
        <v>0</v>
      </c>
    </row>
    <row r="400" spans="1:26" ht="27" customHeight="1">
      <c r="A400" s="531"/>
      <c r="B400" s="531">
        <v>505</v>
      </c>
      <c r="C400" s="529">
        <v>5</v>
      </c>
      <c r="D400" s="1027" t="s">
        <v>123</v>
      </c>
      <c r="E400" s="1028" t="s">
        <v>124</v>
      </c>
      <c r="F400" s="547">
        <v>96274812670</v>
      </c>
      <c r="G400" s="547">
        <v>71277854272</v>
      </c>
      <c r="H400" s="547">
        <v>-102314178110</v>
      </c>
      <c r="I400" s="547"/>
      <c r="J400" s="547"/>
      <c r="K400" s="547"/>
      <c r="L400" s="547"/>
      <c r="M400" s="547"/>
      <c r="N400" s="547"/>
      <c r="O400" s="547"/>
      <c r="P400" s="547"/>
      <c r="Q400" s="547"/>
      <c r="R400" s="547"/>
      <c r="S400" s="989">
        <f t="shared" si="24"/>
        <v>65238488832</v>
      </c>
      <c r="T400" s="547">
        <v>28481663307</v>
      </c>
      <c r="U400" s="989">
        <f t="shared" si="27"/>
        <v>65238</v>
      </c>
      <c r="V400" s="547">
        <v>28482</v>
      </c>
      <c r="W400" s="566"/>
      <c r="X400" s="567"/>
      <c r="Y400" s="989">
        <f t="shared" si="25"/>
        <v>65238488832</v>
      </c>
      <c r="Z400" s="812">
        <f t="shared" si="26"/>
        <v>65238</v>
      </c>
    </row>
    <row r="401" spans="1:26" ht="27" customHeight="1">
      <c r="A401" s="531"/>
      <c r="B401" s="531">
        <v>506</v>
      </c>
      <c r="C401" s="1119">
        <v>5</v>
      </c>
      <c r="D401" s="1118">
        <v>90004883</v>
      </c>
      <c r="E401" s="1028" t="s">
        <v>1767</v>
      </c>
      <c r="F401" s="547"/>
      <c r="G401" s="547"/>
      <c r="H401" s="547">
        <v>71277854272</v>
      </c>
      <c r="I401" s="547"/>
      <c r="J401" s="547"/>
      <c r="K401" s="547"/>
      <c r="L401" s="547"/>
      <c r="M401" s="547"/>
      <c r="N401" s="547"/>
      <c r="O401" s="547"/>
      <c r="P401" s="547"/>
      <c r="Q401" s="547"/>
      <c r="R401" s="547"/>
      <c r="S401" s="989">
        <f t="shared" si="24"/>
        <v>71277854272</v>
      </c>
      <c r="T401" s="547"/>
      <c r="U401" s="989">
        <f t="shared" si="27"/>
        <v>71278</v>
      </c>
      <c r="V401" s="547"/>
      <c r="W401" s="566"/>
      <c r="X401" s="567"/>
      <c r="Y401" s="989">
        <f t="shared" si="25"/>
        <v>71277854272</v>
      </c>
      <c r="Z401" s="812">
        <f t="shared" si="26"/>
        <v>71278</v>
      </c>
    </row>
    <row r="402" spans="1:26" ht="27" customHeight="1">
      <c r="A402" s="531"/>
      <c r="B402" s="531"/>
      <c r="C402" s="529">
        <v>8</v>
      </c>
      <c r="D402" s="1027" t="s">
        <v>125</v>
      </c>
      <c r="E402" s="1028" t="s">
        <v>998</v>
      </c>
      <c r="F402" s="547">
        <v>68696594496</v>
      </c>
      <c r="G402" s="547">
        <v>347819000</v>
      </c>
      <c r="H402" s="547"/>
      <c r="I402" s="547"/>
      <c r="J402" s="547"/>
      <c r="K402" s="547">
        <v>-54000000</v>
      </c>
      <c r="L402" s="547"/>
      <c r="M402" s="547"/>
      <c r="N402" s="547"/>
      <c r="O402" s="547"/>
      <c r="P402" s="547"/>
      <c r="Q402" s="547"/>
      <c r="R402" s="547"/>
      <c r="S402" s="989">
        <f t="shared" si="24"/>
        <v>68990413496</v>
      </c>
      <c r="T402" s="547">
        <v>67763363290</v>
      </c>
      <c r="U402" s="989">
        <f t="shared" si="27"/>
        <v>68990</v>
      </c>
      <c r="V402" s="547">
        <v>67763</v>
      </c>
      <c r="W402" s="566"/>
      <c r="X402" s="567"/>
      <c r="Y402" s="989">
        <f t="shared" si="25"/>
        <v>68990413496</v>
      </c>
      <c r="Z402" s="812">
        <f t="shared" si="26"/>
        <v>68990</v>
      </c>
    </row>
    <row r="403" spans="1:26" ht="27" customHeight="1">
      <c r="A403" s="531"/>
      <c r="B403" s="531">
        <v>406</v>
      </c>
      <c r="C403" s="529">
        <v>4</v>
      </c>
      <c r="D403" s="1027" t="s">
        <v>63</v>
      </c>
      <c r="E403" s="1028" t="s">
        <v>559</v>
      </c>
      <c r="F403" s="547">
        <v>7603492099</v>
      </c>
      <c r="G403" s="547"/>
      <c r="H403" s="547"/>
      <c r="I403" s="547"/>
      <c r="J403" s="547"/>
      <c r="K403" s="547"/>
      <c r="L403" s="547"/>
      <c r="M403" s="547"/>
      <c r="N403" s="547"/>
      <c r="O403" s="547"/>
      <c r="P403" s="547"/>
      <c r="Q403" s="547"/>
      <c r="R403" s="547"/>
      <c r="S403" s="989">
        <f t="shared" si="24"/>
        <v>7603492099</v>
      </c>
      <c r="T403" s="547">
        <v>20026101779</v>
      </c>
      <c r="U403" s="989">
        <f t="shared" si="27"/>
        <v>7603</v>
      </c>
      <c r="V403" s="547">
        <v>20026</v>
      </c>
      <c r="W403" s="566"/>
      <c r="X403" s="567"/>
      <c r="Y403" s="989">
        <f t="shared" si="25"/>
        <v>7603492099</v>
      </c>
      <c r="Z403" s="812">
        <f t="shared" si="26"/>
        <v>7603</v>
      </c>
    </row>
    <row r="404" spans="1:26" ht="27" customHeight="1">
      <c r="A404" s="531"/>
      <c r="B404" s="531">
        <v>606</v>
      </c>
      <c r="C404" s="529">
        <v>6</v>
      </c>
      <c r="D404" s="1027" t="s">
        <v>848</v>
      </c>
      <c r="E404" s="1028" t="s">
        <v>919</v>
      </c>
      <c r="F404" s="547">
        <v>15894955372</v>
      </c>
      <c r="G404" s="547"/>
      <c r="H404" s="547"/>
      <c r="I404" s="547"/>
      <c r="J404" s="547"/>
      <c r="K404" s="547"/>
      <c r="L404" s="547"/>
      <c r="M404" s="547"/>
      <c r="N404" s="547"/>
      <c r="O404" s="547"/>
      <c r="P404" s="547"/>
      <c r="Q404" s="547"/>
      <c r="R404" s="547"/>
      <c r="S404" s="989">
        <f t="shared" si="24"/>
        <v>15894955372</v>
      </c>
      <c r="T404" s="547">
        <v>7821475124</v>
      </c>
      <c r="U404" s="989">
        <f t="shared" si="27"/>
        <v>15895</v>
      </c>
      <c r="V404" s="547">
        <v>7821</v>
      </c>
      <c r="W404" s="566"/>
      <c r="X404" s="567"/>
      <c r="Y404" s="989">
        <f t="shared" si="25"/>
        <v>15894955372</v>
      </c>
      <c r="Z404" s="812">
        <f t="shared" si="26"/>
        <v>15895</v>
      </c>
    </row>
    <row r="405" spans="1:26" ht="27" customHeight="1">
      <c r="A405" s="531"/>
      <c r="B405" s="531">
        <v>604</v>
      </c>
      <c r="C405" s="529">
        <v>6</v>
      </c>
      <c r="D405" s="1027" t="s">
        <v>69</v>
      </c>
      <c r="E405" s="1028" t="s">
        <v>70</v>
      </c>
      <c r="F405" s="547">
        <v>174017126</v>
      </c>
      <c r="G405" s="547"/>
      <c r="H405" s="547"/>
      <c r="I405" s="547"/>
      <c r="J405" s="547"/>
      <c r="K405" s="547"/>
      <c r="L405" s="547"/>
      <c r="M405" s="547"/>
      <c r="N405" s="547"/>
      <c r="O405" s="547"/>
      <c r="P405" s="547"/>
      <c r="Q405" s="547"/>
      <c r="R405" s="547"/>
      <c r="S405" s="989">
        <f t="shared" si="24"/>
        <v>174017126</v>
      </c>
      <c r="T405" s="547">
        <v>223324836</v>
      </c>
      <c r="U405" s="989">
        <f t="shared" si="27"/>
        <v>174</v>
      </c>
      <c r="V405" s="547">
        <v>223</v>
      </c>
      <c r="W405" s="566"/>
      <c r="X405" s="567"/>
      <c r="Y405" s="989">
        <f t="shared" si="25"/>
        <v>174017126</v>
      </c>
      <c r="Z405" s="812">
        <f t="shared" si="26"/>
        <v>174</v>
      </c>
    </row>
    <row r="406" spans="1:26" ht="27" customHeight="1">
      <c r="A406" s="531"/>
      <c r="B406" s="531">
        <v>406</v>
      </c>
      <c r="C406" s="529">
        <v>4</v>
      </c>
      <c r="D406" s="1027" t="s">
        <v>1150</v>
      </c>
      <c r="E406" s="1028" t="s">
        <v>1151</v>
      </c>
      <c r="F406" s="547">
        <v>1348983865</v>
      </c>
      <c r="G406" s="547"/>
      <c r="H406" s="547"/>
      <c r="I406" s="547"/>
      <c r="J406" s="547"/>
      <c r="K406" s="547"/>
      <c r="L406" s="547"/>
      <c r="M406" s="547"/>
      <c r="N406" s="547"/>
      <c r="O406" s="547"/>
      <c r="P406" s="547"/>
      <c r="Q406" s="547"/>
      <c r="R406" s="547"/>
      <c r="S406" s="989">
        <f t="shared" si="24"/>
        <v>1348983865</v>
      </c>
      <c r="T406" s="547">
        <v>1348983865</v>
      </c>
      <c r="U406" s="989">
        <f t="shared" si="27"/>
        <v>1349</v>
      </c>
      <c r="V406" s="547">
        <v>1349</v>
      </c>
      <c r="W406" s="566"/>
      <c r="X406" s="567"/>
      <c r="Y406" s="989">
        <f t="shared" si="25"/>
        <v>1348983865</v>
      </c>
      <c r="Z406" s="812">
        <f t="shared" si="26"/>
        <v>1349</v>
      </c>
    </row>
    <row r="407" spans="1:26" ht="27" customHeight="1">
      <c r="A407" s="1120"/>
      <c r="B407" s="531">
        <v>907</v>
      </c>
      <c r="C407" s="529">
        <v>9</v>
      </c>
      <c r="D407" s="1027" t="s">
        <v>71</v>
      </c>
      <c r="E407" s="1028" t="s">
        <v>72</v>
      </c>
      <c r="F407" s="547">
        <v>100692672432</v>
      </c>
      <c r="G407" s="547">
        <v>3680227547</v>
      </c>
      <c r="H407" s="547"/>
      <c r="I407" s="547">
        <v>-104372899979</v>
      </c>
      <c r="J407" s="547"/>
      <c r="K407" s="547"/>
      <c r="L407" s="547"/>
      <c r="M407" s="547"/>
      <c r="N407" s="547"/>
      <c r="O407" s="547"/>
      <c r="P407" s="547"/>
      <c r="Q407" s="547"/>
      <c r="R407" s="547"/>
      <c r="S407" s="989">
        <f t="shared" si="24"/>
        <v>0</v>
      </c>
      <c r="T407" s="547">
        <v>0</v>
      </c>
      <c r="U407" s="989">
        <f t="shared" si="27"/>
        <v>0</v>
      </c>
      <c r="V407" s="547">
        <v>0</v>
      </c>
      <c r="W407" s="566"/>
      <c r="X407" s="567"/>
      <c r="Y407" s="989">
        <f t="shared" si="25"/>
        <v>0</v>
      </c>
      <c r="Z407" s="812">
        <f t="shared" si="26"/>
        <v>0</v>
      </c>
    </row>
    <row r="408" spans="1:26" ht="27" customHeight="1">
      <c r="A408" s="1120">
        <v>3214</v>
      </c>
      <c r="B408" s="531">
        <v>907</v>
      </c>
      <c r="C408" s="529">
        <v>9</v>
      </c>
      <c r="D408" s="1027" t="s">
        <v>71</v>
      </c>
      <c r="E408" s="1028" t="s">
        <v>1437</v>
      </c>
      <c r="G408" s="547"/>
      <c r="H408" s="547"/>
      <c r="I408" s="547"/>
      <c r="J408" s="547"/>
      <c r="K408" s="547">
        <f>21831258741+104964313357</f>
        <v>126795572098</v>
      </c>
      <c r="L408" s="547"/>
      <c r="M408" s="547"/>
      <c r="N408" s="547">
        <v>-24286148855</v>
      </c>
      <c r="O408" s="547"/>
      <c r="P408" s="547"/>
      <c r="Q408" s="547"/>
      <c r="R408" s="547"/>
      <c r="S408" s="989">
        <f t="shared" si="24"/>
        <v>102509423243</v>
      </c>
      <c r="T408" s="547">
        <v>101478534118</v>
      </c>
      <c r="U408" s="989">
        <f t="shared" si="27"/>
        <v>102509</v>
      </c>
      <c r="V408" s="683">
        <v>101479</v>
      </c>
      <c r="W408" s="566"/>
      <c r="X408" s="567"/>
      <c r="Y408" s="989">
        <f t="shared" si="25"/>
        <v>102509423243</v>
      </c>
      <c r="Z408" s="812">
        <f t="shared" si="26"/>
        <v>102509</v>
      </c>
    </row>
    <row r="409" spans="1:26" ht="27" customHeight="1">
      <c r="A409" s="1120">
        <v>6587</v>
      </c>
      <c r="B409" s="531">
        <v>907</v>
      </c>
      <c r="C409" s="529">
        <v>9</v>
      </c>
      <c r="D409" s="1027" t="s">
        <v>71</v>
      </c>
      <c r="E409" s="1028" t="s">
        <v>1668</v>
      </c>
      <c r="F409" s="547"/>
      <c r="G409" s="547"/>
      <c r="H409" s="547"/>
      <c r="I409" s="547"/>
      <c r="J409" s="547"/>
      <c r="K409" s="547"/>
      <c r="L409" s="547"/>
      <c r="M409" s="547"/>
      <c r="N409" s="547"/>
      <c r="O409" s="547"/>
      <c r="P409" s="547"/>
      <c r="Q409" s="547"/>
      <c r="R409" s="547"/>
      <c r="S409" s="989">
        <f t="shared" si="24"/>
        <v>0</v>
      </c>
      <c r="T409" s="547">
        <v>0</v>
      </c>
      <c r="U409" s="989">
        <f t="shared" si="27"/>
        <v>0</v>
      </c>
      <c r="V409" s="547">
        <v>0</v>
      </c>
      <c r="W409" s="566"/>
      <c r="X409" s="567"/>
      <c r="Y409" s="989">
        <f t="shared" si="25"/>
        <v>0</v>
      </c>
      <c r="Z409" s="812">
        <f t="shared" si="26"/>
        <v>0</v>
      </c>
    </row>
    <row r="410" spans="1:26" ht="27" customHeight="1">
      <c r="A410" s="531"/>
      <c r="B410" s="531">
        <v>406</v>
      </c>
      <c r="C410" s="529">
        <v>4</v>
      </c>
      <c r="D410" s="1027" t="s">
        <v>73</v>
      </c>
      <c r="E410" s="1028" t="s">
        <v>74</v>
      </c>
      <c r="F410" s="547">
        <v>12529127004</v>
      </c>
      <c r="G410" s="547">
        <v>-1729321797</v>
      </c>
      <c r="H410" s="547">
        <v>-76191000</v>
      </c>
      <c r="I410" s="547">
        <v>-401595000</v>
      </c>
      <c r="J410" s="547"/>
      <c r="K410" s="547"/>
      <c r="L410" s="547"/>
      <c r="M410" s="547"/>
      <c r="N410" s="547"/>
      <c r="O410" s="547"/>
      <c r="P410" s="547"/>
      <c r="Q410" s="547"/>
      <c r="R410" s="547"/>
      <c r="S410" s="989">
        <f t="shared" si="24"/>
        <v>10322019207</v>
      </c>
      <c r="T410" s="547">
        <v>11711478798</v>
      </c>
      <c r="U410" s="989">
        <f t="shared" si="27"/>
        <v>10322</v>
      </c>
      <c r="V410" s="547">
        <v>11711</v>
      </c>
      <c r="W410" s="566"/>
      <c r="X410" s="567"/>
      <c r="Y410" s="989">
        <f t="shared" si="25"/>
        <v>10322019207</v>
      </c>
      <c r="Z410" s="812">
        <f t="shared" si="26"/>
        <v>10322</v>
      </c>
    </row>
    <row r="411" spans="1:26" ht="27" customHeight="1">
      <c r="A411" s="531"/>
      <c r="B411" s="531">
        <v>605</v>
      </c>
      <c r="C411" s="529">
        <v>6</v>
      </c>
      <c r="D411" s="1027" t="s">
        <v>1152</v>
      </c>
      <c r="E411" s="1028" t="s">
        <v>1153</v>
      </c>
      <c r="F411" s="547">
        <v>805562337786</v>
      </c>
      <c r="G411" s="547"/>
      <c r="H411" s="547"/>
      <c r="I411" s="547"/>
      <c r="J411" s="547"/>
      <c r="K411" s="547"/>
      <c r="L411" s="547"/>
      <c r="M411" s="547"/>
      <c r="N411" s="547"/>
      <c r="O411" s="547"/>
      <c r="P411" s="547"/>
      <c r="Q411" s="547"/>
      <c r="R411" s="547"/>
      <c r="S411" s="989">
        <f t="shared" si="24"/>
        <v>805562337786</v>
      </c>
      <c r="T411" s="547">
        <v>693769756976</v>
      </c>
      <c r="U411" s="989">
        <f t="shared" si="27"/>
        <v>805562</v>
      </c>
      <c r="V411" s="547">
        <v>693770</v>
      </c>
      <c r="W411" s="566"/>
      <c r="X411" s="567"/>
      <c r="Y411" s="989">
        <f t="shared" si="25"/>
        <v>805562337786</v>
      </c>
      <c r="Z411" s="812">
        <f t="shared" si="26"/>
        <v>805562</v>
      </c>
    </row>
    <row r="412" spans="1:26" ht="27" customHeight="1">
      <c r="A412" s="531"/>
      <c r="B412" s="531">
        <v>406</v>
      </c>
      <c r="C412" s="529">
        <v>4</v>
      </c>
      <c r="D412" s="1027" t="s">
        <v>75</v>
      </c>
      <c r="E412" s="1028" t="s">
        <v>406</v>
      </c>
      <c r="F412" s="547">
        <v>6749066270</v>
      </c>
      <c r="G412" s="547"/>
      <c r="H412" s="547"/>
      <c r="I412" s="547"/>
      <c r="J412" s="547"/>
      <c r="K412" s="547"/>
      <c r="L412" s="547"/>
      <c r="M412" s="547"/>
      <c r="N412" s="547"/>
      <c r="O412" s="547"/>
      <c r="P412" s="547"/>
      <c r="Q412" s="547"/>
      <c r="R412" s="547"/>
      <c r="S412" s="989">
        <f t="shared" si="24"/>
        <v>6749066270</v>
      </c>
      <c r="T412" s="547">
        <v>6749066270</v>
      </c>
      <c r="U412" s="989">
        <f t="shared" si="27"/>
        <v>6749</v>
      </c>
      <c r="V412" s="547">
        <v>6749</v>
      </c>
      <c r="W412" s="566"/>
      <c r="X412" s="567"/>
      <c r="Y412" s="989">
        <f t="shared" si="25"/>
        <v>6749066270</v>
      </c>
      <c r="Z412" s="812">
        <f t="shared" si="26"/>
        <v>6749</v>
      </c>
    </row>
    <row r="413" spans="1:26" ht="27" customHeight="1">
      <c r="A413" s="531"/>
      <c r="B413" s="531">
        <v>406</v>
      </c>
      <c r="C413" s="529">
        <v>4</v>
      </c>
      <c r="D413" s="1027" t="s">
        <v>407</v>
      </c>
      <c r="E413" s="1028" t="s">
        <v>408</v>
      </c>
      <c r="F413" s="547">
        <v>199100360</v>
      </c>
      <c r="G413" s="547"/>
      <c r="H413" s="547"/>
      <c r="I413" s="547"/>
      <c r="J413" s="547"/>
      <c r="K413" s="547"/>
      <c r="L413" s="547"/>
      <c r="M413" s="547"/>
      <c r="N413" s="547"/>
      <c r="O413" s="547"/>
      <c r="P413" s="547"/>
      <c r="Q413" s="547"/>
      <c r="R413" s="547"/>
      <c r="S413" s="989">
        <f t="shared" si="24"/>
        <v>199100360</v>
      </c>
      <c r="T413" s="547">
        <v>199100360</v>
      </c>
      <c r="U413" s="989">
        <f t="shared" si="27"/>
        <v>199</v>
      </c>
      <c r="V413" s="547">
        <v>199</v>
      </c>
      <c r="W413" s="566"/>
      <c r="X413" s="567"/>
      <c r="Y413" s="989">
        <f t="shared" si="25"/>
        <v>199100360</v>
      </c>
      <c r="Z413" s="812">
        <f t="shared" si="26"/>
        <v>199</v>
      </c>
    </row>
    <row r="414" spans="1:26" ht="27" customHeight="1">
      <c r="A414" s="531"/>
      <c r="B414" s="531">
        <v>411</v>
      </c>
      <c r="C414" s="529">
        <v>4</v>
      </c>
      <c r="D414" s="1027" t="s">
        <v>409</v>
      </c>
      <c r="E414" s="1028" t="s">
        <v>410</v>
      </c>
      <c r="F414" s="547">
        <v>17403364862</v>
      </c>
      <c r="G414" s="547">
        <v>834909213</v>
      </c>
      <c r="H414" s="547"/>
      <c r="I414" s="547"/>
      <c r="J414" s="547"/>
      <c r="K414" s="547"/>
      <c r="L414" s="547"/>
      <c r="M414" s="547"/>
      <c r="N414" s="547"/>
      <c r="O414" s="547"/>
      <c r="P414" s="547"/>
      <c r="Q414" s="547"/>
      <c r="R414" s="547"/>
      <c r="S414" s="989">
        <f t="shared" si="24"/>
        <v>18238274075</v>
      </c>
      <c r="T414" s="547">
        <v>34374391635</v>
      </c>
      <c r="U414" s="989">
        <f t="shared" si="27"/>
        <v>18238</v>
      </c>
      <c r="V414" s="547">
        <v>34374</v>
      </c>
      <c r="W414" s="566"/>
      <c r="X414" s="567"/>
      <c r="Y414" s="989">
        <f t="shared" si="25"/>
        <v>18238274075</v>
      </c>
      <c r="Z414" s="812">
        <f t="shared" si="26"/>
        <v>18238</v>
      </c>
    </row>
    <row r="415" spans="1:26" ht="27" customHeight="1">
      <c r="A415" s="531">
        <v>3214</v>
      </c>
      <c r="B415" s="531">
        <v>408</v>
      </c>
      <c r="C415" s="529">
        <v>4</v>
      </c>
      <c r="D415" s="1027" t="s">
        <v>409</v>
      </c>
      <c r="E415" s="1028" t="s">
        <v>1627</v>
      </c>
      <c r="F415" s="547"/>
      <c r="G415" s="547"/>
      <c r="H415" s="547"/>
      <c r="I415" s="547"/>
      <c r="J415" s="547"/>
      <c r="K415" s="547"/>
      <c r="L415" s="547"/>
      <c r="M415" s="547"/>
      <c r="N415" s="547">
        <v>214165293180</v>
      </c>
      <c r="O415" s="547"/>
      <c r="P415" s="547"/>
      <c r="Q415" s="547"/>
      <c r="R415" s="547"/>
      <c r="S415" s="989">
        <f t="shared" si="24"/>
        <v>214165293180</v>
      </c>
      <c r="T415" s="547">
        <v>0</v>
      </c>
      <c r="U415" s="989">
        <f t="shared" si="27"/>
        <v>214165</v>
      </c>
      <c r="V415" s="547">
        <v>0</v>
      </c>
      <c r="W415" s="566"/>
      <c r="X415" s="567"/>
      <c r="Y415" s="989">
        <f t="shared" si="25"/>
        <v>214165293180</v>
      </c>
      <c r="Z415" s="812">
        <f t="shared" si="26"/>
        <v>214165</v>
      </c>
    </row>
    <row r="416" spans="1:26" ht="27" customHeight="1">
      <c r="A416" s="1120"/>
      <c r="B416" s="531">
        <v>907</v>
      </c>
      <c r="C416" s="529">
        <v>9</v>
      </c>
      <c r="D416" s="1027" t="s">
        <v>411</v>
      </c>
      <c r="E416" s="1028" t="s">
        <v>768</v>
      </c>
      <c r="F416" s="547">
        <v>236526671920</v>
      </c>
      <c r="G416" s="547">
        <v>3928857260</v>
      </c>
      <c r="H416" s="547"/>
      <c r="I416" s="547">
        <v>-228456619180</v>
      </c>
      <c r="J416" s="547"/>
      <c r="K416" s="547">
        <v>23107500000</v>
      </c>
      <c r="L416" s="547"/>
      <c r="M416" s="547"/>
      <c r="N416" s="547"/>
      <c r="O416" s="547"/>
      <c r="P416" s="547"/>
      <c r="Q416" s="547"/>
      <c r="R416" s="547"/>
      <c r="S416" s="989">
        <f t="shared" si="24"/>
        <v>35106410000</v>
      </c>
      <c r="T416" s="547">
        <v>35943162105</v>
      </c>
      <c r="U416" s="989">
        <f t="shared" si="27"/>
        <v>35106</v>
      </c>
      <c r="V416" s="547">
        <v>35943</v>
      </c>
      <c r="W416" s="566"/>
      <c r="X416" s="567"/>
      <c r="Y416" s="989">
        <f t="shared" si="25"/>
        <v>35106410000</v>
      </c>
      <c r="Z416" s="812">
        <f t="shared" si="26"/>
        <v>35106</v>
      </c>
    </row>
    <row r="417" spans="1:26" ht="27" customHeight="1">
      <c r="A417" s="1120">
        <v>3214</v>
      </c>
      <c r="B417" s="531">
        <v>907</v>
      </c>
      <c r="C417" s="529">
        <v>9</v>
      </c>
      <c r="D417" s="1027" t="s">
        <v>411</v>
      </c>
      <c r="E417" s="1028" t="s">
        <v>1628</v>
      </c>
      <c r="G417" s="547"/>
      <c r="H417" s="547"/>
      <c r="I417" s="547"/>
      <c r="J417" s="547"/>
      <c r="K417" s="547">
        <f>1130702506844+1270183074959+250819866045</f>
        <v>2651705447848</v>
      </c>
      <c r="L417" s="547"/>
      <c r="M417" s="547"/>
      <c r="N417" s="547">
        <f>1030615214062+89012262</f>
        <v>1030704226324</v>
      </c>
      <c r="O417" s="547"/>
      <c r="P417" s="547">
        <f>-956229217891-198351663180</f>
        <v>-1154580881071</v>
      </c>
      <c r="Q417" s="547"/>
      <c r="R417" s="547"/>
      <c r="S417" s="989">
        <f t="shared" si="24"/>
        <v>2527828793101</v>
      </c>
      <c r="T417" s="547">
        <v>1925966244039</v>
      </c>
      <c r="U417" s="989">
        <f t="shared" si="27"/>
        <v>2527829</v>
      </c>
      <c r="V417" s="683">
        <v>1925966</v>
      </c>
      <c r="W417" s="566"/>
      <c r="X417" s="567"/>
      <c r="Y417" s="989">
        <f t="shared" si="25"/>
        <v>2527828793101</v>
      </c>
      <c r="Z417" s="812">
        <f t="shared" si="26"/>
        <v>2527829</v>
      </c>
    </row>
    <row r="418" spans="1:26" ht="33.75" customHeight="1">
      <c r="A418" s="1120">
        <v>6587</v>
      </c>
      <c r="B418" s="531">
        <v>907</v>
      </c>
      <c r="C418" s="529">
        <v>9</v>
      </c>
      <c r="D418" s="1027" t="s">
        <v>411</v>
      </c>
      <c r="E418" s="1029" t="s">
        <v>1632</v>
      </c>
      <c r="F418" s="547"/>
      <c r="G418" s="547"/>
      <c r="H418" s="547"/>
      <c r="I418" s="547"/>
      <c r="J418" s="547"/>
      <c r="K418" s="547"/>
      <c r="L418" s="547"/>
      <c r="M418" s="547"/>
      <c r="N418" s="547"/>
      <c r="O418" s="547"/>
      <c r="P418" s="547"/>
      <c r="Q418" s="547"/>
      <c r="R418" s="547"/>
      <c r="S418" s="989">
        <f t="shared" si="24"/>
        <v>0</v>
      </c>
      <c r="T418" s="547">
        <v>0</v>
      </c>
      <c r="U418" s="989">
        <f t="shared" si="27"/>
        <v>0</v>
      </c>
      <c r="V418" s="547">
        <v>0</v>
      </c>
      <c r="W418" s="566"/>
      <c r="X418" s="567"/>
      <c r="Y418" s="989">
        <f t="shared" si="25"/>
        <v>0</v>
      </c>
      <c r="Z418" s="812">
        <f t="shared" si="26"/>
        <v>0</v>
      </c>
    </row>
    <row r="419" spans="1:26" ht="27" customHeight="1">
      <c r="A419" s="531"/>
      <c r="B419" s="531">
        <v>603</v>
      </c>
      <c r="C419" s="529">
        <v>6</v>
      </c>
      <c r="D419" s="1027" t="s">
        <v>353</v>
      </c>
      <c r="E419" s="1028" t="s">
        <v>354</v>
      </c>
      <c r="F419" s="547">
        <v>104887566658</v>
      </c>
      <c r="G419" s="547">
        <v>1004430000</v>
      </c>
      <c r="H419" s="547"/>
      <c r="I419" s="547"/>
      <c r="J419" s="547"/>
      <c r="K419" s="547"/>
      <c r="L419" s="547"/>
      <c r="M419" s="547"/>
      <c r="N419" s="547"/>
      <c r="O419" s="547"/>
      <c r="P419" s="547"/>
      <c r="Q419" s="547"/>
      <c r="R419" s="547"/>
      <c r="S419" s="989">
        <f t="shared" si="24"/>
        <v>105891996658</v>
      </c>
      <c r="T419" s="547">
        <v>33653479892</v>
      </c>
      <c r="U419" s="989">
        <f t="shared" si="27"/>
        <v>105892</v>
      </c>
      <c r="V419" s="547">
        <v>33653</v>
      </c>
      <c r="W419" s="566"/>
      <c r="X419" s="567"/>
      <c r="Y419" s="989">
        <f t="shared" si="25"/>
        <v>105891996658</v>
      </c>
      <c r="Z419" s="812">
        <f t="shared" si="26"/>
        <v>105892</v>
      </c>
    </row>
    <row r="420" spans="1:26" ht="27" customHeight="1">
      <c r="A420" s="531"/>
      <c r="B420" s="531">
        <v>406</v>
      </c>
      <c r="C420" s="529">
        <v>4</v>
      </c>
      <c r="D420" s="1027" t="s">
        <v>355</v>
      </c>
      <c r="E420" s="1028" t="s">
        <v>356</v>
      </c>
      <c r="F420" s="547">
        <v>5692862935</v>
      </c>
      <c r="G420" s="547">
        <v>-5614062329</v>
      </c>
      <c r="H420" s="547"/>
      <c r="I420" s="547"/>
      <c r="J420" s="547"/>
      <c r="K420" s="547"/>
      <c r="L420" s="547"/>
      <c r="M420" s="547"/>
      <c r="N420" s="547"/>
      <c r="O420" s="547"/>
      <c r="P420" s="547"/>
      <c r="Q420" s="547"/>
      <c r="R420" s="547"/>
      <c r="S420" s="989">
        <f t="shared" si="24"/>
        <v>78800606</v>
      </c>
      <c r="T420" s="547">
        <v>83549006</v>
      </c>
      <c r="U420" s="989">
        <f t="shared" si="27"/>
        <v>79</v>
      </c>
      <c r="V420" s="547">
        <v>84</v>
      </c>
      <c r="W420" s="566"/>
      <c r="X420" s="567"/>
      <c r="Y420" s="989">
        <f t="shared" si="25"/>
        <v>78800606</v>
      </c>
      <c r="Z420" s="812">
        <f t="shared" si="26"/>
        <v>79</v>
      </c>
    </row>
    <row r="421" spans="1:26" ht="27" customHeight="1">
      <c r="A421" s="531">
        <v>3214</v>
      </c>
      <c r="B421" s="531">
        <v>1015</v>
      </c>
      <c r="C421" s="529">
        <v>10</v>
      </c>
      <c r="D421" s="1027" t="s">
        <v>355</v>
      </c>
      <c r="E421" s="1028" t="s">
        <v>1440</v>
      </c>
      <c r="F421" s="547"/>
      <c r="G421" s="547"/>
      <c r="H421" s="547"/>
      <c r="I421" s="547"/>
      <c r="J421" s="547"/>
      <c r="K421" s="547"/>
      <c r="L421" s="547"/>
      <c r="M421" s="547"/>
      <c r="N421" s="547"/>
      <c r="O421" s="547"/>
      <c r="P421" s="547"/>
      <c r="Q421" s="547"/>
      <c r="R421" s="547"/>
      <c r="S421" s="989">
        <f t="shared" si="24"/>
        <v>0</v>
      </c>
      <c r="T421" s="547">
        <v>-42738271</v>
      </c>
      <c r="U421" s="989">
        <f t="shared" si="27"/>
        <v>0</v>
      </c>
      <c r="V421" s="547">
        <v>-43</v>
      </c>
      <c r="W421" s="566"/>
      <c r="X421" s="567"/>
      <c r="Y421" s="989">
        <f t="shared" si="25"/>
        <v>0</v>
      </c>
      <c r="Z421" s="812">
        <f t="shared" si="26"/>
        <v>0</v>
      </c>
    </row>
    <row r="422" spans="1:26" ht="27" customHeight="1">
      <c r="A422" s="531"/>
      <c r="B422" s="531">
        <v>406</v>
      </c>
      <c r="C422" s="529">
        <v>4</v>
      </c>
      <c r="D422" s="1027" t="s">
        <v>1255</v>
      </c>
      <c r="E422" s="1028" t="s">
        <v>1256</v>
      </c>
      <c r="F422" s="547"/>
      <c r="G422" s="547"/>
      <c r="H422" s="547"/>
      <c r="I422" s="547"/>
      <c r="J422" s="547"/>
      <c r="K422" s="547"/>
      <c r="L422" s="547"/>
      <c r="M422" s="547"/>
      <c r="N422" s="547"/>
      <c r="O422" s="547"/>
      <c r="P422" s="547"/>
      <c r="Q422" s="547"/>
      <c r="R422" s="547"/>
      <c r="S422" s="989">
        <f t="shared" si="24"/>
        <v>0</v>
      </c>
      <c r="T422" s="547">
        <v>0</v>
      </c>
      <c r="U422" s="989">
        <f t="shared" si="27"/>
        <v>0</v>
      </c>
      <c r="V422" s="547">
        <v>0</v>
      </c>
      <c r="W422" s="566"/>
      <c r="X422" s="567"/>
      <c r="Y422" s="989">
        <f t="shared" si="25"/>
        <v>0</v>
      </c>
      <c r="Z422" s="812">
        <f t="shared" si="26"/>
        <v>0</v>
      </c>
    </row>
    <row r="423" spans="1:26" ht="27" customHeight="1">
      <c r="A423" s="531"/>
      <c r="B423" s="531">
        <v>1015</v>
      </c>
      <c r="C423" s="529">
        <v>10</v>
      </c>
      <c r="D423" s="1027" t="s">
        <v>357</v>
      </c>
      <c r="E423" s="1028" t="s">
        <v>358</v>
      </c>
      <c r="F423" s="547">
        <v>-582436371</v>
      </c>
      <c r="G423" s="547">
        <v>-12494109</v>
      </c>
      <c r="H423" s="547"/>
      <c r="I423" s="547"/>
      <c r="J423" s="547"/>
      <c r="K423" s="547"/>
      <c r="L423" s="547"/>
      <c r="M423" s="547"/>
      <c r="N423" s="547"/>
      <c r="O423" s="547"/>
      <c r="P423" s="547"/>
      <c r="Q423" s="547"/>
      <c r="R423" s="547"/>
      <c r="S423" s="989">
        <f t="shared" si="24"/>
        <v>-594930480</v>
      </c>
      <c r="T423" s="547">
        <v>-78404720</v>
      </c>
      <c r="U423" s="989">
        <f t="shared" si="27"/>
        <v>-595</v>
      </c>
      <c r="V423" s="547">
        <v>-78</v>
      </c>
      <c r="W423" s="566"/>
      <c r="X423" s="567"/>
      <c r="Y423" s="989">
        <f t="shared" si="25"/>
        <v>-594930480</v>
      </c>
      <c r="Z423" s="812">
        <f t="shared" si="26"/>
        <v>-595</v>
      </c>
    </row>
    <row r="424" spans="1:26" ht="27" customHeight="1">
      <c r="A424" s="531"/>
      <c r="B424" s="531">
        <v>1015</v>
      </c>
      <c r="C424" s="529">
        <v>10</v>
      </c>
      <c r="D424" s="1027" t="s">
        <v>359</v>
      </c>
      <c r="E424" s="1028" t="s">
        <v>895</v>
      </c>
      <c r="G424" s="547"/>
      <c r="H424" s="547"/>
      <c r="I424" s="547"/>
      <c r="J424" s="547"/>
      <c r="K424" s="547"/>
      <c r="L424" s="547"/>
      <c r="M424" s="547"/>
      <c r="N424" s="547"/>
      <c r="O424" s="547"/>
      <c r="P424" s="547"/>
      <c r="Q424" s="547"/>
      <c r="R424" s="547"/>
      <c r="S424" s="989">
        <f t="shared" si="24"/>
        <v>0</v>
      </c>
      <c r="T424" s="547">
        <v>0</v>
      </c>
      <c r="U424" s="989">
        <f t="shared" si="27"/>
        <v>0</v>
      </c>
      <c r="V424" s="547">
        <v>0</v>
      </c>
      <c r="W424" s="566"/>
      <c r="X424" s="567"/>
      <c r="Y424" s="989">
        <f t="shared" si="25"/>
        <v>0</v>
      </c>
      <c r="Z424" s="812">
        <f t="shared" si="26"/>
        <v>0</v>
      </c>
    </row>
    <row r="425" spans="1:26" ht="27" customHeight="1">
      <c r="A425" s="531"/>
      <c r="B425" s="531">
        <v>1015</v>
      </c>
      <c r="C425" s="529">
        <v>10</v>
      </c>
      <c r="D425" s="1027" t="s">
        <v>598</v>
      </c>
      <c r="E425" s="1028" t="s">
        <v>849</v>
      </c>
      <c r="F425" s="547">
        <v>-97583</v>
      </c>
      <c r="G425" s="547"/>
      <c r="H425" s="547"/>
      <c r="I425" s="547"/>
      <c r="J425" s="547"/>
      <c r="K425" s="547"/>
      <c r="L425" s="547"/>
      <c r="M425" s="547"/>
      <c r="N425" s="547"/>
      <c r="O425" s="547"/>
      <c r="P425" s="547"/>
      <c r="Q425" s="547"/>
      <c r="R425" s="547"/>
      <c r="S425" s="989">
        <f t="shared" si="24"/>
        <v>-97583</v>
      </c>
      <c r="T425" s="547">
        <v>-97583</v>
      </c>
      <c r="U425" s="989">
        <f t="shared" si="27"/>
        <v>0</v>
      </c>
      <c r="V425" s="547">
        <v>0</v>
      </c>
      <c r="W425" s="566"/>
      <c r="X425" s="567"/>
      <c r="Y425" s="989">
        <f t="shared" si="25"/>
        <v>-97583</v>
      </c>
      <c r="Z425" s="812">
        <f t="shared" si="26"/>
        <v>0</v>
      </c>
    </row>
    <row r="426" spans="1:26" ht="27" customHeight="1">
      <c r="A426" s="531"/>
      <c r="B426" s="531">
        <v>602</v>
      </c>
      <c r="C426" s="529">
        <v>6</v>
      </c>
      <c r="D426" s="1027" t="s">
        <v>600</v>
      </c>
      <c r="E426" s="1028" t="s">
        <v>601</v>
      </c>
      <c r="F426" s="547">
        <v>-42116464946</v>
      </c>
      <c r="G426" s="547"/>
      <c r="H426" s="547"/>
      <c r="I426" s="547"/>
      <c r="J426" s="547"/>
      <c r="K426" s="547"/>
      <c r="L426" s="547"/>
      <c r="M426" s="547"/>
      <c r="N426" s="547"/>
      <c r="O426" s="547"/>
      <c r="P426" s="547"/>
      <c r="Q426" s="547"/>
      <c r="R426" s="547"/>
      <c r="S426" s="989">
        <f t="shared" si="24"/>
        <v>-42116464946</v>
      </c>
      <c r="T426" s="547">
        <v>-42116464946</v>
      </c>
      <c r="U426" s="989">
        <f t="shared" si="27"/>
        <v>-42116</v>
      </c>
      <c r="V426" s="547">
        <v>-33846</v>
      </c>
      <c r="W426" s="566"/>
      <c r="X426" s="683"/>
      <c r="Y426" s="989">
        <f t="shared" si="25"/>
        <v>-42116464946</v>
      </c>
      <c r="Z426" s="812">
        <f t="shared" si="26"/>
        <v>-42116</v>
      </c>
    </row>
    <row r="427" spans="1:26" ht="27" customHeight="1">
      <c r="A427" s="531"/>
      <c r="B427" s="531">
        <v>1015</v>
      </c>
      <c r="C427" s="529">
        <v>10</v>
      </c>
      <c r="D427" s="1027" t="s">
        <v>1261</v>
      </c>
      <c r="E427" s="1028" t="s">
        <v>1256</v>
      </c>
      <c r="F427" s="547"/>
      <c r="G427" s="547"/>
      <c r="H427" s="547"/>
      <c r="I427" s="547"/>
      <c r="J427" s="547"/>
      <c r="K427" s="547"/>
      <c r="L427" s="547"/>
      <c r="M427" s="547"/>
      <c r="N427" s="547"/>
      <c r="O427" s="547"/>
      <c r="P427" s="547"/>
      <c r="Q427" s="547"/>
      <c r="R427" s="547"/>
      <c r="S427" s="989">
        <f t="shared" si="24"/>
        <v>0</v>
      </c>
      <c r="T427" s="547">
        <v>0</v>
      </c>
      <c r="U427" s="989">
        <f t="shared" si="27"/>
        <v>0</v>
      </c>
      <c r="V427" s="547">
        <v>0</v>
      </c>
      <c r="W427" s="566"/>
      <c r="X427" s="567"/>
      <c r="Y427" s="989">
        <f t="shared" si="25"/>
        <v>0</v>
      </c>
      <c r="Z427" s="812">
        <f t="shared" si="26"/>
        <v>0</v>
      </c>
    </row>
    <row r="428" spans="1:26" ht="27" customHeight="1">
      <c r="A428" s="531"/>
      <c r="B428" s="531">
        <v>406</v>
      </c>
      <c r="C428" s="529">
        <v>4</v>
      </c>
      <c r="D428" s="1027" t="s">
        <v>602</v>
      </c>
      <c r="E428" s="1028" t="s">
        <v>603</v>
      </c>
      <c r="F428" s="547">
        <v>630222394</v>
      </c>
      <c r="G428" s="547">
        <v>-2376000</v>
      </c>
      <c r="H428" s="547"/>
      <c r="I428" s="547"/>
      <c r="J428" s="547"/>
      <c r="K428" s="547"/>
      <c r="L428" s="547"/>
      <c r="M428" s="547"/>
      <c r="N428" s="547"/>
      <c r="O428" s="547"/>
      <c r="P428" s="547"/>
      <c r="Q428" s="547"/>
      <c r="R428" s="547"/>
      <c r="S428" s="989">
        <f t="shared" si="24"/>
        <v>627846394</v>
      </c>
      <c r="T428" s="547">
        <v>228068074</v>
      </c>
      <c r="U428" s="989">
        <f t="shared" si="27"/>
        <v>628</v>
      </c>
      <c r="V428" s="547">
        <v>228</v>
      </c>
      <c r="W428" s="566"/>
      <c r="X428" s="567"/>
      <c r="Y428" s="989">
        <f t="shared" si="25"/>
        <v>627846394</v>
      </c>
      <c r="Z428" s="812">
        <f t="shared" si="26"/>
        <v>628</v>
      </c>
    </row>
    <row r="429" spans="1:26" ht="27" customHeight="1">
      <c r="A429" s="531"/>
      <c r="B429" s="531">
        <v>406</v>
      </c>
      <c r="C429" s="529">
        <v>4</v>
      </c>
      <c r="D429" s="1027" t="s">
        <v>668</v>
      </c>
      <c r="E429" s="1028" t="s">
        <v>669</v>
      </c>
      <c r="F429" s="547"/>
      <c r="G429" s="547"/>
      <c r="H429" s="547"/>
      <c r="I429" s="547"/>
      <c r="J429" s="547"/>
      <c r="K429" s="547"/>
      <c r="L429" s="547"/>
      <c r="M429" s="547"/>
      <c r="N429" s="547"/>
      <c r="O429" s="547"/>
      <c r="P429" s="547"/>
      <c r="Q429" s="547"/>
      <c r="R429" s="547"/>
      <c r="S429" s="989">
        <f t="shared" si="24"/>
        <v>0</v>
      </c>
      <c r="T429" s="547">
        <v>0</v>
      </c>
      <c r="U429" s="989">
        <f t="shared" si="27"/>
        <v>0</v>
      </c>
      <c r="V429" s="547">
        <v>0</v>
      </c>
      <c r="W429" s="566"/>
      <c r="X429" s="567"/>
      <c r="Y429" s="989">
        <f t="shared" si="25"/>
        <v>0</v>
      </c>
      <c r="Z429" s="812">
        <f t="shared" si="26"/>
        <v>0</v>
      </c>
    </row>
    <row r="430" spans="1:26" ht="27" customHeight="1">
      <c r="A430" s="531"/>
      <c r="B430" s="531">
        <v>100201</v>
      </c>
      <c r="C430" s="529">
        <v>10</v>
      </c>
      <c r="D430" s="1027" t="s">
        <v>604</v>
      </c>
      <c r="E430" s="1028" t="s">
        <v>532</v>
      </c>
      <c r="F430" s="547"/>
      <c r="G430" s="547"/>
      <c r="H430" s="547"/>
      <c r="I430" s="547"/>
      <c r="J430" s="547"/>
      <c r="K430" s="547"/>
      <c r="L430" s="547"/>
      <c r="M430" s="547"/>
      <c r="N430" s="547"/>
      <c r="O430" s="547"/>
      <c r="P430" s="547"/>
      <c r="Q430" s="547"/>
      <c r="R430" s="547"/>
      <c r="S430" s="989">
        <f t="shared" si="24"/>
        <v>0</v>
      </c>
      <c r="T430" s="547">
        <v>0</v>
      </c>
      <c r="U430" s="989">
        <f t="shared" si="27"/>
        <v>0</v>
      </c>
      <c r="V430" s="547">
        <v>0</v>
      </c>
      <c r="W430" s="566"/>
      <c r="X430" s="567"/>
      <c r="Y430" s="989">
        <f t="shared" si="25"/>
        <v>0</v>
      </c>
      <c r="Z430" s="812">
        <f t="shared" si="26"/>
        <v>0</v>
      </c>
    </row>
    <row r="431" spans="1:26" ht="27" customHeight="1">
      <c r="A431" s="531"/>
      <c r="B431" s="531">
        <v>1018</v>
      </c>
      <c r="C431" s="529">
        <v>10</v>
      </c>
      <c r="D431" s="1027" t="s">
        <v>605</v>
      </c>
      <c r="E431" s="1028" t="s">
        <v>227</v>
      </c>
      <c r="F431" s="547">
        <v>-36813592313</v>
      </c>
      <c r="G431" s="547">
        <v>36704598000</v>
      </c>
      <c r="H431" s="547"/>
      <c r="I431" s="547"/>
      <c r="J431" s="547"/>
      <c r="K431" s="547"/>
      <c r="L431" s="547"/>
      <c r="M431" s="547"/>
      <c r="N431" s="547"/>
      <c r="O431" s="547"/>
      <c r="P431" s="547"/>
      <c r="Q431" s="547"/>
      <c r="R431" s="547"/>
      <c r="S431" s="989">
        <f t="shared" si="24"/>
        <v>-108994313</v>
      </c>
      <c r="T431" s="547">
        <v>-474666902</v>
      </c>
      <c r="U431" s="989">
        <f t="shared" si="27"/>
        <v>-109</v>
      </c>
      <c r="V431" s="547">
        <v>-475</v>
      </c>
      <c r="W431" s="566"/>
      <c r="X431" s="567"/>
      <c r="Y431" s="989">
        <f t="shared" si="25"/>
        <v>-108994313</v>
      </c>
      <c r="Z431" s="812">
        <f t="shared" si="26"/>
        <v>-109</v>
      </c>
    </row>
    <row r="432" spans="1:26" ht="27" customHeight="1">
      <c r="A432" s="531"/>
      <c r="B432" s="531">
        <v>1018</v>
      </c>
      <c r="C432" s="529">
        <v>10</v>
      </c>
      <c r="D432" s="1027" t="s">
        <v>999</v>
      </c>
      <c r="E432" s="1028" t="s">
        <v>1000</v>
      </c>
      <c r="F432" s="547">
        <v>-24326180</v>
      </c>
      <c r="G432" s="547"/>
      <c r="H432" s="547"/>
      <c r="I432" s="547"/>
      <c r="J432" s="547"/>
      <c r="K432" s="547"/>
      <c r="L432" s="547"/>
      <c r="M432" s="547"/>
      <c r="N432" s="547"/>
      <c r="O432" s="547"/>
      <c r="P432" s="547"/>
      <c r="Q432" s="547"/>
      <c r="R432" s="547"/>
      <c r="S432" s="989">
        <f t="shared" si="24"/>
        <v>-24326180</v>
      </c>
      <c r="T432" s="547">
        <v>-62897680</v>
      </c>
      <c r="U432" s="989">
        <f t="shared" si="27"/>
        <v>-24</v>
      </c>
      <c r="V432" s="547">
        <v>-63</v>
      </c>
      <c r="W432" s="566"/>
      <c r="X432" s="567"/>
      <c r="Y432" s="989">
        <f t="shared" si="25"/>
        <v>-24326180</v>
      </c>
      <c r="Z432" s="812">
        <f t="shared" si="26"/>
        <v>-24</v>
      </c>
    </row>
    <row r="433" spans="1:26" ht="27" customHeight="1">
      <c r="A433" s="531"/>
      <c r="B433" s="531">
        <v>1018</v>
      </c>
      <c r="C433" s="529">
        <v>10</v>
      </c>
      <c r="D433" s="1027" t="s">
        <v>515</v>
      </c>
      <c r="E433" s="1028" t="s">
        <v>516</v>
      </c>
      <c r="F433" s="547">
        <v>-362000000</v>
      </c>
      <c r="G433" s="547"/>
      <c r="H433" s="547"/>
      <c r="I433" s="547"/>
      <c r="J433" s="547"/>
      <c r="K433" s="547"/>
      <c r="L433" s="547"/>
      <c r="M433" s="547"/>
      <c r="N433" s="547"/>
      <c r="O433" s="547"/>
      <c r="P433" s="547"/>
      <c r="Q433" s="547"/>
      <c r="R433" s="547"/>
      <c r="S433" s="989">
        <f t="shared" si="24"/>
        <v>-362000000</v>
      </c>
      <c r="T433" s="547">
        <v>-362000000</v>
      </c>
      <c r="U433" s="989">
        <f t="shared" si="27"/>
        <v>-362</v>
      </c>
      <c r="V433" s="547">
        <v>-362</v>
      </c>
      <c r="W433" s="566"/>
      <c r="X433" s="567"/>
      <c r="Y433" s="989">
        <f t="shared" si="25"/>
        <v>-362000000</v>
      </c>
      <c r="Z433" s="812">
        <f t="shared" si="26"/>
        <v>-362</v>
      </c>
    </row>
    <row r="434" spans="1:26" ht="27" customHeight="1">
      <c r="A434" s="531"/>
      <c r="B434" s="531">
        <v>1018</v>
      </c>
      <c r="C434" s="529">
        <v>10</v>
      </c>
      <c r="D434" s="1027" t="s">
        <v>1342</v>
      </c>
      <c r="E434" s="1028" t="s">
        <v>1343</v>
      </c>
      <c r="F434" s="547"/>
      <c r="G434" s="547"/>
      <c r="H434" s="547"/>
      <c r="I434" s="547"/>
      <c r="J434" s="547"/>
      <c r="K434" s="547"/>
      <c r="L434" s="547"/>
      <c r="M434" s="547"/>
      <c r="N434" s="547"/>
      <c r="O434" s="547"/>
      <c r="P434" s="547"/>
      <c r="Q434" s="547"/>
      <c r="R434" s="547"/>
      <c r="S434" s="989">
        <f t="shared" si="24"/>
        <v>0</v>
      </c>
      <c r="T434" s="547">
        <v>0</v>
      </c>
      <c r="U434" s="989">
        <f t="shared" si="27"/>
        <v>0</v>
      </c>
      <c r="V434" s="547">
        <v>0</v>
      </c>
      <c r="W434" s="566"/>
      <c r="X434" s="567"/>
      <c r="Y434" s="989">
        <f t="shared" si="25"/>
        <v>0</v>
      </c>
      <c r="Z434" s="812">
        <f t="shared" si="26"/>
        <v>0</v>
      </c>
    </row>
    <row r="435" spans="1:26" ht="27" customHeight="1">
      <c r="A435" s="1120"/>
      <c r="B435" s="531">
        <v>1012</v>
      </c>
      <c r="C435" s="529">
        <v>10</v>
      </c>
      <c r="D435" s="1027" t="s">
        <v>18</v>
      </c>
      <c r="E435" s="1028" t="s">
        <v>228</v>
      </c>
      <c r="F435" s="547">
        <f>-5572124565977-F436-F437-F438</f>
        <v>-1703872996503</v>
      </c>
      <c r="G435" s="547">
        <v>-192644447017</v>
      </c>
      <c r="H435" s="547">
        <v>124958183798</v>
      </c>
      <c r="I435" s="547">
        <f>-1497177759643-I436-I437-I438</f>
        <v>-643379513</v>
      </c>
      <c r="J435" s="547">
        <v>578571772</v>
      </c>
      <c r="K435" s="547">
        <f>-2068427024007+2069794043816+247151108+1265692392</f>
        <v>2879863309</v>
      </c>
      <c r="L435" s="547"/>
      <c r="M435" s="547">
        <f>-637958950+8102343345+9023542410+582840287</f>
        <v>17070767092</v>
      </c>
      <c r="N435" s="547"/>
      <c r="O435" s="547"/>
      <c r="P435" s="547"/>
      <c r="Q435" s="547"/>
      <c r="R435" s="547"/>
      <c r="S435" s="989">
        <f t="shared" si="24"/>
        <v>-1751673437062</v>
      </c>
      <c r="T435" s="547">
        <v>-1374297848841</v>
      </c>
      <c r="U435" s="989">
        <f t="shared" si="27"/>
        <v>-1751673</v>
      </c>
      <c r="V435" s="547">
        <v>-1374298</v>
      </c>
      <c r="W435" s="566"/>
      <c r="X435" s="567"/>
      <c r="Y435" s="989">
        <f t="shared" si="25"/>
        <v>-1751673437062</v>
      </c>
      <c r="Z435" s="812">
        <f t="shared" si="26"/>
        <v>-1751673</v>
      </c>
    </row>
    <row r="436" spans="1:26" ht="27" customHeight="1">
      <c r="A436" s="1121">
        <v>6587</v>
      </c>
      <c r="B436" s="531">
        <v>100201</v>
      </c>
      <c r="C436" s="529">
        <v>10</v>
      </c>
      <c r="D436" s="1027" t="s">
        <v>1647</v>
      </c>
      <c r="E436" s="1028" t="s">
        <v>228</v>
      </c>
      <c r="F436" s="547">
        <v>-1324253316424</v>
      </c>
      <c r="G436" s="547"/>
      <c r="I436" s="547">
        <f>-2056189513042-F436</f>
        <v>-731936196618</v>
      </c>
      <c r="J436" s="547"/>
      <c r="K436" s="547"/>
      <c r="L436" s="547"/>
      <c r="M436" s="547"/>
      <c r="N436" s="547"/>
      <c r="O436" s="547"/>
      <c r="P436" s="547"/>
      <c r="Q436" s="547"/>
      <c r="R436" s="547"/>
      <c r="S436" s="989">
        <f t="shared" si="24"/>
        <v>-2056189513042</v>
      </c>
      <c r="T436" s="547">
        <v>-1324253316424</v>
      </c>
      <c r="U436" s="989">
        <f t="shared" si="27"/>
        <v>-2056190</v>
      </c>
      <c r="V436" s="547">
        <v>-1324253</v>
      </c>
      <c r="W436" s="566"/>
      <c r="X436" s="567"/>
      <c r="Y436" s="989">
        <f t="shared" si="25"/>
        <v>-2056189513042</v>
      </c>
      <c r="Z436" s="812">
        <f t="shared" si="26"/>
        <v>-2056190</v>
      </c>
    </row>
    <row r="437" spans="1:26" ht="27" customHeight="1">
      <c r="A437" s="1121">
        <v>6587</v>
      </c>
      <c r="B437" s="531">
        <v>100201</v>
      </c>
      <c r="C437" s="529">
        <v>10</v>
      </c>
      <c r="D437" s="1027" t="s">
        <v>1648</v>
      </c>
      <c r="E437" s="1028" t="s">
        <v>228</v>
      </c>
      <c r="F437" s="547">
        <v>-2523755640092</v>
      </c>
      <c r="G437" s="547"/>
      <c r="I437" s="547">
        <f>-3162441390543-F437</f>
        <v>-638685750451</v>
      </c>
      <c r="J437" s="547"/>
      <c r="K437" s="547"/>
      <c r="L437" s="547"/>
      <c r="M437" s="547"/>
      <c r="N437" s="547"/>
      <c r="O437" s="547"/>
      <c r="P437" s="547"/>
      <c r="Q437" s="547"/>
      <c r="R437" s="547"/>
      <c r="S437" s="989">
        <f t="shared" si="24"/>
        <v>-3162441390543</v>
      </c>
      <c r="T437" s="547">
        <v>-2523755640092</v>
      </c>
      <c r="U437" s="989">
        <f t="shared" si="27"/>
        <v>-3162441</v>
      </c>
      <c r="V437" s="547">
        <v>-2523756</v>
      </c>
      <c r="W437" s="566"/>
      <c r="X437" s="567"/>
      <c r="Y437" s="989">
        <f t="shared" si="25"/>
        <v>-3162441390543</v>
      </c>
      <c r="Z437" s="812">
        <f t="shared" si="26"/>
        <v>-3162441</v>
      </c>
    </row>
    <row r="438" spans="1:26" ht="27" customHeight="1">
      <c r="A438" s="1121">
        <v>6587</v>
      </c>
      <c r="B438" s="531">
        <v>100201</v>
      </c>
      <c r="C438" s="529">
        <v>10</v>
      </c>
      <c r="D438" s="1027" t="s">
        <v>1712</v>
      </c>
      <c r="E438" s="1028" t="s">
        <v>228</v>
      </c>
      <c r="F438" s="547">
        <v>-20242612958</v>
      </c>
      <c r="G438" s="547"/>
      <c r="I438" s="547">
        <f>-146155046019-F438</f>
        <v>-125912433061</v>
      </c>
      <c r="J438" s="547"/>
      <c r="K438" s="547"/>
      <c r="L438" s="547"/>
      <c r="M438" s="547"/>
      <c r="N438" s="547"/>
      <c r="O438" s="547"/>
      <c r="P438" s="547"/>
      <c r="Q438" s="547"/>
      <c r="R438" s="547"/>
      <c r="S438" s="989">
        <f t="shared" si="24"/>
        <v>-146155046019</v>
      </c>
      <c r="T438" s="547">
        <v>-20242612958</v>
      </c>
      <c r="U438" s="989">
        <f t="shared" si="27"/>
        <v>-146155</v>
      </c>
      <c r="V438" s="547">
        <v>-20243</v>
      </c>
      <c r="W438" s="566"/>
      <c r="X438" s="567"/>
      <c r="Y438" s="989">
        <f t="shared" si="25"/>
        <v>-146155046019</v>
      </c>
      <c r="Z438" s="812">
        <f t="shared" si="26"/>
        <v>-146155</v>
      </c>
    </row>
    <row r="439" spans="1:26" ht="27" customHeight="1">
      <c r="A439" s="1121">
        <v>3214</v>
      </c>
      <c r="B439" s="531">
        <v>100201</v>
      </c>
      <c r="C439" s="529">
        <v>10</v>
      </c>
      <c r="D439" s="1027" t="s">
        <v>18</v>
      </c>
      <c r="E439" s="1028" t="s">
        <v>228</v>
      </c>
      <c r="G439" s="547"/>
      <c r="H439" s="547"/>
      <c r="I439" s="547"/>
      <c r="J439" s="547"/>
      <c r="K439" s="547">
        <v>-2069794043816</v>
      </c>
      <c r="L439" s="547"/>
      <c r="M439" s="547"/>
      <c r="N439" s="547">
        <v>-1113303999697</v>
      </c>
      <c r="O439" s="547"/>
      <c r="P439" s="547">
        <v>1005169977023</v>
      </c>
      <c r="Q439" s="547"/>
      <c r="R439" s="547"/>
      <c r="S439" s="989">
        <f t="shared" si="24"/>
        <v>-2177928066490</v>
      </c>
      <c r="T439" s="547">
        <v>-1682872043769</v>
      </c>
      <c r="U439" s="989">
        <f t="shared" si="27"/>
        <v>-2177928</v>
      </c>
      <c r="V439" s="547">
        <v>-1682872</v>
      </c>
      <c r="W439" s="566"/>
      <c r="X439" s="567"/>
      <c r="Y439" s="989">
        <f t="shared" si="25"/>
        <v>-2177928066490</v>
      </c>
      <c r="Z439" s="812">
        <f t="shared" si="26"/>
        <v>-2177928</v>
      </c>
    </row>
    <row r="440" spans="1:26" ht="27" customHeight="1">
      <c r="A440" s="531"/>
      <c r="B440" s="531">
        <v>405</v>
      </c>
      <c r="C440" s="529">
        <v>4</v>
      </c>
      <c r="D440" s="1027" t="s">
        <v>201</v>
      </c>
      <c r="E440" s="1028" t="s">
        <v>1405</v>
      </c>
      <c r="F440" s="547">
        <v>216542002021</v>
      </c>
      <c r="G440" s="547"/>
      <c r="H440" s="547"/>
      <c r="I440" s="547"/>
      <c r="J440" s="547"/>
      <c r="K440" s="547"/>
      <c r="L440" s="547"/>
      <c r="M440" s="547"/>
      <c r="N440" s="547"/>
      <c r="O440" s="547"/>
      <c r="P440" s="547"/>
      <c r="Q440" s="547"/>
      <c r="R440" s="547"/>
      <c r="S440" s="989">
        <f t="shared" si="24"/>
        <v>216542002021</v>
      </c>
      <c r="T440" s="547">
        <v>257135039061</v>
      </c>
      <c r="U440" s="989">
        <f t="shared" si="27"/>
        <v>216542</v>
      </c>
      <c r="V440" s="547">
        <v>273676</v>
      </c>
      <c r="W440" s="566"/>
      <c r="X440" s="683"/>
      <c r="Y440" s="989">
        <f t="shared" si="25"/>
        <v>216542002021</v>
      </c>
      <c r="Z440" s="812">
        <f t="shared" si="26"/>
        <v>216542</v>
      </c>
    </row>
    <row r="441" spans="1:26" ht="27" customHeight="1">
      <c r="A441" s="531"/>
      <c r="B441" s="531">
        <v>1401</v>
      </c>
      <c r="C441" s="529">
        <v>11</v>
      </c>
      <c r="D441" s="1027" t="s">
        <v>1165</v>
      </c>
      <c r="E441" s="1028" t="s">
        <v>1164</v>
      </c>
      <c r="F441" s="547"/>
      <c r="G441" s="547"/>
      <c r="H441" s="547"/>
      <c r="I441" s="547"/>
      <c r="J441" s="547"/>
      <c r="K441" s="547"/>
      <c r="L441" s="547"/>
      <c r="M441" s="547"/>
      <c r="N441" s="547"/>
      <c r="O441" s="547"/>
      <c r="P441" s="547"/>
      <c r="Q441" s="547"/>
      <c r="R441" s="547"/>
      <c r="S441" s="989">
        <f t="shared" si="24"/>
        <v>0</v>
      </c>
      <c r="T441" s="547">
        <v>0</v>
      </c>
      <c r="U441" s="989">
        <f t="shared" si="27"/>
        <v>0</v>
      </c>
      <c r="V441" s="547">
        <v>0</v>
      </c>
      <c r="W441" s="566"/>
      <c r="X441" s="567"/>
      <c r="Y441" s="989">
        <f t="shared" si="25"/>
        <v>0</v>
      </c>
      <c r="Z441" s="812">
        <f t="shared" si="26"/>
        <v>0</v>
      </c>
    </row>
    <row r="442" spans="1:26" ht="27" customHeight="1">
      <c r="A442" s="531"/>
      <c r="B442" s="531">
        <v>406</v>
      </c>
      <c r="C442" s="529">
        <v>4</v>
      </c>
      <c r="D442" s="1027" t="s">
        <v>19</v>
      </c>
      <c r="E442" s="1028" t="s">
        <v>680</v>
      </c>
      <c r="F442" s="547"/>
      <c r="G442" s="547"/>
      <c r="H442" s="547"/>
      <c r="I442" s="547"/>
      <c r="J442" s="547"/>
      <c r="K442" s="547"/>
      <c r="L442" s="547"/>
      <c r="M442" s="547"/>
      <c r="N442" s="547"/>
      <c r="O442" s="547"/>
      <c r="P442" s="547"/>
      <c r="Q442" s="547"/>
      <c r="R442" s="547"/>
      <c r="S442" s="989">
        <f t="shared" si="24"/>
        <v>0</v>
      </c>
      <c r="T442" s="547">
        <v>0</v>
      </c>
      <c r="U442" s="989">
        <f t="shared" si="27"/>
        <v>0</v>
      </c>
      <c r="V442" s="547">
        <v>0</v>
      </c>
      <c r="W442" s="566"/>
      <c r="X442" s="567"/>
      <c r="Y442" s="989">
        <f t="shared" si="25"/>
        <v>0</v>
      </c>
      <c r="Z442" s="812">
        <f t="shared" si="26"/>
        <v>0</v>
      </c>
    </row>
    <row r="443" spans="1:26" ht="27" customHeight="1">
      <c r="A443" s="531"/>
      <c r="B443" s="531"/>
      <c r="C443" s="529">
        <v>15</v>
      </c>
      <c r="D443" s="1027" t="s">
        <v>896</v>
      </c>
      <c r="E443" s="1028" t="s">
        <v>778</v>
      </c>
      <c r="F443" s="547"/>
      <c r="G443" s="547"/>
      <c r="H443" s="547"/>
      <c r="I443" s="547"/>
      <c r="J443" s="547"/>
      <c r="K443" s="547"/>
      <c r="L443" s="547"/>
      <c r="M443" s="547"/>
      <c r="N443" s="547"/>
      <c r="O443" s="547"/>
      <c r="P443" s="547"/>
      <c r="Q443" s="547"/>
      <c r="R443" s="547"/>
      <c r="S443" s="989">
        <f t="shared" si="24"/>
        <v>0</v>
      </c>
      <c r="T443" s="547">
        <v>0</v>
      </c>
      <c r="U443" s="989">
        <f t="shared" si="27"/>
        <v>0</v>
      </c>
      <c r="V443" s="547">
        <v>0</v>
      </c>
      <c r="W443" s="566"/>
      <c r="X443" s="567"/>
      <c r="Y443" s="989">
        <f t="shared" si="25"/>
        <v>0</v>
      </c>
      <c r="Z443" s="812">
        <f t="shared" si="26"/>
        <v>0</v>
      </c>
    </row>
    <row r="444" spans="1:26" ht="27" customHeight="1">
      <c r="A444" s="531"/>
      <c r="B444" s="531">
        <v>1020</v>
      </c>
      <c r="C444" s="529">
        <v>10</v>
      </c>
      <c r="D444" s="1027" t="s">
        <v>1384</v>
      </c>
      <c r="E444" s="1028" t="s">
        <v>820</v>
      </c>
      <c r="F444" s="547">
        <v>-173166692653</v>
      </c>
      <c r="G444" s="547">
        <v>-29467108677</v>
      </c>
      <c r="H444" s="547"/>
      <c r="I444" s="547"/>
      <c r="J444" s="547"/>
      <c r="K444" s="547"/>
      <c r="L444" s="547"/>
      <c r="M444" s="547"/>
      <c r="N444" s="547"/>
      <c r="O444" s="547"/>
      <c r="P444" s="547"/>
      <c r="Q444" s="547"/>
      <c r="R444" s="547"/>
      <c r="S444" s="989">
        <f t="shared" si="24"/>
        <v>-202633801330</v>
      </c>
      <c r="T444" s="547">
        <v>-173166692653</v>
      </c>
      <c r="U444" s="989">
        <f t="shared" si="27"/>
        <v>-202634</v>
      </c>
      <c r="V444" s="547">
        <v>-173167</v>
      </c>
      <c r="W444" s="566"/>
      <c r="X444" s="567"/>
      <c r="Y444" s="989">
        <f t="shared" si="25"/>
        <v>-202633801330</v>
      </c>
      <c r="Z444" s="812">
        <f t="shared" si="26"/>
        <v>-202634</v>
      </c>
    </row>
    <row r="445" spans="1:26" ht="27" customHeight="1">
      <c r="A445" s="531"/>
      <c r="B445" s="531">
        <v>1004</v>
      </c>
      <c r="C445" s="529">
        <v>10</v>
      </c>
      <c r="D445" s="1027" t="s">
        <v>1411</v>
      </c>
      <c r="E445" s="1028" t="s">
        <v>821</v>
      </c>
      <c r="F445" s="547">
        <v>-916514275781</v>
      </c>
      <c r="G445" s="835">
        <v>4761751181</v>
      </c>
      <c r="H445" s="547">
        <v>104461812150</v>
      </c>
      <c r="I445" s="547"/>
      <c r="J445" s="547"/>
      <c r="K445" s="547"/>
      <c r="L445" s="547"/>
      <c r="M445" s="547"/>
      <c r="N445" s="547"/>
      <c r="O445" s="547"/>
      <c r="P445" s="547"/>
      <c r="Q445" s="547"/>
      <c r="R445" s="547"/>
      <c r="S445" s="989">
        <f t="shared" si="24"/>
        <v>-807290712450</v>
      </c>
      <c r="T445" s="547">
        <v>-782102483050</v>
      </c>
      <c r="U445" s="989">
        <f t="shared" si="27"/>
        <v>-807291</v>
      </c>
      <c r="V445" s="547">
        <v>-782102</v>
      </c>
      <c r="W445" s="566"/>
      <c r="X445" s="567"/>
      <c r="Y445" s="989">
        <f t="shared" si="25"/>
        <v>-807290712450</v>
      </c>
      <c r="Z445" s="812">
        <f t="shared" si="26"/>
        <v>-807291</v>
      </c>
    </row>
    <row r="446" spans="1:26" ht="27" customHeight="1">
      <c r="A446" s="531"/>
      <c r="B446" s="531">
        <v>1018</v>
      </c>
      <c r="C446" s="529">
        <v>10</v>
      </c>
      <c r="D446" s="1027" t="s">
        <v>763</v>
      </c>
      <c r="E446" s="1028" t="s">
        <v>823</v>
      </c>
      <c r="F446" s="547"/>
      <c r="G446" s="547"/>
      <c r="H446" s="547"/>
      <c r="I446" s="547"/>
      <c r="J446" s="547"/>
      <c r="K446" s="547"/>
      <c r="L446" s="547"/>
      <c r="M446" s="547"/>
      <c r="N446" s="547"/>
      <c r="O446" s="547"/>
      <c r="P446" s="547"/>
      <c r="Q446" s="547"/>
      <c r="R446" s="547"/>
      <c r="S446" s="989">
        <f t="shared" si="24"/>
        <v>0</v>
      </c>
      <c r="T446" s="547">
        <v>0</v>
      </c>
      <c r="U446" s="989">
        <f t="shared" si="27"/>
        <v>0</v>
      </c>
      <c r="V446" s="547">
        <v>0</v>
      </c>
      <c r="W446" s="566"/>
      <c r="X446" s="567"/>
      <c r="Y446" s="989">
        <f t="shared" si="25"/>
        <v>0</v>
      </c>
      <c r="Z446" s="812">
        <f t="shared" si="26"/>
        <v>0</v>
      </c>
    </row>
    <row r="447" spans="1:26" ht="27" customHeight="1">
      <c r="A447" s="531"/>
      <c r="B447" s="531">
        <v>10040</v>
      </c>
      <c r="C447" s="529">
        <v>4</v>
      </c>
      <c r="D447" s="1027" t="s">
        <v>763</v>
      </c>
      <c r="E447" s="1028" t="s">
        <v>822</v>
      </c>
      <c r="F447" s="547"/>
      <c r="G447" s="547"/>
      <c r="H447" s="547"/>
      <c r="I447" s="547"/>
      <c r="J447" s="547"/>
      <c r="K447" s="547"/>
      <c r="L447" s="547"/>
      <c r="M447" s="547"/>
      <c r="N447" s="547"/>
      <c r="O447" s="547"/>
      <c r="P447" s="547"/>
      <c r="Q447" s="547"/>
      <c r="R447" s="547"/>
      <c r="S447" s="989">
        <f t="shared" si="24"/>
        <v>0</v>
      </c>
      <c r="T447" s="547">
        <v>0</v>
      </c>
      <c r="U447" s="989">
        <f t="shared" si="27"/>
        <v>0</v>
      </c>
      <c r="V447" s="547">
        <v>0</v>
      </c>
      <c r="W447" s="566"/>
      <c r="X447" s="567"/>
      <c r="Y447" s="989">
        <f t="shared" si="25"/>
        <v>0</v>
      </c>
      <c r="Z447" s="812">
        <f t="shared" si="26"/>
        <v>0</v>
      </c>
    </row>
    <row r="448" spans="1:26" ht="27" customHeight="1">
      <c r="A448" s="531"/>
      <c r="B448" s="531">
        <v>1002</v>
      </c>
      <c r="C448" s="529">
        <v>10</v>
      </c>
      <c r="D448" s="1027" t="s">
        <v>21</v>
      </c>
      <c r="E448" s="1028" t="s">
        <v>22</v>
      </c>
      <c r="F448" s="547">
        <v>-578882618378</v>
      </c>
      <c r="G448" s="547">
        <v>421763685311</v>
      </c>
      <c r="H448" s="547">
        <v>820228952</v>
      </c>
      <c r="I448" s="547"/>
      <c r="J448" s="547">
        <v>-151375723116</v>
      </c>
      <c r="K448" s="547">
        <v>66312254712</v>
      </c>
      <c r="L448" s="547"/>
      <c r="M448" s="547"/>
      <c r="N448" s="547"/>
      <c r="O448" s="547"/>
      <c r="P448" s="547"/>
      <c r="Q448" s="547"/>
      <c r="R448" s="547"/>
      <c r="S448" s="989">
        <f t="shared" si="24"/>
        <v>-241362172519</v>
      </c>
      <c r="T448" s="547">
        <v>-130586345180</v>
      </c>
      <c r="U448" s="989">
        <f t="shared" si="27"/>
        <v>-241362</v>
      </c>
      <c r="V448" s="547">
        <v>-130586</v>
      </c>
      <c r="W448" s="566"/>
      <c r="X448" s="567"/>
      <c r="Y448" s="989">
        <f t="shared" si="25"/>
        <v>-241362172519</v>
      </c>
      <c r="Z448" s="812">
        <f t="shared" si="26"/>
        <v>-241362</v>
      </c>
    </row>
    <row r="449" spans="1:26" ht="27" customHeight="1">
      <c r="A449" s="531"/>
      <c r="B449" s="531">
        <v>1013</v>
      </c>
      <c r="C449" s="529">
        <v>4</v>
      </c>
      <c r="D449" s="1027" t="s">
        <v>681</v>
      </c>
      <c r="E449" s="1028" t="s">
        <v>682</v>
      </c>
      <c r="F449" s="547">
        <v>532561740671</v>
      </c>
      <c r="G449" s="547">
        <v>2977500040</v>
      </c>
      <c r="H449" s="547">
        <v>1394636510</v>
      </c>
      <c r="I449" s="547">
        <v>2102669738</v>
      </c>
      <c r="J449" s="547">
        <v>259584523</v>
      </c>
      <c r="K449" s="547">
        <v>483695959</v>
      </c>
      <c r="L449" s="547"/>
      <c r="M449" s="547">
        <f>486140601+541412545+34970417</f>
        <v>1062523563</v>
      </c>
      <c r="N449" s="547"/>
      <c r="O449" s="547"/>
      <c r="P449" s="547"/>
      <c r="Q449" s="547"/>
      <c r="R449" s="547"/>
      <c r="S449" s="989">
        <f t="shared" si="24"/>
        <v>540842351004</v>
      </c>
      <c r="T449" s="547">
        <v>349128303977</v>
      </c>
      <c r="U449" s="989">
        <f t="shared" si="27"/>
        <v>540842</v>
      </c>
      <c r="V449" s="547">
        <v>349128</v>
      </c>
      <c r="W449" s="566"/>
      <c r="X449" s="567"/>
      <c r="Y449" s="989">
        <f t="shared" si="25"/>
        <v>540842351004</v>
      </c>
      <c r="Z449" s="812">
        <f t="shared" si="26"/>
        <v>540842</v>
      </c>
    </row>
    <row r="450" spans="1:26" ht="27" customHeight="1">
      <c r="A450" s="531"/>
      <c r="B450" s="531">
        <v>1013</v>
      </c>
      <c r="C450" s="529">
        <v>4</v>
      </c>
      <c r="D450" s="1027" t="s">
        <v>683</v>
      </c>
      <c r="E450" s="1028" t="s">
        <v>684</v>
      </c>
      <c r="F450" s="547">
        <v>266321505393</v>
      </c>
      <c r="G450" s="547">
        <v>1488855071</v>
      </c>
      <c r="H450" s="547">
        <v>697318269</v>
      </c>
      <c r="I450" s="547">
        <v>982387720</v>
      </c>
      <c r="J450" s="547">
        <v>129792263</v>
      </c>
      <c r="K450" s="547">
        <v>241847981</v>
      </c>
      <c r="L450" s="547"/>
      <c r="M450" s="547">
        <f>243070301+270706272+17485209</f>
        <v>531261782</v>
      </c>
      <c r="N450" s="547"/>
      <c r="O450" s="547"/>
      <c r="P450" s="547"/>
      <c r="Q450" s="547"/>
      <c r="R450" s="547"/>
      <c r="S450" s="989">
        <f t="shared" si="24"/>
        <v>270392968479</v>
      </c>
      <c r="T450" s="547">
        <v>174397115134</v>
      </c>
      <c r="U450" s="989">
        <f t="shared" si="27"/>
        <v>270393</v>
      </c>
      <c r="V450" s="547">
        <v>174397</v>
      </c>
      <c r="W450" s="566"/>
      <c r="X450" s="567"/>
      <c r="Y450" s="989">
        <f t="shared" si="25"/>
        <v>270392968479</v>
      </c>
      <c r="Z450" s="812">
        <f t="shared" si="26"/>
        <v>270393</v>
      </c>
    </row>
    <row r="451" spans="1:26" ht="27" customHeight="1">
      <c r="A451" s="531"/>
      <c r="B451" s="531">
        <v>1013</v>
      </c>
      <c r="C451" s="529">
        <v>4</v>
      </c>
      <c r="D451" s="1027" t="s">
        <v>685</v>
      </c>
      <c r="E451" s="1028" t="s">
        <v>688</v>
      </c>
      <c r="F451" s="547">
        <v>-68289456084</v>
      </c>
      <c r="G451" s="547">
        <v>364788595</v>
      </c>
      <c r="H451" s="547">
        <v>-702000</v>
      </c>
      <c r="I451" s="547">
        <v>-197985560</v>
      </c>
      <c r="J451" s="547"/>
      <c r="K451" s="547">
        <v>8640000</v>
      </c>
      <c r="L451" s="547"/>
      <c r="M451" s="547"/>
      <c r="N451" s="547">
        <f>486474876-207994740</f>
        <v>278480136</v>
      </c>
      <c r="O451" s="547"/>
      <c r="P451" s="547"/>
      <c r="Q451" s="547"/>
      <c r="R451" s="547"/>
      <c r="S451" s="989">
        <f t="shared" si="24"/>
        <v>-67836234913</v>
      </c>
      <c r="T451" s="547">
        <v>-33133720244</v>
      </c>
      <c r="U451" s="989">
        <f t="shared" si="27"/>
        <v>-67836</v>
      </c>
      <c r="V451" s="547">
        <v>-33134</v>
      </c>
      <c r="W451" s="566"/>
      <c r="X451" s="567"/>
      <c r="Y451" s="989">
        <f t="shared" si="25"/>
        <v>-67836234913</v>
      </c>
      <c r="Z451" s="812">
        <f t="shared" si="26"/>
        <v>-67836</v>
      </c>
    </row>
    <row r="452" spans="1:26" ht="27" customHeight="1">
      <c r="A452" s="531"/>
      <c r="B452" s="531">
        <v>1013</v>
      </c>
      <c r="C452" s="529">
        <v>4</v>
      </c>
      <c r="D452" s="1027" t="s">
        <v>686</v>
      </c>
      <c r="E452" s="1028" t="s">
        <v>689</v>
      </c>
      <c r="F452" s="547">
        <v>-34176633178</v>
      </c>
      <c r="G452" s="547">
        <v>182394297</v>
      </c>
      <c r="H452" s="547">
        <v>-351000</v>
      </c>
      <c r="I452" s="547">
        <v>-98992780</v>
      </c>
      <c r="J452" s="547"/>
      <c r="K452" s="547">
        <v>4320000</v>
      </c>
      <c r="L452" s="547"/>
      <c r="M452" s="547"/>
      <c r="N452" s="547">
        <f>-103997370+243237438</f>
        <v>139240068</v>
      </c>
      <c r="O452" s="547"/>
      <c r="P452" s="547"/>
      <c r="Q452" s="547"/>
      <c r="R452" s="547"/>
      <c r="S452" s="989">
        <f t="shared" si="24"/>
        <v>-33950022593</v>
      </c>
      <c r="T452" s="547">
        <v>-16566859862</v>
      </c>
      <c r="U452" s="989">
        <f t="shared" si="27"/>
        <v>-33950</v>
      </c>
      <c r="V452" s="547">
        <v>-16567</v>
      </c>
      <c r="W452" s="566"/>
      <c r="X452" s="567"/>
      <c r="Y452" s="989">
        <f t="shared" si="25"/>
        <v>-33950022593</v>
      </c>
      <c r="Z452" s="812">
        <f t="shared" si="26"/>
        <v>-33950</v>
      </c>
    </row>
    <row r="453" spans="1:26" ht="27" customHeight="1">
      <c r="A453" s="531"/>
      <c r="B453" s="531">
        <v>1013</v>
      </c>
      <c r="C453" s="529">
        <v>4</v>
      </c>
      <c r="D453" s="1027" t="s">
        <v>687</v>
      </c>
      <c r="E453" s="1028" t="s">
        <v>691</v>
      </c>
      <c r="F453" s="547">
        <v>300193066281</v>
      </c>
      <c r="G453" s="547">
        <v>738451515</v>
      </c>
      <c r="H453" s="547"/>
      <c r="I453" s="547"/>
      <c r="J453" s="547"/>
      <c r="K453" s="547"/>
      <c r="L453" s="547"/>
      <c r="M453" s="547"/>
      <c r="N453" s="547"/>
      <c r="O453" s="547"/>
      <c r="P453" s="547"/>
      <c r="Q453" s="547"/>
      <c r="R453" s="547"/>
      <c r="S453" s="989">
        <f t="shared" si="24"/>
        <v>300931517796</v>
      </c>
      <c r="T453" s="547">
        <v>197969551522</v>
      </c>
      <c r="U453" s="989">
        <f t="shared" si="27"/>
        <v>300932</v>
      </c>
      <c r="V453" s="547">
        <v>197970</v>
      </c>
      <c r="W453" s="566"/>
      <c r="X453" s="567"/>
      <c r="Y453" s="989">
        <f t="shared" si="25"/>
        <v>300931517796</v>
      </c>
      <c r="Z453" s="812">
        <f t="shared" si="26"/>
        <v>300932</v>
      </c>
    </row>
    <row r="454" spans="1:26" ht="27" customHeight="1">
      <c r="A454" s="531"/>
      <c r="B454" s="531">
        <v>1013</v>
      </c>
      <c r="C454" s="529">
        <v>4</v>
      </c>
      <c r="D454" s="1027" t="s">
        <v>690</v>
      </c>
      <c r="E454" s="1028" t="s">
        <v>692</v>
      </c>
      <c r="F454" s="547">
        <v>159166178557</v>
      </c>
      <c r="G454" s="547">
        <v>369225731</v>
      </c>
      <c r="H454" s="547"/>
      <c r="I454" s="547"/>
      <c r="J454" s="547"/>
      <c r="K454" s="547"/>
      <c r="L454" s="547"/>
      <c r="M454" s="547"/>
      <c r="N454" s="547"/>
      <c r="O454" s="547"/>
      <c r="P454" s="547"/>
      <c r="Q454" s="547"/>
      <c r="R454" s="547"/>
      <c r="S454" s="989">
        <f t="shared" si="24"/>
        <v>159535404288</v>
      </c>
      <c r="T454" s="547">
        <v>107260513510</v>
      </c>
      <c r="U454" s="989">
        <f t="shared" si="27"/>
        <v>159535</v>
      </c>
      <c r="V454" s="547">
        <v>107261</v>
      </c>
      <c r="W454" s="566"/>
      <c r="X454" s="567"/>
      <c r="Y454" s="989">
        <f t="shared" si="25"/>
        <v>159535404288</v>
      </c>
      <c r="Z454" s="812">
        <f t="shared" si="26"/>
        <v>159535</v>
      </c>
    </row>
    <row r="455" spans="1:26" ht="27" customHeight="1">
      <c r="A455" s="531"/>
      <c r="B455" s="531">
        <v>100201</v>
      </c>
      <c r="C455" s="529">
        <v>10</v>
      </c>
      <c r="D455" s="1027" t="s">
        <v>23</v>
      </c>
      <c r="E455" s="1028" t="s">
        <v>537</v>
      </c>
      <c r="F455" s="547"/>
      <c r="G455" s="547"/>
      <c r="H455" s="547"/>
      <c r="I455" s="547"/>
      <c r="J455" s="547"/>
      <c r="K455" s="547"/>
      <c r="L455" s="547"/>
      <c r="M455" s="547"/>
      <c r="N455" s="547"/>
      <c r="O455" s="547"/>
      <c r="P455" s="547"/>
      <c r="Q455" s="547"/>
      <c r="R455" s="547"/>
      <c r="S455" s="989">
        <f t="shared" ref="S455:S518" si="28">SUM(F455:R455)</f>
        <v>0</v>
      </c>
      <c r="T455" s="547">
        <v>0</v>
      </c>
      <c r="U455" s="989">
        <f t="shared" si="27"/>
        <v>0</v>
      </c>
      <c r="V455" s="547">
        <v>0</v>
      </c>
      <c r="W455" s="566"/>
      <c r="X455" s="567"/>
      <c r="Y455" s="989">
        <f t="shared" ref="Y455:Y518" si="29">S455+X455-W455</f>
        <v>0</v>
      </c>
      <c r="Z455" s="812">
        <f t="shared" ref="Z455:Z518" si="30">ROUND((Y455/1000000),0)</f>
        <v>0</v>
      </c>
    </row>
    <row r="456" spans="1:26" ht="27" customHeight="1">
      <c r="A456" s="531">
        <v>3214</v>
      </c>
      <c r="B456" s="531">
        <v>100201</v>
      </c>
      <c r="C456" s="529">
        <v>10</v>
      </c>
      <c r="D456" s="1027" t="s">
        <v>23</v>
      </c>
      <c r="E456" s="1028" t="s">
        <v>537</v>
      </c>
      <c r="F456" s="547"/>
      <c r="G456" s="547"/>
      <c r="H456" s="547"/>
      <c r="I456" s="547"/>
      <c r="J456" s="547"/>
      <c r="K456" s="547"/>
      <c r="L456" s="547"/>
      <c r="M456" s="547"/>
      <c r="N456" s="547"/>
      <c r="O456" s="547"/>
      <c r="P456" s="547"/>
      <c r="Q456" s="547"/>
      <c r="R456" s="547"/>
      <c r="S456" s="989">
        <f t="shared" si="28"/>
        <v>0</v>
      </c>
      <c r="T456" s="547">
        <v>0</v>
      </c>
      <c r="U456" s="989">
        <f t="shared" si="27"/>
        <v>0</v>
      </c>
      <c r="V456" s="547">
        <v>0</v>
      </c>
      <c r="W456" s="566"/>
      <c r="X456" s="567"/>
      <c r="Y456" s="989">
        <f t="shared" si="29"/>
        <v>0</v>
      </c>
      <c r="Z456" s="812">
        <f t="shared" si="30"/>
        <v>0</v>
      </c>
    </row>
    <row r="457" spans="1:26" ht="27" customHeight="1">
      <c r="A457" s="531"/>
      <c r="B457" s="531">
        <v>100201</v>
      </c>
      <c r="C457" s="529">
        <v>10</v>
      </c>
      <c r="D457" s="1027" t="s">
        <v>1159</v>
      </c>
      <c r="E457" s="1028" t="s">
        <v>1160</v>
      </c>
      <c r="F457" s="547">
        <v>-210243609471</v>
      </c>
      <c r="G457" s="547"/>
      <c r="H457" s="547"/>
      <c r="I457" s="547"/>
      <c r="J457" s="547"/>
      <c r="K457" s="547"/>
      <c r="L457" s="547">
        <v>16557110975</v>
      </c>
      <c r="M457" s="547">
        <v>-193487357985</v>
      </c>
      <c r="N457" s="547"/>
      <c r="O457" s="547"/>
      <c r="P457" s="547"/>
      <c r="Q457" s="547"/>
      <c r="R457" s="547"/>
      <c r="S457" s="989">
        <f t="shared" si="28"/>
        <v>-387173856481</v>
      </c>
      <c r="T457" s="547">
        <v>-210243609471</v>
      </c>
      <c r="U457" s="989">
        <f t="shared" ref="U457:V520" si="31">ROUND((S457/1000000),0)</f>
        <v>-387174</v>
      </c>
      <c r="V457" s="547">
        <v>-210244</v>
      </c>
      <c r="W457" s="566"/>
      <c r="X457" s="567"/>
      <c r="Y457" s="989">
        <f t="shared" si="29"/>
        <v>-387173856481</v>
      </c>
      <c r="Z457" s="812">
        <f t="shared" si="30"/>
        <v>-387174</v>
      </c>
    </row>
    <row r="458" spans="1:26" ht="27" customHeight="1">
      <c r="A458" s="531"/>
      <c r="B458" s="531">
        <v>10040</v>
      </c>
      <c r="C458" s="529">
        <v>4</v>
      </c>
      <c r="D458" s="1027" t="s">
        <v>1195</v>
      </c>
      <c r="E458" s="1028" t="s">
        <v>1196</v>
      </c>
      <c r="F458" s="547"/>
      <c r="G458" s="547"/>
      <c r="H458" s="547"/>
      <c r="I458" s="547"/>
      <c r="J458" s="547"/>
      <c r="K458" s="547"/>
      <c r="L458" s="547"/>
      <c r="M458" s="547"/>
      <c r="N458" s="547"/>
      <c r="O458" s="547"/>
      <c r="P458" s="547"/>
      <c r="Q458" s="547"/>
      <c r="R458" s="547"/>
      <c r="S458" s="989">
        <f t="shared" si="28"/>
        <v>0</v>
      </c>
      <c r="T458" s="547">
        <v>0</v>
      </c>
      <c r="U458" s="989">
        <f t="shared" si="31"/>
        <v>0</v>
      </c>
      <c r="V458" s="547">
        <v>0</v>
      </c>
      <c r="W458" s="566"/>
      <c r="X458" s="567"/>
      <c r="Y458" s="989">
        <f t="shared" si="29"/>
        <v>0</v>
      </c>
      <c r="Z458" s="812">
        <f t="shared" si="30"/>
        <v>0</v>
      </c>
    </row>
    <row r="459" spans="1:26" ht="27" customHeight="1">
      <c r="A459" s="531"/>
      <c r="B459" s="531">
        <v>100201</v>
      </c>
      <c r="C459" s="529">
        <v>10</v>
      </c>
      <c r="D459" s="1027" t="s">
        <v>1473</v>
      </c>
      <c r="E459" s="1028" t="s">
        <v>1496</v>
      </c>
      <c r="F459" s="547">
        <v>-6417814172381</v>
      </c>
      <c r="G459" s="547">
        <v>-71754000</v>
      </c>
      <c r="H459" s="547">
        <v>151698900232</v>
      </c>
      <c r="I459" s="547">
        <v>4732882966112</v>
      </c>
      <c r="J459" s="547">
        <v>1396189057215</v>
      </c>
      <c r="K459" s="547"/>
      <c r="L459" s="547"/>
      <c r="M459" s="547">
        <f>-71032500-5832280062-17442036992+5903312562+17442036992</f>
        <v>0</v>
      </c>
      <c r="N459" s="547"/>
      <c r="O459" s="547"/>
      <c r="P459" s="547"/>
      <c r="Q459" s="547"/>
      <c r="R459" s="547"/>
      <c r="S459" s="989">
        <f t="shared" si="28"/>
        <v>-137115002822</v>
      </c>
      <c r="T459" s="547">
        <v>-137115002822</v>
      </c>
      <c r="U459" s="989">
        <f t="shared" si="31"/>
        <v>-137115</v>
      </c>
      <c r="V459" s="547">
        <v>-137115</v>
      </c>
      <c r="W459" s="566"/>
      <c r="X459" s="567"/>
      <c r="Y459" s="989">
        <f t="shared" si="29"/>
        <v>-137115002822</v>
      </c>
      <c r="Z459" s="812">
        <f t="shared" si="30"/>
        <v>-137115</v>
      </c>
    </row>
    <row r="460" spans="1:26" ht="27" customHeight="1">
      <c r="A460" s="531">
        <v>3214</v>
      </c>
      <c r="B460" s="531">
        <v>100201</v>
      </c>
      <c r="C460" s="529">
        <v>10</v>
      </c>
      <c r="D460" s="1027" t="s">
        <v>1473</v>
      </c>
      <c r="E460" s="1028" t="s">
        <v>1496</v>
      </c>
      <c r="F460" s="547"/>
      <c r="G460" s="547"/>
      <c r="H460" s="547"/>
      <c r="I460" s="547"/>
      <c r="J460" s="547"/>
      <c r="K460" s="547">
        <v>0</v>
      </c>
      <c r="L460" s="547"/>
      <c r="M460" s="547"/>
      <c r="N460" s="547"/>
      <c r="O460" s="547"/>
      <c r="P460" s="547"/>
      <c r="Q460" s="547"/>
      <c r="R460" s="547"/>
      <c r="S460" s="989">
        <f t="shared" si="28"/>
        <v>0</v>
      </c>
      <c r="T460" s="547">
        <v>0</v>
      </c>
      <c r="U460" s="989">
        <f t="shared" si="31"/>
        <v>0</v>
      </c>
      <c r="V460" s="547">
        <v>0</v>
      </c>
      <c r="W460" s="566"/>
      <c r="X460" s="567"/>
      <c r="Y460" s="989">
        <f t="shared" si="29"/>
        <v>0</v>
      </c>
      <c r="Z460" s="812">
        <f t="shared" si="30"/>
        <v>0</v>
      </c>
    </row>
    <row r="461" spans="1:26" ht="27" customHeight="1">
      <c r="A461" s="531">
        <v>3214</v>
      </c>
      <c r="B461" s="531">
        <v>100201</v>
      </c>
      <c r="C461" s="529">
        <v>10</v>
      </c>
      <c r="D461" s="1027" t="s">
        <v>538</v>
      </c>
      <c r="E461" s="1028" t="s">
        <v>1441</v>
      </c>
      <c r="F461" s="547"/>
      <c r="G461" s="547"/>
      <c r="H461" s="547"/>
      <c r="I461" s="547"/>
      <c r="J461" s="547"/>
      <c r="K461" s="547"/>
      <c r="L461" s="547"/>
      <c r="M461" s="547"/>
      <c r="N461" s="547"/>
      <c r="O461" s="547"/>
      <c r="P461" s="547"/>
      <c r="Q461" s="547"/>
      <c r="R461" s="547"/>
      <c r="S461" s="989">
        <f t="shared" si="28"/>
        <v>0</v>
      </c>
      <c r="T461" s="547">
        <v>0</v>
      </c>
      <c r="U461" s="989">
        <f t="shared" si="31"/>
        <v>0</v>
      </c>
      <c r="V461" s="547">
        <v>0</v>
      </c>
      <c r="W461" s="566"/>
      <c r="X461" s="567"/>
      <c r="Y461" s="989">
        <f t="shared" si="29"/>
        <v>0</v>
      </c>
      <c r="Z461" s="812">
        <f t="shared" si="30"/>
        <v>0</v>
      </c>
    </row>
    <row r="462" spans="1:26" ht="27" customHeight="1">
      <c r="A462" s="531"/>
      <c r="B462" s="531">
        <v>1011</v>
      </c>
      <c r="C462" s="529">
        <v>10</v>
      </c>
      <c r="D462" s="1027" t="s">
        <v>540</v>
      </c>
      <c r="E462" s="1028" t="s">
        <v>229</v>
      </c>
      <c r="F462" s="547">
        <v>-3809023175</v>
      </c>
      <c r="G462" s="547">
        <v>2996457980</v>
      </c>
      <c r="H462" s="547"/>
      <c r="I462" s="547"/>
      <c r="J462" s="547"/>
      <c r="K462" s="547"/>
      <c r="L462" s="547"/>
      <c r="M462" s="547"/>
      <c r="N462" s="547"/>
      <c r="O462" s="547"/>
      <c r="P462" s="547"/>
      <c r="Q462" s="547"/>
      <c r="R462" s="547"/>
      <c r="S462" s="989">
        <f t="shared" si="28"/>
        <v>-812565195</v>
      </c>
      <c r="T462" s="547">
        <v>-760065195</v>
      </c>
      <c r="U462" s="989">
        <f t="shared" si="31"/>
        <v>-813</v>
      </c>
      <c r="V462" s="547">
        <v>-760</v>
      </c>
      <c r="W462" s="566"/>
      <c r="X462" s="567"/>
      <c r="Y462" s="989">
        <f t="shared" si="29"/>
        <v>-812565195</v>
      </c>
      <c r="Z462" s="812">
        <f t="shared" si="30"/>
        <v>-813</v>
      </c>
    </row>
    <row r="463" spans="1:26" ht="27" customHeight="1">
      <c r="A463" s="531"/>
      <c r="B463" s="531">
        <v>1011</v>
      </c>
      <c r="C463" s="529">
        <v>10</v>
      </c>
      <c r="D463" s="1027" t="s">
        <v>1689</v>
      </c>
      <c r="E463" s="1028" t="s">
        <v>1690</v>
      </c>
      <c r="F463" s="547">
        <v>-860069862</v>
      </c>
      <c r="G463" s="547">
        <v>860064500</v>
      </c>
      <c r="H463" s="547"/>
      <c r="I463" s="547"/>
      <c r="J463" s="547"/>
      <c r="K463" s="547"/>
      <c r="L463" s="547"/>
      <c r="M463" s="547"/>
      <c r="N463" s="547"/>
      <c r="O463" s="547"/>
      <c r="P463" s="547"/>
      <c r="Q463" s="547"/>
      <c r="R463" s="547"/>
      <c r="S463" s="989">
        <f t="shared" si="28"/>
        <v>-5362</v>
      </c>
      <c r="T463" s="547">
        <v>38</v>
      </c>
      <c r="U463" s="989">
        <f t="shared" si="31"/>
        <v>0</v>
      </c>
      <c r="V463" s="547">
        <v>0</v>
      </c>
      <c r="W463" s="566"/>
      <c r="X463" s="567"/>
      <c r="Y463" s="989">
        <f t="shared" si="29"/>
        <v>-5362</v>
      </c>
      <c r="Z463" s="812">
        <f t="shared" si="30"/>
        <v>0</v>
      </c>
    </row>
    <row r="464" spans="1:26" ht="27" customHeight="1">
      <c r="A464" s="531"/>
      <c r="B464" s="531">
        <v>1014</v>
      </c>
      <c r="C464" s="529">
        <v>10</v>
      </c>
      <c r="D464" s="1027" t="s">
        <v>541</v>
      </c>
      <c r="E464" s="1028" t="s">
        <v>693</v>
      </c>
      <c r="F464" s="547">
        <v>-11069720850</v>
      </c>
      <c r="G464" s="547">
        <v>-20367208692</v>
      </c>
      <c r="H464" s="547"/>
      <c r="I464" s="547"/>
      <c r="J464" s="547"/>
      <c r="K464" s="547"/>
      <c r="L464" s="547"/>
      <c r="M464" s="547"/>
      <c r="N464" s="547"/>
      <c r="O464" s="547"/>
      <c r="P464" s="547"/>
      <c r="Q464" s="547"/>
      <c r="R464" s="547"/>
      <c r="S464" s="989">
        <f t="shared" si="28"/>
        <v>-31436929542</v>
      </c>
      <c r="T464" s="547">
        <v>-187313039467</v>
      </c>
      <c r="U464" s="989">
        <f t="shared" si="31"/>
        <v>-31437</v>
      </c>
      <c r="V464" s="547">
        <v>-187313</v>
      </c>
      <c r="W464" s="566"/>
      <c r="X464" s="567"/>
      <c r="Y464" s="989">
        <f t="shared" si="29"/>
        <v>-31436929542</v>
      </c>
      <c r="Z464" s="812">
        <f t="shared" si="30"/>
        <v>-31437</v>
      </c>
    </row>
    <row r="465" spans="1:26" ht="27" customHeight="1">
      <c r="A465" s="531">
        <v>3214</v>
      </c>
      <c r="B465" s="531">
        <v>408</v>
      </c>
      <c r="C465" s="529">
        <v>4</v>
      </c>
      <c r="D465" s="1027" t="s">
        <v>541</v>
      </c>
      <c r="E465" s="1028" t="s">
        <v>1626</v>
      </c>
      <c r="F465" s="547"/>
      <c r="G465" s="547"/>
      <c r="H465" s="547"/>
      <c r="I465" s="547"/>
      <c r="J465" s="547"/>
      <c r="K465" s="547">
        <f>33286455254+71440809023</f>
        <v>104727264277</v>
      </c>
      <c r="L465" s="547"/>
      <c r="M465" s="547"/>
      <c r="N465" s="547">
        <f>21532405611-125073499</f>
        <v>21407332112</v>
      </c>
      <c r="O465" s="547"/>
      <c r="P465" s="547">
        <v>-21648207134</v>
      </c>
      <c r="Q465" s="547"/>
      <c r="R465" s="547"/>
      <c r="S465" s="989">
        <f t="shared" si="28"/>
        <v>104486389255</v>
      </c>
      <c r="T465" s="547">
        <v>84451501085</v>
      </c>
      <c r="U465" s="989">
        <f t="shared" si="31"/>
        <v>104486</v>
      </c>
      <c r="V465" s="549">
        <v>84452</v>
      </c>
      <c r="W465" s="566"/>
      <c r="X465" s="567"/>
      <c r="Y465" s="989">
        <f t="shared" si="29"/>
        <v>104486389255</v>
      </c>
      <c r="Z465" s="812">
        <f t="shared" si="30"/>
        <v>104486</v>
      </c>
    </row>
    <row r="466" spans="1:26" ht="27" customHeight="1">
      <c r="A466" s="531"/>
      <c r="B466" s="531">
        <v>1007</v>
      </c>
      <c r="C466" s="529">
        <v>10</v>
      </c>
      <c r="D466" s="1027" t="s">
        <v>543</v>
      </c>
      <c r="E466" s="1028" t="s">
        <v>544</v>
      </c>
      <c r="F466" s="547">
        <v>-160355015858</v>
      </c>
      <c r="G466" s="547">
        <v>508917409</v>
      </c>
      <c r="H466" s="547"/>
      <c r="I466" s="547"/>
      <c r="J466" s="547"/>
      <c r="L466" s="547"/>
      <c r="M466" s="547"/>
      <c r="N466" s="547"/>
      <c r="O466" s="547"/>
      <c r="P466" s="547"/>
      <c r="Q466" s="547"/>
      <c r="R466" s="547"/>
      <c r="S466" s="989">
        <f t="shared" si="28"/>
        <v>-159846098449</v>
      </c>
      <c r="T466" s="547">
        <v>-138902926107</v>
      </c>
      <c r="U466" s="989">
        <f t="shared" si="31"/>
        <v>-159846</v>
      </c>
      <c r="V466" s="547">
        <v>-138903</v>
      </c>
      <c r="W466" s="566"/>
      <c r="X466" s="567"/>
      <c r="Y466" s="989">
        <f t="shared" si="29"/>
        <v>-159846098449</v>
      </c>
      <c r="Z466" s="812">
        <f t="shared" si="30"/>
        <v>-159846</v>
      </c>
    </row>
    <row r="467" spans="1:26" ht="27" customHeight="1">
      <c r="A467" s="531">
        <v>3214</v>
      </c>
      <c r="B467" s="531">
        <v>1007</v>
      </c>
      <c r="C467" s="529">
        <v>10</v>
      </c>
      <c r="D467" s="1027" t="s">
        <v>543</v>
      </c>
      <c r="E467" s="1028" t="s">
        <v>1442</v>
      </c>
      <c r="F467" s="547"/>
      <c r="G467" s="547"/>
      <c r="H467" s="547"/>
      <c r="I467" s="547"/>
      <c r="J467" s="547"/>
      <c r="K467" s="547">
        <f>-149040458275-394381512151</f>
        <v>-543421970426</v>
      </c>
      <c r="L467" s="547"/>
      <c r="M467" s="547"/>
      <c r="N467" s="547">
        <f>-126901517038-11459013808</f>
        <v>-138360530846</v>
      </c>
      <c r="O467" s="547"/>
      <c r="P467" s="547"/>
      <c r="Q467" s="547"/>
      <c r="R467" s="547"/>
      <c r="S467" s="989">
        <f t="shared" si="28"/>
        <v>-681782501272</v>
      </c>
      <c r="T467" s="547">
        <v>-510950750279</v>
      </c>
      <c r="U467" s="989">
        <f t="shared" si="31"/>
        <v>-681783</v>
      </c>
      <c r="V467" s="549">
        <v>-510951</v>
      </c>
      <c r="W467" s="566"/>
      <c r="X467" s="567"/>
      <c r="Y467" s="989">
        <f t="shared" si="29"/>
        <v>-681782501272</v>
      </c>
      <c r="Z467" s="812">
        <f t="shared" si="30"/>
        <v>-681783</v>
      </c>
    </row>
    <row r="468" spans="1:26" ht="27" customHeight="1">
      <c r="A468" s="531"/>
      <c r="B468" s="531">
        <v>1007</v>
      </c>
      <c r="C468" s="529">
        <v>10</v>
      </c>
      <c r="D468" s="1027" t="s">
        <v>545</v>
      </c>
      <c r="E468" s="1028" t="s">
        <v>510</v>
      </c>
      <c r="F468" s="547"/>
      <c r="G468" s="547"/>
      <c r="H468" s="547"/>
      <c r="I468" s="547"/>
      <c r="J468" s="547"/>
      <c r="K468" s="547"/>
      <c r="L468" s="547"/>
      <c r="M468" s="547"/>
      <c r="N468" s="547"/>
      <c r="O468" s="547"/>
      <c r="P468" s="547"/>
      <c r="Q468" s="547"/>
      <c r="R468" s="547"/>
      <c r="S468" s="989">
        <f t="shared" si="28"/>
        <v>0</v>
      </c>
      <c r="T468" s="547">
        <v>0</v>
      </c>
      <c r="U468" s="989">
        <f t="shared" si="31"/>
        <v>0</v>
      </c>
      <c r="V468" s="547">
        <v>0</v>
      </c>
      <c r="W468" s="566"/>
      <c r="X468" s="567"/>
      <c r="Y468" s="989">
        <f t="shared" si="29"/>
        <v>0</v>
      </c>
      <c r="Z468" s="812">
        <f t="shared" si="30"/>
        <v>0</v>
      </c>
    </row>
    <row r="469" spans="1:26" ht="27" customHeight="1">
      <c r="A469" s="531"/>
      <c r="B469" s="531">
        <v>1008</v>
      </c>
      <c r="C469" s="529">
        <v>10</v>
      </c>
      <c r="D469" s="1027" t="s">
        <v>511</v>
      </c>
      <c r="E469" s="1028" t="s">
        <v>512</v>
      </c>
      <c r="F469" s="547"/>
      <c r="G469" s="547"/>
      <c r="H469" s="547"/>
      <c r="I469" s="547"/>
      <c r="J469" s="547"/>
      <c r="K469" s="547"/>
      <c r="L469" s="547"/>
      <c r="M469" s="547"/>
      <c r="N469" s="547"/>
      <c r="O469" s="547"/>
      <c r="P469" s="547"/>
      <c r="Q469" s="547"/>
      <c r="R469" s="547"/>
      <c r="S469" s="989">
        <f t="shared" si="28"/>
        <v>0</v>
      </c>
      <c r="T469" s="547">
        <v>0</v>
      </c>
      <c r="U469" s="989">
        <f t="shared" si="31"/>
        <v>0</v>
      </c>
      <c r="V469" s="547">
        <v>0</v>
      </c>
      <c r="W469" s="566"/>
      <c r="X469" s="567"/>
      <c r="Y469" s="989">
        <f t="shared" si="29"/>
        <v>0</v>
      </c>
      <c r="Z469" s="812">
        <f t="shared" si="30"/>
        <v>0</v>
      </c>
    </row>
    <row r="470" spans="1:26" ht="27" customHeight="1">
      <c r="A470" s="531"/>
      <c r="B470" s="531">
        <v>1008</v>
      </c>
      <c r="C470" s="529">
        <v>10</v>
      </c>
      <c r="D470" s="1027">
        <v>90006721</v>
      </c>
      <c r="E470" s="1028" t="s">
        <v>1763</v>
      </c>
      <c r="F470" s="547">
        <v>-304417188</v>
      </c>
      <c r="G470" s="547"/>
      <c r="H470" s="547"/>
      <c r="I470" s="547"/>
      <c r="J470" s="547"/>
      <c r="K470" s="547"/>
      <c r="L470" s="547"/>
      <c r="M470" s="547"/>
      <c r="N470" s="547"/>
      <c r="O470" s="547"/>
      <c r="P470" s="547"/>
      <c r="Q470" s="547"/>
      <c r="R470" s="547"/>
      <c r="S470" s="989">
        <f t="shared" si="28"/>
        <v>-304417188</v>
      </c>
      <c r="T470" s="547">
        <v>0</v>
      </c>
      <c r="U470" s="989">
        <f t="shared" si="31"/>
        <v>-304</v>
      </c>
      <c r="V470" s="547">
        <v>0</v>
      </c>
      <c r="W470" s="566"/>
      <c r="X470" s="567"/>
      <c r="Y470" s="989">
        <f t="shared" si="29"/>
        <v>-304417188</v>
      </c>
      <c r="Z470" s="812">
        <f t="shared" si="30"/>
        <v>-304</v>
      </c>
    </row>
    <row r="471" spans="1:26" ht="27" customHeight="1">
      <c r="A471" s="531"/>
      <c r="B471" s="531">
        <v>1008</v>
      </c>
      <c r="C471" s="529">
        <v>10</v>
      </c>
      <c r="D471" s="1027" t="s">
        <v>513</v>
      </c>
      <c r="E471" s="1028" t="s">
        <v>279</v>
      </c>
      <c r="F471" s="547">
        <v>-97050277525</v>
      </c>
      <c r="G471" s="547">
        <v>-152588817</v>
      </c>
      <c r="H471" s="547"/>
      <c r="I471" s="547"/>
      <c r="J471" s="547"/>
      <c r="K471" s="547"/>
      <c r="L471" s="547"/>
      <c r="M471" s="547"/>
      <c r="N471" s="547"/>
      <c r="O471" s="547"/>
      <c r="P471" s="547"/>
      <c r="Q471" s="547"/>
      <c r="R471" s="547"/>
      <c r="S471" s="989">
        <f t="shared" si="28"/>
        <v>-97202866342</v>
      </c>
      <c r="T471" s="547">
        <v>-72811725223</v>
      </c>
      <c r="U471" s="989">
        <f t="shared" si="31"/>
        <v>-97203</v>
      </c>
      <c r="V471" s="547">
        <v>-72812</v>
      </c>
      <c r="W471" s="566"/>
      <c r="X471" s="567"/>
      <c r="Y471" s="989">
        <f t="shared" si="29"/>
        <v>-97202866342</v>
      </c>
      <c r="Z471" s="812">
        <f t="shared" si="30"/>
        <v>-97203</v>
      </c>
    </row>
    <row r="472" spans="1:26" ht="27" customHeight="1">
      <c r="A472" s="531">
        <v>3214</v>
      </c>
      <c r="B472" s="531">
        <v>1008</v>
      </c>
      <c r="C472" s="529">
        <v>10</v>
      </c>
      <c r="D472" s="1027" t="s">
        <v>513</v>
      </c>
      <c r="E472" s="1028" t="s">
        <v>1443</v>
      </c>
      <c r="F472" s="547"/>
      <c r="G472" s="547"/>
      <c r="H472" s="547"/>
      <c r="I472" s="547"/>
      <c r="J472" s="547"/>
      <c r="K472" s="547">
        <v>-260550812783</v>
      </c>
      <c r="L472" s="547"/>
      <c r="M472" s="547"/>
      <c r="N472" s="547">
        <v>145241</v>
      </c>
      <c r="O472" s="547"/>
      <c r="P472" s="547"/>
      <c r="Q472" s="547"/>
      <c r="R472" s="547"/>
      <c r="S472" s="989">
        <f t="shared" si="28"/>
        <v>-260550667542</v>
      </c>
      <c r="T472" s="547">
        <v>-216652178357</v>
      </c>
      <c r="U472" s="989">
        <f t="shared" si="31"/>
        <v>-260551</v>
      </c>
      <c r="V472" s="549">
        <v>-216652</v>
      </c>
      <c r="W472" s="566"/>
      <c r="X472" s="567"/>
      <c r="Y472" s="989">
        <f t="shared" si="29"/>
        <v>-260550667542</v>
      </c>
      <c r="Z472" s="812">
        <f t="shared" si="30"/>
        <v>-260551</v>
      </c>
    </row>
    <row r="473" spans="1:26" ht="27" customHeight="1">
      <c r="A473" s="531">
        <v>3214</v>
      </c>
      <c r="B473" s="531">
        <v>1007</v>
      </c>
      <c r="C473" s="529">
        <v>10</v>
      </c>
      <c r="D473" s="1027" t="s">
        <v>1706</v>
      </c>
      <c r="E473" s="1028" t="s">
        <v>1707</v>
      </c>
      <c r="F473" s="547"/>
      <c r="G473" s="547"/>
      <c r="H473" s="547"/>
      <c r="I473" s="547"/>
      <c r="J473" s="547"/>
      <c r="K473" s="547">
        <f>221584081-15833686369</f>
        <v>-15612102288</v>
      </c>
      <c r="L473" s="547"/>
      <c r="M473" s="547"/>
      <c r="N473" s="547"/>
      <c r="O473" s="547"/>
      <c r="P473" s="547"/>
      <c r="Q473" s="547"/>
      <c r="R473" s="547"/>
      <c r="S473" s="989">
        <f t="shared" si="28"/>
        <v>-15612102288</v>
      </c>
      <c r="T473" s="547">
        <f>'96'!Q461</f>
        <v>-54433918032</v>
      </c>
      <c r="U473" s="989">
        <f t="shared" si="31"/>
        <v>-15612</v>
      </c>
      <c r="V473" s="549">
        <f t="shared" si="31"/>
        <v>-54434</v>
      </c>
      <c r="W473" s="566"/>
      <c r="X473" s="567"/>
      <c r="Y473" s="989">
        <f t="shared" si="29"/>
        <v>-15612102288</v>
      </c>
      <c r="Z473" s="812">
        <f t="shared" si="30"/>
        <v>-15612</v>
      </c>
    </row>
    <row r="474" spans="1:26" ht="27" customHeight="1">
      <c r="A474" s="531"/>
      <c r="B474" s="531">
        <v>1007</v>
      </c>
      <c r="C474" s="529">
        <v>10</v>
      </c>
      <c r="D474" s="1027" t="s">
        <v>499</v>
      </c>
      <c r="E474" s="1028" t="s">
        <v>694</v>
      </c>
      <c r="F474" s="547">
        <v>-10644321955</v>
      </c>
      <c r="G474" s="547"/>
      <c r="H474" s="547"/>
      <c r="I474" s="547"/>
      <c r="J474" s="547"/>
      <c r="K474" s="547"/>
      <c r="L474" s="547"/>
      <c r="M474" s="547"/>
      <c r="N474" s="547"/>
      <c r="O474" s="547"/>
      <c r="P474" s="547"/>
      <c r="Q474" s="547"/>
      <c r="R474" s="547"/>
      <c r="S474" s="989">
        <f t="shared" si="28"/>
        <v>-10644321955</v>
      </c>
      <c r="T474" s="547">
        <v>-19374528609</v>
      </c>
      <c r="U474" s="989">
        <f t="shared" si="31"/>
        <v>-10644</v>
      </c>
      <c r="V474" s="547">
        <v>-19375</v>
      </c>
      <c r="W474" s="566"/>
      <c r="X474" s="567"/>
      <c r="Y474" s="989">
        <f t="shared" si="29"/>
        <v>-10644321955</v>
      </c>
      <c r="Z474" s="812">
        <f t="shared" si="30"/>
        <v>-10644</v>
      </c>
    </row>
    <row r="475" spans="1:26" ht="27" customHeight="1">
      <c r="A475" s="531">
        <v>3214</v>
      </c>
      <c r="B475" s="531">
        <v>1007</v>
      </c>
      <c r="C475" s="529">
        <v>10</v>
      </c>
      <c r="D475" s="1027" t="s">
        <v>499</v>
      </c>
      <c r="E475" s="1028" t="s">
        <v>1444</v>
      </c>
      <c r="F475" s="547"/>
      <c r="G475" s="547"/>
      <c r="H475" s="547"/>
      <c r="I475" s="547"/>
      <c r="J475" s="547"/>
      <c r="K475" s="547"/>
      <c r="L475" s="547">
        <v>-23095821478</v>
      </c>
      <c r="M475" s="547"/>
      <c r="N475" s="547">
        <v>-150610660</v>
      </c>
      <c r="O475" s="547"/>
      <c r="P475" s="547"/>
      <c r="Q475" s="547"/>
      <c r="R475" s="547"/>
      <c r="S475" s="989">
        <f t="shared" si="28"/>
        <v>-23246432138</v>
      </c>
      <c r="T475" s="547">
        <v>-53587677852</v>
      </c>
      <c r="U475" s="989">
        <f t="shared" si="31"/>
        <v>-23246</v>
      </c>
      <c r="V475" s="549">
        <v>-53588</v>
      </c>
      <c r="W475" s="566"/>
      <c r="X475" s="567"/>
      <c r="Y475" s="989">
        <f t="shared" si="29"/>
        <v>-23246432138</v>
      </c>
      <c r="Z475" s="812">
        <f t="shared" si="30"/>
        <v>-23246</v>
      </c>
    </row>
    <row r="476" spans="1:26" ht="27" customHeight="1">
      <c r="A476" s="531"/>
      <c r="B476" s="531">
        <v>1018</v>
      </c>
      <c r="C476" s="529">
        <v>10</v>
      </c>
      <c r="D476" s="1027" t="s">
        <v>501</v>
      </c>
      <c r="E476" s="1028" t="s">
        <v>695</v>
      </c>
      <c r="F476" s="547">
        <v>-10000000</v>
      </c>
      <c r="G476" s="547"/>
      <c r="H476" s="547"/>
      <c r="I476" s="547"/>
      <c r="J476" s="547"/>
      <c r="K476" s="547"/>
      <c r="L476" s="547"/>
      <c r="M476" s="547"/>
      <c r="N476" s="547"/>
      <c r="O476" s="547"/>
      <c r="P476" s="547"/>
      <c r="Q476" s="547"/>
      <c r="R476" s="547"/>
      <c r="S476" s="989">
        <f t="shared" si="28"/>
        <v>-10000000</v>
      </c>
      <c r="T476" s="547">
        <v>-454000000</v>
      </c>
      <c r="U476" s="989">
        <f t="shared" si="31"/>
        <v>-10</v>
      </c>
      <c r="V476" s="547">
        <v>-454</v>
      </c>
      <c r="W476" s="566"/>
      <c r="X476" s="567"/>
      <c r="Y476" s="989">
        <f t="shared" si="29"/>
        <v>-10000000</v>
      </c>
      <c r="Z476" s="812">
        <f t="shared" si="30"/>
        <v>-10</v>
      </c>
    </row>
    <row r="477" spans="1:26" ht="27" customHeight="1">
      <c r="A477" s="531"/>
      <c r="B477" s="531">
        <v>1016</v>
      </c>
      <c r="C477" s="529">
        <v>10</v>
      </c>
      <c r="D477" s="1027" t="s">
        <v>503</v>
      </c>
      <c r="E477" s="1028" t="s">
        <v>504</v>
      </c>
      <c r="F477" s="547">
        <v>-135151396312</v>
      </c>
      <c r="G477" s="547">
        <v>13286436542</v>
      </c>
      <c r="H477" s="547">
        <v>-27000</v>
      </c>
      <c r="I477" s="547"/>
      <c r="J477" s="547"/>
      <c r="K477" s="547"/>
      <c r="L477" s="547"/>
      <c r="M477" s="547"/>
      <c r="N477" s="547"/>
      <c r="O477" s="547"/>
      <c r="P477" s="547"/>
      <c r="Q477" s="547"/>
      <c r="R477" s="547"/>
      <c r="S477" s="989">
        <f t="shared" si="28"/>
        <v>-121864986770</v>
      </c>
      <c r="T477" s="547">
        <v>-93250854375</v>
      </c>
      <c r="U477" s="989">
        <f t="shared" si="31"/>
        <v>-121865</v>
      </c>
      <c r="V477" s="547">
        <v>-93251</v>
      </c>
      <c r="W477" s="566"/>
      <c r="X477" s="567"/>
      <c r="Y477" s="989">
        <f t="shared" si="29"/>
        <v>-121864986770</v>
      </c>
      <c r="Z477" s="812">
        <f t="shared" si="30"/>
        <v>-121865</v>
      </c>
    </row>
    <row r="478" spans="1:26" ht="27" customHeight="1">
      <c r="A478" s="531"/>
      <c r="B478" s="531">
        <v>1017</v>
      </c>
      <c r="C478" s="529">
        <v>10</v>
      </c>
      <c r="D478" s="1027" t="s">
        <v>697</v>
      </c>
      <c r="E478" s="1028" t="s">
        <v>696</v>
      </c>
      <c r="F478" s="547">
        <v>-7864018053</v>
      </c>
      <c r="G478" s="547">
        <v>-123185912488</v>
      </c>
      <c r="H478" s="547">
        <v>-748710482</v>
      </c>
      <c r="I478" s="547">
        <v>-659318327</v>
      </c>
      <c r="J478" s="547"/>
      <c r="K478" s="547"/>
      <c r="L478" s="547"/>
      <c r="M478" s="547"/>
      <c r="N478" s="547"/>
      <c r="O478" s="547"/>
      <c r="P478" s="547"/>
      <c r="Q478" s="547"/>
      <c r="R478" s="547"/>
      <c r="S478" s="989">
        <f t="shared" si="28"/>
        <v>-132457959350</v>
      </c>
      <c r="T478" s="547">
        <v>-168003227603</v>
      </c>
      <c r="U478" s="989">
        <f t="shared" si="31"/>
        <v>-132458</v>
      </c>
      <c r="V478" s="547">
        <v>-168003</v>
      </c>
      <c r="W478" s="566"/>
      <c r="X478" s="567"/>
      <c r="Y478" s="989">
        <f t="shared" si="29"/>
        <v>-132457959350</v>
      </c>
      <c r="Z478" s="812">
        <f t="shared" si="30"/>
        <v>-132458</v>
      </c>
    </row>
    <row r="479" spans="1:26" ht="27" customHeight="1">
      <c r="A479" s="531"/>
      <c r="B479" s="531">
        <v>1007</v>
      </c>
      <c r="C479" s="529">
        <v>10</v>
      </c>
      <c r="D479" s="1027" t="s">
        <v>505</v>
      </c>
      <c r="E479" s="1028" t="s">
        <v>506</v>
      </c>
      <c r="F479" s="547">
        <v>-123204353482</v>
      </c>
      <c r="G479" s="547">
        <v>-613135539</v>
      </c>
      <c r="H479" s="547"/>
      <c r="I479" s="547"/>
      <c r="J479" s="547"/>
      <c r="K479" s="547"/>
      <c r="L479" s="547"/>
      <c r="M479" s="547"/>
      <c r="N479" s="547"/>
      <c r="O479" s="547"/>
      <c r="P479" s="547"/>
      <c r="Q479" s="547"/>
      <c r="R479" s="547"/>
      <c r="S479" s="989">
        <f t="shared" si="28"/>
        <v>-123817489021</v>
      </c>
      <c r="T479" s="547">
        <v>-93664022141</v>
      </c>
      <c r="U479" s="989">
        <f t="shared" si="31"/>
        <v>-123817</v>
      </c>
      <c r="V479" s="547">
        <v>-93664</v>
      </c>
      <c r="W479" s="566"/>
      <c r="X479" s="567"/>
      <c r="Y479" s="989">
        <f t="shared" si="29"/>
        <v>-123817489021</v>
      </c>
      <c r="Z479" s="812">
        <f t="shared" si="30"/>
        <v>-123817</v>
      </c>
    </row>
    <row r="480" spans="1:26" ht="27" customHeight="1">
      <c r="A480" s="531">
        <v>3214</v>
      </c>
      <c r="B480" s="531">
        <v>1007</v>
      </c>
      <c r="C480" s="529">
        <v>10</v>
      </c>
      <c r="D480" s="1027" t="s">
        <v>507</v>
      </c>
      <c r="E480" s="1028" t="s">
        <v>185</v>
      </c>
      <c r="F480" s="547"/>
      <c r="G480" s="547"/>
      <c r="H480" s="547"/>
      <c r="I480" s="547"/>
      <c r="J480" s="547"/>
      <c r="K480" s="547"/>
      <c r="L480" s="547"/>
      <c r="M480" s="547"/>
      <c r="N480" s="547"/>
      <c r="O480" s="547"/>
      <c r="P480" s="547"/>
      <c r="Q480" s="547"/>
      <c r="R480" s="547"/>
      <c r="S480" s="989">
        <f t="shared" si="28"/>
        <v>0</v>
      </c>
      <c r="T480" s="547">
        <v>0</v>
      </c>
      <c r="U480" s="989">
        <f t="shared" si="31"/>
        <v>0</v>
      </c>
      <c r="V480" s="547">
        <v>0</v>
      </c>
      <c r="W480" s="566"/>
      <c r="X480" s="567"/>
      <c r="Y480" s="989">
        <f t="shared" si="29"/>
        <v>0</v>
      </c>
      <c r="Z480" s="812">
        <f t="shared" si="30"/>
        <v>0</v>
      </c>
    </row>
    <row r="481" spans="1:26" ht="27" customHeight="1">
      <c r="A481" s="531"/>
      <c r="B481" s="531">
        <v>1010</v>
      </c>
      <c r="C481" s="529">
        <v>10</v>
      </c>
      <c r="D481" s="1027" t="s">
        <v>186</v>
      </c>
      <c r="E481" s="1028" t="s">
        <v>187</v>
      </c>
      <c r="F481" s="547"/>
      <c r="G481" s="547"/>
      <c r="H481" s="547"/>
      <c r="I481" s="547"/>
      <c r="J481" s="547"/>
      <c r="K481" s="547"/>
      <c r="L481" s="547"/>
      <c r="M481" s="547"/>
      <c r="N481" s="547"/>
      <c r="O481" s="547"/>
      <c r="P481" s="547"/>
      <c r="Q481" s="547"/>
      <c r="R481" s="547"/>
      <c r="S481" s="989">
        <f t="shared" si="28"/>
        <v>0</v>
      </c>
      <c r="T481" s="547">
        <v>0</v>
      </c>
      <c r="U481" s="989">
        <f t="shared" si="31"/>
        <v>0</v>
      </c>
      <c r="V481" s="547">
        <v>0</v>
      </c>
      <c r="W481" s="566"/>
      <c r="X481" s="567"/>
      <c r="Y481" s="989">
        <f t="shared" si="29"/>
        <v>0</v>
      </c>
      <c r="Z481" s="812">
        <f t="shared" si="30"/>
        <v>0</v>
      </c>
    </row>
    <row r="482" spans="1:26" ht="27" customHeight="1">
      <c r="A482" s="531"/>
      <c r="B482" s="531">
        <v>1010</v>
      </c>
      <c r="C482" s="529">
        <v>10</v>
      </c>
      <c r="D482" s="1027" t="s">
        <v>188</v>
      </c>
      <c r="E482" s="1028" t="s">
        <v>748</v>
      </c>
      <c r="F482" s="547">
        <v>-105729376799</v>
      </c>
      <c r="G482" s="547">
        <v>-3947669879</v>
      </c>
      <c r="H482" s="547"/>
      <c r="I482" s="547"/>
      <c r="J482" s="547"/>
      <c r="K482" s="547"/>
      <c r="L482" s="547"/>
      <c r="M482" s="547"/>
      <c r="N482" s="547"/>
      <c r="O482" s="547"/>
      <c r="P482" s="547"/>
      <c r="Q482" s="547"/>
      <c r="R482" s="547"/>
      <c r="S482" s="989">
        <f t="shared" si="28"/>
        <v>-109677046678</v>
      </c>
      <c r="T482" s="547">
        <v>-77559025596</v>
      </c>
      <c r="U482" s="989">
        <f t="shared" si="31"/>
        <v>-109677</v>
      </c>
      <c r="V482" s="547">
        <v>-77559</v>
      </c>
      <c r="W482" s="566"/>
      <c r="X482" s="567"/>
      <c r="Y482" s="989">
        <f t="shared" si="29"/>
        <v>-109677046678</v>
      </c>
      <c r="Z482" s="812">
        <f t="shared" si="30"/>
        <v>-109677</v>
      </c>
    </row>
    <row r="483" spans="1:26" ht="27" customHeight="1">
      <c r="A483" s="531"/>
      <c r="B483" s="531">
        <v>1007</v>
      </c>
      <c r="C483" s="529">
        <v>10</v>
      </c>
      <c r="D483" s="1027" t="s">
        <v>190</v>
      </c>
      <c r="E483" s="1028" t="s">
        <v>191</v>
      </c>
      <c r="F483" s="547">
        <v>-5736810664</v>
      </c>
      <c r="G483" s="547">
        <v>24088000</v>
      </c>
      <c r="H483" s="547"/>
      <c r="I483" s="547"/>
      <c r="J483" s="547"/>
      <c r="K483" s="547"/>
      <c r="L483" s="547"/>
      <c r="M483" s="547"/>
      <c r="N483" s="547"/>
      <c r="O483" s="547"/>
      <c r="P483" s="547"/>
      <c r="Q483" s="547"/>
      <c r="R483" s="547"/>
      <c r="S483" s="989">
        <f t="shared" si="28"/>
        <v>-5712722664</v>
      </c>
      <c r="T483" s="547">
        <v>-5294635070</v>
      </c>
      <c r="U483" s="989">
        <f t="shared" si="31"/>
        <v>-5713</v>
      </c>
      <c r="V483" s="547">
        <v>-5295</v>
      </c>
      <c r="W483" s="566"/>
      <c r="X483" s="567"/>
      <c r="Y483" s="989">
        <f t="shared" si="29"/>
        <v>-5712722664</v>
      </c>
      <c r="Z483" s="812">
        <f t="shared" si="30"/>
        <v>-5713</v>
      </c>
    </row>
    <row r="484" spans="1:26" ht="27" customHeight="1">
      <c r="A484" s="531">
        <v>3214</v>
      </c>
      <c r="B484" s="531">
        <v>1007</v>
      </c>
      <c r="C484" s="529">
        <v>10</v>
      </c>
      <c r="D484" s="1027">
        <v>90006852</v>
      </c>
      <c r="E484" s="1028" t="s">
        <v>191</v>
      </c>
      <c r="F484" s="547"/>
      <c r="G484" s="547"/>
      <c r="H484" s="547"/>
      <c r="I484" s="547"/>
      <c r="J484" s="547"/>
      <c r="K484" s="547">
        <v>-23095821478</v>
      </c>
      <c r="L484" s="547">
        <v>23095821478</v>
      </c>
      <c r="M484" s="547"/>
      <c r="N484" s="547"/>
      <c r="O484" s="547"/>
      <c r="P484" s="547"/>
      <c r="Q484" s="547"/>
      <c r="R484" s="547"/>
      <c r="S484" s="989">
        <f t="shared" si="28"/>
        <v>0</v>
      </c>
      <c r="T484" s="547"/>
      <c r="U484" s="989">
        <f t="shared" si="31"/>
        <v>0</v>
      </c>
      <c r="V484" s="547"/>
      <c r="W484" s="566"/>
      <c r="X484" s="567"/>
      <c r="Y484" s="989">
        <f t="shared" si="29"/>
        <v>0</v>
      </c>
      <c r="Z484" s="812">
        <f t="shared" si="30"/>
        <v>0</v>
      </c>
    </row>
    <row r="485" spans="1:26" ht="27" customHeight="1">
      <c r="A485" s="531"/>
      <c r="B485" s="531">
        <v>1017</v>
      </c>
      <c r="C485" s="529">
        <v>10</v>
      </c>
      <c r="D485" s="1027" t="s">
        <v>192</v>
      </c>
      <c r="E485" s="1028" t="s">
        <v>25</v>
      </c>
      <c r="F485" s="547">
        <v>-1759000000</v>
      </c>
      <c r="G485" s="547">
        <v>-35100000</v>
      </c>
      <c r="H485" s="547"/>
      <c r="I485" s="547"/>
      <c r="J485" s="547"/>
      <c r="K485" s="547"/>
      <c r="L485" s="547"/>
      <c r="M485" s="547"/>
      <c r="N485" s="547"/>
      <c r="O485" s="547"/>
      <c r="P485" s="547"/>
      <c r="Q485" s="547"/>
      <c r="R485" s="547"/>
      <c r="S485" s="989">
        <f t="shared" si="28"/>
        <v>-1794100000</v>
      </c>
      <c r="T485" s="547">
        <v>-343500000</v>
      </c>
      <c r="U485" s="989">
        <f t="shared" si="31"/>
        <v>-1794</v>
      </c>
      <c r="V485" s="547">
        <v>-344</v>
      </c>
      <c r="W485" s="566"/>
      <c r="X485" s="567"/>
      <c r="Y485" s="989">
        <f t="shared" si="29"/>
        <v>-1794100000</v>
      </c>
      <c r="Z485" s="812">
        <f t="shared" si="30"/>
        <v>-1794</v>
      </c>
    </row>
    <row r="486" spans="1:26" ht="27" customHeight="1">
      <c r="A486" s="531"/>
      <c r="B486" s="531">
        <v>302</v>
      </c>
      <c r="C486" s="529">
        <v>3</v>
      </c>
      <c r="D486" s="1027" t="s">
        <v>26</v>
      </c>
      <c r="E486" s="1028" t="s">
        <v>27</v>
      </c>
      <c r="F486" s="547">
        <v>1217436000</v>
      </c>
      <c r="G486" s="547"/>
      <c r="H486" s="547"/>
      <c r="I486" s="547"/>
      <c r="J486" s="547"/>
      <c r="K486" s="547"/>
      <c r="L486" s="547">
        <v>2564000</v>
      </c>
      <c r="M486" s="547"/>
      <c r="N486" s="547"/>
      <c r="O486" s="547"/>
      <c r="P486" s="547"/>
      <c r="Q486" s="547"/>
      <c r="R486" s="547"/>
      <c r="S486" s="989">
        <f t="shared" si="28"/>
        <v>1220000000</v>
      </c>
      <c r="T486" s="547">
        <v>1185320000</v>
      </c>
      <c r="U486" s="989">
        <f t="shared" si="31"/>
        <v>1220</v>
      </c>
      <c r="V486" s="547">
        <v>1185</v>
      </c>
      <c r="W486" s="566"/>
      <c r="X486" s="567"/>
      <c r="Y486" s="989">
        <f t="shared" si="29"/>
        <v>1220000000</v>
      </c>
      <c r="Z486" s="812">
        <f t="shared" si="30"/>
        <v>1220</v>
      </c>
    </row>
    <row r="487" spans="1:26" ht="27" customHeight="1">
      <c r="A487" s="531"/>
      <c r="B487" s="531">
        <v>302</v>
      </c>
      <c r="C487" s="529">
        <v>3</v>
      </c>
      <c r="D487" s="1027" t="s">
        <v>850</v>
      </c>
      <c r="E487" s="1028" t="s">
        <v>851</v>
      </c>
      <c r="F487" s="547"/>
      <c r="G487" s="547"/>
      <c r="H487" s="547"/>
      <c r="I487" s="547"/>
      <c r="J487" s="547"/>
      <c r="K487" s="547"/>
      <c r="L487" s="547"/>
      <c r="M487" s="547"/>
      <c r="N487" s="547"/>
      <c r="O487" s="547"/>
      <c r="P487" s="547"/>
      <c r="Q487" s="547"/>
      <c r="R487" s="547"/>
      <c r="S487" s="989">
        <f t="shared" si="28"/>
        <v>0</v>
      </c>
      <c r="T487" s="547">
        <v>0</v>
      </c>
      <c r="U487" s="989">
        <f t="shared" si="31"/>
        <v>0</v>
      </c>
      <c r="V487" s="547">
        <v>0</v>
      </c>
      <c r="W487" s="566"/>
      <c r="X487" s="567"/>
      <c r="Y487" s="989">
        <f t="shared" si="29"/>
        <v>0</v>
      </c>
      <c r="Z487" s="812">
        <f t="shared" si="30"/>
        <v>0</v>
      </c>
    </row>
    <row r="488" spans="1:26" ht="27" customHeight="1">
      <c r="A488" s="531"/>
      <c r="B488" s="531">
        <v>303</v>
      </c>
      <c r="C488" s="529">
        <v>3</v>
      </c>
      <c r="D488" s="1027" t="s">
        <v>28</v>
      </c>
      <c r="E488" s="1028" t="s">
        <v>29</v>
      </c>
      <c r="F488" s="547">
        <v>365377579</v>
      </c>
      <c r="G488" s="547">
        <v>60539928</v>
      </c>
      <c r="H488" s="547"/>
      <c r="I488" s="547"/>
      <c r="J488" s="547"/>
      <c r="K488" s="547"/>
      <c r="L488" s="547">
        <v>-2564000</v>
      </c>
      <c r="M488" s="547"/>
      <c r="N488" s="547"/>
      <c r="O488" s="547"/>
      <c r="P488" s="547"/>
      <c r="Q488" s="547"/>
      <c r="R488" s="547"/>
      <c r="S488" s="989">
        <f t="shared" si="28"/>
        <v>423353507</v>
      </c>
      <c r="T488" s="547">
        <v>23562653747</v>
      </c>
      <c r="U488" s="989">
        <f t="shared" si="31"/>
        <v>423</v>
      </c>
      <c r="V488" s="547">
        <v>23563</v>
      </c>
      <c r="W488" s="566"/>
      <c r="X488" s="567"/>
      <c r="Y488" s="989">
        <f t="shared" si="29"/>
        <v>423353507</v>
      </c>
      <c r="Z488" s="812">
        <f t="shared" si="30"/>
        <v>423</v>
      </c>
    </row>
    <row r="489" spans="1:26" ht="29.25" customHeight="1">
      <c r="A489" s="531"/>
      <c r="B489" s="531">
        <v>1018</v>
      </c>
      <c r="C489" s="529">
        <v>10</v>
      </c>
      <c r="D489" s="1027" t="s">
        <v>30</v>
      </c>
      <c r="E489" s="1028" t="s">
        <v>31</v>
      </c>
      <c r="F489" s="547">
        <v>9955000</v>
      </c>
      <c r="G489" s="547">
        <v>10000000</v>
      </c>
      <c r="H489" s="547">
        <v>-20000000</v>
      </c>
      <c r="I489" s="547"/>
      <c r="J489" s="547"/>
      <c r="K489" s="547"/>
      <c r="L489" s="547"/>
      <c r="M489" s="547"/>
      <c r="N489" s="547"/>
      <c r="O489" s="547"/>
      <c r="P489" s="547"/>
      <c r="Q489" s="547"/>
      <c r="R489" s="547"/>
      <c r="S489" s="989">
        <f t="shared" si="28"/>
        <v>-45000</v>
      </c>
      <c r="T489" s="547">
        <v>0</v>
      </c>
      <c r="U489" s="989">
        <f t="shared" si="31"/>
        <v>0</v>
      </c>
      <c r="V489" s="547">
        <v>0</v>
      </c>
      <c r="W489" s="566"/>
      <c r="X489" s="567"/>
      <c r="Y489" s="989">
        <f t="shared" si="29"/>
        <v>-45000</v>
      </c>
      <c r="Z489" s="812">
        <f t="shared" si="30"/>
        <v>0</v>
      </c>
    </row>
    <row r="490" spans="1:26" ht="27" customHeight="1">
      <c r="A490" s="531"/>
      <c r="B490" s="531">
        <v>303</v>
      </c>
      <c r="C490" s="529">
        <v>3</v>
      </c>
      <c r="D490" s="1027" t="s">
        <v>1154</v>
      </c>
      <c r="E490" s="1028" t="s">
        <v>1155</v>
      </c>
      <c r="F490" s="547">
        <v>119295427231</v>
      </c>
      <c r="G490" s="547">
        <v>-59993191400</v>
      </c>
      <c r="H490" s="547">
        <v>-12800804662</v>
      </c>
      <c r="I490" s="547"/>
      <c r="J490" s="547"/>
      <c r="K490" s="547"/>
      <c r="L490" s="547"/>
      <c r="M490" s="547"/>
      <c r="N490" s="547"/>
      <c r="O490" s="547"/>
      <c r="P490" s="547">
        <v>-46501431169</v>
      </c>
      <c r="Q490" s="547"/>
      <c r="R490" s="547"/>
      <c r="S490" s="989">
        <f t="shared" si="28"/>
        <v>0</v>
      </c>
      <c r="T490" s="547">
        <v>0</v>
      </c>
      <c r="U490" s="989">
        <f t="shared" si="31"/>
        <v>0</v>
      </c>
      <c r="V490" s="547">
        <v>0</v>
      </c>
      <c r="W490" s="566"/>
      <c r="X490" s="567"/>
      <c r="Y490" s="989">
        <f t="shared" si="29"/>
        <v>0</v>
      </c>
      <c r="Z490" s="812">
        <f t="shared" si="30"/>
        <v>0</v>
      </c>
    </row>
    <row r="491" spans="1:26" ht="27" customHeight="1">
      <c r="A491" s="531"/>
      <c r="B491" s="531">
        <v>303</v>
      </c>
      <c r="C491" s="529">
        <v>3</v>
      </c>
      <c r="D491" s="1027" t="s">
        <v>1156</v>
      </c>
      <c r="E491" s="1028" t="s">
        <v>1155</v>
      </c>
      <c r="F491" s="547">
        <v>-119295027231</v>
      </c>
      <c r="G491" s="547">
        <v>59992791400</v>
      </c>
      <c r="H491" s="547">
        <v>12800804662</v>
      </c>
      <c r="I491" s="547"/>
      <c r="J491" s="547"/>
      <c r="K491" s="547"/>
      <c r="L491" s="547"/>
      <c r="M491" s="547"/>
      <c r="N491" s="547"/>
      <c r="O491" s="547"/>
      <c r="P491" s="547">
        <v>46501431169</v>
      </c>
      <c r="Q491" s="547"/>
      <c r="R491" s="547"/>
      <c r="S491" s="989">
        <f t="shared" si="28"/>
        <v>0</v>
      </c>
      <c r="T491" s="547">
        <v>0</v>
      </c>
      <c r="U491" s="989">
        <f t="shared" si="31"/>
        <v>0</v>
      </c>
      <c r="V491" s="547">
        <v>0</v>
      </c>
      <c r="W491" s="566"/>
      <c r="X491" s="567"/>
      <c r="Y491" s="989">
        <f t="shared" si="29"/>
        <v>0</v>
      </c>
      <c r="Z491" s="812">
        <f t="shared" si="30"/>
        <v>0</v>
      </c>
    </row>
    <row r="492" spans="1:26" ht="27" customHeight="1">
      <c r="A492" s="531">
        <v>3214</v>
      </c>
      <c r="B492" s="531">
        <v>302</v>
      </c>
      <c r="C492" s="529">
        <v>3</v>
      </c>
      <c r="D492" s="1027" t="s">
        <v>775</v>
      </c>
      <c r="E492" s="1028" t="s">
        <v>1432</v>
      </c>
      <c r="F492" s="547"/>
      <c r="G492" s="547"/>
      <c r="H492" s="547"/>
      <c r="I492" s="547"/>
      <c r="J492" s="547"/>
      <c r="K492" s="547"/>
      <c r="L492" s="547"/>
      <c r="M492" s="547"/>
      <c r="N492" s="547"/>
      <c r="O492" s="547"/>
      <c r="P492" s="547"/>
      <c r="Q492" s="547"/>
      <c r="R492" s="547"/>
      <c r="S492" s="989">
        <f t="shared" si="28"/>
        <v>0</v>
      </c>
      <c r="T492" s="547">
        <v>0</v>
      </c>
      <c r="U492" s="989">
        <f t="shared" si="31"/>
        <v>0</v>
      </c>
      <c r="V492" s="547">
        <v>0</v>
      </c>
      <c r="W492" s="566"/>
      <c r="X492" s="567"/>
      <c r="Y492" s="989">
        <f t="shared" si="29"/>
        <v>0</v>
      </c>
      <c r="Z492" s="812">
        <f t="shared" si="30"/>
        <v>0</v>
      </c>
    </row>
    <row r="493" spans="1:26" ht="26.25" customHeight="1">
      <c r="A493" s="531">
        <v>12</v>
      </c>
      <c r="B493" s="531">
        <v>907</v>
      </c>
      <c r="C493" s="529">
        <v>9</v>
      </c>
      <c r="D493" s="1027" t="s">
        <v>32</v>
      </c>
      <c r="E493" s="1028" t="s">
        <v>769</v>
      </c>
      <c r="F493" s="547">
        <v>7552883600</v>
      </c>
      <c r="G493" s="547"/>
      <c r="H493" s="547"/>
      <c r="I493" s="547"/>
      <c r="J493" s="547"/>
      <c r="K493" s="547"/>
      <c r="L493" s="547"/>
      <c r="M493" s="547"/>
      <c r="N493" s="547"/>
      <c r="O493" s="547"/>
      <c r="P493" s="547"/>
      <c r="Q493" s="547"/>
      <c r="R493" s="547"/>
      <c r="S493" s="989">
        <f t="shared" si="28"/>
        <v>7552883600</v>
      </c>
      <c r="T493" s="547">
        <v>7552883600</v>
      </c>
      <c r="U493" s="989">
        <f t="shared" si="31"/>
        <v>7553</v>
      </c>
      <c r="V493" s="547">
        <v>7553</v>
      </c>
      <c r="W493" s="566"/>
      <c r="X493" s="567"/>
      <c r="Y493" s="989">
        <f t="shared" si="29"/>
        <v>7552883600</v>
      </c>
      <c r="Z493" s="812">
        <f t="shared" si="30"/>
        <v>7553</v>
      </c>
    </row>
    <row r="494" spans="1:26" ht="27" customHeight="1">
      <c r="A494" s="531">
        <v>3214</v>
      </c>
      <c r="B494" s="531">
        <v>909</v>
      </c>
      <c r="C494" s="529">
        <v>9</v>
      </c>
      <c r="D494" s="1027" t="s">
        <v>32</v>
      </c>
      <c r="E494" s="1028" t="s">
        <v>1445</v>
      </c>
      <c r="F494" s="547"/>
      <c r="G494" s="547"/>
      <c r="H494" s="547"/>
      <c r="I494" s="547"/>
      <c r="J494" s="547"/>
      <c r="K494" s="547"/>
      <c r="L494" s="547"/>
      <c r="M494" s="547"/>
      <c r="N494" s="547"/>
      <c r="O494" s="547"/>
      <c r="P494" s="547"/>
      <c r="Q494" s="547"/>
      <c r="R494" s="547"/>
      <c r="S494" s="989">
        <f t="shared" si="28"/>
        <v>0</v>
      </c>
      <c r="T494" s="547">
        <v>0</v>
      </c>
      <c r="U494" s="989">
        <f t="shared" si="31"/>
        <v>0</v>
      </c>
      <c r="V494" s="547">
        <v>0</v>
      </c>
      <c r="W494" s="566"/>
      <c r="X494" s="567"/>
      <c r="Y494" s="989">
        <f t="shared" si="29"/>
        <v>0</v>
      </c>
      <c r="Z494" s="812">
        <f t="shared" si="30"/>
        <v>0</v>
      </c>
    </row>
    <row r="495" spans="1:26" ht="27" customHeight="1">
      <c r="A495" s="531"/>
      <c r="B495" s="531">
        <v>601</v>
      </c>
      <c r="C495" s="529">
        <v>6</v>
      </c>
      <c r="D495" s="1027" t="s">
        <v>34</v>
      </c>
      <c r="E495" s="1028" t="s">
        <v>35</v>
      </c>
      <c r="F495" s="547"/>
      <c r="G495" s="547"/>
      <c r="H495" s="547"/>
      <c r="I495" s="547"/>
      <c r="J495" s="547"/>
      <c r="K495" s="547"/>
      <c r="L495" s="547"/>
      <c r="M495" s="547"/>
      <c r="N495" s="547"/>
      <c r="O495" s="547"/>
      <c r="P495" s="547"/>
      <c r="Q495" s="547"/>
      <c r="R495" s="547"/>
      <c r="S495" s="989">
        <f t="shared" si="28"/>
        <v>0</v>
      </c>
      <c r="T495" s="547">
        <v>0</v>
      </c>
      <c r="U495" s="989">
        <f t="shared" si="31"/>
        <v>0</v>
      </c>
      <c r="V495" s="547">
        <v>0</v>
      </c>
      <c r="W495" s="566"/>
      <c r="X495" s="567"/>
      <c r="Y495" s="989">
        <f t="shared" si="29"/>
        <v>0</v>
      </c>
      <c r="Z495" s="812">
        <f t="shared" si="30"/>
        <v>0</v>
      </c>
    </row>
    <row r="496" spans="1:26" ht="27" customHeight="1">
      <c r="A496" s="531"/>
      <c r="B496" s="531">
        <v>301</v>
      </c>
      <c r="C496" s="529">
        <v>3</v>
      </c>
      <c r="D496" s="1027" t="s">
        <v>36</v>
      </c>
      <c r="E496" s="1028" t="s">
        <v>37</v>
      </c>
      <c r="F496" s="547">
        <v>3188529209</v>
      </c>
      <c r="G496" s="547"/>
      <c r="H496" s="547"/>
      <c r="I496" s="547"/>
      <c r="J496" s="547"/>
      <c r="K496" s="547"/>
      <c r="L496" s="547"/>
      <c r="M496" s="547"/>
      <c r="N496" s="547"/>
      <c r="O496" s="547"/>
      <c r="P496" s="547"/>
      <c r="Q496" s="547"/>
      <c r="R496" s="547"/>
      <c r="S496" s="989">
        <f t="shared" si="28"/>
        <v>3188529209</v>
      </c>
      <c r="T496" s="547">
        <v>12210460244</v>
      </c>
      <c r="U496" s="989">
        <f t="shared" si="31"/>
        <v>3189</v>
      </c>
      <c r="V496" s="547">
        <v>12210</v>
      </c>
      <c r="W496" s="566"/>
      <c r="X496" s="567"/>
      <c r="Y496" s="989">
        <f t="shared" si="29"/>
        <v>3188529209</v>
      </c>
      <c r="Z496" s="812">
        <f t="shared" si="30"/>
        <v>3189</v>
      </c>
    </row>
    <row r="497" spans="1:26" ht="27" customHeight="1">
      <c r="A497" s="531"/>
      <c r="B497" s="531">
        <v>301</v>
      </c>
      <c r="C497" s="529">
        <v>3</v>
      </c>
      <c r="D497" s="1027" t="s">
        <v>1691</v>
      </c>
      <c r="E497" s="1028" t="s">
        <v>1692</v>
      </c>
      <c r="F497" s="547">
        <v>681023011099</v>
      </c>
      <c r="G497" s="547">
        <v>-2999940</v>
      </c>
      <c r="H497" s="547"/>
      <c r="I497" s="547"/>
      <c r="J497" s="547"/>
      <c r="K497" s="547"/>
      <c r="L497" s="547"/>
      <c r="M497" s="547"/>
      <c r="N497" s="547">
        <v>1251062556</v>
      </c>
      <c r="O497" s="547"/>
      <c r="P497" s="547"/>
      <c r="Q497" s="547"/>
      <c r="R497" s="547"/>
      <c r="S497" s="989">
        <f t="shared" si="28"/>
        <v>682271073715</v>
      </c>
      <c r="T497" s="547">
        <v>103409014184</v>
      </c>
      <c r="U497" s="989">
        <f t="shared" si="31"/>
        <v>682271</v>
      </c>
      <c r="V497" s="547">
        <v>103409</v>
      </c>
      <c r="W497" s="566"/>
      <c r="X497" s="567"/>
      <c r="Y497" s="989">
        <f t="shared" si="29"/>
        <v>682271073715</v>
      </c>
      <c r="Z497" s="812">
        <f t="shared" si="30"/>
        <v>682271</v>
      </c>
    </row>
    <row r="498" spans="1:26" ht="27" customHeight="1">
      <c r="A498" s="531"/>
      <c r="B498" s="531">
        <v>301</v>
      </c>
      <c r="C498" s="529">
        <v>3</v>
      </c>
      <c r="D498" s="1027">
        <v>90007112</v>
      </c>
      <c r="E498" s="1028" t="s">
        <v>1757</v>
      </c>
      <c r="F498" s="547"/>
      <c r="G498" s="547"/>
      <c r="H498" s="547"/>
      <c r="I498" s="547"/>
      <c r="J498" s="547"/>
      <c r="K498" s="547"/>
      <c r="L498" s="547"/>
      <c r="M498" s="547"/>
      <c r="N498" s="547"/>
      <c r="O498" s="547"/>
      <c r="P498" s="547"/>
      <c r="Q498" s="547"/>
      <c r="R498" s="547"/>
      <c r="S498" s="989">
        <f t="shared" si="28"/>
        <v>0</v>
      </c>
      <c r="T498" s="547"/>
      <c r="U498" s="989">
        <f t="shared" si="31"/>
        <v>0</v>
      </c>
      <c r="V498" s="547"/>
      <c r="W498" s="566"/>
      <c r="X498" s="567"/>
      <c r="Y498" s="989">
        <f t="shared" si="29"/>
        <v>0</v>
      </c>
      <c r="Z498" s="812">
        <f t="shared" si="30"/>
        <v>0</v>
      </c>
    </row>
    <row r="499" spans="1:26" ht="27" customHeight="1">
      <c r="A499" s="531"/>
      <c r="B499" s="531">
        <v>301</v>
      </c>
      <c r="C499" s="529">
        <v>3</v>
      </c>
      <c r="D499" s="1027" t="s">
        <v>1693</v>
      </c>
      <c r="E499" s="1028" t="s">
        <v>1694</v>
      </c>
      <c r="F499" s="547"/>
      <c r="G499" s="547"/>
      <c r="H499" s="547"/>
      <c r="I499" s="547"/>
      <c r="J499" s="547"/>
      <c r="K499" s="547"/>
      <c r="L499" s="547"/>
      <c r="M499" s="547"/>
      <c r="N499" s="547"/>
      <c r="O499" s="547"/>
      <c r="P499" s="547"/>
      <c r="Q499" s="547"/>
      <c r="R499" s="547"/>
      <c r="S499" s="989">
        <f t="shared" si="28"/>
        <v>0</v>
      </c>
      <c r="T499" s="547">
        <v>1685783421</v>
      </c>
      <c r="U499" s="989">
        <f t="shared" si="31"/>
        <v>0</v>
      </c>
      <c r="V499" s="547">
        <v>1686</v>
      </c>
      <c r="W499" s="566"/>
      <c r="X499" s="567"/>
      <c r="Y499" s="989">
        <f t="shared" si="29"/>
        <v>0</v>
      </c>
      <c r="Z499" s="812">
        <f t="shared" si="30"/>
        <v>0</v>
      </c>
    </row>
    <row r="500" spans="1:26" ht="27" customHeight="1">
      <c r="A500" s="531"/>
      <c r="B500" s="531">
        <v>301</v>
      </c>
      <c r="C500" s="529">
        <v>3</v>
      </c>
      <c r="D500" s="1027" t="s">
        <v>1596</v>
      </c>
      <c r="E500" s="1028" t="s">
        <v>37</v>
      </c>
      <c r="F500" s="547">
        <v>1251062556</v>
      </c>
      <c r="G500" s="547"/>
      <c r="H500" s="547"/>
      <c r="I500" s="547"/>
      <c r="J500" s="547"/>
      <c r="K500" s="547"/>
      <c r="L500" s="547"/>
      <c r="M500" s="547"/>
      <c r="N500" s="547">
        <v>-1251062556</v>
      </c>
      <c r="O500" s="547"/>
      <c r="P500" s="547"/>
      <c r="Q500" s="547"/>
      <c r="R500" s="547"/>
      <c r="S500" s="989">
        <f t="shared" si="28"/>
        <v>0</v>
      </c>
      <c r="T500" s="547">
        <v>9484517303</v>
      </c>
      <c r="U500" s="989">
        <f t="shared" si="31"/>
        <v>0</v>
      </c>
      <c r="V500" s="547">
        <v>9485</v>
      </c>
      <c r="W500" s="566"/>
      <c r="X500" s="567"/>
      <c r="Y500" s="989">
        <f t="shared" si="29"/>
        <v>0</v>
      </c>
      <c r="Z500" s="812">
        <f t="shared" si="30"/>
        <v>0</v>
      </c>
    </row>
    <row r="501" spans="1:26" ht="27" customHeight="1">
      <c r="A501" s="531"/>
      <c r="B501" s="531">
        <v>301</v>
      </c>
      <c r="C501" s="529">
        <v>3</v>
      </c>
      <c r="D501" s="1027" t="s">
        <v>38</v>
      </c>
      <c r="E501" s="1028" t="s">
        <v>624</v>
      </c>
      <c r="F501" s="547"/>
      <c r="G501" s="547"/>
      <c r="H501" s="547"/>
      <c r="I501" s="547"/>
      <c r="J501" s="547"/>
      <c r="K501" s="547"/>
      <c r="L501" s="547"/>
      <c r="M501" s="547"/>
      <c r="N501" s="547"/>
      <c r="O501" s="547"/>
      <c r="P501" s="547"/>
      <c r="Q501" s="547"/>
      <c r="R501" s="547"/>
      <c r="S501" s="989">
        <f t="shared" si="28"/>
        <v>0</v>
      </c>
      <c r="T501" s="547">
        <v>0</v>
      </c>
      <c r="U501" s="989">
        <f t="shared" si="31"/>
        <v>0</v>
      </c>
      <c r="V501" s="547">
        <v>0</v>
      </c>
      <c r="W501" s="566"/>
      <c r="X501" s="567"/>
      <c r="Y501" s="989">
        <f t="shared" si="29"/>
        <v>0</v>
      </c>
      <c r="Z501" s="812">
        <f t="shared" si="30"/>
        <v>0</v>
      </c>
    </row>
    <row r="502" spans="1:26" ht="27" customHeight="1">
      <c r="A502" s="531"/>
      <c r="B502" s="531"/>
      <c r="C502" s="529">
        <v>15</v>
      </c>
      <c r="D502" s="1027" t="s">
        <v>733</v>
      </c>
      <c r="E502" s="1028" t="s">
        <v>735</v>
      </c>
      <c r="F502" s="547">
        <v>15994882060344</v>
      </c>
      <c r="G502" s="547">
        <v>5601984335</v>
      </c>
      <c r="H502" s="547">
        <v>-1624519867833</v>
      </c>
      <c r="I502" s="547">
        <v>993491306803</v>
      </c>
      <c r="J502" s="547">
        <v>150039421295</v>
      </c>
      <c r="K502" s="547">
        <v>1162600772</v>
      </c>
      <c r="L502" s="547"/>
      <c r="M502" s="547"/>
      <c r="N502" s="547"/>
      <c r="O502" s="547"/>
      <c r="P502" s="547">
        <v>-114220410557</v>
      </c>
      <c r="Q502" s="547">
        <v>100129310330</v>
      </c>
      <c r="R502" s="547">
        <v>114220410557</v>
      </c>
      <c r="S502" s="989">
        <f t="shared" si="28"/>
        <v>15620786816046</v>
      </c>
      <c r="T502" s="547">
        <v>0</v>
      </c>
      <c r="U502" s="989">
        <f t="shared" si="31"/>
        <v>15620787</v>
      </c>
      <c r="V502" s="547">
        <v>14605780</v>
      </c>
      <c r="W502" s="566"/>
      <c r="X502" s="566">
        <v>15620786816046</v>
      </c>
      <c r="Y502" s="989">
        <f t="shared" si="29"/>
        <v>31241573632092</v>
      </c>
      <c r="Z502" s="812">
        <f t="shared" si="30"/>
        <v>31241574</v>
      </c>
    </row>
    <row r="503" spans="1:26" ht="27" customHeight="1">
      <c r="A503" s="531"/>
      <c r="B503" s="531"/>
      <c r="C503" s="529">
        <v>15</v>
      </c>
      <c r="D503" s="1027" t="s">
        <v>1695</v>
      </c>
      <c r="E503" s="1028" t="s">
        <v>1696</v>
      </c>
      <c r="F503" s="547">
        <v>250000000</v>
      </c>
      <c r="G503" s="547"/>
      <c r="H503" s="683">
        <v>200000000</v>
      </c>
      <c r="I503" s="547"/>
      <c r="J503" s="547"/>
      <c r="K503" s="547"/>
      <c r="L503" s="547"/>
      <c r="M503" s="547"/>
      <c r="N503" s="547"/>
      <c r="O503" s="547"/>
      <c r="P503" s="547"/>
      <c r="Q503" s="547"/>
      <c r="R503" s="547"/>
      <c r="S503" s="989">
        <f t="shared" si="28"/>
        <v>450000000</v>
      </c>
      <c r="T503" s="547"/>
      <c r="U503" s="989">
        <f t="shared" si="31"/>
        <v>450</v>
      </c>
      <c r="V503" s="547"/>
      <c r="W503" s="566"/>
      <c r="X503" s="566">
        <v>450000000</v>
      </c>
      <c r="Y503" s="989">
        <f t="shared" si="29"/>
        <v>900000000</v>
      </c>
      <c r="Z503" s="812">
        <f t="shared" si="30"/>
        <v>900</v>
      </c>
    </row>
    <row r="504" spans="1:26" ht="27" customHeight="1">
      <c r="A504" s="531"/>
      <c r="B504" s="531">
        <v>205</v>
      </c>
      <c r="C504" s="529">
        <v>17</v>
      </c>
      <c r="D504" s="1027" t="s">
        <v>734</v>
      </c>
      <c r="E504" s="1028" t="s">
        <v>903</v>
      </c>
      <c r="F504" s="547">
        <v>105443617498</v>
      </c>
      <c r="G504" s="547">
        <v>-3067067861</v>
      </c>
      <c r="H504" s="547"/>
      <c r="I504" s="547">
        <v>11451127</v>
      </c>
      <c r="J504" s="547">
        <v>4535739736</v>
      </c>
      <c r="K504" s="547">
        <v>-3635127300</v>
      </c>
      <c r="L504" s="547"/>
      <c r="M504" s="547"/>
      <c r="N504" s="547"/>
      <c r="O504" s="547"/>
      <c r="P504" s="547">
        <f>4335482750+1578489954+85327103650+2349455254+5398000000+6755481696+8476397253</f>
        <v>114220410557</v>
      </c>
      <c r="Q504" s="547">
        <v>-100129310330</v>
      </c>
      <c r="R504" s="547">
        <v>-114220410557</v>
      </c>
      <c r="S504" s="989">
        <f t="shared" si="28"/>
        <v>3159302870</v>
      </c>
      <c r="T504" s="547">
        <v>0</v>
      </c>
      <c r="U504" s="989">
        <f t="shared" si="31"/>
        <v>3159</v>
      </c>
      <c r="V504" s="547">
        <v>311598</v>
      </c>
      <c r="W504" s="566">
        <v>0</v>
      </c>
      <c r="X504" s="566">
        <v>3159302870</v>
      </c>
      <c r="Y504" s="989">
        <f t="shared" si="29"/>
        <v>6318605740</v>
      </c>
      <c r="Z504" s="812">
        <f t="shared" si="30"/>
        <v>6319</v>
      </c>
    </row>
    <row r="505" spans="1:26" ht="27" customHeight="1">
      <c r="A505" s="531"/>
      <c r="B505" s="531">
        <v>202</v>
      </c>
      <c r="C505" s="529">
        <v>16</v>
      </c>
      <c r="D505" s="1027" t="s">
        <v>905</v>
      </c>
      <c r="E505" s="1028" t="s">
        <v>904</v>
      </c>
      <c r="F505" s="547">
        <v>-155707569347</v>
      </c>
      <c r="G505" s="547">
        <v>-3457884432</v>
      </c>
      <c r="H505" s="547">
        <v>-10648224</v>
      </c>
      <c r="I505" s="547">
        <v>-3416879341</v>
      </c>
      <c r="J505" s="547"/>
      <c r="K505" s="547"/>
      <c r="L505" s="547"/>
      <c r="M505" s="547"/>
      <c r="N505" s="547"/>
      <c r="O505" s="547"/>
      <c r="P505" s="547"/>
      <c r="Q505" s="547"/>
      <c r="R505" s="547"/>
      <c r="S505" s="989">
        <f t="shared" si="28"/>
        <v>-162592981344</v>
      </c>
      <c r="T505" s="547">
        <v>0</v>
      </c>
      <c r="U505" s="989">
        <f t="shared" si="31"/>
        <v>-162593</v>
      </c>
      <c r="V505" s="547">
        <v>-29370</v>
      </c>
      <c r="W505" s="566">
        <v>162592981344</v>
      </c>
      <c r="X505" s="566"/>
      <c r="Y505" s="989">
        <f t="shared" si="29"/>
        <v>-325185962688</v>
      </c>
      <c r="Z505" s="812">
        <f t="shared" si="30"/>
        <v>-325186</v>
      </c>
    </row>
    <row r="506" spans="1:26" ht="27" customHeight="1">
      <c r="A506" s="531">
        <v>7</v>
      </c>
      <c r="B506" s="531">
        <v>10040</v>
      </c>
      <c r="C506" s="529">
        <v>4</v>
      </c>
      <c r="D506" s="1027" t="s">
        <v>608</v>
      </c>
      <c r="E506" s="1028" t="s">
        <v>609</v>
      </c>
      <c r="F506" s="547">
        <v>-12290781199416</v>
      </c>
      <c r="G506" s="547">
        <v>-217460456307</v>
      </c>
      <c r="H506" s="547">
        <v>-310980246835</v>
      </c>
      <c r="I506" s="547">
        <v>504726548</v>
      </c>
      <c r="J506" s="547"/>
      <c r="K506" s="547">
        <f>12589930635517-33935000</f>
        <v>12589896700517</v>
      </c>
      <c r="L506" s="547"/>
      <c r="M506" s="547">
        <f>-1074925224-898436586-59120887</f>
        <v>-2032482697</v>
      </c>
      <c r="N506" s="547">
        <v>-1050610660</v>
      </c>
      <c r="O506" s="547"/>
      <c r="P506" s="547"/>
      <c r="Q506" s="547"/>
      <c r="R506" s="547"/>
      <c r="S506" s="989">
        <f t="shared" si="28"/>
        <v>-231903568850</v>
      </c>
      <c r="T506" s="547">
        <v>0</v>
      </c>
      <c r="U506" s="989">
        <f t="shared" si="31"/>
        <v>-231904</v>
      </c>
      <c r="V506" s="547">
        <v>0</v>
      </c>
      <c r="W506" s="566"/>
      <c r="X506" s="566"/>
      <c r="Y506" s="989">
        <f t="shared" si="29"/>
        <v>-231903568850</v>
      </c>
      <c r="Z506" s="812">
        <f t="shared" si="30"/>
        <v>-231904</v>
      </c>
    </row>
    <row r="507" spans="1:26" ht="27" customHeight="1">
      <c r="A507" s="531"/>
      <c r="B507" s="531">
        <v>201</v>
      </c>
      <c r="C507" s="529">
        <v>16</v>
      </c>
      <c r="D507" s="1027" t="s">
        <v>737</v>
      </c>
      <c r="E507" s="1028" t="s">
        <v>736</v>
      </c>
      <c r="F507" s="547">
        <v>-166164600165</v>
      </c>
      <c r="G507" s="547">
        <v>467144800</v>
      </c>
      <c r="H507" s="547"/>
      <c r="I507" s="547"/>
      <c r="J507" s="547"/>
      <c r="K507" s="547"/>
      <c r="L507" s="547"/>
      <c r="M507" s="547"/>
      <c r="N507" s="547"/>
      <c r="O507" s="547"/>
      <c r="P507" s="547"/>
      <c r="Q507" s="547"/>
      <c r="R507" s="547"/>
      <c r="S507" s="989">
        <f t="shared" si="28"/>
        <v>-165697455365</v>
      </c>
      <c r="T507" s="547">
        <v>0</v>
      </c>
      <c r="U507" s="989">
        <f t="shared" si="31"/>
        <v>-165697</v>
      </c>
      <c r="V507" s="547">
        <v>-238097</v>
      </c>
      <c r="W507" s="566">
        <v>165697455365</v>
      </c>
      <c r="X507" s="566"/>
      <c r="Y507" s="989">
        <f t="shared" si="29"/>
        <v>-331394910730</v>
      </c>
      <c r="Z507" s="812">
        <f t="shared" si="30"/>
        <v>-331395</v>
      </c>
    </row>
    <row r="508" spans="1:26" ht="27" customHeight="1">
      <c r="A508" s="531"/>
      <c r="B508" s="531"/>
      <c r="C508" s="529">
        <v>14</v>
      </c>
      <c r="D508" s="1027" t="s">
        <v>906</v>
      </c>
      <c r="E508" s="1028" t="s">
        <v>907</v>
      </c>
      <c r="F508" s="547">
        <v>-6230471029577</v>
      </c>
      <c r="G508" s="547">
        <v>-556066504540</v>
      </c>
      <c r="H508" s="547"/>
      <c r="I508" s="547"/>
      <c r="J508" s="547"/>
      <c r="K508" s="547"/>
      <c r="L508" s="547">
        <v>539117467664</v>
      </c>
      <c r="M508" s="547"/>
      <c r="N508" s="547">
        <f>-661796186-1303845</f>
        <v>-663100031</v>
      </c>
      <c r="O508" s="547"/>
      <c r="P508" s="547"/>
      <c r="Q508" s="547"/>
      <c r="R508" s="547"/>
      <c r="S508" s="989">
        <f t="shared" si="28"/>
        <v>-6248083166484</v>
      </c>
      <c r="T508" s="547">
        <v>0</v>
      </c>
      <c r="U508" s="989">
        <f t="shared" si="31"/>
        <v>-6248083</v>
      </c>
      <c r="V508" s="547">
        <v>-7091749</v>
      </c>
      <c r="W508" s="566">
        <v>6248083166484</v>
      </c>
      <c r="X508" s="566"/>
      <c r="Y508" s="989">
        <f t="shared" si="29"/>
        <v>-12496166332968</v>
      </c>
      <c r="Z508" s="812">
        <f t="shared" si="30"/>
        <v>-12496166</v>
      </c>
    </row>
    <row r="509" spans="1:26" ht="27" customHeight="1">
      <c r="A509" s="531"/>
      <c r="B509" s="531"/>
      <c r="C509" s="529">
        <v>14</v>
      </c>
      <c r="D509" s="1027" t="s">
        <v>908</v>
      </c>
      <c r="E509" s="1028" t="s">
        <v>909</v>
      </c>
      <c r="F509" s="547">
        <v>-6771049281636</v>
      </c>
      <c r="G509" s="547">
        <v>-585692891813</v>
      </c>
      <c r="H509" s="547"/>
      <c r="I509" s="547">
        <v>-218995879</v>
      </c>
      <c r="J509" s="547"/>
      <c r="K509" s="547"/>
      <c r="L509" s="547">
        <v>-457822324325</v>
      </c>
      <c r="M509" s="547"/>
      <c r="N509" s="547">
        <f>-3466579000+8107914598</f>
        <v>4641335598</v>
      </c>
      <c r="O509" s="547"/>
      <c r="P509" s="547"/>
      <c r="Q509" s="547"/>
      <c r="R509" s="547"/>
      <c r="S509" s="989">
        <f t="shared" si="28"/>
        <v>-7810142158055</v>
      </c>
      <c r="T509" s="547">
        <v>0</v>
      </c>
      <c r="U509" s="989">
        <f t="shared" si="31"/>
        <v>-7810142</v>
      </c>
      <c r="V509" s="547">
        <v>-7235963</v>
      </c>
      <c r="W509" s="566">
        <v>7810142158055</v>
      </c>
      <c r="X509" s="566"/>
      <c r="Y509" s="989">
        <f t="shared" si="29"/>
        <v>-15620284316110</v>
      </c>
      <c r="Z509" s="812">
        <f t="shared" si="30"/>
        <v>-15620284</v>
      </c>
    </row>
    <row r="510" spans="1:26" ht="27" customHeight="1">
      <c r="A510" s="531"/>
      <c r="B510" s="531">
        <v>203</v>
      </c>
      <c r="C510" s="529">
        <v>16</v>
      </c>
      <c r="D510" s="1027" t="s">
        <v>738</v>
      </c>
      <c r="E510" s="1028" t="s">
        <v>910</v>
      </c>
      <c r="F510" s="547">
        <v>-5000000</v>
      </c>
      <c r="G510" s="547"/>
      <c r="H510" s="547"/>
      <c r="I510" s="547"/>
      <c r="J510" s="547"/>
      <c r="K510" s="547"/>
      <c r="L510" s="547"/>
      <c r="M510" s="547"/>
      <c r="N510" s="547"/>
      <c r="O510" s="547"/>
      <c r="P510" s="547"/>
      <c r="Q510" s="547"/>
      <c r="R510" s="547"/>
      <c r="S510" s="989">
        <f t="shared" si="28"/>
        <v>-5000000</v>
      </c>
      <c r="T510" s="547">
        <v>0</v>
      </c>
      <c r="U510" s="989">
        <f t="shared" si="31"/>
        <v>-5</v>
      </c>
      <c r="V510" s="547">
        <v>-220</v>
      </c>
      <c r="W510" s="566">
        <v>5000000</v>
      </c>
      <c r="X510" s="566"/>
      <c r="Y510" s="989">
        <f t="shared" si="29"/>
        <v>-10000000</v>
      </c>
      <c r="Z510" s="812">
        <f t="shared" si="30"/>
        <v>-10</v>
      </c>
    </row>
    <row r="511" spans="1:26" ht="27" customHeight="1">
      <c r="A511" s="531"/>
      <c r="B511" s="1281">
        <v>406</v>
      </c>
      <c r="C511" s="1021">
        <v>4</v>
      </c>
      <c r="D511" s="1027" t="s">
        <v>586</v>
      </c>
      <c r="E511" s="1028" t="s">
        <v>587</v>
      </c>
      <c r="F511" s="547">
        <v>-1639168871</v>
      </c>
      <c r="G511" s="547">
        <v>1330698653</v>
      </c>
      <c r="H511" s="547"/>
      <c r="I511" s="547">
        <v>2785434531</v>
      </c>
      <c r="J511" s="547">
        <v>-11073544234</v>
      </c>
      <c r="K511" s="547">
        <v>302890245</v>
      </c>
      <c r="L511" s="547"/>
      <c r="M511" s="547">
        <f>31036323838-320509320+11073544234-5000000000+15780975-15363405</f>
        <v>36789776322</v>
      </c>
      <c r="N511" s="547">
        <v>165620000</v>
      </c>
      <c r="O511" s="547"/>
      <c r="P511" s="547"/>
      <c r="Q511" s="547"/>
      <c r="R511" s="547"/>
      <c r="S511" s="989">
        <f t="shared" si="28"/>
        <v>28661706646</v>
      </c>
      <c r="T511" s="547">
        <v>10833693799</v>
      </c>
      <c r="U511" s="989">
        <f t="shared" si="31"/>
        <v>28662</v>
      </c>
      <c r="V511" s="547">
        <v>10834</v>
      </c>
      <c r="W511" s="566"/>
      <c r="X511" s="566"/>
      <c r="Y511" s="989">
        <f t="shared" si="29"/>
        <v>28661706646</v>
      </c>
      <c r="Z511" s="812">
        <f t="shared" si="30"/>
        <v>28662</v>
      </c>
    </row>
    <row r="512" spans="1:26" ht="27" customHeight="1">
      <c r="A512" s="531"/>
      <c r="B512" s="531">
        <v>1011</v>
      </c>
      <c r="C512" s="529">
        <v>10</v>
      </c>
      <c r="D512" s="1027" t="s">
        <v>588</v>
      </c>
      <c r="E512" s="1028" t="s">
        <v>468</v>
      </c>
      <c r="F512" s="547">
        <v>-10044251519</v>
      </c>
      <c r="G512" s="547"/>
      <c r="H512" s="547"/>
      <c r="I512" s="547"/>
      <c r="J512" s="547"/>
      <c r="K512" s="547"/>
      <c r="L512" s="547"/>
      <c r="M512" s="547"/>
      <c r="N512" s="547"/>
      <c r="O512" s="547"/>
      <c r="P512" s="547"/>
      <c r="Q512" s="547"/>
      <c r="R512" s="547"/>
      <c r="S512" s="989">
        <f t="shared" si="28"/>
        <v>-10044251519</v>
      </c>
      <c r="T512" s="547">
        <v>-9751742213</v>
      </c>
      <c r="U512" s="989">
        <f t="shared" si="31"/>
        <v>-10044</v>
      </c>
      <c r="V512" s="547">
        <v>-9752</v>
      </c>
      <c r="W512" s="566"/>
      <c r="X512" s="566"/>
      <c r="Y512" s="989">
        <f t="shared" si="29"/>
        <v>-10044251519</v>
      </c>
      <c r="Z512" s="812">
        <f t="shared" si="30"/>
        <v>-10044</v>
      </c>
    </row>
    <row r="513" spans="1:26" ht="27" customHeight="1">
      <c r="A513" s="531"/>
      <c r="B513" s="531">
        <v>204</v>
      </c>
      <c r="C513" s="529">
        <v>14</v>
      </c>
      <c r="D513" s="1027" t="s">
        <v>747</v>
      </c>
      <c r="E513" s="1028" t="s">
        <v>746</v>
      </c>
      <c r="F513" s="547">
        <v>-49032621968</v>
      </c>
      <c r="G513" s="547">
        <v>-2645330280</v>
      </c>
      <c r="H513" s="547"/>
      <c r="I513" s="547">
        <v>117120000</v>
      </c>
      <c r="J513" s="547"/>
      <c r="K513" s="547">
        <v>144000000</v>
      </c>
      <c r="L513" s="547"/>
      <c r="M513" s="547"/>
      <c r="N513" s="547"/>
      <c r="O513" s="547"/>
      <c r="P513" s="547"/>
      <c r="Q513" s="547"/>
      <c r="R513" s="547"/>
      <c r="S513" s="989">
        <f t="shared" si="28"/>
        <v>-51416832248</v>
      </c>
      <c r="T513" s="547">
        <v>0</v>
      </c>
      <c r="U513" s="989">
        <f t="shared" si="31"/>
        <v>-51417</v>
      </c>
      <c r="V513" s="547">
        <v>-43464</v>
      </c>
      <c r="W513" s="566">
        <v>51416832248</v>
      </c>
      <c r="X513" s="566"/>
      <c r="Y513" s="989">
        <f t="shared" si="29"/>
        <v>-102833664496</v>
      </c>
      <c r="Z513" s="812">
        <f t="shared" si="30"/>
        <v>-102834</v>
      </c>
    </row>
    <row r="514" spans="1:26" ht="27" customHeight="1">
      <c r="A514" s="531"/>
      <c r="B514" s="531"/>
      <c r="C514" s="529">
        <v>18</v>
      </c>
      <c r="D514" s="1027" t="s">
        <v>852</v>
      </c>
      <c r="E514" s="1028" t="s">
        <v>1040</v>
      </c>
      <c r="F514" s="547"/>
      <c r="G514" s="547"/>
      <c r="H514" s="547"/>
      <c r="I514" s="547"/>
      <c r="J514" s="547"/>
      <c r="K514" s="547"/>
      <c r="L514" s="547"/>
      <c r="M514" s="547"/>
      <c r="N514" s="547"/>
      <c r="O514" s="547"/>
      <c r="P514" s="547"/>
      <c r="Q514" s="547"/>
      <c r="R514" s="547"/>
      <c r="S514" s="989">
        <f t="shared" si="28"/>
        <v>0</v>
      </c>
      <c r="T514" s="547">
        <v>0</v>
      </c>
      <c r="U514" s="989">
        <f t="shared" si="31"/>
        <v>0</v>
      </c>
      <c r="V514" s="547">
        <v>0</v>
      </c>
      <c r="W514" s="566"/>
      <c r="X514" s="566"/>
      <c r="Y514" s="989">
        <f t="shared" si="29"/>
        <v>0</v>
      </c>
      <c r="Z514" s="812">
        <f t="shared" si="30"/>
        <v>0</v>
      </c>
    </row>
    <row r="515" spans="1:26" ht="27" customHeight="1">
      <c r="A515" s="531"/>
      <c r="B515" s="531"/>
      <c r="C515" s="529">
        <v>18</v>
      </c>
      <c r="D515" s="1027" t="s">
        <v>613</v>
      </c>
      <c r="E515" s="1028" t="s">
        <v>614</v>
      </c>
      <c r="F515" s="547">
        <v>1342286854990</v>
      </c>
      <c r="G515" s="547"/>
      <c r="H515" s="547"/>
      <c r="I515" s="547"/>
      <c r="J515" s="547"/>
      <c r="K515" s="547"/>
      <c r="L515" s="547"/>
      <c r="M515" s="547"/>
      <c r="N515" s="547"/>
      <c r="O515" s="547"/>
      <c r="P515" s="547"/>
      <c r="Q515" s="547"/>
      <c r="R515" s="547"/>
      <c r="S515" s="989">
        <f t="shared" si="28"/>
        <v>1342286854990</v>
      </c>
      <c r="T515" s="547">
        <v>1358827784882</v>
      </c>
      <c r="U515" s="989">
        <f t="shared" si="31"/>
        <v>1342287</v>
      </c>
      <c r="V515" s="547">
        <v>1055500</v>
      </c>
      <c r="W515" s="566">
        <f>3159302870+1183299222550</f>
        <v>1186458525420</v>
      </c>
      <c r="X515" s="566"/>
      <c r="Y515" s="989">
        <f t="shared" si="29"/>
        <v>155828329570</v>
      </c>
      <c r="Z515" s="812">
        <f t="shared" si="30"/>
        <v>155828</v>
      </c>
    </row>
    <row r="516" spans="1:26" ht="27" customHeight="1">
      <c r="A516" s="531"/>
      <c r="B516" s="531">
        <v>406</v>
      </c>
      <c r="C516" s="529">
        <v>4</v>
      </c>
      <c r="D516" s="1027" t="s">
        <v>1257</v>
      </c>
      <c r="E516" s="1028" t="s">
        <v>1029</v>
      </c>
      <c r="F516" s="547">
        <v>2245937422</v>
      </c>
      <c r="G516" s="547">
        <v>-617995912</v>
      </c>
      <c r="H516" s="547">
        <v>-1626351510</v>
      </c>
      <c r="I516" s="547">
        <v>-1590000</v>
      </c>
      <c r="J516" s="547"/>
      <c r="K516" s="547"/>
      <c r="L516" s="547"/>
      <c r="M516" s="547"/>
      <c r="N516" s="547"/>
      <c r="O516" s="547"/>
      <c r="P516" s="547"/>
      <c r="Q516" s="547"/>
      <c r="R516" s="547"/>
      <c r="S516" s="989">
        <f t="shared" si="28"/>
        <v>0</v>
      </c>
      <c r="T516" s="547">
        <v>0</v>
      </c>
      <c r="U516" s="989">
        <f t="shared" si="31"/>
        <v>0</v>
      </c>
      <c r="V516" s="547">
        <v>0</v>
      </c>
      <c r="W516" s="566"/>
      <c r="X516" s="567"/>
      <c r="Y516" s="989">
        <f t="shared" si="29"/>
        <v>0</v>
      </c>
      <c r="Z516" s="812">
        <f t="shared" si="30"/>
        <v>0</v>
      </c>
    </row>
    <row r="517" spans="1:26" ht="27" customHeight="1">
      <c r="A517" s="531"/>
      <c r="B517" s="531">
        <v>1018</v>
      </c>
      <c r="C517" s="529">
        <v>10</v>
      </c>
      <c r="D517" s="1027" t="s">
        <v>1157</v>
      </c>
      <c r="E517" s="1028" t="s">
        <v>956</v>
      </c>
      <c r="F517" s="683">
        <v>2739314926</v>
      </c>
      <c r="G517" s="547">
        <v>-2739314926</v>
      </c>
      <c r="H517" s="547">
        <v>651291969</v>
      </c>
      <c r="I517" s="547">
        <v>-651291969</v>
      </c>
      <c r="J517" s="547"/>
      <c r="K517" s="547"/>
      <c r="L517" s="547"/>
      <c r="M517" s="547"/>
      <c r="N517" s="547"/>
      <c r="O517" s="547"/>
      <c r="P517" s="547"/>
      <c r="Q517" s="547"/>
      <c r="R517" s="547"/>
      <c r="S517" s="989">
        <f t="shared" si="28"/>
        <v>0</v>
      </c>
      <c r="T517" s="547">
        <v>0</v>
      </c>
      <c r="U517" s="989">
        <f t="shared" si="31"/>
        <v>0</v>
      </c>
      <c r="V517" s="547">
        <v>0</v>
      </c>
      <c r="W517" s="566"/>
      <c r="X517" s="567"/>
      <c r="Y517" s="989">
        <f t="shared" si="29"/>
        <v>0</v>
      </c>
      <c r="Z517" s="812">
        <f t="shared" si="30"/>
        <v>0</v>
      </c>
    </row>
    <row r="518" spans="1:26" ht="27" customHeight="1">
      <c r="A518" s="531"/>
      <c r="B518" s="531">
        <v>406</v>
      </c>
      <c r="C518" s="529">
        <v>4</v>
      </c>
      <c r="D518" s="1027" t="s">
        <v>1003</v>
      </c>
      <c r="E518" s="1028" t="s">
        <v>1258</v>
      </c>
      <c r="F518" s="547">
        <v>1049195952</v>
      </c>
      <c r="G518" s="547">
        <v>-13080000</v>
      </c>
      <c r="H518" s="547"/>
      <c r="I518" s="547"/>
      <c r="J518" s="547"/>
      <c r="K518" s="547">
        <v>-1029795952</v>
      </c>
      <c r="L518" s="547"/>
      <c r="M518" s="547"/>
      <c r="N518" s="547"/>
      <c r="O518" s="547"/>
      <c r="P518" s="547"/>
      <c r="Q518" s="547"/>
      <c r="R518" s="547"/>
      <c r="S518" s="989">
        <f t="shared" si="28"/>
        <v>6320000</v>
      </c>
      <c r="T518" s="547">
        <v>6320000</v>
      </c>
      <c r="U518" s="989">
        <f t="shared" si="31"/>
        <v>6</v>
      </c>
      <c r="V518" s="547">
        <v>6</v>
      </c>
      <c r="W518" s="566"/>
      <c r="X518" s="567"/>
      <c r="Y518" s="989">
        <f t="shared" si="29"/>
        <v>6320000</v>
      </c>
      <c r="Z518" s="812">
        <f t="shared" si="30"/>
        <v>6</v>
      </c>
    </row>
    <row r="519" spans="1:26" ht="27" customHeight="1">
      <c r="A519" s="531"/>
      <c r="B519" s="531">
        <v>406</v>
      </c>
      <c r="C519" s="529">
        <v>4</v>
      </c>
      <c r="D519" s="1027" t="s">
        <v>1598</v>
      </c>
      <c r="E519" s="1028" t="s">
        <v>1597</v>
      </c>
      <c r="F519" s="683">
        <v>950</v>
      </c>
      <c r="G519" s="547">
        <v>7342954</v>
      </c>
      <c r="H519" s="547">
        <v>-7343904</v>
      </c>
      <c r="I519" s="547"/>
      <c r="J519" s="547"/>
      <c r="K519" s="547"/>
      <c r="L519" s="547"/>
      <c r="M519" s="547"/>
      <c r="N519" s="547"/>
      <c r="O519" s="547"/>
      <c r="P519" s="547"/>
      <c r="Q519" s="547"/>
      <c r="R519" s="547"/>
      <c r="S519" s="989">
        <f t="shared" ref="S519:S557" si="32">SUM(F519:R519)</f>
        <v>0</v>
      </c>
      <c r="T519" s="547">
        <v>0</v>
      </c>
      <c r="U519" s="989">
        <f t="shared" si="31"/>
        <v>0</v>
      </c>
      <c r="V519" s="547">
        <v>0</v>
      </c>
      <c r="W519" s="566"/>
      <c r="X519" s="567"/>
      <c r="Y519" s="989">
        <f t="shared" ref="Y519:Y557" si="33">S519+X519-W519</f>
        <v>0</v>
      </c>
      <c r="Z519" s="812">
        <f t="shared" ref="Z519:Z557" si="34">ROUND((Y519/1000000),0)</f>
        <v>0</v>
      </c>
    </row>
    <row r="520" spans="1:26" ht="27" customHeight="1">
      <c r="A520" s="531"/>
      <c r="B520" s="531">
        <v>406</v>
      </c>
      <c r="C520" s="529">
        <v>4</v>
      </c>
      <c r="D520" s="1027" t="s">
        <v>1259</v>
      </c>
      <c r="E520" s="1028" t="s">
        <v>1260</v>
      </c>
      <c r="F520" s="547">
        <v>-1572575420</v>
      </c>
      <c r="G520" s="547">
        <v>-1309224</v>
      </c>
      <c r="H520" s="547">
        <v>1574147684</v>
      </c>
      <c r="I520" s="547"/>
      <c r="J520" s="547"/>
      <c r="K520" s="547"/>
      <c r="L520" s="547"/>
      <c r="M520" s="547"/>
      <c r="N520" s="547"/>
      <c r="O520" s="547"/>
      <c r="P520" s="547"/>
      <c r="Q520" s="547"/>
      <c r="R520" s="547"/>
      <c r="S520" s="989">
        <f t="shared" si="32"/>
        <v>263040</v>
      </c>
      <c r="T520" s="547">
        <v>263040</v>
      </c>
      <c r="U520" s="989">
        <f t="shared" si="31"/>
        <v>0</v>
      </c>
      <c r="V520" s="547">
        <v>0</v>
      </c>
      <c r="W520" s="566"/>
      <c r="X520" s="567"/>
      <c r="Y520" s="989">
        <f t="shared" si="33"/>
        <v>263040</v>
      </c>
      <c r="Z520" s="812">
        <f t="shared" si="34"/>
        <v>0</v>
      </c>
    </row>
    <row r="521" spans="1:26" ht="27" customHeight="1">
      <c r="A521" s="531"/>
      <c r="B521" s="531">
        <v>10040</v>
      </c>
      <c r="C521" s="529">
        <v>4</v>
      </c>
      <c r="D521" s="1027" t="s">
        <v>615</v>
      </c>
      <c r="E521" s="1028" t="s">
        <v>616</v>
      </c>
      <c r="F521" s="547">
        <v>-473188</v>
      </c>
      <c r="G521" s="547"/>
      <c r="H521" s="547"/>
      <c r="I521" s="547"/>
      <c r="J521" s="547"/>
      <c r="K521" s="547"/>
      <c r="L521" s="547"/>
      <c r="M521" s="547"/>
      <c r="N521" s="547"/>
      <c r="O521" s="547"/>
      <c r="P521" s="547"/>
      <c r="Q521" s="547"/>
      <c r="R521" s="547"/>
      <c r="S521" s="989">
        <f t="shared" si="32"/>
        <v>-473188</v>
      </c>
      <c r="T521" s="547">
        <v>-473188</v>
      </c>
      <c r="U521" s="989">
        <f t="shared" ref="U521:U557" si="35">ROUND((S521/1000000),0)</f>
        <v>0</v>
      </c>
      <c r="V521" s="547">
        <v>0</v>
      </c>
      <c r="W521" s="566"/>
      <c r="X521" s="567"/>
      <c r="Y521" s="989">
        <f t="shared" si="33"/>
        <v>-473188</v>
      </c>
      <c r="Z521" s="812">
        <f t="shared" si="34"/>
        <v>0</v>
      </c>
    </row>
    <row r="522" spans="1:26" ht="27" customHeight="1">
      <c r="A522" s="531"/>
      <c r="B522" s="531"/>
      <c r="C522" s="529">
        <v>19</v>
      </c>
      <c r="D522" s="1027" t="s">
        <v>617</v>
      </c>
      <c r="E522" s="1028" t="s">
        <v>618</v>
      </c>
      <c r="F522" s="547">
        <v>1671776701844</v>
      </c>
      <c r="G522" s="547">
        <v>-5669865278</v>
      </c>
      <c r="H522" s="547"/>
      <c r="I522" s="547"/>
      <c r="J522" s="547"/>
      <c r="K522" s="547">
        <v>3008384180665</v>
      </c>
      <c r="L522" s="547"/>
      <c r="M522" s="547"/>
      <c r="N522" s="547"/>
      <c r="O522" s="547"/>
      <c r="P522" s="547"/>
      <c r="Q522" s="547"/>
      <c r="R522" s="547"/>
      <c r="S522" s="989">
        <f t="shared" si="32"/>
        <v>4674491017231</v>
      </c>
      <c r="T522" s="547">
        <v>4818236770678</v>
      </c>
      <c r="U522" s="989">
        <f t="shared" si="35"/>
        <v>4674491</v>
      </c>
      <c r="V522" s="547">
        <v>4818237</v>
      </c>
      <c r="W522" s="566"/>
      <c r="X522" s="567"/>
      <c r="Y522" s="989">
        <f t="shared" si="33"/>
        <v>4674491017231</v>
      </c>
      <c r="Z522" s="812">
        <f t="shared" si="34"/>
        <v>4674491</v>
      </c>
    </row>
    <row r="523" spans="1:26" ht="27" customHeight="1">
      <c r="A523" s="531"/>
      <c r="B523" s="531"/>
      <c r="C523" s="529">
        <v>19</v>
      </c>
      <c r="D523" s="1027" t="s">
        <v>1202</v>
      </c>
      <c r="E523" s="1028" t="s">
        <v>1203</v>
      </c>
      <c r="F523" s="547"/>
      <c r="G523" s="547"/>
      <c r="H523" s="547"/>
      <c r="I523" s="547"/>
      <c r="J523" s="547"/>
      <c r="K523" s="547">
        <v>924831632104</v>
      </c>
      <c r="L523" s="547"/>
      <c r="M523" s="547"/>
      <c r="N523" s="547"/>
      <c r="O523" s="547"/>
      <c r="P523" s="547"/>
      <c r="Q523" s="547"/>
      <c r="R523" s="547"/>
      <c r="S523" s="989">
        <f t="shared" si="32"/>
        <v>924831632104</v>
      </c>
      <c r="T523" s="547">
        <v>512624574599</v>
      </c>
      <c r="U523" s="989">
        <f t="shared" si="35"/>
        <v>924832</v>
      </c>
      <c r="V523" s="547">
        <v>512625</v>
      </c>
      <c r="W523" s="566"/>
      <c r="X523" s="567"/>
      <c r="Y523" s="989">
        <f t="shared" si="33"/>
        <v>924831632104</v>
      </c>
      <c r="Z523" s="812">
        <f t="shared" si="34"/>
        <v>924832</v>
      </c>
    </row>
    <row r="524" spans="1:26" ht="27" customHeight="1">
      <c r="A524" s="531"/>
      <c r="B524" s="531"/>
      <c r="C524" s="529">
        <v>19</v>
      </c>
      <c r="D524" s="1027" t="s">
        <v>619</v>
      </c>
      <c r="E524" s="1028" t="s">
        <v>620</v>
      </c>
      <c r="F524" s="547">
        <v>-1671776701844</v>
      </c>
      <c r="G524" s="547">
        <v>5669865278</v>
      </c>
      <c r="H524" s="547"/>
      <c r="I524" s="547"/>
      <c r="J524" s="547"/>
      <c r="K524" s="547">
        <v>-3008384180665</v>
      </c>
      <c r="L524" s="547"/>
      <c r="M524" s="547"/>
      <c r="N524" s="547"/>
      <c r="O524" s="547"/>
      <c r="P524" s="547"/>
      <c r="Q524" s="547"/>
      <c r="R524" s="547"/>
      <c r="S524" s="989">
        <f t="shared" si="32"/>
        <v>-4674491017231</v>
      </c>
      <c r="T524" s="547">
        <v>-4818236770678</v>
      </c>
      <c r="U524" s="989">
        <f t="shared" si="35"/>
        <v>-4674491</v>
      </c>
      <c r="V524" s="547">
        <v>-4818237</v>
      </c>
      <c r="W524" s="566"/>
      <c r="X524" s="567"/>
      <c r="Y524" s="989">
        <f t="shared" si="33"/>
        <v>-4674491017231</v>
      </c>
      <c r="Z524" s="812">
        <f t="shared" si="34"/>
        <v>-4674491</v>
      </c>
    </row>
    <row r="525" spans="1:26" ht="27" customHeight="1">
      <c r="A525" s="531"/>
      <c r="B525" s="531"/>
      <c r="C525" s="529">
        <v>19</v>
      </c>
      <c r="D525" s="1027" t="s">
        <v>1204</v>
      </c>
      <c r="E525" s="1028" t="s">
        <v>1205</v>
      </c>
      <c r="F525" s="547"/>
      <c r="G525" s="547"/>
      <c r="H525" s="547"/>
      <c r="I525" s="547"/>
      <c r="J525" s="547"/>
      <c r="K525" s="547">
        <v>-924831632104</v>
      </c>
      <c r="L525" s="547"/>
      <c r="M525" s="547"/>
      <c r="N525" s="547"/>
      <c r="O525" s="547"/>
      <c r="P525" s="547"/>
      <c r="Q525" s="547"/>
      <c r="R525" s="547"/>
      <c r="S525" s="989">
        <f t="shared" si="32"/>
        <v>-924831632104</v>
      </c>
      <c r="T525" s="547">
        <v>-512624574599</v>
      </c>
      <c r="U525" s="989">
        <f t="shared" si="35"/>
        <v>-924832</v>
      </c>
      <c r="V525" s="547">
        <v>-512625</v>
      </c>
      <c r="W525" s="566"/>
      <c r="X525" s="567"/>
      <c r="Y525" s="989">
        <f t="shared" si="33"/>
        <v>-924831632104</v>
      </c>
      <c r="Z525" s="812">
        <f t="shared" si="34"/>
        <v>-924832</v>
      </c>
    </row>
    <row r="526" spans="1:26" ht="27" customHeight="1">
      <c r="A526" s="531">
        <v>3214</v>
      </c>
      <c r="B526" s="531"/>
      <c r="C526" s="529">
        <v>19</v>
      </c>
      <c r="D526" s="1027" t="s">
        <v>617</v>
      </c>
      <c r="E526" s="1028" t="s">
        <v>1618</v>
      </c>
      <c r="F526" s="547"/>
      <c r="G526" s="547"/>
      <c r="H526" s="547"/>
      <c r="I526" s="547"/>
      <c r="J526" s="547"/>
      <c r="K526" s="547"/>
      <c r="L526" s="547"/>
      <c r="M526" s="547"/>
      <c r="N526" s="547"/>
      <c r="O526" s="547"/>
      <c r="P526" s="547"/>
      <c r="Q526" s="547"/>
      <c r="R526" s="547"/>
      <c r="S526" s="989">
        <f t="shared" si="32"/>
        <v>0</v>
      </c>
      <c r="T526" s="547">
        <v>0</v>
      </c>
      <c r="U526" s="989">
        <f t="shared" si="35"/>
        <v>0</v>
      </c>
      <c r="V526" s="547">
        <v>0</v>
      </c>
      <c r="W526" s="566"/>
      <c r="X526" s="567"/>
      <c r="Y526" s="989">
        <f t="shared" si="33"/>
        <v>0</v>
      </c>
      <c r="Z526" s="812">
        <f t="shared" si="34"/>
        <v>0</v>
      </c>
    </row>
    <row r="527" spans="1:26" ht="27" customHeight="1">
      <c r="A527" s="531">
        <v>3214</v>
      </c>
      <c r="B527" s="531"/>
      <c r="C527" s="529">
        <v>19</v>
      </c>
      <c r="D527" s="1027" t="s">
        <v>1202</v>
      </c>
      <c r="E527" s="1028" t="s">
        <v>1619</v>
      </c>
      <c r="F527" s="547"/>
      <c r="G527" s="547"/>
      <c r="H527" s="547"/>
      <c r="I527" s="547"/>
      <c r="J527" s="547"/>
      <c r="K527" s="547"/>
      <c r="L527" s="547"/>
      <c r="M527" s="547"/>
      <c r="N527" s="547">
        <v>814075478461</v>
      </c>
      <c r="O527" s="547"/>
      <c r="P527" s="547"/>
      <c r="Q527" s="547"/>
      <c r="R527" s="547"/>
      <c r="S527" s="989">
        <f t="shared" si="32"/>
        <v>814075478461</v>
      </c>
      <c r="T527" s="547">
        <v>248302913955</v>
      </c>
      <c r="U527" s="989">
        <f t="shared" si="35"/>
        <v>814075</v>
      </c>
      <c r="V527" s="547">
        <v>248303</v>
      </c>
      <c r="W527" s="566"/>
      <c r="X527" s="567"/>
      <c r="Y527" s="989">
        <f t="shared" si="33"/>
        <v>814075478461</v>
      </c>
      <c r="Z527" s="812">
        <f t="shared" si="34"/>
        <v>814075</v>
      </c>
    </row>
    <row r="528" spans="1:26" ht="27" customHeight="1">
      <c r="A528" s="531">
        <v>3214</v>
      </c>
      <c r="B528" s="531"/>
      <c r="C528" s="529">
        <v>19</v>
      </c>
      <c r="D528" s="1027" t="s">
        <v>619</v>
      </c>
      <c r="E528" s="1028" t="s">
        <v>1620</v>
      </c>
      <c r="F528" s="547"/>
      <c r="G528" s="547"/>
      <c r="H528" s="547"/>
      <c r="I528" s="547"/>
      <c r="J528" s="547"/>
      <c r="K528" s="547"/>
      <c r="L528" s="547"/>
      <c r="M528" s="547"/>
      <c r="N528" s="547"/>
      <c r="O528" s="547"/>
      <c r="P528" s="547"/>
      <c r="Q528" s="547"/>
      <c r="R528" s="547"/>
      <c r="S528" s="989">
        <f t="shared" si="32"/>
        <v>0</v>
      </c>
      <c r="T528" s="547">
        <v>0</v>
      </c>
      <c r="U528" s="989">
        <f t="shared" si="35"/>
        <v>0</v>
      </c>
      <c r="V528" s="547">
        <v>0</v>
      </c>
      <c r="W528" s="566"/>
      <c r="X528" s="567"/>
      <c r="Y528" s="989">
        <f t="shared" si="33"/>
        <v>0</v>
      </c>
      <c r="Z528" s="812">
        <f t="shared" si="34"/>
        <v>0</v>
      </c>
    </row>
    <row r="529" spans="1:26" ht="27" customHeight="1">
      <c r="A529" s="531">
        <v>3214</v>
      </c>
      <c r="B529" s="531"/>
      <c r="C529" s="529">
        <v>19</v>
      </c>
      <c r="D529" s="1027" t="s">
        <v>1204</v>
      </c>
      <c r="E529" s="1028" t="s">
        <v>1621</v>
      </c>
      <c r="F529" s="547"/>
      <c r="G529" s="547"/>
      <c r="H529" s="547"/>
      <c r="I529" s="547"/>
      <c r="J529" s="547"/>
      <c r="K529" s="547"/>
      <c r="L529" s="547"/>
      <c r="M529" s="547"/>
      <c r="N529" s="547">
        <v>-814075478461</v>
      </c>
      <c r="O529" s="547"/>
      <c r="P529" s="547"/>
      <c r="Q529" s="547"/>
      <c r="R529" s="547"/>
      <c r="S529" s="989">
        <f t="shared" si="32"/>
        <v>-814075478461</v>
      </c>
      <c r="T529" s="547">
        <v>-248302913955</v>
      </c>
      <c r="U529" s="989">
        <f t="shared" si="35"/>
        <v>-814075</v>
      </c>
      <c r="V529" s="547">
        <v>-248303</v>
      </c>
      <c r="W529" s="566"/>
      <c r="X529" s="567"/>
      <c r="Y529" s="989">
        <f t="shared" si="33"/>
        <v>-814075478461</v>
      </c>
      <c r="Z529" s="812">
        <f t="shared" si="34"/>
        <v>-814075</v>
      </c>
    </row>
    <row r="530" spans="1:26" ht="27" customHeight="1">
      <c r="A530" s="531"/>
      <c r="B530" s="531">
        <v>501</v>
      </c>
      <c r="C530" s="529">
        <v>5</v>
      </c>
      <c r="D530" s="1027" t="s">
        <v>1266</v>
      </c>
      <c r="E530" s="1028" t="s">
        <v>1267</v>
      </c>
      <c r="F530" s="547">
        <v>993269557</v>
      </c>
      <c r="G530" s="547"/>
      <c r="H530" s="547"/>
      <c r="I530" s="547"/>
      <c r="J530" s="547"/>
      <c r="K530" s="547"/>
      <c r="L530" s="547"/>
      <c r="M530" s="547"/>
      <c r="N530" s="547"/>
      <c r="O530" s="547"/>
      <c r="P530" s="547"/>
      <c r="Q530" s="547"/>
      <c r="R530" s="547"/>
      <c r="S530" s="989">
        <f t="shared" si="32"/>
        <v>993269557</v>
      </c>
      <c r="T530" s="547">
        <v>993502613</v>
      </c>
      <c r="U530" s="989">
        <f t="shared" si="35"/>
        <v>993</v>
      </c>
      <c r="V530" s="547">
        <v>994</v>
      </c>
      <c r="W530" s="566"/>
      <c r="X530" s="567"/>
      <c r="Y530" s="989">
        <f t="shared" si="33"/>
        <v>993269557</v>
      </c>
      <c r="Z530" s="812">
        <f t="shared" si="34"/>
        <v>993</v>
      </c>
    </row>
    <row r="531" spans="1:26" ht="27" customHeight="1">
      <c r="A531" s="531"/>
      <c r="B531" s="531">
        <v>1018</v>
      </c>
      <c r="C531" s="529">
        <v>10</v>
      </c>
      <c r="D531" s="1027" t="s">
        <v>97</v>
      </c>
      <c r="E531" s="1028" t="s">
        <v>95</v>
      </c>
      <c r="F531" s="547"/>
      <c r="G531" s="547">
        <v>0</v>
      </c>
      <c r="H531" s="547"/>
      <c r="I531" s="547"/>
      <c r="J531" s="547"/>
      <c r="K531" s="547"/>
      <c r="L531" s="547"/>
      <c r="M531" s="547"/>
      <c r="N531" s="547"/>
      <c r="O531" s="547"/>
      <c r="P531" s="547"/>
      <c r="Q531" s="547"/>
      <c r="R531" s="547"/>
      <c r="S531" s="989">
        <f t="shared" si="32"/>
        <v>0</v>
      </c>
      <c r="T531" s="547">
        <v>0</v>
      </c>
      <c r="U531" s="989">
        <f t="shared" si="35"/>
        <v>0</v>
      </c>
      <c r="V531" s="547">
        <v>0</v>
      </c>
      <c r="W531" s="566"/>
      <c r="X531" s="567"/>
      <c r="Y531" s="989">
        <f t="shared" si="33"/>
        <v>0</v>
      </c>
      <c r="Z531" s="812">
        <f t="shared" si="34"/>
        <v>0</v>
      </c>
    </row>
    <row r="532" spans="1:26" ht="27" customHeight="1">
      <c r="A532" s="531"/>
      <c r="B532" s="531">
        <v>1018</v>
      </c>
      <c r="C532" s="529">
        <v>10</v>
      </c>
      <c r="D532" s="1027" t="s">
        <v>471</v>
      </c>
      <c r="E532" s="1028" t="s">
        <v>98</v>
      </c>
      <c r="F532" s="547"/>
      <c r="G532" s="547">
        <v>0</v>
      </c>
      <c r="H532" s="547"/>
      <c r="I532" s="547"/>
      <c r="J532" s="547"/>
      <c r="K532" s="547"/>
      <c r="L532" s="547"/>
      <c r="M532" s="547"/>
      <c r="N532" s="547"/>
      <c r="O532" s="547"/>
      <c r="P532" s="547"/>
      <c r="Q532" s="547"/>
      <c r="R532" s="547"/>
      <c r="S532" s="989">
        <f t="shared" si="32"/>
        <v>0</v>
      </c>
      <c r="T532" s="547">
        <v>0</v>
      </c>
      <c r="U532" s="989">
        <f t="shared" si="35"/>
        <v>0</v>
      </c>
      <c r="V532" s="547">
        <v>0</v>
      </c>
      <c r="W532" s="566"/>
      <c r="X532" s="567"/>
      <c r="Y532" s="989">
        <f t="shared" si="33"/>
        <v>0</v>
      </c>
      <c r="Z532" s="812">
        <f t="shared" si="34"/>
        <v>0</v>
      </c>
    </row>
    <row r="533" spans="1:26" ht="27" customHeight="1">
      <c r="A533" s="531"/>
      <c r="B533" s="531">
        <v>1018</v>
      </c>
      <c r="C533" s="529">
        <v>10</v>
      </c>
      <c r="D533" s="1027" t="s">
        <v>100</v>
      </c>
      <c r="E533" s="1028" t="s">
        <v>1612</v>
      </c>
      <c r="F533" s="547"/>
      <c r="G533" s="547"/>
      <c r="H533" s="547"/>
      <c r="I533" s="547"/>
      <c r="J533" s="547"/>
      <c r="K533" s="547"/>
      <c r="L533" s="547"/>
      <c r="M533" s="547"/>
      <c r="N533" s="547"/>
      <c r="O533" s="547"/>
      <c r="P533" s="547"/>
      <c r="Q533" s="547"/>
      <c r="R533" s="547"/>
      <c r="S533" s="989">
        <f t="shared" si="32"/>
        <v>0</v>
      </c>
      <c r="T533" s="547">
        <v>0</v>
      </c>
      <c r="U533" s="989">
        <f t="shared" si="35"/>
        <v>0</v>
      </c>
      <c r="V533" s="547">
        <v>0</v>
      </c>
      <c r="W533" s="566"/>
      <c r="X533" s="567"/>
      <c r="Y533" s="989">
        <f t="shared" si="33"/>
        <v>0</v>
      </c>
      <c r="Z533" s="812">
        <f t="shared" si="34"/>
        <v>0</v>
      </c>
    </row>
    <row r="534" spans="1:26" ht="27" customHeight="1">
      <c r="A534" s="531"/>
      <c r="B534" s="531">
        <v>1018</v>
      </c>
      <c r="C534" s="529">
        <v>10</v>
      </c>
      <c r="D534" s="1027" t="s">
        <v>1360</v>
      </c>
      <c r="E534" s="1028" t="s">
        <v>1613</v>
      </c>
      <c r="F534" s="547"/>
      <c r="G534" s="547"/>
      <c r="H534" s="547"/>
      <c r="I534" s="547"/>
      <c r="J534" s="547"/>
      <c r="K534" s="547"/>
      <c r="L534" s="547"/>
      <c r="M534" s="547"/>
      <c r="N534" s="547"/>
      <c r="O534" s="547"/>
      <c r="P534" s="547"/>
      <c r="Q534" s="547"/>
      <c r="R534" s="547"/>
      <c r="S534" s="989">
        <f t="shared" si="32"/>
        <v>0</v>
      </c>
      <c r="T534" s="547">
        <v>0</v>
      </c>
      <c r="U534" s="989">
        <f t="shared" si="35"/>
        <v>0</v>
      </c>
      <c r="V534" s="547">
        <v>0</v>
      </c>
      <c r="W534" s="566"/>
      <c r="X534" s="567"/>
      <c r="Y534" s="989">
        <f t="shared" si="33"/>
        <v>0</v>
      </c>
      <c r="Z534" s="812">
        <f t="shared" si="34"/>
        <v>0</v>
      </c>
    </row>
    <row r="535" spans="1:26" ht="27" customHeight="1">
      <c r="A535" s="531"/>
      <c r="B535" s="531">
        <v>506</v>
      </c>
      <c r="C535" s="529">
        <v>5</v>
      </c>
      <c r="D535" s="1027" t="s">
        <v>1595</v>
      </c>
      <c r="E535" s="1028" t="s">
        <v>1613</v>
      </c>
      <c r="F535" s="547"/>
      <c r="G535" s="547"/>
      <c r="H535" s="547"/>
      <c r="I535" s="547"/>
      <c r="J535" s="547"/>
      <c r="K535" s="547"/>
      <c r="L535" s="547"/>
      <c r="M535" s="547"/>
      <c r="N535" s="547"/>
      <c r="O535" s="547"/>
      <c r="P535" s="547"/>
      <c r="Q535" s="547"/>
      <c r="R535" s="547"/>
      <c r="S535" s="989">
        <f t="shared" si="32"/>
        <v>0</v>
      </c>
      <c r="T535" s="547">
        <v>0</v>
      </c>
      <c r="U535" s="989">
        <f t="shared" si="35"/>
        <v>0</v>
      </c>
      <c r="V535" s="547">
        <v>0</v>
      </c>
      <c r="W535" s="566"/>
      <c r="X535" s="567"/>
      <c r="Y535" s="989">
        <f t="shared" si="33"/>
        <v>0</v>
      </c>
      <c r="Z535" s="812">
        <f t="shared" si="34"/>
        <v>0</v>
      </c>
    </row>
    <row r="536" spans="1:26" ht="27" customHeight="1">
      <c r="A536" s="531"/>
      <c r="B536" s="531">
        <v>501</v>
      </c>
      <c r="C536" s="529">
        <v>5</v>
      </c>
      <c r="D536" s="1027" t="s">
        <v>1572</v>
      </c>
      <c r="E536" s="1028" t="s">
        <v>1574</v>
      </c>
      <c r="F536" s="547"/>
      <c r="G536" s="547"/>
      <c r="H536" s="547"/>
      <c r="I536" s="547"/>
      <c r="J536" s="547"/>
      <c r="K536" s="547"/>
      <c r="L536" s="547"/>
      <c r="M536" s="547"/>
      <c r="N536" s="547"/>
      <c r="O536" s="547"/>
      <c r="P536" s="547"/>
      <c r="Q536" s="547"/>
      <c r="R536" s="547"/>
      <c r="S536" s="989">
        <f t="shared" si="32"/>
        <v>0</v>
      </c>
      <c r="T536" s="547">
        <v>0</v>
      </c>
      <c r="U536" s="989">
        <f t="shared" si="35"/>
        <v>0</v>
      </c>
      <c r="V536" s="547">
        <v>0</v>
      </c>
      <c r="W536" s="566"/>
      <c r="X536" s="567"/>
      <c r="Y536" s="989">
        <f t="shared" si="33"/>
        <v>0</v>
      </c>
      <c r="Z536" s="812">
        <f t="shared" si="34"/>
        <v>0</v>
      </c>
    </row>
    <row r="537" spans="1:26" ht="27" customHeight="1">
      <c r="A537" s="531"/>
      <c r="B537" s="531">
        <v>908</v>
      </c>
      <c r="C537" s="529">
        <v>9</v>
      </c>
      <c r="D537" s="1027" t="s">
        <v>1573</v>
      </c>
      <c r="E537" s="1028" t="s">
        <v>1575</v>
      </c>
      <c r="F537" s="547"/>
      <c r="G537" s="547"/>
      <c r="H537" s="547"/>
      <c r="I537" s="547"/>
      <c r="J537" s="547"/>
      <c r="K537" s="547"/>
      <c r="L537" s="547"/>
      <c r="M537" s="547"/>
      <c r="N537" s="547"/>
      <c r="O537" s="547"/>
      <c r="P537" s="547"/>
      <c r="Q537" s="547"/>
      <c r="R537" s="547"/>
      <c r="S537" s="989">
        <f t="shared" si="32"/>
        <v>0</v>
      </c>
      <c r="T537" s="547">
        <v>0</v>
      </c>
      <c r="U537" s="989">
        <f t="shared" si="35"/>
        <v>0</v>
      </c>
      <c r="V537" s="547">
        <v>0</v>
      </c>
      <c r="W537" s="566"/>
      <c r="X537" s="567"/>
      <c r="Y537" s="989">
        <f t="shared" si="33"/>
        <v>0</v>
      </c>
      <c r="Z537" s="812">
        <f t="shared" si="34"/>
        <v>0</v>
      </c>
    </row>
    <row r="538" spans="1:26" ht="27" customHeight="1">
      <c r="A538" s="531"/>
      <c r="B538" s="531">
        <v>506</v>
      </c>
      <c r="C538" s="529">
        <v>5</v>
      </c>
      <c r="D538" s="1027" t="s">
        <v>593</v>
      </c>
      <c r="E538" s="1028" t="s">
        <v>1614</v>
      </c>
      <c r="F538" s="547"/>
      <c r="G538" s="547"/>
      <c r="H538" s="547"/>
      <c r="I538" s="547"/>
      <c r="J538" s="547"/>
      <c r="K538" s="547"/>
      <c r="L538" s="547"/>
      <c r="M538" s="547"/>
      <c r="N538" s="547"/>
      <c r="O538" s="547"/>
      <c r="P538" s="547"/>
      <c r="Q538" s="547"/>
      <c r="R538" s="547"/>
      <c r="S538" s="989">
        <f t="shared" si="32"/>
        <v>0</v>
      </c>
      <c r="T538" s="547">
        <v>0</v>
      </c>
      <c r="U538" s="989">
        <f t="shared" si="35"/>
        <v>0</v>
      </c>
      <c r="V538" s="547">
        <v>0</v>
      </c>
      <c r="W538" s="566"/>
      <c r="X538" s="567"/>
      <c r="Y538" s="989">
        <f t="shared" si="33"/>
        <v>0</v>
      </c>
      <c r="Z538" s="812">
        <f t="shared" si="34"/>
        <v>0</v>
      </c>
    </row>
    <row r="539" spans="1:26" ht="27" customHeight="1">
      <c r="A539" s="531"/>
      <c r="B539" s="531">
        <v>506</v>
      </c>
      <c r="C539" s="529">
        <v>5</v>
      </c>
      <c r="D539" s="1027" t="s">
        <v>101</v>
      </c>
      <c r="E539" s="1028" t="s">
        <v>102</v>
      </c>
      <c r="F539" s="547"/>
      <c r="G539" s="547"/>
      <c r="H539" s="547"/>
      <c r="I539" s="547"/>
      <c r="J539" s="547"/>
      <c r="K539" s="547"/>
      <c r="L539" s="547"/>
      <c r="M539" s="547"/>
      <c r="N539" s="547"/>
      <c r="O539" s="547"/>
      <c r="P539" s="547"/>
      <c r="Q539" s="547"/>
      <c r="R539" s="547"/>
      <c r="S539" s="989">
        <f t="shared" si="32"/>
        <v>0</v>
      </c>
      <c r="T539" s="547">
        <v>0</v>
      </c>
      <c r="U539" s="989">
        <f t="shared" si="35"/>
        <v>0</v>
      </c>
      <c r="V539" s="547">
        <v>0</v>
      </c>
      <c r="W539" s="566"/>
      <c r="X539" s="567"/>
      <c r="Y539" s="989">
        <f t="shared" si="33"/>
        <v>0</v>
      </c>
      <c r="Z539" s="812">
        <f t="shared" si="34"/>
        <v>0</v>
      </c>
    </row>
    <row r="540" spans="1:26" ht="27" customHeight="1">
      <c r="A540" s="531"/>
      <c r="B540" s="531">
        <v>506</v>
      </c>
      <c r="C540" s="529">
        <v>5</v>
      </c>
      <c r="D540" s="1027" t="s">
        <v>1599</v>
      </c>
      <c r="E540" s="1028" t="s">
        <v>1600</v>
      </c>
      <c r="F540" s="547"/>
      <c r="G540" s="547"/>
      <c r="H540" s="547"/>
      <c r="I540" s="547"/>
      <c r="J540" s="547"/>
      <c r="K540" s="547"/>
      <c r="L540" s="547"/>
      <c r="M540" s="547"/>
      <c r="N540" s="547"/>
      <c r="O540" s="547"/>
      <c r="P540" s="547"/>
      <c r="Q540" s="547"/>
      <c r="R540" s="547"/>
      <c r="S540" s="989">
        <f t="shared" si="32"/>
        <v>0</v>
      </c>
      <c r="T540" s="547">
        <v>0</v>
      </c>
      <c r="U540" s="989">
        <f t="shared" si="35"/>
        <v>0</v>
      </c>
      <c r="V540" s="547">
        <v>0</v>
      </c>
      <c r="W540" s="566"/>
      <c r="X540" s="567"/>
      <c r="Y540" s="989">
        <f t="shared" si="33"/>
        <v>0</v>
      </c>
      <c r="Z540" s="812">
        <f t="shared" si="34"/>
        <v>0</v>
      </c>
    </row>
    <row r="541" spans="1:26" ht="27" customHeight="1">
      <c r="A541" s="531"/>
      <c r="B541" s="531">
        <v>506</v>
      </c>
      <c r="C541" s="529">
        <v>5</v>
      </c>
      <c r="D541" s="1027" t="s">
        <v>1362</v>
      </c>
      <c r="E541" s="1028" t="s">
        <v>1363</v>
      </c>
      <c r="F541" s="547"/>
      <c r="G541" s="547"/>
      <c r="H541" s="547"/>
      <c r="I541" s="547"/>
      <c r="J541" s="547"/>
      <c r="K541" s="547"/>
      <c r="L541" s="547"/>
      <c r="M541" s="547"/>
      <c r="N541" s="547"/>
      <c r="O541" s="547"/>
      <c r="P541" s="547"/>
      <c r="Q541" s="547"/>
      <c r="R541" s="547"/>
      <c r="S541" s="989">
        <f t="shared" si="32"/>
        <v>0</v>
      </c>
      <c r="T541" s="547">
        <v>0</v>
      </c>
      <c r="U541" s="989">
        <f t="shared" si="35"/>
        <v>0</v>
      </c>
      <c r="V541" s="547">
        <v>0</v>
      </c>
      <c r="W541" s="566"/>
      <c r="X541" s="567"/>
      <c r="Y541" s="989">
        <f t="shared" si="33"/>
        <v>0</v>
      </c>
      <c r="Z541" s="812">
        <f t="shared" si="34"/>
        <v>0</v>
      </c>
    </row>
    <row r="542" spans="1:26" ht="27" customHeight="1">
      <c r="A542" s="531"/>
      <c r="B542" s="531">
        <v>506</v>
      </c>
      <c r="C542" s="529">
        <v>5</v>
      </c>
      <c r="D542" s="1027" t="s">
        <v>1576</v>
      </c>
      <c r="E542" s="1028" t="s">
        <v>1582</v>
      </c>
      <c r="F542" s="547"/>
      <c r="G542" s="547"/>
      <c r="H542" s="547"/>
      <c r="I542" s="547"/>
      <c r="J542" s="547"/>
      <c r="K542" s="547"/>
      <c r="L542" s="547"/>
      <c r="M542" s="547"/>
      <c r="N542" s="547"/>
      <c r="O542" s="547"/>
      <c r="P542" s="547"/>
      <c r="Q542" s="547"/>
      <c r="R542" s="547"/>
      <c r="S542" s="989">
        <f t="shared" si="32"/>
        <v>0</v>
      </c>
      <c r="T542" s="547">
        <v>0</v>
      </c>
      <c r="U542" s="989">
        <f t="shared" si="35"/>
        <v>0</v>
      </c>
      <c r="V542" s="547">
        <v>0</v>
      </c>
      <c r="W542" s="566"/>
      <c r="X542" s="567"/>
      <c r="Y542" s="989">
        <f t="shared" si="33"/>
        <v>0</v>
      </c>
      <c r="Z542" s="812">
        <f t="shared" si="34"/>
        <v>0</v>
      </c>
    </row>
    <row r="543" spans="1:26" ht="27" customHeight="1">
      <c r="A543" s="531"/>
      <c r="B543" s="531">
        <v>506</v>
      </c>
      <c r="C543" s="529">
        <v>5</v>
      </c>
      <c r="D543" s="1027" t="s">
        <v>1577</v>
      </c>
      <c r="E543" s="1028" t="s">
        <v>1583</v>
      </c>
      <c r="F543" s="547"/>
      <c r="G543" s="547"/>
      <c r="H543" s="547"/>
      <c r="I543" s="547"/>
      <c r="J543" s="547"/>
      <c r="K543" s="547"/>
      <c r="L543" s="547"/>
      <c r="M543" s="547"/>
      <c r="N543" s="547"/>
      <c r="O543" s="547"/>
      <c r="P543" s="547"/>
      <c r="Q543" s="547"/>
      <c r="R543" s="547"/>
      <c r="S543" s="989">
        <f t="shared" si="32"/>
        <v>0</v>
      </c>
      <c r="T543" s="547">
        <v>0</v>
      </c>
      <c r="U543" s="989">
        <f t="shared" si="35"/>
        <v>0</v>
      </c>
      <c r="V543" s="547">
        <v>0</v>
      </c>
      <c r="W543" s="566"/>
      <c r="X543" s="567"/>
      <c r="Y543" s="989">
        <f t="shared" si="33"/>
        <v>0</v>
      </c>
      <c r="Z543" s="812">
        <f t="shared" si="34"/>
        <v>0</v>
      </c>
    </row>
    <row r="544" spans="1:26" ht="27" customHeight="1">
      <c r="A544" s="531"/>
      <c r="B544" s="531">
        <v>506</v>
      </c>
      <c r="C544" s="529">
        <v>5</v>
      </c>
      <c r="D544" s="1027" t="s">
        <v>1578</v>
      </c>
      <c r="E544" s="1028" t="s">
        <v>1584</v>
      </c>
      <c r="F544" s="547"/>
      <c r="G544" s="547"/>
      <c r="H544" s="547"/>
      <c r="I544" s="547"/>
      <c r="J544" s="547"/>
      <c r="K544" s="547"/>
      <c r="L544" s="547"/>
      <c r="M544" s="547"/>
      <c r="N544" s="547"/>
      <c r="O544" s="547"/>
      <c r="P544" s="547"/>
      <c r="Q544" s="547"/>
      <c r="R544" s="547"/>
      <c r="S544" s="989">
        <f t="shared" si="32"/>
        <v>0</v>
      </c>
      <c r="T544" s="547">
        <v>0</v>
      </c>
      <c r="U544" s="989">
        <f t="shared" si="35"/>
        <v>0</v>
      </c>
      <c r="V544" s="547">
        <v>0</v>
      </c>
      <c r="W544" s="566"/>
      <c r="X544" s="567"/>
      <c r="Y544" s="989">
        <f t="shared" si="33"/>
        <v>0</v>
      </c>
      <c r="Z544" s="812">
        <f t="shared" si="34"/>
        <v>0</v>
      </c>
    </row>
    <row r="545" spans="1:26" ht="27" customHeight="1">
      <c r="A545" s="531"/>
      <c r="B545" s="531">
        <v>506</v>
      </c>
      <c r="C545" s="529">
        <v>5</v>
      </c>
      <c r="D545" s="1027" t="s">
        <v>1579</v>
      </c>
      <c r="E545" s="1028" t="s">
        <v>1585</v>
      </c>
      <c r="F545" s="547"/>
      <c r="G545" s="547"/>
      <c r="H545" s="547"/>
      <c r="I545" s="547"/>
      <c r="J545" s="547"/>
      <c r="K545" s="547"/>
      <c r="L545" s="547"/>
      <c r="M545" s="547"/>
      <c r="N545" s="547"/>
      <c r="O545" s="547"/>
      <c r="P545" s="547"/>
      <c r="Q545" s="547"/>
      <c r="R545" s="547"/>
      <c r="S545" s="989">
        <f t="shared" si="32"/>
        <v>0</v>
      </c>
      <c r="T545" s="547">
        <v>0</v>
      </c>
      <c r="U545" s="989">
        <f t="shared" si="35"/>
        <v>0</v>
      </c>
      <c r="V545" s="547">
        <v>0</v>
      </c>
      <c r="W545" s="566"/>
      <c r="X545" s="567"/>
      <c r="Y545" s="989">
        <f t="shared" si="33"/>
        <v>0</v>
      </c>
      <c r="Z545" s="812">
        <f t="shared" si="34"/>
        <v>0</v>
      </c>
    </row>
    <row r="546" spans="1:26" ht="27" customHeight="1">
      <c r="A546" s="531"/>
      <c r="B546" s="531">
        <v>506</v>
      </c>
      <c r="C546" s="529">
        <v>5</v>
      </c>
      <c r="D546" s="1027" t="s">
        <v>1580</v>
      </c>
      <c r="E546" s="1028" t="s">
        <v>1586</v>
      </c>
      <c r="F546" s="547"/>
      <c r="G546" s="547"/>
      <c r="H546" s="547"/>
      <c r="I546" s="547"/>
      <c r="J546" s="547"/>
      <c r="K546" s="547"/>
      <c r="L546" s="547"/>
      <c r="M546" s="547"/>
      <c r="N546" s="547"/>
      <c r="O546" s="547"/>
      <c r="P546" s="547"/>
      <c r="Q546" s="547"/>
      <c r="R546" s="547"/>
      <c r="S546" s="989">
        <f t="shared" si="32"/>
        <v>0</v>
      </c>
      <c r="T546" s="547">
        <v>0</v>
      </c>
      <c r="U546" s="989">
        <f t="shared" si="35"/>
        <v>0</v>
      </c>
      <c r="V546" s="547">
        <v>0</v>
      </c>
      <c r="W546" s="566"/>
      <c r="X546" s="567"/>
      <c r="Y546" s="989">
        <f t="shared" si="33"/>
        <v>0</v>
      </c>
      <c r="Z546" s="812">
        <f t="shared" si="34"/>
        <v>0</v>
      </c>
    </row>
    <row r="547" spans="1:26" ht="27" customHeight="1">
      <c r="A547" s="531"/>
      <c r="B547" s="531">
        <v>1018</v>
      </c>
      <c r="C547" s="529">
        <v>10</v>
      </c>
      <c r="D547" s="1027" t="s">
        <v>912</v>
      </c>
      <c r="E547" s="1028" t="s">
        <v>1005</v>
      </c>
      <c r="F547" s="547"/>
      <c r="G547" s="547"/>
      <c r="H547" s="547"/>
      <c r="I547" s="547"/>
      <c r="J547" s="547"/>
      <c r="K547" s="547"/>
      <c r="L547" s="547"/>
      <c r="M547" s="547"/>
      <c r="N547" s="547"/>
      <c r="O547" s="547"/>
      <c r="P547" s="547"/>
      <c r="Q547" s="547"/>
      <c r="R547" s="547"/>
      <c r="S547" s="989">
        <f t="shared" si="32"/>
        <v>0</v>
      </c>
      <c r="T547" s="547">
        <v>0</v>
      </c>
      <c r="U547" s="989">
        <f t="shared" si="35"/>
        <v>0</v>
      </c>
      <c r="V547" s="547">
        <v>0</v>
      </c>
      <c r="W547" s="566"/>
      <c r="X547" s="567"/>
      <c r="Y547" s="989">
        <f t="shared" si="33"/>
        <v>0</v>
      </c>
      <c r="Z547" s="812">
        <f t="shared" si="34"/>
        <v>0</v>
      </c>
    </row>
    <row r="548" spans="1:26" ht="27" customHeight="1">
      <c r="A548" s="531"/>
      <c r="B548" s="531">
        <v>506</v>
      </c>
      <c r="C548" s="529">
        <v>5</v>
      </c>
      <c r="D548" s="1027" t="s">
        <v>1581</v>
      </c>
      <c r="E548" s="1028" t="s">
        <v>1587</v>
      </c>
      <c r="F548" s="547"/>
      <c r="G548" s="547"/>
      <c r="H548" s="547"/>
      <c r="I548" s="547"/>
      <c r="J548" s="547"/>
      <c r="K548" s="547"/>
      <c r="L548" s="547"/>
      <c r="M548" s="547"/>
      <c r="N548" s="547"/>
      <c r="O548" s="547"/>
      <c r="P548" s="547"/>
      <c r="Q548" s="547"/>
      <c r="R548" s="547"/>
      <c r="S548" s="989">
        <f t="shared" si="32"/>
        <v>0</v>
      </c>
      <c r="T548" s="547">
        <v>0</v>
      </c>
      <c r="U548" s="989">
        <f t="shared" si="35"/>
        <v>0</v>
      </c>
      <c r="V548" s="547">
        <v>0</v>
      </c>
      <c r="W548" s="566"/>
      <c r="X548" s="567"/>
      <c r="Y548" s="989">
        <f t="shared" si="33"/>
        <v>0</v>
      </c>
      <c r="Z548" s="812">
        <f t="shared" si="34"/>
        <v>0</v>
      </c>
    </row>
    <row r="549" spans="1:26" ht="27" customHeight="1">
      <c r="A549" s="531"/>
      <c r="B549" s="531">
        <v>506</v>
      </c>
      <c r="C549" s="529">
        <v>5</v>
      </c>
      <c r="D549" s="1027" t="s">
        <v>1025</v>
      </c>
      <c r="E549" s="1028" t="s">
        <v>1029</v>
      </c>
      <c r="F549" s="547"/>
      <c r="G549" s="547"/>
      <c r="H549" s="547"/>
      <c r="I549" s="547"/>
      <c r="J549" s="547"/>
      <c r="K549" s="547"/>
      <c r="L549" s="547"/>
      <c r="M549" s="547"/>
      <c r="N549" s="547"/>
      <c r="O549" s="547"/>
      <c r="P549" s="547"/>
      <c r="Q549" s="547"/>
      <c r="R549" s="547"/>
      <c r="S549" s="989">
        <f t="shared" si="32"/>
        <v>0</v>
      </c>
      <c r="T549" s="547">
        <v>0</v>
      </c>
      <c r="U549" s="989">
        <f t="shared" si="35"/>
        <v>0</v>
      </c>
      <c r="V549" s="547">
        <v>0</v>
      </c>
      <c r="W549" s="566"/>
      <c r="X549" s="567"/>
      <c r="Y549" s="989">
        <f t="shared" si="33"/>
        <v>0</v>
      </c>
      <c r="Z549" s="812">
        <f t="shared" si="34"/>
        <v>0</v>
      </c>
    </row>
    <row r="550" spans="1:26" ht="27" customHeight="1">
      <c r="A550" s="531"/>
      <c r="B550" s="531">
        <v>1018</v>
      </c>
      <c r="C550" s="529">
        <v>10</v>
      </c>
      <c r="D550" s="1027" t="s">
        <v>741</v>
      </c>
      <c r="E550" s="1028" t="s">
        <v>742</v>
      </c>
      <c r="F550" s="547"/>
      <c r="G550" s="547"/>
      <c r="H550" s="547"/>
      <c r="I550" s="547"/>
      <c r="J550" s="547"/>
      <c r="K550" s="547"/>
      <c r="L550" s="547"/>
      <c r="M550" s="547"/>
      <c r="N550" s="547"/>
      <c r="O550" s="547"/>
      <c r="P550" s="547"/>
      <c r="Q550" s="547"/>
      <c r="R550" s="547"/>
      <c r="S550" s="989">
        <f t="shared" si="32"/>
        <v>0</v>
      </c>
      <c r="T550" s="547">
        <v>0</v>
      </c>
      <c r="U550" s="989">
        <f t="shared" si="35"/>
        <v>0</v>
      </c>
      <c r="V550" s="547">
        <v>0</v>
      </c>
      <c r="W550" s="566"/>
      <c r="X550" s="567"/>
      <c r="Y550" s="989">
        <f t="shared" si="33"/>
        <v>0</v>
      </c>
      <c r="Z550" s="812">
        <f t="shared" si="34"/>
        <v>0</v>
      </c>
    </row>
    <row r="551" spans="1:26" ht="27" customHeight="1">
      <c r="A551" s="531"/>
      <c r="B551" s="531">
        <v>606</v>
      </c>
      <c r="C551" s="529">
        <v>6</v>
      </c>
      <c r="D551" s="1027" t="s">
        <v>621</v>
      </c>
      <c r="E551" s="1028" t="s">
        <v>1602</v>
      </c>
      <c r="F551" s="547">
        <v>478973601764</v>
      </c>
      <c r="G551" s="547">
        <v>-2843500000</v>
      </c>
      <c r="H551" s="547">
        <v>-90000000</v>
      </c>
      <c r="I551" s="547"/>
      <c r="J551" s="547"/>
      <c r="K551" s="547"/>
      <c r="L551" s="547"/>
      <c r="M551" s="547"/>
      <c r="N551" s="547"/>
      <c r="O551" s="547"/>
      <c r="P551" s="547"/>
      <c r="Q551" s="547"/>
      <c r="R551" s="547"/>
      <c r="S551" s="989">
        <f t="shared" si="32"/>
        <v>476040101764</v>
      </c>
      <c r="T551" s="547">
        <v>436382101764</v>
      </c>
      <c r="U551" s="989">
        <f t="shared" si="35"/>
        <v>476040</v>
      </c>
      <c r="V551" s="547">
        <v>436382</v>
      </c>
      <c r="W551" s="566"/>
      <c r="X551" s="567"/>
      <c r="Y551" s="989">
        <f t="shared" si="33"/>
        <v>476040101764</v>
      </c>
      <c r="Z551" s="812">
        <f t="shared" si="34"/>
        <v>476040</v>
      </c>
    </row>
    <row r="552" spans="1:26" ht="27" customHeight="1">
      <c r="A552" s="531"/>
      <c r="B552" s="531">
        <v>606</v>
      </c>
      <c r="C552" s="529">
        <v>6</v>
      </c>
      <c r="D552" s="1027" t="s">
        <v>623</v>
      </c>
      <c r="E552" s="1028" t="s">
        <v>1603</v>
      </c>
      <c r="F552" s="547">
        <v>-478973601764</v>
      </c>
      <c r="G552" s="547">
        <v>2843500000</v>
      </c>
      <c r="H552" s="547">
        <v>90000000</v>
      </c>
      <c r="I552" s="547"/>
      <c r="J552" s="547"/>
      <c r="K552" s="547"/>
      <c r="L552" s="547"/>
      <c r="M552" s="547"/>
      <c r="N552" s="547"/>
      <c r="O552" s="547"/>
      <c r="P552" s="547"/>
      <c r="Q552" s="547"/>
      <c r="R552" s="547"/>
      <c r="S552" s="989">
        <f t="shared" si="32"/>
        <v>-476040101764</v>
      </c>
      <c r="T552" s="547">
        <v>-436382101764</v>
      </c>
      <c r="U552" s="989">
        <f t="shared" si="35"/>
        <v>-476040</v>
      </c>
      <c r="V552" s="547">
        <v>-436382</v>
      </c>
      <c r="W552" s="566"/>
      <c r="X552" s="567"/>
      <c r="Y552" s="989">
        <f t="shared" si="33"/>
        <v>-476040101764</v>
      </c>
      <c r="Z552" s="812">
        <f t="shared" si="34"/>
        <v>-476040</v>
      </c>
    </row>
    <row r="553" spans="1:26" ht="27" customHeight="1">
      <c r="A553" s="531">
        <v>3214</v>
      </c>
      <c r="B553" s="531">
        <v>606</v>
      </c>
      <c r="C553" s="529">
        <v>6</v>
      </c>
      <c r="D553" s="1027" t="s">
        <v>621</v>
      </c>
      <c r="E553" s="1028" t="s">
        <v>1622</v>
      </c>
      <c r="F553" s="547"/>
      <c r="G553" s="547"/>
      <c r="H553" s="547"/>
      <c r="I553" s="547"/>
      <c r="J553" s="547"/>
      <c r="K553" s="547"/>
      <c r="L553" s="547">
        <v>2078275697440</v>
      </c>
      <c r="M553" s="547"/>
      <c r="N553" s="547"/>
      <c r="O553" s="547"/>
      <c r="P553" s="547"/>
      <c r="Q553" s="547"/>
      <c r="R553" s="547"/>
      <c r="S553" s="989">
        <f t="shared" si="32"/>
        <v>2078275697440</v>
      </c>
      <c r="T553" s="547">
        <v>1730105067110</v>
      </c>
      <c r="U553" s="989">
        <f t="shared" si="35"/>
        <v>2078276</v>
      </c>
      <c r="V553" s="547">
        <v>1730105</v>
      </c>
      <c r="W553" s="566"/>
      <c r="X553" s="567"/>
      <c r="Y553" s="989">
        <f t="shared" si="33"/>
        <v>2078275697440</v>
      </c>
      <c r="Z553" s="812">
        <f t="shared" si="34"/>
        <v>2078276</v>
      </c>
    </row>
    <row r="554" spans="1:26" ht="27" customHeight="1">
      <c r="A554" s="531">
        <v>3214</v>
      </c>
      <c r="B554" s="531">
        <v>606</v>
      </c>
      <c r="C554" s="529">
        <v>6</v>
      </c>
      <c r="D554" s="1027" t="s">
        <v>623</v>
      </c>
      <c r="E554" s="1028" t="s">
        <v>1623</v>
      </c>
      <c r="F554" s="547"/>
      <c r="G554" s="547"/>
      <c r="H554" s="547"/>
      <c r="I554" s="547"/>
      <c r="J554" s="547"/>
      <c r="K554" s="547"/>
      <c r="L554" s="547">
        <v>-2078275697440</v>
      </c>
      <c r="M554" s="547"/>
      <c r="N554" s="547"/>
      <c r="O554" s="547"/>
      <c r="P554" s="547"/>
      <c r="Q554" s="547"/>
      <c r="R554" s="547"/>
      <c r="S554" s="989">
        <f t="shared" si="32"/>
        <v>-2078275697440</v>
      </c>
      <c r="T554" s="547">
        <v>-1730105067110</v>
      </c>
      <c r="U554" s="989">
        <f t="shared" si="35"/>
        <v>-2078276</v>
      </c>
      <c r="V554" s="547">
        <v>-1730105</v>
      </c>
      <c r="W554" s="566"/>
      <c r="X554" s="567"/>
      <c r="Y554" s="989">
        <f t="shared" si="33"/>
        <v>-2078275697440</v>
      </c>
      <c r="Z554" s="812">
        <f t="shared" si="34"/>
        <v>-2078276</v>
      </c>
    </row>
    <row r="555" spans="1:26" ht="27" customHeight="1">
      <c r="A555" s="531"/>
      <c r="B555" s="531"/>
      <c r="C555" s="529"/>
      <c r="D555" s="1027" t="s">
        <v>1588</v>
      </c>
      <c r="E555" s="1028" t="s">
        <v>1591</v>
      </c>
      <c r="F555" s="547"/>
      <c r="G555" s="547"/>
      <c r="H555" s="547"/>
      <c r="I555" s="547"/>
      <c r="J555" s="547"/>
      <c r="K555" s="547"/>
      <c r="L555" s="547"/>
      <c r="M555" s="547"/>
      <c r="N555" s="547"/>
      <c r="O555" s="547"/>
      <c r="P555" s="547"/>
      <c r="Q555" s="547"/>
      <c r="R555" s="547"/>
      <c r="S555" s="989">
        <f t="shared" si="32"/>
        <v>0</v>
      </c>
      <c r="T555" s="547">
        <v>0</v>
      </c>
      <c r="U555" s="989">
        <f t="shared" si="35"/>
        <v>0</v>
      </c>
      <c r="V555" s="547">
        <v>0</v>
      </c>
      <c r="W555" s="566"/>
      <c r="X555" s="567"/>
      <c r="Y555" s="989">
        <f t="shared" si="33"/>
        <v>0</v>
      </c>
      <c r="Z555" s="812">
        <f t="shared" si="34"/>
        <v>0</v>
      </c>
    </row>
    <row r="556" spans="1:26" ht="27" customHeight="1">
      <c r="A556" s="531"/>
      <c r="B556" s="531">
        <v>506</v>
      </c>
      <c r="C556" s="529">
        <v>5</v>
      </c>
      <c r="D556" s="1027" t="s">
        <v>1589</v>
      </c>
      <c r="E556" s="1028" t="s">
        <v>1592</v>
      </c>
      <c r="F556" s="547"/>
      <c r="G556" s="547"/>
      <c r="H556" s="547"/>
      <c r="I556" s="547"/>
      <c r="J556" s="547"/>
      <c r="K556" s="547">
        <v>0</v>
      </c>
      <c r="L556" s="547"/>
      <c r="M556" s="547"/>
      <c r="N556" s="547"/>
      <c r="O556" s="547"/>
      <c r="P556" s="547"/>
      <c r="Q556" s="547"/>
      <c r="R556" s="547"/>
      <c r="S556" s="989">
        <f t="shared" si="32"/>
        <v>0</v>
      </c>
      <c r="T556" s="547">
        <v>0</v>
      </c>
      <c r="U556" s="989">
        <f t="shared" si="35"/>
        <v>0</v>
      </c>
      <c r="V556" s="547">
        <v>0</v>
      </c>
      <c r="W556" s="566"/>
      <c r="X556" s="567"/>
      <c r="Y556" s="989">
        <f t="shared" si="33"/>
        <v>0</v>
      </c>
      <c r="Z556" s="812">
        <f t="shared" si="34"/>
        <v>0</v>
      </c>
    </row>
    <row r="557" spans="1:26" ht="27" customHeight="1">
      <c r="A557" s="531"/>
      <c r="B557" s="531">
        <v>506</v>
      </c>
      <c r="C557" s="529">
        <v>5</v>
      </c>
      <c r="D557" s="1027" t="s">
        <v>1590</v>
      </c>
      <c r="E557" s="1028" t="s">
        <v>1593</v>
      </c>
      <c r="F557" s="547"/>
      <c r="G557" s="547"/>
      <c r="H557" s="547"/>
      <c r="I557" s="547"/>
      <c r="J557" s="547"/>
      <c r="K557" s="547"/>
      <c r="L557" s="547"/>
      <c r="M557" s="547"/>
      <c r="N557" s="547"/>
      <c r="O557" s="547"/>
      <c r="P557" s="547"/>
      <c r="Q557" s="547"/>
      <c r="R557" s="547"/>
      <c r="S557" s="989">
        <f t="shared" si="32"/>
        <v>0</v>
      </c>
      <c r="T557" s="547">
        <v>0</v>
      </c>
      <c r="U557" s="989">
        <f t="shared" si="35"/>
        <v>0</v>
      </c>
      <c r="V557" s="1052">
        <v>0</v>
      </c>
      <c r="W557" s="566"/>
      <c r="X557" s="567"/>
      <c r="Y557" s="989">
        <f t="shared" si="33"/>
        <v>0</v>
      </c>
      <c r="Z557" s="812">
        <f t="shared" si="34"/>
        <v>0</v>
      </c>
    </row>
    <row r="558" spans="1:26" ht="22.5" customHeight="1">
      <c r="A558" s="531"/>
      <c r="B558" s="531"/>
      <c r="C558" s="529"/>
      <c r="D558" s="1027"/>
      <c r="E558" s="1028"/>
      <c r="F558" s="544"/>
      <c r="G558" s="544">
        <f t="shared" ref="G558:P558" si="36">SUM(G3:G557)</f>
        <v>0</v>
      </c>
      <c r="H558" s="544">
        <f t="shared" si="36"/>
        <v>0</v>
      </c>
      <c r="I558" s="544">
        <f t="shared" si="36"/>
        <v>0</v>
      </c>
      <c r="J558" s="544">
        <f t="shared" si="36"/>
        <v>0</v>
      </c>
      <c r="K558" s="544">
        <f t="shared" si="36"/>
        <v>0</v>
      </c>
      <c r="L558" s="544">
        <f t="shared" si="36"/>
        <v>0</v>
      </c>
      <c r="M558" s="544">
        <f t="shared" si="36"/>
        <v>0</v>
      </c>
      <c r="N558" s="544">
        <f t="shared" si="36"/>
        <v>0</v>
      </c>
      <c r="O558" s="544">
        <f t="shared" si="36"/>
        <v>0</v>
      </c>
      <c r="P558" s="544">
        <f t="shared" si="36"/>
        <v>0</v>
      </c>
      <c r="Q558" s="544"/>
      <c r="R558" s="544"/>
      <c r="S558" s="990">
        <f>SUBTOTAL(9,S3:S557)</f>
        <v>0</v>
      </c>
      <c r="T558" s="544">
        <f>SUBTOTAL(9,T3:T557)</f>
        <v>0</v>
      </c>
      <c r="U558" s="991">
        <f>SUBTOTAL(9,U3:U557)</f>
        <v>0</v>
      </c>
      <c r="V558" s="544">
        <f>SUBTOTAL(9,V3:V557)</f>
        <v>-2</v>
      </c>
      <c r="W558" s="550"/>
      <c r="X558" s="550"/>
      <c r="Y558" s="991">
        <f>SUBTOTAL(9,Y3:Y557)</f>
        <v>0</v>
      </c>
      <c r="Z558" s="550">
        <f>SUBTOTAL(9,Z3:Z557)</f>
        <v>-7</v>
      </c>
    </row>
    <row r="559" spans="1:26" ht="22.5">
      <c r="C559" s="545"/>
      <c r="D559" s="1034"/>
      <c r="F559" s="836">
        <f t="shared" ref="F559:P559" si="37">SUBTOTAL(9,F3:F557)</f>
        <v>0</v>
      </c>
      <c r="G559" s="836">
        <f t="shared" si="37"/>
        <v>0</v>
      </c>
      <c r="H559" s="836">
        <f t="shared" si="37"/>
        <v>0</v>
      </c>
      <c r="I559" s="836">
        <f t="shared" si="37"/>
        <v>0</v>
      </c>
      <c r="J559" s="836">
        <f t="shared" si="37"/>
        <v>0</v>
      </c>
      <c r="K559" s="836">
        <f t="shared" si="37"/>
        <v>0</v>
      </c>
      <c r="L559" s="836">
        <f t="shared" si="37"/>
        <v>0</v>
      </c>
      <c r="M559" s="836">
        <f t="shared" si="37"/>
        <v>0</v>
      </c>
      <c r="N559" s="836">
        <f t="shared" si="37"/>
        <v>0</v>
      </c>
      <c r="O559" s="836">
        <f t="shared" si="37"/>
        <v>0</v>
      </c>
      <c r="P559" s="836">
        <f t="shared" si="37"/>
        <v>0</v>
      </c>
      <c r="Q559" s="836"/>
      <c r="R559" s="836"/>
      <c r="S559" s="1008">
        <f>SUBTOTAL(9,S3:S557)</f>
        <v>0</v>
      </c>
      <c r="T559" s="550">
        <f>SUBTOTAL(9,T3:T557)</f>
        <v>0</v>
      </c>
      <c r="U559" s="991">
        <f>SUBTOTAL(9,U3:U557)</f>
        <v>0</v>
      </c>
      <c r="V559" s="550">
        <f>SUBTOTAL(9,V3:V557)</f>
        <v>-2</v>
      </c>
      <c r="Y559" s="992"/>
      <c r="Z559" s="546"/>
    </row>
    <row r="560" spans="1:26" ht="22.5">
      <c r="C560" s="545"/>
      <c r="D560" s="1034"/>
      <c r="F560" s="547"/>
      <c r="O560" s="835"/>
      <c r="S560" s="1009"/>
      <c r="T560" s="546"/>
      <c r="U560" s="992"/>
      <c r="V560" s="546"/>
      <c r="Y560" s="992"/>
      <c r="Z560" s="546"/>
    </row>
    <row r="561" spans="3:26" ht="22.5">
      <c r="C561" s="545"/>
      <c r="D561" s="1034"/>
      <c r="E561" s="1053"/>
      <c r="F561" s="547"/>
      <c r="S561" s="1009"/>
      <c r="T561" s="546"/>
      <c r="U561" s="992"/>
      <c r="V561" s="546"/>
      <c r="W561" s="835"/>
      <c r="Y561" s="992"/>
      <c r="Z561" s="546"/>
    </row>
    <row r="562" spans="3:26" ht="19.5" customHeight="1">
      <c r="C562" s="545"/>
      <c r="D562" s="1034"/>
      <c r="E562" s="1031"/>
      <c r="F562" s="546"/>
      <c r="G562" s="546"/>
      <c r="H562" s="546"/>
      <c r="I562" s="546"/>
      <c r="J562" s="546"/>
      <c r="K562" s="546"/>
      <c r="L562" s="546"/>
      <c r="M562" s="546"/>
      <c r="N562" s="546"/>
      <c r="O562" s="546"/>
      <c r="P562" s="546"/>
      <c r="Q562" s="546"/>
      <c r="R562" s="546"/>
      <c r="S562" s="1011"/>
      <c r="T562" s="561"/>
      <c r="U562" s="994"/>
      <c r="V562" s="561"/>
      <c r="W562" s="546"/>
      <c r="X562" s="546"/>
      <c r="Y562" s="994"/>
      <c r="Z562" s="561"/>
    </row>
    <row r="563" spans="3:26" ht="19.5" customHeight="1">
      <c r="C563" s="545"/>
      <c r="D563" s="1034"/>
      <c r="E563" s="1031"/>
      <c r="F563" s="546"/>
      <c r="G563" s="546"/>
      <c r="H563" s="546"/>
      <c r="I563" s="546"/>
      <c r="J563" s="546"/>
      <c r="K563" s="546"/>
      <c r="L563" s="546"/>
      <c r="M563" s="546"/>
      <c r="N563" s="546"/>
      <c r="O563" s="546"/>
      <c r="P563" s="546"/>
      <c r="Q563" s="546"/>
      <c r="R563" s="546"/>
      <c r="S563" s="1011"/>
      <c r="T563" s="561"/>
      <c r="U563" s="994"/>
      <c r="V563" s="561"/>
      <c r="W563" s="546"/>
      <c r="X563" s="546"/>
      <c r="Y563" s="994"/>
      <c r="Z563" s="561"/>
    </row>
    <row r="564" spans="3:26" ht="19.5" customHeight="1">
      <c r="C564" s="545"/>
      <c r="D564" s="1034"/>
      <c r="E564" s="1031"/>
      <c r="F564" s="546"/>
      <c r="G564" s="546"/>
      <c r="H564" s="546"/>
      <c r="I564" s="546"/>
      <c r="J564" s="546"/>
      <c r="K564" s="546"/>
      <c r="L564" s="546"/>
      <c r="M564" s="546"/>
      <c r="N564" s="546"/>
      <c r="O564" s="546"/>
      <c r="P564" s="546"/>
      <c r="Q564" s="546"/>
      <c r="R564" s="546"/>
      <c r="S564" s="1273"/>
      <c r="T564" s="560"/>
      <c r="U564" s="993"/>
      <c r="V564" s="560"/>
      <c r="W564" s="546"/>
      <c r="X564" s="546"/>
      <c r="Y564" s="993"/>
      <c r="Z564" s="560"/>
    </row>
    <row r="565" spans="3:26" ht="19.5" customHeight="1">
      <c r="C565" s="545"/>
      <c r="D565" s="1034"/>
      <c r="S565" s="1011"/>
      <c r="T565" s="561"/>
      <c r="U565" s="994"/>
      <c r="V565" s="561"/>
      <c r="Y565" s="994"/>
      <c r="Z565" s="561"/>
    </row>
    <row r="566" spans="3:26" ht="19.5" customHeight="1">
      <c r="C566" s="545"/>
      <c r="D566" s="1034"/>
      <c r="S566" s="1011"/>
      <c r="T566" s="561"/>
      <c r="U566" s="994"/>
      <c r="V566" s="561"/>
      <c r="Y566" s="994"/>
      <c r="Z566" s="561"/>
    </row>
    <row r="567" spans="3:26" ht="19.5" customHeight="1">
      <c r="C567" s="545"/>
      <c r="D567" s="1034"/>
      <c r="S567" s="1011"/>
      <c r="T567" s="561"/>
      <c r="U567" s="994"/>
      <c r="V567" s="561"/>
      <c r="Y567" s="994"/>
      <c r="Z567" s="561"/>
    </row>
    <row r="568" spans="3:26" ht="19.5" customHeight="1">
      <c r="C568" s="545"/>
      <c r="D568" s="1034"/>
      <c r="J568" s="545" t="s">
        <v>677</v>
      </c>
      <c r="S568" s="1011"/>
      <c r="T568" s="561"/>
      <c r="U568" s="994"/>
      <c r="V568" s="561"/>
      <c r="Y568" s="994"/>
      <c r="Z568" s="561"/>
    </row>
    <row r="569" spans="3:26" ht="19.5" customHeight="1">
      <c r="C569" s="545"/>
      <c r="D569" s="1034"/>
      <c r="S569" s="1011"/>
      <c r="T569" s="561"/>
      <c r="U569" s="994"/>
      <c r="V569" s="561"/>
      <c r="Y569" s="994"/>
      <c r="Z569" s="561"/>
    </row>
    <row r="570" spans="3:26" ht="19.5" customHeight="1">
      <c r="C570" s="545"/>
      <c r="D570" s="1034"/>
      <c r="S570" s="1011"/>
      <c r="T570" s="561"/>
      <c r="U570" s="994"/>
      <c r="V570" s="561"/>
      <c r="Y570" s="994"/>
      <c r="Z570" s="561"/>
    </row>
    <row r="571" spans="3:26" ht="19.5" customHeight="1">
      <c r="C571" s="545"/>
      <c r="D571" s="1034"/>
      <c r="S571" s="1011"/>
      <c r="T571" s="561"/>
      <c r="U571" s="994"/>
      <c r="V571" s="561"/>
      <c r="Y571" s="994"/>
      <c r="Z571" s="561"/>
    </row>
    <row r="572" spans="3:26" ht="19.5" customHeight="1">
      <c r="C572" s="545"/>
      <c r="D572" s="1034"/>
      <c r="S572" s="1011"/>
      <c r="T572" s="561"/>
      <c r="U572" s="994"/>
      <c r="V572" s="561"/>
      <c r="Y572" s="994"/>
      <c r="Z572" s="561"/>
    </row>
    <row r="573" spans="3:26" ht="19.5" customHeight="1">
      <c r="C573" s="545"/>
      <c r="D573" s="1034"/>
      <c r="S573" s="1011"/>
      <c r="T573" s="561"/>
      <c r="U573" s="994"/>
      <c r="V573" s="561"/>
      <c r="Y573" s="994"/>
      <c r="Z573" s="561"/>
    </row>
    <row r="574" spans="3:26" ht="19.5" customHeight="1">
      <c r="C574" s="545"/>
      <c r="D574" s="1034"/>
      <c r="S574" s="1009"/>
      <c r="T574" s="546"/>
      <c r="U574" s="992"/>
      <c r="V574" s="546"/>
      <c r="Y574" s="992"/>
      <c r="Z574" s="546"/>
    </row>
  </sheetData>
  <autoFilter ref="A1:Z558"/>
  <mergeCells count="23">
    <mergeCell ref="V1:V2"/>
    <mergeCell ref="W1:W2"/>
    <mergeCell ref="X1:X2"/>
    <mergeCell ref="Y1:Y2"/>
    <mergeCell ref="Z1:Z2"/>
    <mergeCell ref="U1:U2"/>
    <mergeCell ref="H1:H2"/>
    <mergeCell ref="I1:I2"/>
    <mergeCell ref="J1:J2"/>
    <mergeCell ref="K1:K2"/>
    <mergeCell ref="L1:L2"/>
    <mergeCell ref="M1:M2"/>
    <mergeCell ref="N1:N2"/>
    <mergeCell ref="O1:O2"/>
    <mergeCell ref="P1:P2"/>
    <mergeCell ref="S1:S2"/>
    <mergeCell ref="T1:T2"/>
    <mergeCell ref="G1:G2"/>
    <mergeCell ref="A1:A2"/>
    <mergeCell ref="B1:B2"/>
    <mergeCell ref="C1:C2"/>
    <mergeCell ref="E1:E2"/>
    <mergeCell ref="F1:F2"/>
  </mergeCells>
  <printOptions horizontalCentered="1" verticalCentered="1"/>
  <pageMargins left="0" right="0" top="0.15748031496062992" bottom="0" header="0" footer="0"/>
  <pageSetup paperSize="9" scale="75" orientation="landscape"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rightToLeft="1" view="pageBreakPreview" topLeftCell="A16" zoomScale="80" zoomScaleNormal="100" zoomScaleSheetLayoutView="80" workbookViewId="0">
      <selection activeCell="G21" sqref="G21"/>
    </sheetView>
  </sheetViews>
  <sheetFormatPr defaultRowHeight="39.950000000000003" customHeight="1"/>
  <cols>
    <col min="1" max="1" width="5.75" style="3136" customWidth="1"/>
    <col min="2" max="2" width="40.875" style="3137" customWidth="1"/>
    <col min="3" max="3" width="16.75" style="3137" customWidth="1"/>
    <col min="4" max="4" width="14.25" style="3137" customWidth="1"/>
    <col min="5" max="5" width="16.25" style="3137" customWidth="1"/>
    <col min="6" max="6" width="17.25" style="3137" customWidth="1"/>
    <col min="7" max="7" width="16.875" style="1966" customWidth="1"/>
    <col min="8" max="8" width="63" style="3137" customWidth="1"/>
    <col min="9" max="9" width="20.75" style="3137" customWidth="1"/>
    <col min="10" max="16384" width="9" style="3136"/>
  </cols>
  <sheetData>
    <row r="1" spans="1:15" customFormat="1" ht="30" customHeight="1">
      <c r="A1" s="1963"/>
      <c r="B1" s="3740" t="s">
        <v>612</v>
      </c>
      <c r="C1" s="3740"/>
      <c r="D1" s="3740"/>
      <c r="E1" s="3740"/>
      <c r="F1" s="3740"/>
      <c r="G1" s="3740"/>
      <c r="H1" s="3740"/>
      <c r="I1" s="3740"/>
      <c r="J1" s="3740"/>
      <c r="K1" s="3740"/>
      <c r="L1" s="3740"/>
      <c r="M1" s="3740"/>
      <c r="N1" s="3740"/>
      <c r="O1" s="3740"/>
    </row>
    <row r="2" spans="1:15" customFormat="1" ht="30" customHeight="1">
      <c r="A2" s="1963"/>
      <c r="B2" s="3740" t="s">
        <v>2445</v>
      </c>
      <c r="C2" s="3740"/>
      <c r="D2" s="3740"/>
      <c r="E2" s="3740"/>
      <c r="F2" s="3740"/>
      <c r="G2" s="3740"/>
      <c r="H2" s="3740"/>
      <c r="I2" s="3740"/>
    </row>
    <row r="3" spans="1:15" customFormat="1" ht="30" customHeight="1">
      <c r="A3" s="1963"/>
      <c r="B3" s="3740" t="str">
        <f>mafrozat!A3</f>
        <v xml:space="preserve"> سال مالي منتهي به 29 اسفند 1402</v>
      </c>
      <c r="C3" s="3740"/>
      <c r="D3" s="3740"/>
      <c r="E3" s="3740"/>
      <c r="F3" s="3740"/>
      <c r="G3" s="3740"/>
      <c r="H3" s="3740"/>
      <c r="I3" s="3740"/>
    </row>
    <row r="4" spans="1:15" customFormat="1" ht="30" customHeight="1">
      <c r="A4" s="1963"/>
      <c r="B4" s="3745" t="s">
        <v>2629</v>
      </c>
      <c r="C4" s="3745"/>
      <c r="D4" s="3745"/>
      <c r="E4" s="3745"/>
      <c r="F4" s="3745"/>
      <c r="G4" s="3745"/>
      <c r="H4" s="3745"/>
      <c r="I4" s="3745"/>
    </row>
    <row r="5" spans="1:15" ht="30" customHeight="1">
      <c r="A5" s="3138"/>
      <c r="B5" s="3752"/>
      <c r="C5" s="3752"/>
      <c r="D5" s="3752"/>
      <c r="E5" s="3752"/>
      <c r="F5" s="3752"/>
      <c r="G5" s="3752"/>
      <c r="H5" s="3752"/>
      <c r="I5" s="3752"/>
    </row>
    <row r="6" spans="1:15" ht="30" customHeight="1">
      <c r="A6" s="3138"/>
      <c r="B6" s="1307"/>
      <c r="C6" s="1307"/>
      <c r="D6" s="1307"/>
      <c r="E6" s="1307"/>
      <c r="F6" s="1307"/>
      <c r="G6" s="3139"/>
      <c r="H6" s="1307"/>
      <c r="I6" s="464" t="s">
        <v>1879</v>
      </c>
    </row>
    <row r="7" spans="1:15" ht="30" customHeight="1">
      <c r="A7" s="3138"/>
      <c r="B7" s="3746" t="s">
        <v>2068</v>
      </c>
      <c r="C7" s="3746" t="s">
        <v>2069</v>
      </c>
      <c r="D7" s="3746" t="s">
        <v>2070</v>
      </c>
      <c r="E7" s="3746" t="s">
        <v>2071</v>
      </c>
      <c r="F7" s="3748" t="s">
        <v>2561</v>
      </c>
      <c r="G7" s="3749"/>
      <c r="H7" s="3746" t="s">
        <v>2072</v>
      </c>
      <c r="I7" s="3750" t="s">
        <v>2112</v>
      </c>
    </row>
    <row r="8" spans="1:15" ht="30" customHeight="1">
      <c r="A8" s="3138"/>
      <c r="B8" s="3747"/>
      <c r="C8" s="3747"/>
      <c r="D8" s="3747"/>
      <c r="E8" s="3747"/>
      <c r="F8" s="3140" t="s">
        <v>2074</v>
      </c>
      <c r="G8" s="3141" t="s">
        <v>2075</v>
      </c>
      <c r="H8" s="3747"/>
      <c r="I8" s="3751"/>
    </row>
    <row r="9" spans="1:15" ht="30" customHeight="1">
      <c r="A9" s="3138"/>
      <c r="B9" s="3142" t="s">
        <v>2113</v>
      </c>
      <c r="C9" s="3142"/>
      <c r="D9" s="3143"/>
      <c r="E9" s="3143"/>
      <c r="F9" s="3143"/>
      <c r="G9" s="3141"/>
      <c r="H9" s="1984"/>
      <c r="I9" s="3143"/>
    </row>
    <row r="10" spans="1:15" ht="30" customHeight="1">
      <c r="A10" s="3138"/>
      <c r="B10" s="3142" t="s">
        <v>2114</v>
      </c>
      <c r="C10" s="3142">
        <v>63000000</v>
      </c>
      <c r="D10" s="3162">
        <v>97156558</v>
      </c>
      <c r="E10" s="3162">
        <f>'11'!K34</f>
        <v>101531462</v>
      </c>
      <c r="F10" s="3162">
        <f>E10-D10</f>
        <v>4374904</v>
      </c>
      <c r="G10" s="3163">
        <f t="shared" ref="G10:G23" si="0">F10/D10*100</f>
        <v>4.5029425599865318</v>
      </c>
      <c r="H10" s="1984" t="s">
        <v>2115</v>
      </c>
      <c r="I10" s="3144">
        <v>5</v>
      </c>
    </row>
    <row r="11" spans="1:15" ht="30" customHeight="1">
      <c r="A11" s="3138"/>
      <c r="B11" s="3142" t="s">
        <v>2093</v>
      </c>
      <c r="C11" s="3142">
        <v>502138</v>
      </c>
      <c r="D11" s="3162">
        <v>738192</v>
      </c>
      <c r="E11" s="3162">
        <f>'13-14'!H107</f>
        <v>1178338</v>
      </c>
      <c r="F11" s="3162">
        <f>E11-D11</f>
        <v>440146</v>
      </c>
      <c r="G11" s="3163">
        <f t="shared" si="0"/>
        <v>59.624867243210431</v>
      </c>
      <c r="H11" s="1984" t="s">
        <v>2095</v>
      </c>
      <c r="I11" s="3144">
        <v>7</v>
      </c>
    </row>
    <row r="12" spans="1:15" ht="30" customHeight="1">
      <c r="A12" s="3138"/>
      <c r="B12" s="3159" t="s">
        <v>2116</v>
      </c>
      <c r="C12" s="3164">
        <f>SUM(C10:C11)</f>
        <v>63502138</v>
      </c>
      <c r="D12" s="3164">
        <f>SUM(D10:D11)</f>
        <v>97894750</v>
      </c>
      <c r="E12" s="3164">
        <f>SUM(E10:E11)</f>
        <v>102709800</v>
      </c>
      <c r="F12" s="3164">
        <f>E12-D12</f>
        <v>4815050</v>
      </c>
      <c r="G12" s="3165">
        <f t="shared" si="0"/>
        <v>4.9185988012636015</v>
      </c>
      <c r="H12" s="3160"/>
      <c r="I12" s="3161" t="s">
        <v>2606</v>
      </c>
    </row>
    <row r="13" spans="1:15" ht="30" customHeight="1">
      <c r="A13" s="3138"/>
      <c r="B13" s="3159" t="s">
        <v>2117</v>
      </c>
      <c r="C13" s="3164">
        <f>C12</f>
        <v>63502138</v>
      </c>
      <c r="D13" s="3164">
        <f>D12</f>
        <v>97894750</v>
      </c>
      <c r="E13" s="3164">
        <f>E12</f>
        <v>102709800</v>
      </c>
      <c r="F13" s="3164">
        <f>E13-D13</f>
        <v>4815050</v>
      </c>
      <c r="G13" s="3165">
        <f t="shared" si="0"/>
        <v>4.9185988012636015</v>
      </c>
      <c r="H13" s="3160"/>
      <c r="I13" s="3161" t="s">
        <v>2606</v>
      </c>
    </row>
    <row r="14" spans="1:15" ht="30" customHeight="1">
      <c r="A14" s="3138"/>
      <c r="B14" s="3159" t="s">
        <v>2118</v>
      </c>
      <c r="C14" s="3164">
        <f>SUM(C15:C18)</f>
        <v>31841</v>
      </c>
      <c r="D14" s="3164">
        <f>SUM(D15:D18)</f>
        <v>31841</v>
      </c>
      <c r="E14" s="3164">
        <f>SUM(E15:E18)</f>
        <v>68279</v>
      </c>
      <c r="F14" s="3164">
        <f>D14-E14</f>
        <v>-36438</v>
      </c>
      <c r="G14" s="3165">
        <f>F14/D14*100</f>
        <v>-114.43736063565844</v>
      </c>
      <c r="H14" s="3160"/>
      <c r="I14" s="3161">
        <v>6</v>
      </c>
    </row>
    <row r="15" spans="1:15" ht="30" customHeight="1">
      <c r="A15" s="3138"/>
      <c r="B15" s="3142" t="s">
        <v>2119</v>
      </c>
      <c r="C15" s="3162">
        <v>18979</v>
      </c>
      <c r="D15" s="3162">
        <v>18979</v>
      </c>
      <c r="E15" s="3162">
        <v>41825</v>
      </c>
      <c r="F15" s="3162">
        <f t="shared" ref="F15:F23" si="1">D15-E15</f>
        <v>-22846</v>
      </c>
      <c r="G15" s="3163">
        <f t="shared" si="0"/>
        <v>-120.37515148321829</v>
      </c>
      <c r="H15" s="3742" t="s">
        <v>2760</v>
      </c>
      <c r="I15" s="3144">
        <v>6</v>
      </c>
    </row>
    <row r="16" spans="1:15" ht="30" customHeight="1">
      <c r="A16" s="3138"/>
      <c r="B16" s="3142" t="s">
        <v>2120</v>
      </c>
      <c r="C16" s="3162">
        <v>6890</v>
      </c>
      <c r="D16" s="3162">
        <v>6890</v>
      </c>
      <c r="E16" s="3162">
        <v>15186</v>
      </c>
      <c r="F16" s="3162">
        <f t="shared" si="1"/>
        <v>-8296</v>
      </c>
      <c r="G16" s="3163">
        <f t="shared" si="0"/>
        <v>-120.40638606676342</v>
      </c>
      <c r="H16" s="3743"/>
      <c r="I16" s="3144">
        <v>6</v>
      </c>
    </row>
    <row r="17" spans="1:9" ht="30" customHeight="1">
      <c r="A17" s="3138"/>
      <c r="B17" s="3142" t="s">
        <v>2121</v>
      </c>
      <c r="C17" s="3162">
        <v>343</v>
      </c>
      <c r="D17" s="3162">
        <v>343</v>
      </c>
      <c r="E17" s="3162">
        <v>1100</v>
      </c>
      <c r="F17" s="3162">
        <f t="shared" si="1"/>
        <v>-757</v>
      </c>
      <c r="G17" s="3163">
        <f t="shared" si="0"/>
        <v>-220.69970845481049</v>
      </c>
      <c r="H17" s="3743"/>
      <c r="I17" s="3144">
        <v>6</v>
      </c>
    </row>
    <row r="18" spans="1:9" ht="30" customHeight="1">
      <c r="A18" s="3138"/>
      <c r="B18" s="3142" t="s">
        <v>2122</v>
      </c>
      <c r="C18" s="3162">
        <v>5629</v>
      </c>
      <c r="D18" s="3162">
        <v>5629</v>
      </c>
      <c r="E18" s="3162">
        <v>10168</v>
      </c>
      <c r="F18" s="3162">
        <f t="shared" si="1"/>
        <v>-4539</v>
      </c>
      <c r="G18" s="3163">
        <f t="shared" si="0"/>
        <v>-80.635992183336285</v>
      </c>
      <c r="H18" s="3743"/>
      <c r="I18" s="3144">
        <v>6</v>
      </c>
    </row>
    <row r="19" spans="1:9" ht="30" customHeight="1">
      <c r="A19" s="3138"/>
      <c r="B19" s="3159" t="s">
        <v>2123</v>
      </c>
      <c r="C19" s="3164">
        <f>C20+C21+C22+C23+'36'!C9</f>
        <v>17514646</v>
      </c>
      <c r="D19" s="3164">
        <f>D20+D21+D22+D23+'36'!D9</f>
        <v>17514646</v>
      </c>
      <c r="E19" s="3164">
        <f>E20+E21+E22+E23+'36'!E9</f>
        <v>20229112</v>
      </c>
      <c r="F19" s="3164">
        <f>D19-E19</f>
        <v>-2714466</v>
      </c>
      <c r="G19" s="3165">
        <f>F19/D19*100</f>
        <v>-15.498263567530854</v>
      </c>
      <c r="H19" s="3164"/>
      <c r="I19" s="3161">
        <v>6</v>
      </c>
    </row>
    <row r="20" spans="1:9" ht="55.5" customHeight="1">
      <c r="A20" s="3138"/>
      <c r="B20" s="3145" t="s">
        <v>2124</v>
      </c>
      <c r="C20" s="3162">
        <v>11617010</v>
      </c>
      <c r="D20" s="3162">
        <v>11617010</v>
      </c>
      <c r="E20" s="3162">
        <v>14890453</v>
      </c>
      <c r="F20" s="3162">
        <f t="shared" si="1"/>
        <v>-3273443</v>
      </c>
      <c r="G20" s="3163">
        <f t="shared" si="0"/>
        <v>-28.178016546426317</v>
      </c>
      <c r="H20" s="3742" t="s">
        <v>2760</v>
      </c>
      <c r="I20" s="3144">
        <v>6</v>
      </c>
    </row>
    <row r="21" spans="1:9" ht="38.25" customHeight="1">
      <c r="A21" s="3138"/>
      <c r="B21" s="3145" t="s">
        <v>2666</v>
      </c>
      <c r="C21" s="3162">
        <v>2000000</v>
      </c>
      <c r="D21" s="3162">
        <v>2000000</v>
      </c>
      <c r="E21" s="3162">
        <v>0</v>
      </c>
      <c r="F21" s="3162">
        <f t="shared" si="1"/>
        <v>2000000</v>
      </c>
      <c r="G21" s="3163">
        <f t="shared" si="0"/>
        <v>100</v>
      </c>
      <c r="H21" s="3743"/>
      <c r="I21" s="3144"/>
    </row>
    <row r="22" spans="1:9" ht="39.75" customHeight="1">
      <c r="A22" s="3138"/>
      <c r="B22" s="3142" t="s">
        <v>2120</v>
      </c>
      <c r="C22" s="3162">
        <v>2542766</v>
      </c>
      <c r="D22" s="3162">
        <v>2542766</v>
      </c>
      <c r="E22" s="3162">
        <v>3483577</v>
      </c>
      <c r="F22" s="3162">
        <f t="shared" si="1"/>
        <v>-940811</v>
      </c>
      <c r="G22" s="3163">
        <f t="shared" si="0"/>
        <v>-36.999511555526546</v>
      </c>
      <c r="H22" s="3743"/>
      <c r="I22" s="3144">
        <v>6</v>
      </c>
    </row>
    <row r="23" spans="1:9" ht="41.25" customHeight="1">
      <c r="A23" s="3138"/>
      <c r="B23" s="3142" t="s">
        <v>2121</v>
      </c>
      <c r="C23" s="3162">
        <v>95643</v>
      </c>
      <c r="D23" s="3162">
        <v>95643</v>
      </c>
      <c r="E23" s="3162">
        <v>207218</v>
      </c>
      <c r="F23" s="3162">
        <f t="shared" si="1"/>
        <v>-111575</v>
      </c>
      <c r="G23" s="3163">
        <f t="shared" si="0"/>
        <v>-116.65777945066549</v>
      </c>
      <c r="H23" s="3744"/>
      <c r="I23" s="3144">
        <v>6</v>
      </c>
    </row>
    <row r="24" spans="1:9" ht="30" customHeight="1">
      <c r="A24" s="3138"/>
      <c r="B24" s="3146"/>
      <c r="C24" s="3146"/>
      <c r="D24" s="3147"/>
      <c r="E24" s="3147"/>
      <c r="F24" s="3147"/>
      <c r="G24" s="3148"/>
      <c r="H24" s="3149"/>
      <c r="I24" s="3150"/>
    </row>
    <row r="25" spans="1:9" ht="30" customHeight="1">
      <c r="A25" s="3741">
        <v>35</v>
      </c>
      <c r="B25" s="3741"/>
      <c r="C25" s="3741"/>
      <c r="D25" s="3741"/>
      <c r="E25" s="3741"/>
      <c r="F25" s="3741"/>
      <c r="G25" s="3741"/>
      <c r="H25" s="3741"/>
      <c r="I25" s="3741"/>
    </row>
  </sheetData>
  <mergeCells count="16">
    <mergeCell ref="B1:I1"/>
    <mergeCell ref="J1:O1"/>
    <mergeCell ref="B2:I2"/>
    <mergeCell ref="A25:I25"/>
    <mergeCell ref="H20:H23"/>
    <mergeCell ref="B4:I4"/>
    <mergeCell ref="B3:I3"/>
    <mergeCell ref="B7:B8"/>
    <mergeCell ref="D7:D8"/>
    <mergeCell ref="E7:E8"/>
    <mergeCell ref="F7:G7"/>
    <mergeCell ref="H7:H8"/>
    <mergeCell ref="I7:I8"/>
    <mergeCell ref="B5:I5"/>
    <mergeCell ref="C7:C8"/>
    <mergeCell ref="H15:H18"/>
  </mergeCells>
  <printOptions horizontalCentered="1" verticalCentered="1"/>
  <pageMargins left="0.7" right="0.7" top="0.75" bottom="0.75" header="0.3" footer="0.3"/>
  <pageSetup paperSize="9" scale="57" fitToWidth="0"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0"/>
  <sheetViews>
    <sheetView rightToLeft="1" view="pageBreakPreview" topLeftCell="B8" zoomScale="60" zoomScaleNormal="100" workbookViewId="0">
      <selection activeCell="H24" sqref="H24"/>
    </sheetView>
  </sheetViews>
  <sheetFormatPr defaultRowHeight="14.25"/>
  <cols>
    <col min="1" max="1" width="5.75" hidden="1" customWidth="1"/>
    <col min="2" max="2" width="41" style="1916" customWidth="1"/>
    <col min="3" max="3" width="19.75" style="1916" customWidth="1"/>
    <col min="4" max="4" width="14.875" style="1916" customWidth="1"/>
    <col min="5" max="5" width="17.5" style="1916" customWidth="1"/>
    <col min="6" max="6" width="20.75" style="1916" customWidth="1"/>
    <col min="7" max="7" width="20.625" style="1966" bestFit="1" customWidth="1"/>
    <col min="8" max="8" width="84.625" style="1916" customWidth="1"/>
    <col min="9" max="9" width="20.75" style="1916" customWidth="1"/>
  </cols>
  <sheetData>
    <row r="1" spans="1:15" ht="30" customHeight="1">
      <c r="A1" s="1963"/>
      <c r="B1" s="3740" t="s">
        <v>612</v>
      </c>
      <c r="C1" s="3740"/>
      <c r="D1" s="3740"/>
      <c r="E1" s="3740"/>
      <c r="F1" s="3740"/>
      <c r="G1" s="3740"/>
      <c r="H1" s="3740"/>
      <c r="I1" s="3740"/>
      <c r="J1" s="3740"/>
      <c r="K1" s="3740"/>
      <c r="L1" s="3740"/>
      <c r="M1" s="3740"/>
      <c r="N1" s="3740"/>
      <c r="O1" s="3740"/>
    </row>
    <row r="2" spans="1:15" ht="30" customHeight="1">
      <c r="A2" s="1963"/>
      <c r="B2" s="3740" t="s">
        <v>2445</v>
      </c>
      <c r="C2" s="3740"/>
      <c r="D2" s="3740"/>
      <c r="E2" s="3740"/>
      <c r="F2" s="3740"/>
      <c r="G2" s="3740"/>
      <c r="H2" s="3740"/>
      <c r="I2" s="3740"/>
    </row>
    <row r="3" spans="1:15" ht="30" customHeight="1">
      <c r="A3" s="1963"/>
      <c r="B3" s="3740" t="str">
        <f>mafrozat!A3</f>
        <v xml:space="preserve"> سال مالي منتهي به 29 اسفند 1402</v>
      </c>
      <c r="C3" s="3740"/>
      <c r="D3" s="3740"/>
      <c r="E3" s="3740"/>
      <c r="F3" s="3740"/>
      <c r="G3" s="3740"/>
      <c r="H3" s="3740"/>
      <c r="I3" s="3740"/>
    </row>
    <row r="4" spans="1:15" ht="30" customHeight="1">
      <c r="A4" s="1963"/>
      <c r="B4" s="3745" t="s">
        <v>2629</v>
      </c>
      <c r="C4" s="3745"/>
      <c r="D4" s="3745"/>
      <c r="E4" s="3745"/>
      <c r="F4" s="3745"/>
      <c r="G4" s="3745"/>
      <c r="H4" s="3745"/>
      <c r="I4" s="3745"/>
    </row>
    <row r="5" spans="1:15" ht="30" customHeight="1">
      <c r="A5" s="1963"/>
      <c r="B5" s="3758"/>
      <c r="C5" s="3758"/>
      <c r="D5" s="3758"/>
      <c r="E5" s="3758"/>
      <c r="F5" s="3758"/>
      <c r="G5" s="3758"/>
      <c r="H5" s="3758"/>
      <c r="I5" s="3758"/>
    </row>
    <row r="6" spans="1:15" ht="30" customHeight="1">
      <c r="A6" s="1963"/>
      <c r="B6" s="2597"/>
      <c r="C6" s="2597"/>
      <c r="D6" s="2597"/>
      <c r="E6" s="2597"/>
      <c r="F6" s="2597"/>
      <c r="G6" s="2598"/>
      <c r="H6" s="2597"/>
      <c r="I6" s="3034" t="s">
        <v>1879</v>
      </c>
    </row>
    <row r="7" spans="1:15" ht="30" customHeight="1">
      <c r="A7" s="2599"/>
      <c r="B7" s="3759" t="s">
        <v>2068</v>
      </c>
      <c r="C7" s="3753" t="s">
        <v>2069</v>
      </c>
      <c r="D7" s="3759" t="s">
        <v>2070</v>
      </c>
      <c r="E7" s="3759" t="s">
        <v>2071</v>
      </c>
      <c r="F7" s="3759" t="s">
        <v>2561</v>
      </c>
      <c r="G7" s="3759"/>
      <c r="H7" s="3759" t="s">
        <v>2072</v>
      </c>
      <c r="I7" s="3755" t="s">
        <v>2112</v>
      </c>
    </row>
    <row r="8" spans="1:15" ht="30" customHeight="1">
      <c r="A8" s="2599"/>
      <c r="B8" s="3759"/>
      <c r="C8" s="3754"/>
      <c r="D8" s="3759"/>
      <c r="E8" s="3759"/>
      <c r="F8" s="1967" t="s">
        <v>2074</v>
      </c>
      <c r="G8" s="1969" t="s">
        <v>2075</v>
      </c>
      <c r="H8" s="3759"/>
      <c r="I8" s="3756"/>
    </row>
    <row r="9" spans="1:15" ht="30" customHeight="1">
      <c r="A9" s="2599"/>
      <c r="B9" s="1972" t="s">
        <v>2122</v>
      </c>
      <c r="C9" s="1968">
        <v>1259227</v>
      </c>
      <c r="D9" s="1968">
        <v>1259227</v>
      </c>
      <c r="E9" s="1968">
        <v>1647864</v>
      </c>
      <c r="F9" s="1968">
        <f>D9-E9</f>
        <v>-388637</v>
      </c>
      <c r="G9" s="1969">
        <f>F9/D9*100</f>
        <v>-30.863140641044069</v>
      </c>
      <c r="H9" s="3762" t="s">
        <v>2607</v>
      </c>
      <c r="I9" s="1974">
        <v>6</v>
      </c>
    </row>
    <row r="10" spans="1:15" ht="30" customHeight="1">
      <c r="A10" s="2599"/>
      <c r="B10" s="1972" t="s">
        <v>2125</v>
      </c>
      <c r="C10" s="1968">
        <v>69630</v>
      </c>
      <c r="D10" s="1968">
        <v>69630</v>
      </c>
      <c r="E10" s="1968">
        <v>0</v>
      </c>
      <c r="F10" s="1968">
        <f>D10-E10</f>
        <v>69630</v>
      </c>
      <c r="G10" s="1969">
        <f>F10/D10*100</f>
        <v>100</v>
      </c>
      <c r="H10" s="3763"/>
      <c r="I10" s="1974"/>
    </row>
    <row r="11" spans="1:15" ht="26.25" customHeight="1">
      <c r="A11" s="2599"/>
      <c r="B11" s="1990" t="s">
        <v>2126</v>
      </c>
      <c r="C11" s="1968">
        <v>2071699</v>
      </c>
      <c r="D11" s="1970">
        <v>2071699</v>
      </c>
      <c r="E11" s="1970">
        <v>2321362</v>
      </c>
      <c r="F11" s="1968">
        <f>D11-E11</f>
        <v>-249663</v>
      </c>
      <c r="G11" s="1969">
        <f>F11/D11*100</f>
        <v>-12.051123256805162</v>
      </c>
      <c r="H11" s="3764"/>
      <c r="I11" s="1992">
        <v>6</v>
      </c>
    </row>
    <row r="12" spans="1:15" ht="26.25" customHeight="1">
      <c r="A12" s="2599"/>
      <c r="B12" s="3166" t="s">
        <v>2459</v>
      </c>
      <c r="C12" s="3167">
        <f t="shared" ref="C12:D12" si="0">C13+C14</f>
        <v>0</v>
      </c>
      <c r="D12" s="3167">
        <f t="shared" si="0"/>
        <v>0</v>
      </c>
      <c r="E12" s="3167">
        <f>E13+E14</f>
        <v>12732469</v>
      </c>
      <c r="F12" s="3167">
        <f>SUM(F13:F14)</f>
        <v>-12732469</v>
      </c>
      <c r="G12" s="3167">
        <v>0</v>
      </c>
      <c r="H12" s="3168"/>
      <c r="I12" s="3169"/>
    </row>
    <row r="13" spans="1:15" ht="26.25" customHeight="1">
      <c r="A13" s="2599"/>
      <c r="B13" s="1990" t="s">
        <v>2460</v>
      </c>
      <c r="C13" s="1990"/>
      <c r="D13" s="1970"/>
      <c r="E13" s="1970">
        <v>2935073</v>
      </c>
      <c r="F13" s="1968">
        <f t="shared" ref="F13:F25" si="1">D13-E13</f>
        <v>-2935073</v>
      </c>
      <c r="G13" s="1969">
        <v>0</v>
      </c>
      <c r="H13" s="3760" t="s">
        <v>2766</v>
      </c>
      <c r="I13" s="1992"/>
      <c r="N13" s="2670"/>
    </row>
    <row r="14" spans="1:15" ht="34.5" customHeight="1">
      <c r="A14" s="2599"/>
      <c r="B14" s="1990" t="s">
        <v>2154</v>
      </c>
      <c r="C14" s="1990"/>
      <c r="D14" s="1970"/>
      <c r="E14" s="1970">
        <v>9797396</v>
      </c>
      <c r="F14" s="1968">
        <f t="shared" si="1"/>
        <v>-9797396</v>
      </c>
      <c r="G14" s="1969">
        <v>0</v>
      </c>
      <c r="H14" s="3761"/>
      <c r="I14" s="1992"/>
    </row>
    <row r="15" spans="1:15" ht="26.25" customHeight="1">
      <c r="A15" s="2599"/>
      <c r="B15" s="3166" t="s">
        <v>2127</v>
      </c>
      <c r="C15" s="3167">
        <f>'35'!C14+'35'!C19+C10+C11</f>
        <v>19687816</v>
      </c>
      <c r="D15" s="3167">
        <f>'35'!D14+'35'!D19+D10+D11</f>
        <v>19687816</v>
      </c>
      <c r="E15" s="3167">
        <f>'35'!E14+'35'!E19+E10+E11+E12</f>
        <v>35351222</v>
      </c>
      <c r="F15" s="3167">
        <f t="shared" si="1"/>
        <v>-15663406</v>
      </c>
      <c r="G15" s="3170">
        <f t="shared" ref="G15:G25" si="2">F15/D15*100</f>
        <v>-79.55888047714383</v>
      </c>
      <c r="H15" s="3168"/>
      <c r="I15" s="3169">
        <v>6</v>
      </c>
    </row>
    <row r="16" spans="1:15" ht="39" customHeight="1">
      <c r="A16" s="2599"/>
      <c r="B16" s="1972" t="s">
        <v>2128</v>
      </c>
      <c r="C16" s="1968">
        <v>10725679</v>
      </c>
      <c r="D16" s="1968">
        <v>13885798</v>
      </c>
      <c r="E16" s="1968">
        <v>16030030</v>
      </c>
      <c r="F16" s="1968">
        <f t="shared" si="1"/>
        <v>-2144232</v>
      </c>
      <c r="G16" s="1969">
        <f t="shared" si="2"/>
        <v>-15.441906903729985</v>
      </c>
      <c r="H16" s="3171" t="s">
        <v>2767</v>
      </c>
      <c r="I16" s="1974">
        <v>6</v>
      </c>
    </row>
    <row r="17" spans="1:9" ht="30" customHeight="1">
      <c r="A17" s="2599"/>
      <c r="B17" s="1972" t="s">
        <v>2129</v>
      </c>
      <c r="C17" s="1968">
        <v>3449480</v>
      </c>
      <c r="D17" s="1968">
        <v>3114350</v>
      </c>
      <c r="E17" s="1968">
        <v>2795159</v>
      </c>
      <c r="F17" s="1968">
        <f t="shared" si="1"/>
        <v>319191</v>
      </c>
      <c r="G17" s="1969">
        <f t="shared" si="2"/>
        <v>10.249040730810602</v>
      </c>
      <c r="H17" s="1973" t="s">
        <v>2768</v>
      </c>
      <c r="I17" s="1974">
        <v>6</v>
      </c>
    </row>
    <row r="18" spans="1:9" ht="30" customHeight="1">
      <c r="A18" s="2599"/>
      <c r="B18" s="1972" t="s">
        <v>2130</v>
      </c>
      <c r="C18" s="1968">
        <v>14866</v>
      </c>
      <c r="D18" s="1968">
        <v>21870</v>
      </c>
      <c r="E18" s="1968">
        <v>43286</v>
      </c>
      <c r="F18" s="1968">
        <f t="shared" si="1"/>
        <v>-21416</v>
      </c>
      <c r="G18" s="1969">
        <f t="shared" si="2"/>
        <v>-97.924096936442623</v>
      </c>
      <c r="H18" s="1973" t="s">
        <v>2770</v>
      </c>
      <c r="I18" s="1974">
        <v>6</v>
      </c>
    </row>
    <row r="19" spans="1:9" ht="30" customHeight="1">
      <c r="A19" s="2599"/>
      <c r="B19" s="1972" t="s">
        <v>2131</v>
      </c>
      <c r="C19" s="1968">
        <v>3915112</v>
      </c>
      <c r="D19" s="1968">
        <v>4190027</v>
      </c>
      <c r="E19" s="1968">
        <v>2794545</v>
      </c>
      <c r="F19" s="1968">
        <f t="shared" si="1"/>
        <v>1395482</v>
      </c>
      <c r="G19" s="1969">
        <f t="shared" si="2"/>
        <v>33.304845052311116</v>
      </c>
      <c r="H19" s="1973" t="s">
        <v>2769</v>
      </c>
      <c r="I19" s="1974">
        <v>6</v>
      </c>
    </row>
    <row r="20" spans="1:9" ht="30" customHeight="1">
      <c r="A20" s="2599"/>
      <c r="B20" s="1972" t="s">
        <v>2132</v>
      </c>
      <c r="C20" s="1968">
        <v>242249</v>
      </c>
      <c r="D20" s="1968">
        <v>515844</v>
      </c>
      <c r="E20" s="1968">
        <v>57780</v>
      </c>
      <c r="F20" s="1968">
        <f t="shared" si="1"/>
        <v>458064</v>
      </c>
      <c r="G20" s="1969">
        <f t="shared" si="2"/>
        <v>88.798939214181033</v>
      </c>
      <c r="H20" s="1973" t="s">
        <v>2771</v>
      </c>
      <c r="I20" s="1974">
        <v>6</v>
      </c>
    </row>
    <row r="21" spans="1:9" ht="30" customHeight="1">
      <c r="A21" s="2599"/>
      <c r="B21" s="1972" t="s">
        <v>2133</v>
      </c>
      <c r="C21" s="1968">
        <v>5245991</v>
      </c>
      <c r="D21" s="1968">
        <v>18193703</v>
      </c>
      <c r="E21" s="1968">
        <v>21696165</v>
      </c>
      <c r="F21" s="1968">
        <f t="shared" si="1"/>
        <v>-3502462</v>
      </c>
      <c r="G21" s="1969">
        <f t="shared" si="2"/>
        <v>-19.250957322981474</v>
      </c>
      <c r="H21" s="1973" t="s">
        <v>2772</v>
      </c>
      <c r="I21" s="1974">
        <v>6</v>
      </c>
    </row>
    <row r="22" spans="1:9" ht="30" customHeight="1">
      <c r="A22" s="2599"/>
      <c r="B22" s="1972" t="s">
        <v>2134</v>
      </c>
      <c r="C22" s="1968">
        <v>1756231</v>
      </c>
      <c r="D22" s="1968">
        <v>2313273</v>
      </c>
      <c r="E22" s="1968">
        <v>489148</v>
      </c>
      <c r="F22" s="1968">
        <f t="shared" si="1"/>
        <v>1824125</v>
      </c>
      <c r="G22" s="1969">
        <f t="shared" si="2"/>
        <v>78.85472229174853</v>
      </c>
      <c r="H22" s="1973" t="s">
        <v>2769</v>
      </c>
      <c r="I22" s="1974">
        <v>6</v>
      </c>
    </row>
    <row r="23" spans="1:9" ht="30" customHeight="1">
      <c r="A23" s="2599"/>
      <c r="B23" s="1972" t="s">
        <v>2135</v>
      </c>
      <c r="C23" s="1968">
        <v>1206500</v>
      </c>
      <c r="D23" s="1968">
        <v>661676</v>
      </c>
      <c r="E23" s="1968">
        <v>1018485</v>
      </c>
      <c r="F23" s="1968">
        <f t="shared" si="1"/>
        <v>-356809</v>
      </c>
      <c r="G23" s="1969">
        <f t="shared" si="2"/>
        <v>-53.925032795507164</v>
      </c>
      <c r="H23" s="1973" t="s">
        <v>2770</v>
      </c>
      <c r="I23" s="1974">
        <v>6</v>
      </c>
    </row>
    <row r="24" spans="1:9" ht="30" customHeight="1">
      <c r="A24" s="2599"/>
      <c r="B24" s="1972" t="s">
        <v>2136</v>
      </c>
      <c r="C24" s="1968">
        <v>579136</v>
      </c>
      <c r="D24" s="1968">
        <v>779136</v>
      </c>
      <c r="E24" s="1968">
        <v>676014</v>
      </c>
      <c r="F24" s="1968">
        <f t="shared" si="1"/>
        <v>103122</v>
      </c>
      <c r="G24" s="1969">
        <f t="shared" si="2"/>
        <v>13.23543001478561</v>
      </c>
      <c r="H24" s="1973" t="s">
        <v>2773</v>
      </c>
      <c r="I24" s="1974">
        <v>6</v>
      </c>
    </row>
    <row r="25" spans="1:9" ht="30" customHeight="1">
      <c r="A25" s="2599"/>
      <c r="B25" s="1972" t="s">
        <v>2137</v>
      </c>
      <c r="C25" s="1968">
        <v>791209</v>
      </c>
      <c r="D25" s="1968">
        <v>6153431</v>
      </c>
      <c r="E25" s="1968">
        <v>5388679</v>
      </c>
      <c r="F25" s="1968">
        <f t="shared" si="1"/>
        <v>764752</v>
      </c>
      <c r="G25" s="1969">
        <f t="shared" si="2"/>
        <v>12.428058427891692</v>
      </c>
      <c r="H25" s="1973" t="s">
        <v>2769</v>
      </c>
      <c r="I25" s="1974">
        <v>6</v>
      </c>
    </row>
    <row r="26" spans="1:9" ht="30" customHeight="1">
      <c r="A26" s="1963"/>
      <c r="B26" s="1975"/>
      <c r="C26" s="1975"/>
      <c r="D26" s="1976"/>
      <c r="E26" s="1976"/>
      <c r="F26" s="1976"/>
      <c r="G26" s="1977"/>
      <c r="H26" s="1978"/>
      <c r="I26" s="1979"/>
    </row>
    <row r="27" spans="1:9" ht="30" customHeight="1">
      <c r="A27" s="3757">
        <v>36</v>
      </c>
      <c r="B27" s="3757"/>
      <c r="C27" s="3757"/>
      <c r="D27" s="3757"/>
      <c r="E27" s="3757"/>
      <c r="F27" s="3757"/>
      <c r="G27" s="3757"/>
      <c r="H27" s="3757"/>
      <c r="I27" s="3757"/>
    </row>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row r="38" ht="39.950000000000003" customHeight="1"/>
    <row r="39" ht="39.950000000000003" customHeight="1"/>
    <row r="40" ht="39.950000000000003" customHeight="1"/>
  </sheetData>
  <mergeCells count="16">
    <mergeCell ref="C7:C8"/>
    <mergeCell ref="B1:I1"/>
    <mergeCell ref="J1:O1"/>
    <mergeCell ref="I7:I8"/>
    <mergeCell ref="A27:I27"/>
    <mergeCell ref="B2:I2"/>
    <mergeCell ref="B3:I3"/>
    <mergeCell ref="B4:I4"/>
    <mergeCell ref="B5:I5"/>
    <mergeCell ref="B7:B8"/>
    <mergeCell ref="D7:D8"/>
    <mergeCell ref="E7:E8"/>
    <mergeCell ref="F7:G7"/>
    <mergeCell ref="H7:H8"/>
    <mergeCell ref="H13:H14"/>
    <mergeCell ref="H9:H11"/>
  </mergeCells>
  <printOptions horizontalCentered="1" verticalCentered="1"/>
  <pageMargins left="0.7" right="0.7" top="0.75" bottom="0.75" header="0.3" footer="0.3"/>
  <pageSetup paperSize="9" scale="5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topLeftCell="A7" zoomScale="60" zoomScaleNormal="100" workbookViewId="0">
      <selection activeCell="H18" sqref="H18:H21"/>
    </sheetView>
  </sheetViews>
  <sheetFormatPr defaultRowHeight="14.25"/>
  <cols>
    <col min="1" max="1" width="5.75" customWidth="1"/>
    <col min="2" max="2" width="34.75" style="1916" customWidth="1"/>
    <col min="3" max="3" width="18.25" style="1916" customWidth="1"/>
    <col min="4" max="4" width="14.25" style="1916" customWidth="1"/>
    <col min="5" max="5" width="14.375" style="1916" customWidth="1"/>
    <col min="6" max="6" width="17.25" style="1916" customWidth="1"/>
    <col min="7" max="7" width="16.875" style="1966" customWidth="1"/>
    <col min="8" max="8" width="62" style="1916" customWidth="1"/>
    <col min="9" max="9" width="20.75" style="1916" customWidth="1"/>
  </cols>
  <sheetData>
    <row r="1" spans="1:9" ht="30" customHeight="1">
      <c r="A1" s="1963"/>
      <c r="B1" s="3740" t="s">
        <v>612</v>
      </c>
      <c r="C1" s="3740"/>
      <c r="D1" s="3740"/>
      <c r="E1" s="3740"/>
      <c r="F1" s="3740"/>
      <c r="G1" s="3740"/>
      <c r="H1" s="3740"/>
      <c r="I1" s="3740"/>
    </row>
    <row r="2" spans="1:9" ht="30" customHeight="1">
      <c r="A2" s="1963"/>
      <c r="B2" s="3740" t="s">
        <v>2445</v>
      </c>
      <c r="C2" s="3740"/>
      <c r="D2" s="3740"/>
      <c r="E2" s="3740"/>
      <c r="F2" s="3740"/>
      <c r="G2" s="3740"/>
      <c r="H2" s="3740"/>
      <c r="I2" s="3740"/>
    </row>
    <row r="3" spans="1:9" ht="30" customHeight="1">
      <c r="A3" s="1963"/>
      <c r="B3" s="3740" t="str">
        <f>mafrozat!A3</f>
        <v xml:space="preserve"> سال مالي منتهي به 29 اسفند 1402</v>
      </c>
      <c r="C3" s="3740"/>
      <c r="D3" s="3740"/>
      <c r="E3" s="3740"/>
      <c r="F3" s="3740"/>
      <c r="G3" s="3740"/>
      <c r="H3" s="3740"/>
      <c r="I3" s="3740"/>
    </row>
    <row r="4" spans="1:9" ht="30" customHeight="1">
      <c r="A4" s="1963"/>
      <c r="B4" s="3745" t="s">
        <v>2629</v>
      </c>
      <c r="C4" s="3745"/>
      <c r="D4" s="3745"/>
      <c r="E4" s="3745"/>
      <c r="F4" s="3745"/>
      <c r="G4" s="3745"/>
      <c r="H4" s="3745"/>
      <c r="I4" s="3745"/>
    </row>
    <row r="5" spans="1:9" ht="30" customHeight="1">
      <c r="A5" s="1963"/>
      <c r="B5" s="3758"/>
      <c r="C5" s="3758"/>
      <c r="D5" s="3758"/>
      <c r="E5" s="3758"/>
      <c r="F5" s="3758"/>
      <c r="G5" s="3758"/>
      <c r="H5" s="3758"/>
      <c r="I5" s="3758"/>
    </row>
    <row r="6" spans="1:9" ht="30" customHeight="1">
      <c r="A6" s="1963"/>
      <c r="B6" s="1964"/>
      <c r="C6" s="1964"/>
      <c r="D6" s="1964"/>
      <c r="E6" s="1964"/>
      <c r="F6" s="1964"/>
      <c r="G6" s="1965"/>
      <c r="H6" s="1964"/>
      <c r="I6" s="3033" t="s">
        <v>1879</v>
      </c>
    </row>
    <row r="7" spans="1:9" ht="30" customHeight="1">
      <c r="A7" s="1963"/>
      <c r="B7" s="3753" t="s">
        <v>2068</v>
      </c>
      <c r="C7" s="3753" t="s">
        <v>2069</v>
      </c>
      <c r="D7" s="3753" t="s">
        <v>2070</v>
      </c>
      <c r="E7" s="3753" t="s">
        <v>2071</v>
      </c>
      <c r="F7" s="3768" t="s">
        <v>2561</v>
      </c>
      <c r="G7" s="3769"/>
      <c r="H7" s="3753" t="s">
        <v>2072</v>
      </c>
      <c r="I7" s="3765" t="s">
        <v>2112</v>
      </c>
    </row>
    <row r="8" spans="1:9" ht="30" customHeight="1">
      <c r="A8" s="1963"/>
      <c r="B8" s="3754"/>
      <c r="C8" s="3754"/>
      <c r="D8" s="3754"/>
      <c r="E8" s="3754"/>
      <c r="F8" s="2990" t="s">
        <v>2074</v>
      </c>
      <c r="G8" s="1969" t="s">
        <v>2075</v>
      </c>
      <c r="H8" s="3754"/>
      <c r="I8" s="3766"/>
    </row>
    <row r="9" spans="1:9" ht="30" customHeight="1">
      <c r="A9" s="1963"/>
      <c r="B9" s="3166" t="s">
        <v>2138</v>
      </c>
      <c r="C9" s="3167">
        <f>'36'!C16+'36'!C17+'36'!C18+'36'!C19+'36'!C20+'36'!C21+'36'!C22+'36'!C23+'36'!C24+'36'!C25</f>
        <v>27926453</v>
      </c>
      <c r="D9" s="3167">
        <f>'36'!D16+'36'!D17+'36'!D18+'36'!D19+'36'!D20+'36'!D21+'36'!D22+'36'!D23+'36'!D24+'36'!D25</f>
        <v>49829108</v>
      </c>
      <c r="E9" s="3167">
        <f>'36'!E16+'36'!E17+'36'!E18+'36'!E19+'36'!E20+'36'!E21+'36'!E22+'36'!E23+'36'!E24+'36'!E25</f>
        <v>50989291</v>
      </c>
      <c r="F9" s="3167">
        <f>D9-E9</f>
        <v>-1160183</v>
      </c>
      <c r="G9" s="3170">
        <f>F9/D9*100</f>
        <v>-2.3283238383476581</v>
      </c>
      <c r="H9" s="3168"/>
      <c r="I9" s="3169">
        <v>6</v>
      </c>
    </row>
    <row r="10" spans="1:9" ht="30" customHeight="1">
      <c r="A10" s="1963"/>
      <c r="B10" s="3166" t="s">
        <v>2139</v>
      </c>
      <c r="C10" s="3167">
        <f>C9+'36'!C15</f>
        <v>47614269</v>
      </c>
      <c r="D10" s="3167">
        <f>D9+'36'!D15</f>
        <v>69516924</v>
      </c>
      <c r="E10" s="3167">
        <f>E9+'36'!E15</f>
        <v>86340513</v>
      </c>
      <c r="F10" s="3167">
        <f>D10-E10</f>
        <v>-16823589</v>
      </c>
      <c r="G10" s="3170">
        <f>F10/D10*100</f>
        <v>-24.200709743716509</v>
      </c>
      <c r="H10" s="3168"/>
      <c r="I10" s="3169">
        <v>6</v>
      </c>
    </row>
    <row r="11" spans="1:9" ht="30" customHeight="1">
      <c r="A11" s="1963"/>
      <c r="B11" s="3172" t="s">
        <v>2140</v>
      </c>
      <c r="C11" s="3167">
        <f>C10</f>
        <v>47614269</v>
      </c>
      <c r="D11" s="3167">
        <f>D10</f>
        <v>69516924</v>
      </c>
      <c r="E11" s="3167">
        <f t="shared" ref="E11" si="0">E10</f>
        <v>86340513</v>
      </c>
      <c r="F11" s="3167">
        <f>D11-E11</f>
        <v>-16823589</v>
      </c>
      <c r="G11" s="3170">
        <f>F11/D11*100</f>
        <v>-24.200709743716509</v>
      </c>
      <c r="H11" s="3168"/>
      <c r="I11" s="3169">
        <v>6</v>
      </c>
    </row>
    <row r="12" spans="1:9" ht="30" customHeight="1">
      <c r="A12" s="1963"/>
      <c r="B12" s="3166" t="s">
        <v>2141</v>
      </c>
      <c r="C12" s="3167">
        <f>'35'!C13-'37'!C11</f>
        <v>15887869</v>
      </c>
      <c r="D12" s="3167">
        <f>'35'!D13-'37'!D11</f>
        <v>28377826</v>
      </c>
      <c r="E12" s="3167">
        <f>'35'!E13-'37'!E11</f>
        <v>16369287</v>
      </c>
      <c r="F12" s="3167">
        <f>D12-E12</f>
        <v>12008539</v>
      </c>
      <c r="G12" s="3170">
        <f>F12/D12*100</f>
        <v>42.316627778322413</v>
      </c>
      <c r="H12" s="3168"/>
      <c r="I12" s="3169"/>
    </row>
    <row r="13" spans="1:9" ht="30" customHeight="1">
      <c r="A13" s="1963"/>
      <c r="B13" s="1972" t="s">
        <v>2142</v>
      </c>
      <c r="C13" s="1972"/>
      <c r="D13" s="1968"/>
      <c r="E13" s="1968"/>
      <c r="F13" s="1968"/>
      <c r="G13" s="1969"/>
      <c r="H13" s="1973"/>
      <c r="I13" s="1974"/>
    </row>
    <row r="14" spans="1:9" ht="30" customHeight="1">
      <c r="A14" s="1963"/>
      <c r="B14" s="1972" t="s">
        <v>2143</v>
      </c>
      <c r="C14" s="1972"/>
      <c r="D14" s="1968"/>
      <c r="E14" s="1968">
        <v>0</v>
      </c>
      <c r="F14" s="1968"/>
      <c r="G14" s="1969"/>
      <c r="H14" s="1973"/>
      <c r="I14" s="1974"/>
    </row>
    <row r="15" spans="1:9" ht="30" customHeight="1">
      <c r="A15" s="1963"/>
      <c r="B15" s="3166" t="s">
        <v>2144</v>
      </c>
      <c r="C15" s="3166"/>
      <c r="D15" s="3167"/>
      <c r="E15" s="3167">
        <v>0</v>
      </c>
      <c r="F15" s="3167"/>
      <c r="G15" s="3170"/>
      <c r="H15" s="3168"/>
      <c r="I15" s="3169"/>
    </row>
    <row r="16" spans="1:9" ht="30" customHeight="1">
      <c r="A16" s="1963"/>
      <c r="B16" s="1972" t="s">
        <v>2145</v>
      </c>
      <c r="C16" s="1972"/>
      <c r="D16" s="1968"/>
      <c r="E16" s="1968"/>
      <c r="F16" s="1968"/>
      <c r="G16" s="1969"/>
      <c r="I16" s="1974"/>
    </row>
    <row r="17" spans="1:9" ht="30" customHeight="1">
      <c r="A17" s="1963"/>
      <c r="B17" s="3166" t="s">
        <v>2118</v>
      </c>
      <c r="C17" s="3167">
        <f>C18+C19+C20+C21</f>
        <v>6543</v>
      </c>
      <c r="D17" s="3167">
        <f>D18+D19+D20+D21</f>
        <v>6543</v>
      </c>
      <c r="E17" s="3167">
        <f t="shared" ref="E17" si="1">E18+E19+E20+E21</f>
        <v>43311</v>
      </c>
      <c r="F17" s="3167">
        <f t="shared" ref="F17:F22" si="2">D17-E17</f>
        <v>-36768</v>
      </c>
      <c r="G17" s="3170">
        <f t="shared" ref="G17:G22" si="3">F17/D17*100</f>
        <v>-561.94406235671715</v>
      </c>
      <c r="H17" s="3168"/>
      <c r="I17" s="3169">
        <v>6</v>
      </c>
    </row>
    <row r="18" spans="1:9" ht="30" customHeight="1">
      <c r="A18" s="1963"/>
      <c r="B18" s="1972" t="s">
        <v>2119</v>
      </c>
      <c r="C18" s="1968">
        <v>3694</v>
      </c>
      <c r="D18" s="1968">
        <v>3694</v>
      </c>
      <c r="E18" s="1968">
        <v>27780</v>
      </c>
      <c r="F18" s="1968">
        <f t="shared" si="2"/>
        <v>-24086</v>
      </c>
      <c r="G18" s="1969">
        <f t="shared" si="3"/>
        <v>-652.03031943692474</v>
      </c>
      <c r="H18" s="3742" t="s">
        <v>2760</v>
      </c>
      <c r="I18" s="1974">
        <v>6</v>
      </c>
    </row>
    <row r="19" spans="1:9" ht="30" customHeight="1">
      <c r="A19" s="1963"/>
      <c r="B19" s="1972" t="s">
        <v>2120</v>
      </c>
      <c r="C19" s="1968">
        <v>1164</v>
      </c>
      <c r="D19" s="1968">
        <v>1164</v>
      </c>
      <c r="E19" s="1968">
        <v>9272</v>
      </c>
      <c r="F19" s="1968">
        <f t="shared" si="2"/>
        <v>-8108</v>
      </c>
      <c r="G19" s="1969">
        <f t="shared" si="3"/>
        <v>-696.56357388316155</v>
      </c>
      <c r="H19" s="3743"/>
      <c r="I19" s="1974">
        <v>6</v>
      </c>
    </row>
    <row r="20" spans="1:9" ht="30" customHeight="1">
      <c r="A20" s="1963"/>
      <c r="B20" s="1972" t="s">
        <v>2121</v>
      </c>
      <c r="C20" s="1968">
        <v>515</v>
      </c>
      <c r="D20" s="1968">
        <v>515</v>
      </c>
      <c r="E20" s="1968">
        <v>1306</v>
      </c>
      <c r="F20" s="1968">
        <f t="shared" si="2"/>
        <v>-791</v>
      </c>
      <c r="G20" s="1969">
        <f t="shared" si="3"/>
        <v>-153.59223300970874</v>
      </c>
      <c r="H20" s="3743"/>
      <c r="I20" s="1974">
        <v>6</v>
      </c>
    </row>
    <row r="21" spans="1:9" ht="30" customHeight="1">
      <c r="A21" s="1963"/>
      <c r="B21" s="1972" t="s">
        <v>2122</v>
      </c>
      <c r="C21" s="1968">
        <v>1170</v>
      </c>
      <c r="D21" s="1968">
        <v>1170</v>
      </c>
      <c r="E21" s="1968">
        <v>4953</v>
      </c>
      <c r="F21" s="1968">
        <f t="shared" si="2"/>
        <v>-3783</v>
      </c>
      <c r="G21" s="1969">
        <f t="shared" si="3"/>
        <v>-323.33333333333331</v>
      </c>
      <c r="H21" s="3743"/>
      <c r="I21" s="1974">
        <v>6</v>
      </c>
    </row>
    <row r="22" spans="1:9" ht="30" customHeight="1">
      <c r="A22" s="1963"/>
      <c r="B22" s="3166" t="s">
        <v>2123</v>
      </c>
      <c r="C22" s="3167">
        <f>'38'!C9+'38'!C10+'38'!C11+'38'!C12+'38'!C13</f>
        <v>3588708</v>
      </c>
      <c r="D22" s="3167">
        <f>'38'!D9+'38'!D10+'38'!D11+'38'!D12+'38'!D13</f>
        <v>3588708</v>
      </c>
      <c r="E22" s="3167">
        <f>'38'!E9+'38'!E11+'38'!E12+'38'!E13+'38'!E14</f>
        <v>2795861</v>
      </c>
      <c r="F22" s="3167">
        <f t="shared" si="2"/>
        <v>792847</v>
      </c>
      <c r="G22" s="3170">
        <f t="shared" si="3"/>
        <v>22.092825607433092</v>
      </c>
      <c r="H22" s="3168"/>
      <c r="I22" s="3169">
        <v>6</v>
      </c>
    </row>
    <row r="23" spans="1:9" ht="30" customHeight="1">
      <c r="A23" s="1963"/>
      <c r="B23" s="1975"/>
      <c r="C23" s="1975"/>
      <c r="D23" s="1976"/>
      <c r="E23" s="1976"/>
      <c r="F23" s="1976"/>
      <c r="G23" s="1977"/>
      <c r="H23" s="1978"/>
      <c r="I23" s="1979"/>
    </row>
    <row r="24" spans="1:9" ht="30" customHeight="1">
      <c r="A24" s="3767">
        <v>37</v>
      </c>
      <c r="B24" s="3767"/>
      <c r="C24" s="3767"/>
      <c r="D24" s="3767"/>
      <c r="E24" s="3767"/>
      <c r="F24" s="3767"/>
      <c r="G24" s="3767"/>
      <c r="H24" s="3767"/>
      <c r="I24" s="3767"/>
    </row>
    <row r="25" spans="1:9" ht="39.950000000000003" customHeight="1"/>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sheetData>
  <mergeCells count="14">
    <mergeCell ref="B1:I1"/>
    <mergeCell ref="I7:I8"/>
    <mergeCell ref="A24:I24"/>
    <mergeCell ref="B2:I2"/>
    <mergeCell ref="B3:I3"/>
    <mergeCell ref="B4:I4"/>
    <mergeCell ref="B5:I5"/>
    <mergeCell ref="B7:B8"/>
    <mergeCell ref="D7:D8"/>
    <mergeCell ref="E7:E8"/>
    <mergeCell ref="F7:G7"/>
    <mergeCell ref="H7:H8"/>
    <mergeCell ref="H18:H21"/>
    <mergeCell ref="C7:C8"/>
  </mergeCells>
  <printOptions horizontalCentered="1" verticalCentered="1"/>
  <pageMargins left="0.7" right="0.7" top="0.75" bottom="0.75" header="0.3" footer="0.3"/>
  <pageSetup paperSize="9" scale="59"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rightToLeft="1" view="pageBreakPreview" topLeftCell="A4" zoomScale="59" zoomScaleNormal="100" zoomScaleSheetLayoutView="59" workbookViewId="0">
      <selection activeCell="I11" sqref="I11"/>
    </sheetView>
  </sheetViews>
  <sheetFormatPr defaultRowHeight="14.25"/>
  <cols>
    <col min="1" max="1" width="5.75" customWidth="1"/>
    <col min="2" max="2" width="34.75" style="1916" customWidth="1"/>
    <col min="3" max="3" width="14.625" style="1916" customWidth="1"/>
    <col min="4" max="4" width="14.25" style="1916" customWidth="1"/>
    <col min="5" max="5" width="14" style="1916" customWidth="1"/>
    <col min="6" max="6" width="17.25" style="1916" customWidth="1"/>
    <col min="7" max="7" width="13.25" style="1966" customWidth="1"/>
    <col min="8" max="8" width="51.75" style="1916" customWidth="1"/>
    <col min="9" max="9" width="14" style="1916" customWidth="1"/>
  </cols>
  <sheetData>
    <row r="1" spans="1:9" ht="30" customHeight="1">
      <c r="A1" s="1963"/>
      <c r="B1" s="3740" t="s">
        <v>612</v>
      </c>
      <c r="C1" s="3740"/>
      <c r="D1" s="3740"/>
      <c r="E1" s="3740"/>
      <c r="F1" s="3740"/>
      <c r="G1" s="3740"/>
      <c r="H1" s="3740"/>
      <c r="I1" s="3740"/>
    </row>
    <row r="2" spans="1:9" ht="30" customHeight="1">
      <c r="A2" s="1963"/>
      <c r="B2" s="3740" t="s">
        <v>2445</v>
      </c>
      <c r="C2" s="3740"/>
      <c r="D2" s="3740"/>
      <c r="E2" s="3740"/>
      <c r="F2" s="3740"/>
      <c r="G2" s="3740"/>
      <c r="H2" s="3740"/>
      <c r="I2" s="3740"/>
    </row>
    <row r="3" spans="1:9" ht="30" customHeight="1">
      <c r="A3" s="1963"/>
      <c r="B3" s="3740" t="str">
        <f>mafrozat!A3</f>
        <v xml:space="preserve"> سال مالي منتهي به 29 اسفند 1402</v>
      </c>
      <c r="C3" s="3740"/>
      <c r="D3" s="3740"/>
      <c r="E3" s="3740"/>
      <c r="F3" s="3740"/>
      <c r="G3" s="3740"/>
      <c r="H3" s="3740"/>
      <c r="I3" s="3740"/>
    </row>
    <row r="4" spans="1:9" ht="30" customHeight="1">
      <c r="A4" s="1963"/>
      <c r="B4" s="3745" t="s">
        <v>2629</v>
      </c>
      <c r="C4" s="3745"/>
      <c r="D4" s="3745"/>
      <c r="E4" s="3745"/>
      <c r="F4" s="3745"/>
      <c r="G4" s="3745"/>
      <c r="H4" s="3745"/>
      <c r="I4" s="3745"/>
    </row>
    <row r="5" spans="1:9" ht="30" customHeight="1">
      <c r="A5" s="1963"/>
      <c r="B5" s="1962"/>
      <c r="C5" s="3268"/>
      <c r="D5" s="1962"/>
      <c r="E5" s="1962"/>
      <c r="F5" s="1962"/>
      <c r="G5" s="1962"/>
      <c r="H5" s="1962"/>
      <c r="I5" s="1962"/>
    </row>
    <row r="6" spans="1:9" ht="30" customHeight="1">
      <c r="A6" s="1963"/>
      <c r="B6" s="1964"/>
      <c r="C6" s="1964"/>
      <c r="D6" s="1964"/>
      <c r="E6" s="1964"/>
      <c r="F6" s="1964"/>
      <c r="G6" s="1965"/>
      <c r="H6" s="1964"/>
      <c r="I6" s="3301" t="s">
        <v>1879</v>
      </c>
    </row>
    <row r="7" spans="1:9" ht="30" customHeight="1">
      <c r="A7" s="1963"/>
      <c r="B7" s="3753" t="s">
        <v>2068</v>
      </c>
      <c r="C7" s="3753" t="s">
        <v>2069</v>
      </c>
      <c r="D7" s="3753" t="s">
        <v>2070</v>
      </c>
      <c r="E7" s="3753" t="s">
        <v>2071</v>
      </c>
      <c r="F7" s="3768" t="s">
        <v>2561</v>
      </c>
      <c r="G7" s="3769"/>
      <c r="H7" s="3753" t="s">
        <v>2072</v>
      </c>
      <c r="I7" s="3770" t="s">
        <v>2112</v>
      </c>
    </row>
    <row r="8" spans="1:9" ht="30" customHeight="1">
      <c r="A8" s="1963"/>
      <c r="B8" s="3754"/>
      <c r="C8" s="3754"/>
      <c r="D8" s="3754"/>
      <c r="E8" s="3754"/>
      <c r="F8" s="1967" t="s">
        <v>2074</v>
      </c>
      <c r="G8" s="1969" t="s">
        <v>2075</v>
      </c>
      <c r="H8" s="3754"/>
      <c r="I8" s="3771"/>
    </row>
    <row r="9" spans="1:9" ht="30" customHeight="1">
      <c r="A9" s="1963"/>
      <c r="B9" s="1983" t="s">
        <v>2124</v>
      </c>
      <c r="C9" s="1968">
        <v>2335117</v>
      </c>
      <c r="D9" s="1968">
        <v>2335117</v>
      </c>
      <c r="E9" s="1968">
        <v>1875973</v>
      </c>
      <c r="F9" s="1968">
        <f t="shared" ref="F9:F23" si="0">D9-E9</f>
        <v>459144</v>
      </c>
      <c r="G9" s="1969">
        <f t="shared" ref="G9:G15" si="1">F9/D9*100</f>
        <v>19.662569370185736</v>
      </c>
      <c r="H9" s="3772" t="s">
        <v>2760</v>
      </c>
      <c r="I9" s="1974">
        <v>6</v>
      </c>
    </row>
    <row r="10" spans="1:9" ht="30" customHeight="1">
      <c r="A10" s="1963"/>
      <c r="B10" s="1983" t="s">
        <v>2666</v>
      </c>
      <c r="C10" s="1968">
        <v>542152</v>
      </c>
      <c r="D10" s="1968">
        <v>542152</v>
      </c>
      <c r="E10" s="1968">
        <v>0</v>
      </c>
      <c r="F10" s="1968">
        <f t="shared" si="0"/>
        <v>542152</v>
      </c>
      <c r="G10" s="1969">
        <f t="shared" si="1"/>
        <v>100</v>
      </c>
      <c r="H10" s="3773"/>
      <c r="I10" s="1974"/>
    </row>
    <row r="11" spans="1:9" ht="30" customHeight="1">
      <c r="A11" s="1963"/>
      <c r="B11" s="1990" t="s">
        <v>2120</v>
      </c>
      <c r="C11" s="1970">
        <v>492740</v>
      </c>
      <c r="D11" s="1970">
        <v>492740</v>
      </c>
      <c r="E11" s="1970">
        <v>626673</v>
      </c>
      <c r="F11" s="1968">
        <f t="shared" si="0"/>
        <v>-133933</v>
      </c>
      <c r="G11" s="1969">
        <f t="shared" si="1"/>
        <v>-27.181272070463123</v>
      </c>
      <c r="H11" s="3774"/>
      <c r="I11" s="1992">
        <v>6</v>
      </c>
    </row>
    <row r="12" spans="1:9" ht="30" customHeight="1">
      <c r="A12" s="1963"/>
      <c r="B12" s="1972" t="s">
        <v>2121</v>
      </c>
      <c r="C12" s="1968">
        <v>7079</v>
      </c>
      <c r="D12" s="1968">
        <v>7079</v>
      </c>
      <c r="E12" s="1968">
        <v>51234</v>
      </c>
      <c r="F12" s="1968">
        <f t="shared" si="0"/>
        <v>-44155</v>
      </c>
      <c r="G12" s="1969">
        <f t="shared" si="1"/>
        <v>-623.74629184913124</v>
      </c>
      <c r="H12" s="3774"/>
      <c r="I12" s="1974">
        <v>6</v>
      </c>
    </row>
    <row r="13" spans="1:9" ht="30" customHeight="1">
      <c r="A13" s="1963"/>
      <c r="B13" s="1972" t="s">
        <v>2122</v>
      </c>
      <c r="C13" s="1968">
        <v>211620</v>
      </c>
      <c r="D13" s="1968">
        <v>211620</v>
      </c>
      <c r="E13" s="1968">
        <v>241981</v>
      </c>
      <c r="F13" s="1968">
        <f t="shared" si="0"/>
        <v>-30361</v>
      </c>
      <c r="G13" s="1969">
        <f t="shared" si="1"/>
        <v>-14.346942633021452</v>
      </c>
      <c r="H13" s="3774"/>
      <c r="I13" s="1974">
        <v>6</v>
      </c>
    </row>
    <row r="14" spans="1:9" ht="30" customHeight="1">
      <c r="A14" s="1963"/>
      <c r="B14" s="1972" t="s">
        <v>2125</v>
      </c>
      <c r="C14" s="1968">
        <v>35530</v>
      </c>
      <c r="D14" s="1968">
        <v>35530</v>
      </c>
      <c r="E14" s="1968">
        <v>0</v>
      </c>
      <c r="F14" s="1968">
        <f t="shared" si="0"/>
        <v>35530</v>
      </c>
      <c r="G14" s="1969">
        <f t="shared" si="1"/>
        <v>100</v>
      </c>
      <c r="H14" s="3774"/>
      <c r="I14" s="1974">
        <v>6</v>
      </c>
    </row>
    <row r="15" spans="1:9" ht="30" customHeight="1">
      <c r="A15" s="1963"/>
      <c r="B15" s="1972" t="s">
        <v>2126</v>
      </c>
      <c r="C15" s="1968">
        <v>365293</v>
      </c>
      <c r="D15" s="1968">
        <v>365293</v>
      </c>
      <c r="E15" s="1968">
        <v>896736</v>
      </c>
      <c r="F15" s="1968">
        <f t="shared" si="0"/>
        <v>-531443</v>
      </c>
      <c r="G15" s="1969">
        <f t="shared" si="1"/>
        <v>-145.48403610252592</v>
      </c>
      <c r="H15" s="3775"/>
      <c r="I15" s="1974">
        <v>6</v>
      </c>
    </row>
    <row r="16" spans="1:9" ht="30" customHeight="1">
      <c r="A16" s="1963"/>
      <c r="B16" s="3172" t="s">
        <v>2146</v>
      </c>
      <c r="C16" s="3167">
        <f>'37'!C22+'37'!C17+C14+C15</f>
        <v>3996074</v>
      </c>
      <c r="D16" s="3167">
        <f>'37'!D22+'37'!D17+D14+D15</f>
        <v>3996074</v>
      </c>
      <c r="E16" s="3167">
        <f>'37'!E22+'37'!E17+E14+E15</f>
        <v>3735908</v>
      </c>
      <c r="F16" s="3167">
        <f t="shared" si="0"/>
        <v>260166</v>
      </c>
      <c r="G16" s="3170">
        <f>F16/D16*100</f>
        <v>6.5105400951033436</v>
      </c>
      <c r="H16" s="3168"/>
      <c r="I16" s="3169">
        <v>6</v>
      </c>
    </row>
    <row r="17" spans="1:9" ht="30" customHeight="1">
      <c r="A17" s="1963"/>
      <c r="B17" s="1972" t="s">
        <v>2128</v>
      </c>
      <c r="C17" s="1968">
        <v>1279289</v>
      </c>
      <c r="D17" s="1968">
        <v>1658507</v>
      </c>
      <c r="E17" s="1968">
        <v>1300705</v>
      </c>
      <c r="F17" s="1968">
        <f t="shared" si="0"/>
        <v>357802</v>
      </c>
      <c r="G17" s="1969">
        <f t="shared" ref="G17:G23" si="2">F17/D17*100</f>
        <v>21.573740719816076</v>
      </c>
      <c r="H17" s="3171" t="s">
        <v>2767</v>
      </c>
      <c r="I17" s="1974">
        <v>6</v>
      </c>
    </row>
    <row r="18" spans="1:9" ht="30" customHeight="1">
      <c r="A18" s="1963"/>
      <c r="B18" s="1972" t="s">
        <v>2130</v>
      </c>
      <c r="C18" s="1968">
        <v>1469</v>
      </c>
      <c r="D18" s="1968">
        <v>116286</v>
      </c>
      <c r="E18" s="1968">
        <v>20752</v>
      </c>
      <c r="F18" s="1968">
        <f t="shared" si="0"/>
        <v>95534</v>
      </c>
      <c r="G18" s="1969">
        <f t="shared" si="2"/>
        <v>82.154343601121369</v>
      </c>
      <c r="H18" s="1973" t="s">
        <v>2769</v>
      </c>
      <c r="I18" s="1974">
        <v>6</v>
      </c>
    </row>
    <row r="19" spans="1:9" ht="30" customHeight="1">
      <c r="A19" s="1963"/>
      <c r="B19" s="1972" t="s">
        <v>2147</v>
      </c>
      <c r="C19" s="1968">
        <v>25500</v>
      </c>
      <c r="D19" s="1968">
        <v>36120</v>
      </c>
      <c r="E19" s="1968">
        <v>12562</v>
      </c>
      <c r="F19" s="1968">
        <f t="shared" si="0"/>
        <v>23558</v>
      </c>
      <c r="G19" s="1969">
        <f t="shared" si="2"/>
        <v>65.221483942414167</v>
      </c>
      <c r="H19" s="1973" t="s">
        <v>2777</v>
      </c>
      <c r="I19" s="1974">
        <v>6</v>
      </c>
    </row>
    <row r="20" spans="1:9" ht="30" customHeight="1">
      <c r="A20" s="1963"/>
      <c r="B20" s="1972" t="s">
        <v>2148</v>
      </c>
      <c r="C20" s="1968">
        <v>122173</v>
      </c>
      <c r="D20" s="1968">
        <v>118487</v>
      </c>
      <c r="E20" s="1968">
        <v>86260</v>
      </c>
      <c r="F20" s="1968">
        <f t="shared" si="0"/>
        <v>32227</v>
      </c>
      <c r="G20" s="1969">
        <f t="shared" si="2"/>
        <v>27.198764421413319</v>
      </c>
      <c r="H20" s="1973" t="s">
        <v>2769</v>
      </c>
      <c r="I20" s="1974">
        <v>6</v>
      </c>
    </row>
    <row r="21" spans="1:9" ht="30" customHeight="1">
      <c r="A21" s="1963"/>
      <c r="B21" s="1972" t="s">
        <v>2133</v>
      </c>
      <c r="C21" s="1968">
        <v>159824</v>
      </c>
      <c r="D21" s="1968">
        <v>241339</v>
      </c>
      <c r="E21" s="1968">
        <v>14186</v>
      </c>
      <c r="F21" s="1968">
        <f t="shared" si="0"/>
        <v>227153</v>
      </c>
      <c r="G21" s="1969">
        <f t="shared" si="2"/>
        <v>94.121961224667373</v>
      </c>
      <c r="H21" s="1973" t="s">
        <v>2774</v>
      </c>
      <c r="I21" s="1974">
        <v>6</v>
      </c>
    </row>
    <row r="22" spans="1:9" ht="30" customHeight="1">
      <c r="A22" s="1963"/>
      <c r="B22" s="1972" t="s">
        <v>2129</v>
      </c>
      <c r="C22" s="1968">
        <v>508308</v>
      </c>
      <c r="D22" s="1968">
        <v>843438</v>
      </c>
      <c r="E22" s="1968">
        <v>185055</v>
      </c>
      <c r="F22" s="1968">
        <f t="shared" si="0"/>
        <v>658383</v>
      </c>
      <c r="G22" s="1969">
        <f t="shared" si="2"/>
        <v>78.059442424932243</v>
      </c>
      <c r="H22" s="1973" t="s">
        <v>2768</v>
      </c>
      <c r="I22" s="1974">
        <v>6</v>
      </c>
    </row>
    <row r="23" spans="1:9" ht="30" customHeight="1">
      <c r="A23" s="1963"/>
      <c r="B23" s="1972" t="s">
        <v>2149</v>
      </c>
      <c r="C23" s="1968">
        <v>3041</v>
      </c>
      <c r="D23" s="1968">
        <v>5762</v>
      </c>
      <c r="E23" s="1968">
        <v>641</v>
      </c>
      <c r="F23" s="1968">
        <f t="shared" si="0"/>
        <v>5121</v>
      </c>
      <c r="G23" s="1969">
        <f t="shared" si="2"/>
        <v>88.875390489413391</v>
      </c>
      <c r="H23" s="1973" t="s">
        <v>2608</v>
      </c>
      <c r="I23" s="1974">
        <v>6</v>
      </c>
    </row>
    <row r="24" spans="1:9" ht="30" customHeight="1">
      <c r="A24" s="1963"/>
      <c r="B24" s="1985"/>
      <c r="C24" s="1985"/>
      <c r="D24" s="1986"/>
      <c r="E24" s="1986"/>
      <c r="F24" s="1986"/>
      <c r="G24" s="1987"/>
      <c r="H24" s="1988"/>
      <c r="I24" s="1989"/>
    </row>
    <row r="25" spans="1:9" ht="30" customHeight="1">
      <c r="A25" s="3767">
        <v>38</v>
      </c>
      <c r="B25" s="3767"/>
      <c r="C25" s="3767"/>
      <c r="D25" s="3767"/>
      <c r="E25" s="3767"/>
      <c r="F25" s="3767"/>
      <c r="G25" s="3767"/>
      <c r="H25" s="3767"/>
      <c r="I25" s="3767"/>
    </row>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row r="38" ht="39.950000000000003" customHeight="1"/>
  </sheetData>
  <mergeCells count="13">
    <mergeCell ref="B1:I1"/>
    <mergeCell ref="I7:I8"/>
    <mergeCell ref="A25:I25"/>
    <mergeCell ref="B2:I2"/>
    <mergeCell ref="B3:I3"/>
    <mergeCell ref="B4:I4"/>
    <mergeCell ref="B7:B8"/>
    <mergeCell ref="D7:D8"/>
    <mergeCell ref="E7:E8"/>
    <mergeCell ref="F7:G7"/>
    <mergeCell ref="H7:H8"/>
    <mergeCell ref="H9:H15"/>
    <mergeCell ref="C7:C8"/>
  </mergeCells>
  <printOptions horizontalCentered="1" verticalCentered="1"/>
  <pageMargins left="0.7" right="0.7" top="0.75" bottom="0.75" header="0.3" footer="0.3"/>
  <pageSetup paperSize="9" scale="66"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topLeftCell="A4" zoomScale="60" zoomScaleNormal="100" workbookViewId="0">
      <selection activeCell="I6" sqref="I6:I7"/>
    </sheetView>
  </sheetViews>
  <sheetFormatPr defaultRowHeight="14.25"/>
  <cols>
    <col min="1" max="1" width="5.75" customWidth="1"/>
    <col min="2" max="2" width="34.75" style="1916" customWidth="1"/>
    <col min="3" max="3" width="15.75" style="1916" customWidth="1"/>
    <col min="4" max="4" width="14.25" style="1916" customWidth="1"/>
    <col min="5" max="5" width="14.625" style="1916" customWidth="1"/>
    <col min="6" max="6" width="15.75" style="1916" customWidth="1"/>
    <col min="7" max="7" width="12" style="1966" customWidth="1"/>
    <col min="8" max="8" width="57.875" style="1916" customWidth="1"/>
    <col min="9" max="9" width="13.25" style="1916" customWidth="1"/>
  </cols>
  <sheetData>
    <row r="1" spans="1:9" ht="30" customHeight="1">
      <c r="A1" s="1963"/>
      <c r="B1" s="3740" t="s">
        <v>612</v>
      </c>
      <c r="C1" s="3740"/>
      <c r="D1" s="3740"/>
      <c r="E1" s="3740"/>
      <c r="F1" s="3740"/>
      <c r="G1" s="3740"/>
      <c r="H1" s="3740"/>
      <c r="I1" s="3740"/>
    </row>
    <row r="2" spans="1:9" ht="30" customHeight="1">
      <c r="A2" s="1963"/>
      <c r="B2" s="3740" t="s">
        <v>2445</v>
      </c>
      <c r="C2" s="3740"/>
      <c r="D2" s="3740"/>
      <c r="E2" s="3740"/>
      <c r="F2" s="3740"/>
      <c r="G2" s="3740"/>
      <c r="H2" s="3740"/>
      <c r="I2" s="3740"/>
    </row>
    <row r="3" spans="1:9" ht="30" customHeight="1">
      <c r="A3" s="1963"/>
      <c r="B3" s="3740" t="str">
        <f>mafrozat!A3</f>
        <v xml:space="preserve"> سال مالي منتهي به 29 اسفند 1402</v>
      </c>
      <c r="C3" s="3740"/>
      <c r="D3" s="3740"/>
      <c r="E3" s="3740"/>
      <c r="F3" s="3740"/>
      <c r="G3" s="3740"/>
      <c r="H3" s="3740"/>
      <c r="I3" s="3740"/>
    </row>
    <row r="4" spans="1:9" ht="30" customHeight="1">
      <c r="A4" s="1963"/>
      <c r="B4" s="3745" t="s">
        <v>2629</v>
      </c>
      <c r="C4" s="3745"/>
      <c r="D4" s="3745"/>
      <c r="E4" s="3745"/>
      <c r="F4" s="3745"/>
      <c r="G4" s="3745"/>
      <c r="H4" s="3745"/>
      <c r="I4" s="3745"/>
    </row>
    <row r="5" spans="1:9" ht="30" customHeight="1">
      <c r="A5" s="1963"/>
      <c r="B5" s="1964"/>
      <c r="C5" s="1964"/>
      <c r="D5" s="1964"/>
      <c r="E5" s="1964"/>
      <c r="F5" s="1964"/>
      <c r="G5" s="1965"/>
      <c r="H5" s="1964"/>
      <c r="I5" s="3302" t="s">
        <v>1879</v>
      </c>
    </row>
    <row r="6" spans="1:9" ht="30" customHeight="1">
      <c r="A6" s="1963"/>
      <c r="B6" s="3753" t="s">
        <v>2068</v>
      </c>
      <c r="C6" s="3753" t="s">
        <v>2069</v>
      </c>
      <c r="D6" s="3753" t="s">
        <v>2070</v>
      </c>
      <c r="E6" s="3753" t="s">
        <v>2071</v>
      </c>
      <c r="F6" s="3748" t="s">
        <v>2561</v>
      </c>
      <c r="G6" s="3749"/>
      <c r="H6" s="3753" t="s">
        <v>2072</v>
      </c>
      <c r="I6" s="3770" t="s">
        <v>2112</v>
      </c>
    </row>
    <row r="7" spans="1:9" ht="30" customHeight="1">
      <c r="A7" s="1963"/>
      <c r="B7" s="3754"/>
      <c r="C7" s="3754"/>
      <c r="D7" s="3754"/>
      <c r="E7" s="3754"/>
      <c r="F7" s="1967" t="s">
        <v>2074</v>
      </c>
      <c r="G7" s="1969" t="s">
        <v>2075</v>
      </c>
      <c r="H7" s="3754"/>
      <c r="I7" s="3771"/>
    </row>
    <row r="8" spans="1:9" ht="30" customHeight="1">
      <c r="A8" s="1963"/>
      <c r="B8" s="1990" t="s">
        <v>1763</v>
      </c>
      <c r="C8" s="1970">
        <v>25274</v>
      </c>
      <c r="D8" s="1970">
        <v>146662</v>
      </c>
      <c r="E8" s="1970">
        <v>121989</v>
      </c>
      <c r="F8" s="1970">
        <f t="shared" ref="F8:F22" si="0">D8-E8</f>
        <v>24673</v>
      </c>
      <c r="G8" s="1971">
        <f t="shared" ref="G8:G20" si="1">F8/D8*100</f>
        <v>16.823035278395221</v>
      </c>
      <c r="H8" s="1973" t="s">
        <v>2773</v>
      </c>
      <c r="I8" s="1992">
        <v>6</v>
      </c>
    </row>
    <row r="9" spans="1:9" ht="30" customHeight="1">
      <c r="A9" s="1963"/>
      <c r="B9" s="1990" t="s">
        <v>2134</v>
      </c>
      <c r="C9" s="1970">
        <v>870598</v>
      </c>
      <c r="D9" s="1970">
        <v>916763</v>
      </c>
      <c r="E9" s="1970">
        <v>74111</v>
      </c>
      <c r="F9" s="1970">
        <f t="shared" si="0"/>
        <v>842652</v>
      </c>
      <c r="G9" s="1971">
        <f t="shared" si="1"/>
        <v>91.916013189886598</v>
      </c>
      <c r="H9" s="1973" t="s">
        <v>2769</v>
      </c>
      <c r="I9" s="1992">
        <v>6</v>
      </c>
    </row>
    <row r="10" spans="1:9" ht="30" customHeight="1">
      <c r="A10" s="1963"/>
      <c r="B10" s="1972" t="s">
        <v>2150</v>
      </c>
      <c r="C10" s="1970">
        <v>3554</v>
      </c>
      <c r="D10" s="1968">
        <v>6669</v>
      </c>
      <c r="E10" s="1968">
        <v>16256</v>
      </c>
      <c r="F10" s="1968">
        <f t="shared" si="0"/>
        <v>-9587</v>
      </c>
      <c r="G10" s="1971">
        <f t="shared" si="1"/>
        <v>-143.75468585994901</v>
      </c>
      <c r="H10" s="1991" t="s">
        <v>2770</v>
      </c>
      <c r="I10" s="1974">
        <v>6</v>
      </c>
    </row>
    <row r="11" spans="1:9" ht="30" customHeight="1">
      <c r="A11" s="1963"/>
      <c r="B11" s="1972" t="s">
        <v>2151</v>
      </c>
      <c r="C11" s="1970">
        <v>4624</v>
      </c>
      <c r="D11" s="1968">
        <v>197239</v>
      </c>
      <c r="E11" s="1968">
        <v>108120</v>
      </c>
      <c r="F11" s="1968">
        <f t="shared" si="0"/>
        <v>89119</v>
      </c>
      <c r="G11" s="1971">
        <f t="shared" si="1"/>
        <v>45.183254832969141</v>
      </c>
      <c r="H11" s="1973" t="s">
        <v>2769</v>
      </c>
      <c r="I11" s="1974">
        <v>6</v>
      </c>
    </row>
    <row r="12" spans="1:9" ht="30" customHeight="1">
      <c r="A12" s="1963"/>
      <c r="B12" s="3166" t="s">
        <v>2157</v>
      </c>
      <c r="C12" s="3167">
        <f>C11+C9++'38'!C23+'38'!C22+'38'!C21+'38'!C20+'38'!C19+'38'!C18+'38'!C17+C8+C10</f>
        <v>3003654</v>
      </c>
      <c r="D12" s="3167">
        <f>D11+D9++'38'!D23+'38'!D22+'38'!D21+'38'!D20+'38'!D19+'38'!D18+'38'!D17+D8+D10</f>
        <v>4287272</v>
      </c>
      <c r="E12" s="3167">
        <f>E11+E9++'38'!E23+'38'!E22+'38'!E21+'38'!E20+'38'!E19+'38'!E18+'38'!E17+E8+E10</f>
        <v>1940637</v>
      </c>
      <c r="F12" s="3167">
        <f t="shared" si="0"/>
        <v>2346635</v>
      </c>
      <c r="G12" s="3170">
        <f t="shared" si="1"/>
        <v>54.734922346890983</v>
      </c>
      <c r="H12" s="3168"/>
      <c r="I12" s="3169"/>
    </row>
    <row r="13" spans="1:9" ht="30" customHeight="1">
      <c r="A13" s="1963"/>
      <c r="B13" s="3166" t="s">
        <v>2152</v>
      </c>
      <c r="C13" s="3167">
        <f>C14+C15</f>
        <v>7900885</v>
      </c>
      <c r="D13" s="3167">
        <f>D14+D15</f>
        <v>18719505</v>
      </c>
      <c r="E13" s="3167">
        <f t="shared" ref="E13" si="2">E14+E15</f>
        <v>2760200</v>
      </c>
      <c r="F13" s="3167">
        <f t="shared" si="0"/>
        <v>15959305</v>
      </c>
      <c r="G13" s="3170">
        <f t="shared" si="1"/>
        <v>85.254951987245391</v>
      </c>
      <c r="H13" s="3168"/>
      <c r="I13" s="3169">
        <v>6</v>
      </c>
    </row>
    <row r="14" spans="1:9" ht="30" customHeight="1">
      <c r="A14" s="1963"/>
      <c r="B14" s="1972" t="s">
        <v>2153</v>
      </c>
      <c r="C14" s="1970">
        <v>3200885</v>
      </c>
      <c r="D14" s="1968">
        <v>10172331</v>
      </c>
      <c r="E14" s="1968">
        <v>489529</v>
      </c>
      <c r="F14" s="1968">
        <f t="shared" si="0"/>
        <v>9682802</v>
      </c>
      <c r="G14" s="1971">
        <f t="shared" si="1"/>
        <v>95.187641849247726</v>
      </c>
      <c r="H14" s="3760" t="s">
        <v>2562</v>
      </c>
      <c r="I14" s="1974">
        <v>6</v>
      </c>
    </row>
    <row r="15" spans="1:9" ht="30" customHeight="1">
      <c r="A15" s="1963"/>
      <c r="B15" s="1990" t="s">
        <v>2154</v>
      </c>
      <c r="C15" s="1970">
        <v>4700000</v>
      </c>
      <c r="D15" s="1970">
        <v>8547174</v>
      </c>
      <c r="E15" s="1970">
        <v>2270671</v>
      </c>
      <c r="F15" s="1970">
        <f t="shared" si="0"/>
        <v>6276503</v>
      </c>
      <c r="G15" s="1971">
        <f t="shared" si="1"/>
        <v>73.433663571140599</v>
      </c>
      <c r="H15" s="3761"/>
      <c r="I15" s="1992">
        <v>6</v>
      </c>
    </row>
    <row r="16" spans="1:9" ht="30" customHeight="1">
      <c r="A16" s="1963"/>
      <c r="B16" s="1990" t="s">
        <v>2155</v>
      </c>
      <c r="C16" s="1970">
        <v>700000</v>
      </c>
      <c r="D16" s="1970">
        <v>976606</v>
      </c>
      <c r="E16" s="1970">
        <v>862474</v>
      </c>
      <c r="F16" s="1970">
        <f t="shared" si="0"/>
        <v>114132</v>
      </c>
      <c r="G16" s="1971">
        <f t="shared" si="1"/>
        <v>11.686596232257431</v>
      </c>
      <c r="H16" s="3224" t="s">
        <v>2775</v>
      </c>
      <c r="I16" s="1992"/>
    </row>
    <row r="17" spans="1:9" ht="30" customHeight="1">
      <c r="A17" s="1963"/>
      <c r="B17" s="3166" t="s">
        <v>2157</v>
      </c>
      <c r="C17" s="3167">
        <f>C13+C12+'38'!C16+C16</f>
        <v>15600613</v>
      </c>
      <c r="D17" s="3167">
        <f>D13+D12+'38'!D16+D16</f>
        <v>27979457</v>
      </c>
      <c r="E17" s="3167">
        <f>E13+E12+'38'!E16+E16</f>
        <v>9299219</v>
      </c>
      <c r="F17" s="3167">
        <f t="shared" si="0"/>
        <v>18680238</v>
      </c>
      <c r="G17" s="3170">
        <f t="shared" si="1"/>
        <v>66.764119117822759</v>
      </c>
      <c r="H17" s="3168"/>
      <c r="I17" s="3169">
        <v>6</v>
      </c>
    </row>
    <row r="18" spans="1:9" ht="30" customHeight="1">
      <c r="A18" s="1963"/>
      <c r="B18" s="3172" t="s">
        <v>2158</v>
      </c>
      <c r="C18" s="3167">
        <f>C17</f>
        <v>15600613</v>
      </c>
      <c r="D18" s="3167">
        <f>D17</f>
        <v>27979457</v>
      </c>
      <c r="E18" s="3167">
        <f t="shared" ref="E18" si="3">E17</f>
        <v>9299219</v>
      </c>
      <c r="F18" s="3167">
        <f t="shared" si="0"/>
        <v>18680238</v>
      </c>
      <c r="G18" s="3170">
        <f t="shared" si="1"/>
        <v>66.764119117822759</v>
      </c>
      <c r="H18" s="3168"/>
      <c r="I18" s="3169">
        <v>6</v>
      </c>
    </row>
    <row r="19" spans="1:9" ht="30" customHeight="1">
      <c r="A19" s="1963"/>
      <c r="B19" s="3166" t="s">
        <v>2076</v>
      </c>
      <c r="C19" s="3167">
        <f>'37'!C11+'39'!C18+C21</f>
        <v>63214882</v>
      </c>
      <c r="D19" s="3167">
        <f>'37'!D11+'39'!D18+D21</f>
        <v>97496381</v>
      </c>
      <c r="E19" s="3167">
        <f>'37'!E11+'39'!E18+E21</f>
        <v>95639732</v>
      </c>
      <c r="F19" s="3167">
        <f t="shared" si="0"/>
        <v>1856649</v>
      </c>
      <c r="G19" s="3170">
        <f t="shared" si="1"/>
        <v>1.904326069292767</v>
      </c>
      <c r="H19" s="3168"/>
      <c r="I19" s="3169">
        <v>6</v>
      </c>
    </row>
    <row r="20" spans="1:9" ht="30" customHeight="1">
      <c r="A20" s="1963"/>
      <c r="B20" s="3166" t="s">
        <v>2159</v>
      </c>
      <c r="C20" s="3167">
        <f>'35'!C13-'39'!C19+C21</f>
        <v>287256</v>
      </c>
      <c r="D20" s="3167">
        <f>'35'!D13-'39'!D19+D21</f>
        <v>398369</v>
      </c>
      <c r="E20" s="3167">
        <f>'35'!E13-'39'!E19+E21</f>
        <v>7070068</v>
      </c>
      <c r="F20" s="3167">
        <f t="shared" si="0"/>
        <v>-6671699</v>
      </c>
      <c r="G20" s="3170">
        <f t="shared" si="1"/>
        <v>-1674.7535576312416</v>
      </c>
      <c r="H20" s="3168"/>
      <c r="I20" s="3169"/>
    </row>
    <row r="21" spans="1:9" ht="30" customHeight="1">
      <c r="A21" s="1963"/>
      <c r="B21" s="1990" t="s">
        <v>2160</v>
      </c>
      <c r="C21" s="1990"/>
      <c r="D21" s="1970"/>
      <c r="E21" s="1970"/>
      <c r="F21" s="1970">
        <f t="shared" si="0"/>
        <v>0</v>
      </c>
      <c r="G21" s="1971"/>
      <c r="H21" s="1991"/>
      <c r="I21" s="1992"/>
    </row>
    <row r="22" spans="1:9" ht="30" customHeight="1">
      <c r="A22" s="1963"/>
      <c r="B22" s="1983" t="s">
        <v>2156</v>
      </c>
      <c r="C22" s="1983"/>
      <c r="D22" s="1968"/>
      <c r="E22" s="1968">
        <v>0</v>
      </c>
      <c r="F22" s="1970">
        <f t="shared" si="0"/>
        <v>0</v>
      </c>
      <c r="G22" s="1969"/>
      <c r="H22" s="1973"/>
      <c r="I22" s="1974">
        <v>6</v>
      </c>
    </row>
    <row r="23" spans="1:9" ht="30" customHeight="1">
      <c r="A23" s="1963"/>
      <c r="B23" s="3776"/>
      <c r="C23" s="3776"/>
      <c r="D23" s="3776"/>
      <c r="E23" s="3776"/>
      <c r="F23" s="3776"/>
      <c r="G23" s="3776"/>
      <c r="H23" s="3776"/>
      <c r="I23" s="3776"/>
    </row>
    <row r="24" spans="1:9" ht="30" customHeight="1">
      <c r="A24" s="3767">
        <v>39</v>
      </c>
      <c r="B24" s="3767"/>
      <c r="C24" s="3767"/>
      <c r="D24" s="3767"/>
      <c r="E24" s="3767"/>
      <c r="F24" s="3767"/>
      <c r="G24" s="3767"/>
      <c r="H24" s="3767"/>
      <c r="I24" s="3767"/>
    </row>
    <row r="25" spans="1:9" ht="39.950000000000003" customHeight="1"/>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sheetData>
  <mergeCells count="14">
    <mergeCell ref="B1:I1"/>
    <mergeCell ref="I6:I7"/>
    <mergeCell ref="A24:I24"/>
    <mergeCell ref="B2:I2"/>
    <mergeCell ref="B3:I3"/>
    <mergeCell ref="B4:I4"/>
    <mergeCell ref="B6:B7"/>
    <mergeCell ref="D6:D7"/>
    <mergeCell ref="E6:E7"/>
    <mergeCell ref="F6:G6"/>
    <mergeCell ref="H6:H7"/>
    <mergeCell ref="H14:H15"/>
    <mergeCell ref="B23:I23"/>
    <mergeCell ref="C6:C7"/>
  </mergeCells>
  <printOptions horizontalCentered="1" verticalCentered="1"/>
  <pageMargins left="0.7" right="0.7" top="0.75" bottom="0.75" header="0.3" footer="0.3"/>
  <pageSetup paperSize="9" scale="6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rightToLeft="1" view="pageBreakPreview" zoomScale="60" zoomScaleNormal="100" workbookViewId="0">
      <selection activeCell="F14" sqref="F14"/>
    </sheetView>
  </sheetViews>
  <sheetFormatPr defaultRowHeight="14.25"/>
  <cols>
    <col min="1" max="1" width="5.75" customWidth="1"/>
    <col min="2" max="2" width="34.75" style="1916" customWidth="1"/>
    <col min="3" max="3" width="18.25" style="1916" customWidth="1"/>
    <col min="4" max="4" width="14.25" style="1916" customWidth="1"/>
    <col min="5" max="5" width="14.625" style="1916" customWidth="1"/>
    <col min="6" max="6" width="17.25" style="1916" customWidth="1"/>
    <col min="7" max="7" width="16.875" style="1966" customWidth="1"/>
    <col min="8" max="8" width="34.75" style="1916" customWidth="1"/>
    <col min="9" max="9" width="20.75" style="1916" customWidth="1"/>
  </cols>
  <sheetData>
    <row r="1" spans="1:9" ht="30" customHeight="1">
      <c r="A1" s="1963"/>
      <c r="B1" s="3740" t="s">
        <v>612</v>
      </c>
      <c r="C1" s="3740"/>
      <c r="D1" s="3740"/>
      <c r="E1" s="3740"/>
      <c r="F1" s="3740"/>
      <c r="G1" s="3740"/>
      <c r="H1" s="3740"/>
      <c r="I1" s="3740"/>
    </row>
    <row r="2" spans="1:9" ht="30" customHeight="1">
      <c r="A2" s="1963"/>
      <c r="B2" s="3740" t="s">
        <v>2445</v>
      </c>
      <c r="C2" s="3740"/>
      <c r="D2" s="3740"/>
      <c r="E2" s="3740"/>
      <c r="F2" s="3740"/>
      <c r="G2" s="3740"/>
      <c r="H2" s="3740"/>
      <c r="I2" s="3740"/>
    </row>
    <row r="3" spans="1:9" ht="30" customHeight="1">
      <c r="A3" s="1963"/>
      <c r="B3" s="3740" t="str">
        <f>mafrozat!A3</f>
        <v xml:space="preserve"> سال مالي منتهي به 29 اسفند 1402</v>
      </c>
      <c r="C3" s="3740"/>
      <c r="D3" s="3740"/>
      <c r="E3" s="3740"/>
      <c r="F3" s="3740"/>
      <c r="G3" s="3740"/>
      <c r="H3" s="3740"/>
      <c r="I3" s="3740"/>
    </row>
    <row r="4" spans="1:9" ht="30" customHeight="1">
      <c r="A4" s="1963"/>
      <c r="B4" s="3745" t="s">
        <v>2629</v>
      </c>
      <c r="C4" s="3745"/>
      <c r="D4" s="3745"/>
      <c r="E4" s="3745"/>
      <c r="F4" s="3745"/>
      <c r="G4" s="3745"/>
      <c r="H4" s="3745"/>
      <c r="I4" s="3745"/>
    </row>
    <row r="5" spans="1:9" ht="30" customHeight="1">
      <c r="A5" s="1963"/>
      <c r="B5" s="3758"/>
      <c r="C5" s="3758"/>
      <c r="D5" s="3758"/>
      <c r="E5" s="3758"/>
      <c r="F5" s="3758"/>
      <c r="G5" s="3758"/>
      <c r="H5" s="3758"/>
      <c r="I5" s="3758"/>
    </row>
    <row r="6" spans="1:9" ht="30" customHeight="1">
      <c r="A6" s="1963"/>
      <c r="B6" s="1964"/>
      <c r="C6" s="1964"/>
      <c r="D6" s="1964"/>
      <c r="E6" s="1964"/>
      <c r="F6" s="1964"/>
      <c r="G6" s="1965"/>
      <c r="H6" s="1964"/>
      <c r="I6" s="1916" t="s">
        <v>1879</v>
      </c>
    </row>
    <row r="7" spans="1:9" ht="30" customHeight="1">
      <c r="A7" s="1963"/>
      <c r="B7" s="3753" t="s">
        <v>2068</v>
      </c>
      <c r="C7" s="3753" t="s">
        <v>2069</v>
      </c>
      <c r="D7" s="3753" t="s">
        <v>2070</v>
      </c>
      <c r="E7" s="3753" t="s">
        <v>2071</v>
      </c>
      <c r="F7" s="3768" t="s">
        <v>2561</v>
      </c>
      <c r="G7" s="3769"/>
      <c r="H7" s="3753" t="s">
        <v>2072</v>
      </c>
      <c r="I7" s="3765" t="s">
        <v>2112</v>
      </c>
    </row>
    <row r="8" spans="1:9" ht="30" customHeight="1">
      <c r="A8" s="1963"/>
      <c r="B8" s="3754"/>
      <c r="C8" s="3754"/>
      <c r="D8" s="3754"/>
      <c r="E8" s="3754"/>
      <c r="F8" s="1967" t="s">
        <v>2074</v>
      </c>
      <c r="G8" s="1969" t="s">
        <v>2075</v>
      </c>
      <c r="H8" s="3754"/>
      <c r="I8" s="3766"/>
    </row>
    <row r="9" spans="1:9" ht="30" customHeight="1">
      <c r="A9" s="1963"/>
      <c r="B9" s="1972" t="s">
        <v>2161</v>
      </c>
      <c r="C9" s="1972"/>
      <c r="D9" s="1968">
        <v>111113</v>
      </c>
      <c r="E9" s="1968">
        <v>0</v>
      </c>
      <c r="F9" s="1968"/>
      <c r="G9" s="1969">
        <v>0</v>
      </c>
      <c r="H9" s="1973"/>
      <c r="I9" s="1974"/>
    </row>
    <row r="10" spans="1:9" ht="30" customHeight="1">
      <c r="A10" s="1963"/>
      <c r="B10" s="3166" t="s">
        <v>2182</v>
      </c>
      <c r="C10" s="3167">
        <f>'39'!C20-'39'!C21-C9</f>
        <v>287256</v>
      </c>
      <c r="D10" s="3167">
        <f>'39'!D20-'39'!D21-D9</f>
        <v>287256</v>
      </c>
      <c r="E10" s="3167">
        <f>'39'!E20-'39'!E21-E9</f>
        <v>7070068</v>
      </c>
      <c r="F10" s="3167">
        <f t="shared" ref="F10:F17" si="0">D10-E10</f>
        <v>-6782812</v>
      </c>
      <c r="G10" s="3170">
        <f>F10/D10*100</f>
        <v>-2361.2429331328153</v>
      </c>
      <c r="H10" s="3168"/>
      <c r="I10" s="3169"/>
    </row>
    <row r="11" spans="1:9" ht="30" customHeight="1">
      <c r="A11" s="1963"/>
      <c r="B11" s="1972" t="s">
        <v>2162</v>
      </c>
      <c r="C11" s="1968">
        <v>71814</v>
      </c>
      <c r="D11" s="1968">
        <v>71814</v>
      </c>
      <c r="E11" s="1968">
        <f>E10*0.25</f>
        <v>1767517</v>
      </c>
      <c r="F11" s="1968">
        <f t="shared" si="0"/>
        <v>-1695703</v>
      </c>
      <c r="G11" s="1969">
        <f>F11/D11*100</f>
        <v>-2361.2429331328153</v>
      </c>
      <c r="H11" s="1973"/>
      <c r="I11" s="1974"/>
    </row>
    <row r="12" spans="1:9" ht="30" customHeight="1">
      <c r="A12" s="1963"/>
      <c r="B12" s="1972" t="s">
        <v>2163</v>
      </c>
      <c r="C12" s="1968">
        <v>143628</v>
      </c>
      <c r="D12" s="1968">
        <v>143628</v>
      </c>
      <c r="E12" s="1968">
        <f>E10*0.5</f>
        <v>3535034</v>
      </c>
      <c r="F12" s="1968">
        <f t="shared" si="0"/>
        <v>-3391406</v>
      </c>
      <c r="G12" s="1969">
        <f>F12/D12*100</f>
        <v>-2361.2429331328153</v>
      </c>
      <c r="H12" s="1973"/>
      <c r="I12" s="1974"/>
    </row>
    <row r="13" spans="1:9" ht="30" customHeight="1">
      <c r="A13" s="1963"/>
      <c r="B13" s="3172" t="s">
        <v>2181</v>
      </c>
      <c r="C13" s="3167">
        <f>C10-C11-C12</f>
        <v>71814</v>
      </c>
      <c r="D13" s="3167">
        <f>D10-D11-D12</f>
        <v>71814</v>
      </c>
      <c r="E13" s="3167">
        <f t="shared" ref="E13" si="1">E10-E11-E12</f>
        <v>1767517</v>
      </c>
      <c r="F13" s="3167">
        <f t="shared" si="0"/>
        <v>-1695703</v>
      </c>
      <c r="G13" s="3170">
        <f>F13/D13*100</f>
        <v>-2361.2429331328153</v>
      </c>
      <c r="H13" s="3168"/>
      <c r="I13" s="3169"/>
    </row>
    <row r="14" spans="1:9" ht="30" customHeight="1">
      <c r="A14" s="1963"/>
      <c r="B14" s="1972" t="s">
        <v>2164</v>
      </c>
      <c r="C14" s="1972"/>
      <c r="D14" s="1968"/>
      <c r="E14" s="1968"/>
      <c r="F14" s="1968">
        <f t="shared" si="0"/>
        <v>0</v>
      </c>
      <c r="G14" s="1969"/>
      <c r="H14" s="1973"/>
      <c r="I14" s="1974"/>
    </row>
    <row r="15" spans="1:9" ht="30" customHeight="1">
      <c r="A15" s="1963"/>
      <c r="B15" s="1972" t="s">
        <v>1810</v>
      </c>
      <c r="C15" s="1968">
        <v>7181</v>
      </c>
      <c r="D15" s="1968">
        <v>7181</v>
      </c>
      <c r="E15" s="1968">
        <f>E13*0.1</f>
        <v>176751.7</v>
      </c>
      <c r="F15" s="1968">
        <f t="shared" si="0"/>
        <v>-169570.7</v>
      </c>
      <c r="G15" s="1969"/>
      <c r="H15" s="1973"/>
      <c r="I15" s="1974"/>
    </row>
    <row r="16" spans="1:9" ht="30" customHeight="1">
      <c r="A16" s="1963"/>
      <c r="B16" s="1972" t="s">
        <v>2165</v>
      </c>
      <c r="C16" s="1968">
        <v>64633</v>
      </c>
      <c r="D16" s="1968">
        <v>64633</v>
      </c>
      <c r="E16" s="1968">
        <f>E13*0.9</f>
        <v>1590765.3</v>
      </c>
      <c r="F16" s="1968">
        <f t="shared" si="0"/>
        <v>-1526132.3</v>
      </c>
      <c r="G16" s="1969"/>
      <c r="H16" s="1973"/>
      <c r="I16" s="1974"/>
    </row>
    <row r="17" spans="1:9" ht="30" customHeight="1">
      <c r="A17" s="1963"/>
      <c r="B17" s="3166" t="s">
        <v>2166</v>
      </c>
      <c r="C17" s="3173">
        <f>C15+C16</f>
        <v>71814</v>
      </c>
      <c r="D17" s="3173">
        <f>D15+D16</f>
        <v>71814</v>
      </c>
      <c r="E17" s="3173">
        <f t="shared" ref="E17" si="2">E15+E16</f>
        <v>1767517</v>
      </c>
      <c r="F17" s="3173">
        <f t="shared" si="0"/>
        <v>-1695703</v>
      </c>
      <c r="G17" s="3174"/>
      <c r="H17" s="3175"/>
      <c r="I17" s="3176"/>
    </row>
    <row r="18" spans="1:9" ht="30" customHeight="1">
      <c r="A18" s="1963"/>
      <c r="B18" s="1975"/>
      <c r="C18" s="1975"/>
      <c r="D18" s="1980"/>
      <c r="E18" s="1980"/>
      <c r="F18" s="1980"/>
      <c r="G18" s="1980"/>
      <c r="H18" s="1980"/>
      <c r="I18" s="1981"/>
    </row>
    <row r="19" spans="1:9" ht="30" customHeight="1">
      <c r="A19" s="1963"/>
      <c r="B19" s="1975"/>
      <c r="C19" s="1975"/>
      <c r="D19" s="1980"/>
      <c r="E19" s="1980"/>
      <c r="F19" s="1980">
        <f>D19-E19</f>
        <v>0</v>
      </c>
      <c r="G19" s="1980"/>
      <c r="H19" s="1980"/>
      <c r="I19" s="1981"/>
    </row>
    <row r="20" spans="1:9" ht="30" customHeight="1">
      <c r="A20" s="1963"/>
      <c r="B20" s="1975"/>
      <c r="C20" s="1975"/>
      <c r="D20" s="1980"/>
      <c r="E20" s="1980"/>
      <c r="F20" s="1980"/>
      <c r="G20" s="1980"/>
      <c r="H20" s="1980"/>
      <c r="I20" s="1981"/>
    </row>
    <row r="21" spans="1:9" ht="30" customHeight="1">
      <c r="A21" s="1963"/>
      <c r="B21" s="1975"/>
      <c r="C21" s="1975"/>
      <c r="D21" s="1980"/>
      <c r="E21" s="1980"/>
      <c r="F21" s="1980"/>
      <c r="G21" s="1980"/>
      <c r="H21" s="1980"/>
      <c r="I21" s="1981"/>
    </row>
    <row r="22" spans="1:9" ht="30" customHeight="1">
      <c r="A22" s="1963"/>
      <c r="B22" s="1975"/>
      <c r="C22" s="1975"/>
      <c r="D22" s="1980"/>
      <c r="E22" s="1980"/>
      <c r="F22" s="1980"/>
      <c r="G22" s="1980"/>
      <c r="H22" s="1980"/>
      <c r="I22" s="1981"/>
    </row>
    <row r="23" spans="1:9" ht="30" customHeight="1">
      <c r="A23" s="1963"/>
      <c r="B23" s="1975"/>
      <c r="C23" s="1975"/>
      <c r="D23" s="1976"/>
      <c r="E23" s="1976"/>
      <c r="F23" s="1976"/>
      <c r="G23" s="1977"/>
      <c r="H23" s="1978"/>
      <c r="I23" s="1979"/>
    </row>
    <row r="24" spans="1:9" ht="30" customHeight="1">
      <c r="A24" s="3767">
        <v>40</v>
      </c>
      <c r="B24" s="3767"/>
      <c r="C24" s="3767"/>
      <c r="D24" s="3767"/>
      <c r="E24" s="3767"/>
      <c r="F24" s="3767"/>
      <c r="G24" s="3767"/>
      <c r="H24" s="3767"/>
      <c r="I24" s="3767"/>
    </row>
    <row r="25" spans="1:9" ht="39.950000000000003" customHeight="1"/>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row r="37" ht="39.950000000000003" customHeight="1"/>
  </sheetData>
  <mergeCells count="13">
    <mergeCell ref="B1:I1"/>
    <mergeCell ref="I7:I8"/>
    <mergeCell ref="A24:I24"/>
    <mergeCell ref="B2:I2"/>
    <mergeCell ref="B3:I3"/>
    <mergeCell ref="B4:I4"/>
    <mergeCell ref="B5:I5"/>
    <mergeCell ref="B7:B8"/>
    <mergeCell ref="D7:D8"/>
    <mergeCell ref="E7:E8"/>
    <mergeCell ref="F7:G7"/>
    <mergeCell ref="H7:H8"/>
    <mergeCell ref="C7:C8"/>
  </mergeCells>
  <printOptions horizontalCentered="1" verticalCentered="1"/>
  <pageMargins left="0.7" right="0.7" top="0.75" bottom="0.75" header="0.3" footer="0.3"/>
  <pageSetup paperSize="9" scale="68"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rightToLeft="1" view="pageBreakPreview" topLeftCell="A4" zoomScale="60" zoomScaleNormal="100" workbookViewId="0">
      <selection activeCell="N9" sqref="N9"/>
    </sheetView>
  </sheetViews>
  <sheetFormatPr defaultRowHeight="14.25"/>
  <cols>
    <col min="1" max="1" width="5.75" customWidth="1"/>
    <col min="2" max="2" width="34.75" style="1916" customWidth="1"/>
    <col min="3" max="3" width="15" style="1916" customWidth="1"/>
    <col min="4" max="4" width="14.25" style="1916" customWidth="1"/>
    <col min="5" max="5" width="14" style="1916" customWidth="1"/>
    <col min="6" max="6" width="17.25" style="1916" customWidth="1"/>
    <col min="7" max="7" width="16.875" style="1966" customWidth="1"/>
    <col min="8" max="8" width="39.75" style="1916" customWidth="1"/>
    <col min="9" max="9" width="16.125" style="3299" customWidth="1"/>
  </cols>
  <sheetData>
    <row r="1" spans="1:9" ht="30" customHeight="1">
      <c r="A1" s="1963"/>
      <c r="B1" s="3740" t="s">
        <v>612</v>
      </c>
      <c r="C1" s="3740"/>
      <c r="D1" s="3740"/>
      <c r="E1" s="3740"/>
      <c r="F1" s="3740"/>
      <c r="G1" s="3740"/>
      <c r="H1" s="3740"/>
      <c r="I1" s="3740"/>
    </row>
    <row r="2" spans="1:9" ht="30" customHeight="1">
      <c r="A2" s="1963"/>
      <c r="B2" s="3740" t="s">
        <v>2445</v>
      </c>
      <c r="C2" s="3740"/>
      <c r="D2" s="3740"/>
      <c r="E2" s="3740"/>
      <c r="F2" s="3740"/>
      <c r="G2" s="3740"/>
      <c r="H2" s="3740"/>
      <c r="I2" s="3740"/>
    </row>
    <row r="3" spans="1:9" ht="30" customHeight="1">
      <c r="A3" s="1963"/>
      <c r="B3" s="3740" t="str">
        <f>mafrozat!A3</f>
        <v xml:space="preserve"> سال مالي منتهي به 29 اسفند 1402</v>
      </c>
      <c r="C3" s="3740"/>
      <c r="D3" s="3740"/>
      <c r="E3" s="3740"/>
      <c r="F3" s="3740"/>
      <c r="G3" s="3740"/>
      <c r="H3" s="3740"/>
      <c r="I3" s="3740"/>
    </row>
    <row r="4" spans="1:9" ht="30" customHeight="1">
      <c r="A4" s="1963"/>
      <c r="B4" s="3745" t="s">
        <v>2629</v>
      </c>
      <c r="C4" s="3745"/>
      <c r="D4" s="3745"/>
      <c r="E4" s="3745"/>
      <c r="F4" s="3745"/>
      <c r="G4" s="3745"/>
      <c r="H4" s="3745"/>
      <c r="I4" s="3745"/>
    </row>
    <row r="5" spans="1:9" ht="30" customHeight="1">
      <c r="A5" s="1963"/>
      <c r="B5" s="1964"/>
      <c r="C5" s="1964"/>
      <c r="D5" s="1964"/>
      <c r="E5" s="1964"/>
      <c r="F5" s="1964"/>
      <c r="G5" s="1965"/>
      <c r="H5" s="1964"/>
      <c r="I5" s="3303" t="s">
        <v>1879</v>
      </c>
    </row>
    <row r="6" spans="1:9" ht="30" customHeight="1">
      <c r="A6" s="1963"/>
      <c r="B6" s="3753" t="s">
        <v>2068</v>
      </c>
      <c r="C6" s="3753" t="s">
        <v>2069</v>
      </c>
      <c r="D6" s="3753" t="s">
        <v>2070</v>
      </c>
      <c r="E6" s="3753" t="s">
        <v>2071</v>
      </c>
      <c r="F6" s="3768" t="s">
        <v>2561</v>
      </c>
      <c r="G6" s="3769"/>
      <c r="H6" s="3753" t="s">
        <v>2072</v>
      </c>
      <c r="I6" s="3770" t="s">
        <v>2112</v>
      </c>
    </row>
    <row r="7" spans="1:9" ht="30" customHeight="1">
      <c r="A7" s="1963"/>
      <c r="B7" s="3754"/>
      <c r="C7" s="3754"/>
      <c r="D7" s="3754"/>
      <c r="E7" s="3754"/>
      <c r="F7" s="1967" t="s">
        <v>2074</v>
      </c>
      <c r="G7" s="1969" t="s">
        <v>2075</v>
      </c>
      <c r="H7" s="3754"/>
      <c r="I7" s="3771"/>
    </row>
    <row r="8" spans="1:9" ht="30" customHeight="1">
      <c r="A8" s="1963"/>
      <c r="B8" s="3166" t="s">
        <v>2168</v>
      </c>
      <c r="C8" s="3166"/>
      <c r="D8" s="3167"/>
      <c r="E8" s="3167"/>
      <c r="F8" s="3167"/>
      <c r="G8" s="3170"/>
      <c r="H8" s="3168"/>
      <c r="I8" s="3296"/>
    </row>
    <row r="9" spans="1:9" ht="30" customHeight="1">
      <c r="A9" s="1963"/>
      <c r="B9" s="1972" t="s">
        <v>2169</v>
      </c>
      <c r="C9" s="1968">
        <v>71814</v>
      </c>
      <c r="D9" s="1968">
        <v>71814</v>
      </c>
      <c r="E9" s="1968">
        <v>0</v>
      </c>
      <c r="F9" s="1968">
        <f t="shared" ref="F9:F23" si="0">D9-E9</f>
        <v>71814</v>
      </c>
      <c r="G9" s="1969">
        <f>F9/D9*100</f>
        <v>100</v>
      </c>
      <c r="H9" s="1973"/>
      <c r="I9" s="3297"/>
    </row>
    <row r="10" spans="1:9" ht="30" customHeight="1">
      <c r="A10" s="1963"/>
      <c r="B10" s="1972" t="s">
        <v>2167</v>
      </c>
      <c r="C10" s="1968">
        <v>3957788</v>
      </c>
      <c r="D10" s="1968">
        <v>3957788</v>
      </c>
      <c r="E10" s="1968">
        <f>'15'!O31</f>
        <v>2989297</v>
      </c>
      <c r="F10" s="1968">
        <f t="shared" si="0"/>
        <v>968491</v>
      </c>
      <c r="G10" s="1969">
        <f>F10/D10*100</f>
        <v>24.470512316475769</v>
      </c>
      <c r="H10" s="1973"/>
      <c r="I10" s="3297">
        <v>8</v>
      </c>
    </row>
    <row r="11" spans="1:9" ht="30" customHeight="1">
      <c r="A11" s="1963"/>
      <c r="B11" s="1972" t="s">
        <v>2170</v>
      </c>
      <c r="C11" s="1968">
        <v>2925000</v>
      </c>
      <c r="D11" s="1968">
        <v>94334483</v>
      </c>
      <c r="E11" s="1968">
        <f>E22-E10</f>
        <v>1193683</v>
      </c>
      <c r="F11" s="1968">
        <f t="shared" si="0"/>
        <v>93140800</v>
      </c>
      <c r="G11" s="1969">
        <f>F11/D11*100</f>
        <v>98.734627082230361</v>
      </c>
      <c r="H11" s="1973"/>
      <c r="I11" s="3297" t="s">
        <v>1794</v>
      </c>
    </row>
    <row r="12" spans="1:9" ht="30" customHeight="1">
      <c r="A12" s="1963"/>
      <c r="B12" s="3166" t="s">
        <v>2171</v>
      </c>
      <c r="C12" s="3167">
        <f>C9+C10+C11</f>
        <v>6954602</v>
      </c>
      <c r="D12" s="3167">
        <f>D9+D10+D11</f>
        <v>98364085</v>
      </c>
      <c r="E12" s="3167">
        <f t="shared" ref="E12" si="1">E9+E10+E11</f>
        <v>4182980</v>
      </c>
      <c r="F12" s="3167">
        <f t="shared" si="0"/>
        <v>94181105</v>
      </c>
      <c r="G12" s="3167">
        <f>F12/D12*100</f>
        <v>95.747451928211404</v>
      </c>
      <c r="H12" s="3168"/>
      <c r="I12" s="3296"/>
    </row>
    <row r="13" spans="1:9" ht="30" customHeight="1">
      <c r="A13" s="1963"/>
      <c r="B13" s="3166" t="s">
        <v>2172</v>
      </c>
      <c r="C13" s="3166"/>
      <c r="D13" s="3167"/>
      <c r="E13" s="3167"/>
      <c r="F13" s="3167">
        <f t="shared" si="0"/>
        <v>0</v>
      </c>
      <c r="G13" s="3167">
        <v>0</v>
      </c>
      <c r="H13" s="3168"/>
      <c r="I13" s="3296"/>
    </row>
    <row r="14" spans="1:9" ht="30" customHeight="1">
      <c r="A14" s="1963"/>
      <c r="B14" s="1972" t="s">
        <v>2173</v>
      </c>
      <c r="C14" s="1968">
        <v>200000</v>
      </c>
      <c r="D14" s="1968">
        <v>700000</v>
      </c>
      <c r="E14" s="1968">
        <f>'15'!E23</f>
        <v>1921</v>
      </c>
      <c r="F14" s="1968">
        <f t="shared" si="0"/>
        <v>698079</v>
      </c>
      <c r="G14" s="1969">
        <f t="shared" ref="G14:G23" si="2">F14/D14*100</f>
        <v>99.725571428571428</v>
      </c>
      <c r="H14" s="1993" t="s">
        <v>2776</v>
      </c>
      <c r="I14" s="3297">
        <v>8</v>
      </c>
    </row>
    <row r="15" spans="1:9" ht="30" customHeight="1">
      <c r="A15" s="1963"/>
      <c r="B15" s="1972" t="s">
        <v>2244</v>
      </c>
      <c r="C15" s="1968">
        <v>2000000</v>
      </c>
      <c r="D15" s="1968">
        <v>2200000</v>
      </c>
      <c r="E15" s="3777">
        <f>'15'!G23+'15'!G21+'15'!G17-E16</f>
        <v>2543862</v>
      </c>
      <c r="F15" s="1968">
        <f t="shared" si="0"/>
        <v>-343862</v>
      </c>
      <c r="G15" s="1969">
        <f t="shared" si="2"/>
        <v>-15.63009090909091</v>
      </c>
      <c r="H15" s="1993" t="s">
        <v>2776</v>
      </c>
      <c r="I15" s="3297">
        <v>8</v>
      </c>
    </row>
    <row r="16" spans="1:9" ht="30" customHeight="1">
      <c r="A16" s="1963"/>
      <c r="B16" s="1972" t="s">
        <v>2174</v>
      </c>
      <c r="C16" s="1968">
        <v>1500000</v>
      </c>
      <c r="D16" s="1968">
        <v>36500000</v>
      </c>
      <c r="E16" s="3778"/>
      <c r="F16" s="1968">
        <f t="shared" si="0"/>
        <v>36500000</v>
      </c>
      <c r="G16" s="1969">
        <f t="shared" si="2"/>
        <v>100</v>
      </c>
      <c r="H16" s="1993" t="s">
        <v>2776</v>
      </c>
      <c r="I16" s="3297">
        <v>8</v>
      </c>
    </row>
    <row r="17" spans="1:9" ht="30" customHeight="1">
      <c r="A17" s="1963"/>
      <c r="B17" s="1972" t="s">
        <v>2175</v>
      </c>
      <c r="C17" s="1968">
        <v>800000</v>
      </c>
      <c r="D17" s="1968">
        <v>800000</v>
      </c>
      <c r="E17" s="1968">
        <f>'15'!I17+'15'!I21+'15'!I23</f>
        <v>611882</v>
      </c>
      <c r="F17" s="1968">
        <f t="shared" si="0"/>
        <v>188118</v>
      </c>
      <c r="G17" s="1969">
        <f t="shared" si="2"/>
        <v>23.514749999999999</v>
      </c>
      <c r="H17" s="1993" t="s">
        <v>2776</v>
      </c>
      <c r="I17" s="3297">
        <v>8</v>
      </c>
    </row>
    <row r="18" spans="1:9" ht="30" customHeight="1">
      <c r="A18" s="1963"/>
      <c r="B18" s="1990" t="s">
        <v>2176</v>
      </c>
      <c r="C18" s="1968">
        <v>1000000</v>
      </c>
      <c r="D18" s="1970">
        <v>1000000</v>
      </c>
      <c r="E18" s="1970">
        <f>'15'!K17+'15'!K23</f>
        <v>549212</v>
      </c>
      <c r="F18" s="1968">
        <f t="shared" si="0"/>
        <v>450788</v>
      </c>
      <c r="G18" s="1969">
        <f t="shared" si="2"/>
        <v>45.078800000000001</v>
      </c>
      <c r="H18" s="1993" t="s">
        <v>2776</v>
      </c>
      <c r="I18" s="3298">
        <v>8</v>
      </c>
    </row>
    <row r="19" spans="1:9" ht="30" customHeight="1">
      <c r="A19" s="1963"/>
      <c r="B19" s="1972" t="s">
        <v>2177</v>
      </c>
      <c r="C19" s="1968">
        <v>800000</v>
      </c>
      <c r="D19" s="1968">
        <v>800000</v>
      </c>
      <c r="E19" s="1968">
        <f>'15'!M17+'15'!M21+'15'!M23</f>
        <v>476103</v>
      </c>
      <c r="F19" s="1968">
        <f t="shared" si="0"/>
        <v>323897</v>
      </c>
      <c r="G19" s="1969">
        <f t="shared" si="2"/>
        <v>40.487124999999999</v>
      </c>
      <c r="H19" s="1993" t="s">
        <v>2776</v>
      </c>
      <c r="I19" s="3297">
        <v>8</v>
      </c>
    </row>
    <row r="20" spans="1:9" ht="30" customHeight="1">
      <c r="A20" s="1963"/>
      <c r="B20" s="1972" t="s">
        <v>2178</v>
      </c>
      <c r="C20" s="1968">
        <v>13009</v>
      </c>
      <c r="D20" s="1968">
        <v>13009</v>
      </c>
      <c r="E20" s="1968">
        <v>0</v>
      </c>
      <c r="F20" s="1968">
        <f t="shared" si="0"/>
        <v>13009</v>
      </c>
      <c r="G20" s="1969">
        <f t="shared" si="2"/>
        <v>100</v>
      </c>
      <c r="H20" s="1973"/>
      <c r="I20" s="3297">
        <v>8</v>
      </c>
    </row>
    <row r="21" spans="1:9" ht="30" customHeight="1">
      <c r="A21" s="1963"/>
      <c r="B21" s="1972" t="s">
        <v>1775</v>
      </c>
      <c r="C21" s="1968">
        <v>641593</v>
      </c>
      <c r="D21" s="1968">
        <v>56351076</v>
      </c>
      <c r="E21" s="1968">
        <v>0</v>
      </c>
      <c r="F21" s="1968">
        <f t="shared" si="0"/>
        <v>56351076</v>
      </c>
      <c r="G21" s="1969">
        <f t="shared" si="2"/>
        <v>100</v>
      </c>
      <c r="H21" s="1973"/>
      <c r="I21" s="3297">
        <v>8</v>
      </c>
    </row>
    <row r="22" spans="1:9" ht="30" customHeight="1">
      <c r="A22" s="1963"/>
      <c r="B22" s="3166" t="s">
        <v>2179</v>
      </c>
      <c r="C22" s="3167">
        <f>SUM(C14:C21)</f>
        <v>6954602</v>
      </c>
      <c r="D22" s="3167">
        <f>SUM(D14:D21)</f>
        <v>98364085</v>
      </c>
      <c r="E22" s="3167">
        <f t="shared" ref="E22" si="3">SUM(E14:E21)</f>
        <v>4182980</v>
      </c>
      <c r="F22" s="3167">
        <f t="shared" si="0"/>
        <v>94181105</v>
      </c>
      <c r="G22" s="3170">
        <f t="shared" si="2"/>
        <v>95.747451928211404</v>
      </c>
      <c r="H22" s="3168"/>
      <c r="I22" s="3296">
        <v>8</v>
      </c>
    </row>
    <row r="23" spans="1:9" ht="30" customHeight="1">
      <c r="A23" s="1982"/>
      <c r="B23" s="3166" t="s">
        <v>2180</v>
      </c>
      <c r="C23" s="3167">
        <f>C22</f>
        <v>6954602</v>
      </c>
      <c r="D23" s="3167">
        <f>D22</f>
        <v>98364085</v>
      </c>
      <c r="E23" s="3167">
        <f t="shared" ref="E23" si="4">E22</f>
        <v>4182980</v>
      </c>
      <c r="F23" s="3167">
        <f t="shared" si="0"/>
        <v>94181105</v>
      </c>
      <c r="G23" s="3170">
        <f t="shared" si="2"/>
        <v>95.747451928211404</v>
      </c>
      <c r="H23" s="3168"/>
      <c r="I23" s="3296">
        <v>8</v>
      </c>
    </row>
    <row r="24" spans="1:9" ht="39.950000000000003" customHeight="1"/>
    <row r="25" spans="1:9" ht="39.950000000000003" customHeight="1">
      <c r="A25" s="3767">
        <v>41</v>
      </c>
      <c r="B25" s="3767"/>
      <c r="C25" s="3767"/>
      <c r="D25" s="3767"/>
      <c r="E25" s="3767"/>
      <c r="F25" s="3767"/>
      <c r="G25" s="3767"/>
      <c r="H25" s="3767"/>
      <c r="I25" s="3767"/>
    </row>
    <row r="26" spans="1:9" ht="39.950000000000003" customHeight="1"/>
    <row r="27" spans="1:9" ht="39.950000000000003" customHeight="1"/>
    <row r="28" spans="1:9" ht="39.950000000000003" customHeight="1"/>
    <row r="29" spans="1:9" ht="39.950000000000003" customHeight="1"/>
    <row r="30" spans="1:9" ht="39.950000000000003" customHeight="1"/>
    <row r="31" spans="1:9" ht="39.950000000000003" customHeight="1"/>
    <row r="32" spans="1:9" ht="39.950000000000003" customHeight="1"/>
    <row r="33" ht="39.950000000000003" customHeight="1"/>
    <row r="34" ht="39.950000000000003" customHeight="1"/>
    <row r="35" ht="39.950000000000003" customHeight="1"/>
    <row r="36" ht="39.950000000000003" customHeight="1"/>
  </sheetData>
  <mergeCells count="13">
    <mergeCell ref="B1:I1"/>
    <mergeCell ref="I6:I7"/>
    <mergeCell ref="A25:I25"/>
    <mergeCell ref="B2:I2"/>
    <mergeCell ref="B3:I3"/>
    <mergeCell ref="B4:I4"/>
    <mergeCell ref="B6:B7"/>
    <mergeCell ref="D6:D7"/>
    <mergeCell ref="E6:E7"/>
    <mergeCell ref="F6:G6"/>
    <mergeCell ref="H6:H7"/>
    <mergeCell ref="C6:C7"/>
    <mergeCell ref="E15:E16"/>
  </mergeCells>
  <printOptions horizontalCentered="1" verticalCentered="1"/>
  <pageMargins left="0.7" right="0.7" top="0.75" bottom="0.75" header="0.3" footer="0.3"/>
  <pageSetup paperSize="9" scale="6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AP115"/>
  <sheetViews>
    <sheetView rightToLeft="1" view="pageBreakPreview" topLeftCell="C34" zoomScale="60" zoomScaleNormal="50" workbookViewId="0">
      <selection activeCell="AT40" sqref="AT40"/>
    </sheetView>
  </sheetViews>
  <sheetFormatPr defaultColWidth="1.375" defaultRowHeight="21"/>
  <cols>
    <col min="1" max="1" width="1.375" style="228"/>
    <col min="2" max="2" width="4.25" style="228" customWidth="1"/>
    <col min="3" max="3" width="6.375" style="228" customWidth="1"/>
    <col min="4" max="4" width="21.75" style="228" customWidth="1"/>
    <col min="5" max="5" width="57.5" style="228" customWidth="1"/>
    <col min="6" max="6" width="13.125" style="228" customWidth="1"/>
    <col min="7" max="7" width="15" style="232" customWidth="1"/>
    <col min="8" max="8" width="13.625" style="232" customWidth="1"/>
    <col min="9" max="9" width="14" style="232" customWidth="1"/>
    <col min="10" max="10" width="14.5" style="232" bestFit="1" customWidth="1"/>
    <col min="11" max="11" width="9.25" style="228" hidden="1" customWidth="1"/>
    <col min="12" max="12" width="10.125" style="228" bestFit="1" customWidth="1"/>
    <col min="13" max="13" width="16.625" style="228" bestFit="1" customWidth="1"/>
    <col min="14" max="14" width="20.25" style="228" customWidth="1"/>
    <col min="15" max="15" width="4.75" style="228" customWidth="1"/>
    <col min="16" max="16" width="2.25" style="228" customWidth="1"/>
    <col min="17" max="17" width="6" style="228" customWidth="1"/>
    <col min="18" max="18" width="5.75" style="228" customWidth="1"/>
    <col min="19" max="19" width="2.125" style="228" customWidth="1"/>
    <col min="20" max="20" width="2.25" style="228" customWidth="1"/>
    <col min="21" max="21" width="2.625" style="228" customWidth="1"/>
    <col min="22" max="22" width="2.875" style="228" customWidth="1"/>
    <col min="23" max="41" width="1.375" style="228"/>
    <col min="42" max="42" width="3.25" style="228" bestFit="1" customWidth="1"/>
    <col min="43" max="16384" width="1.375" style="228"/>
  </cols>
  <sheetData>
    <row r="2" spans="2:21" ht="33.75" customHeight="1">
      <c r="B2" s="1420"/>
      <c r="C2" s="3792" t="s">
        <v>612</v>
      </c>
      <c r="D2" s="3792"/>
      <c r="E2" s="3792"/>
      <c r="F2" s="3792"/>
      <c r="G2" s="3792"/>
      <c r="H2" s="3792"/>
      <c r="I2" s="3792"/>
      <c r="J2" s="3792"/>
      <c r="K2" s="3792"/>
      <c r="L2" s="3792"/>
      <c r="M2" s="3792"/>
      <c r="N2" s="3792"/>
      <c r="O2" s="1420"/>
      <c r="P2" s="1420"/>
      <c r="Q2" s="1420"/>
      <c r="R2" s="1420"/>
      <c r="S2" s="1420"/>
      <c r="T2" s="1420"/>
      <c r="U2" s="1420"/>
    </row>
    <row r="3" spans="2:21" ht="33.75" customHeight="1">
      <c r="B3" s="1420"/>
      <c r="C3" s="3792" t="s">
        <v>2445</v>
      </c>
      <c r="D3" s="3792"/>
      <c r="E3" s="3792"/>
      <c r="F3" s="3792"/>
      <c r="G3" s="3792"/>
      <c r="H3" s="3792"/>
      <c r="I3" s="3792"/>
      <c r="J3" s="3792"/>
      <c r="K3" s="3792"/>
      <c r="L3" s="3792"/>
      <c r="M3" s="3792"/>
      <c r="N3" s="3792"/>
      <c r="O3" s="1420"/>
      <c r="P3" s="1420"/>
      <c r="Q3" s="1420"/>
      <c r="R3" s="1420"/>
      <c r="S3" s="1420"/>
      <c r="T3" s="1420"/>
      <c r="U3" s="1420"/>
    </row>
    <row r="4" spans="2:21" ht="33.75" customHeight="1">
      <c r="B4" s="1420"/>
      <c r="C4" s="3792" t="s">
        <v>2743</v>
      </c>
      <c r="D4" s="3792"/>
      <c r="E4" s="3792"/>
      <c r="F4" s="3792"/>
      <c r="G4" s="3792"/>
      <c r="H4" s="3792"/>
      <c r="I4" s="3792"/>
      <c r="J4" s="3792"/>
      <c r="K4" s="3792"/>
      <c r="L4" s="3792"/>
      <c r="M4" s="3792"/>
      <c r="N4" s="3792"/>
      <c r="O4" s="1420"/>
      <c r="P4" s="1420"/>
      <c r="Q4" s="1420"/>
      <c r="R4" s="1420"/>
      <c r="S4" s="1420"/>
      <c r="T4" s="1420"/>
      <c r="U4" s="1420"/>
    </row>
    <row r="5" spans="2:21" ht="22.5" customHeight="1">
      <c r="B5" s="229"/>
      <c r="C5" s="577"/>
      <c r="D5" s="229"/>
      <c r="E5" s="229"/>
      <c r="F5" s="229"/>
      <c r="G5" s="229"/>
      <c r="H5" s="229"/>
      <c r="I5" s="229"/>
      <c r="J5" s="229"/>
      <c r="K5" s="227"/>
      <c r="L5" s="227"/>
      <c r="M5" s="227"/>
      <c r="N5" s="227"/>
      <c r="O5" s="227"/>
      <c r="P5" s="227"/>
    </row>
    <row r="6" spans="2:21" ht="43.5">
      <c r="B6" s="603"/>
      <c r="C6" s="3795" t="s">
        <v>2632</v>
      </c>
      <c r="D6" s="3795"/>
      <c r="E6" s="3795"/>
      <c r="F6" s="3795"/>
      <c r="G6" s="3795"/>
      <c r="H6" s="3795"/>
      <c r="I6" s="3795"/>
      <c r="J6" s="3795"/>
      <c r="K6" s="3795"/>
      <c r="L6" s="3795"/>
      <c r="M6" s="3795"/>
      <c r="N6" s="3795"/>
    </row>
    <row r="7" spans="2:21" ht="57.75" customHeight="1">
      <c r="C7" s="3794" t="s">
        <v>2633</v>
      </c>
      <c r="D7" s="3794"/>
      <c r="E7" s="3794"/>
      <c r="F7" s="3794"/>
      <c r="G7" s="3794"/>
      <c r="H7" s="3794"/>
      <c r="I7" s="3794"/>
      <c r="J7" s="3794"/>
      <c r="K7" s="3794"/>
      <c r="L7" s="3794"/>
      <c r="M7" s="3794"/>
      <c r="N7" s="3794"/>
    </row>
    <row r="8" spans="2:21" ht="34.5" customHeight="1" thickBot="1">
      <c r="D8" s="3048" t="s">
        <v>2461</v>
      </c>
      <c r="E8" s="231"/>
      <c r="F8" s="231"/>
      <c r="G8" s="230"/>
      <c r="H8" s="230"/>
      <c r="J8" s="233"/>
      <c r="L8" s="233"/>
      <c r="N8" s="3049" t="s">
        <v>1049</v>
      </c>
    </row>
    <row r="9" spans="2:21" ht="24.75" customHeight="1">
      <c r="D9" s="3783" t="s">
        <v>629</v>
      </c>
      <c r="E9" s="3785" t="s">
        <v>628</v>
      </c>
      <c r="F9" s="3805" t="s">
        <v>1780</v>
      </c>
      <c r="G9" s="3807" t="s">
        <v>1781</v>
      </c>
      <c r="H9" s="922" t="s">
        <v>753</v>
      </c>
      <c r="I9" s="922" t="s">
        <v>627</v>
      </c>
      <c r="J9" s="3815" t="s">
        <v>2561</v>
      </c>
      <c r="K9" s="3816"/>
      <c r="L9" s="3816"/>
      <c r="M9" s="3807" t="s">
        <v>2072</v>
      </c>
      <c r="N9" s="3817" t="s">
        <v>2073</v>
      </c>
    </row>
    <row r="10" spans="2:21" ht="31.5" customHeight="1">
      <c r="D10" s="3803"/>
      <c r="E10" s="3804"/>
      <c r="F10" s="3806"/>
      <c r="G10" s="3808"/>
      <c r="H10" s="3273" t="s">
        <v>2642</v>
      </c>
      <c r="I10" s="3273" t="s">
        <v>2642</v>
      </c>
      <c r="J10" s="3273" t="s">
        <v>2074</v>
      </c>
      <c r="K10" s="3273"/>
      <c r="L10" s="3273" t="s">
        <v>2075</v>
      </c>
      <c r="M10" s="3808"/>
      <c r="N10" s="3818" t="s">
        <v>2075</v>
      </c>
    </row>
    <row r="11" spans="2:21" ht="49.5" customHeight="1">
      <c r="D11" s="3276">
        <v>90224</v>
      </c>
      <c r="E11" s="3282" t="s">
        <v>2745</v>
      </c>
      <c r="F11" s="3275"/>
      <c r="G11" s="3284">
        <v>52605</v>
      </c>
      <c r="H11" s="3284">
        <v>52605</v>
      </c>
      <c r="I11" s="3284"/>
      <c r="J11" s="3284">
        <f>H11-I11</f>
        <v>52605</v>
      </c>
      <c r="K11" s="3284"/>
      <c r="L11" s="3284">
        <f>J11/H11*100</f>
        <v>100</v>
      </c>
      <c r="M11" s="3802" t="s">
        <v>2747</v>
      </c>
      <c r="N11" s="3283" t="s">
        <v>2077</v>
      </c>
    </row>
    <row r="12" spans="2:21" ht="33.75" customHeight="1">
      <c r="D12" s="3045">
        <v>90225</v>
      </c>
      <c r="E12" s="1913" t="s">
        <v>1344</v>
      </c>
      <c r="F12" s="1914">
        <v>6499927</v>
      </c>
      <c r="G12" s="1870">
        <v>2336541</v>
      </c>
      <c r="H12" s="1870">
        <v>648000</v>
      </c>
      <c r="I12" s="1870">
        <f>'16'!M11</f>
        <v>16617</v>
      </c>
      <c r="J12" s="1915">
        <f>H12-I12</f>
        <v>631383</v>
      </c>
      <c r="K12" s="1905"/>
      <c r="L12" s="3284">
        <f t="shared" ref="L12:L18" si="0">J12/H12*100</f>
        <v>97.435648148148147</v>
      </c>
      <c r="M12" s="3800"/>
      <c r="N12" s="1867" t="s">
        <v>2077</v>
      </c>
    </row>
    <row r="13" spans="2:21" ht="33.75" customHeight="1">
      <c r="D13" s="3046">
        <v>90226</v>
      </c>
      <c r="E13" s="1871" t="s">
        <v>1345</v>
      </c>
      <c r="F13" s="1872">
        <v>1156976</v>
      </c>
      <c r="G13" s="1873">
        <v>2724400</v>
      </c>
      <c r="H13" s="1873">
        <v>1282716</v>
      </c>
      <c r="I13" s="1873">
        <f>'16'!M12</f>
        <v>416495</v>
      </c>
      <c r="J13" s="1915">
        <f t="shared" ref="J13:J19" si="1">H13-I13</f>
        <v>866221</v>
      </c>
      <c r="K13" s="1875"/>
      <c r="L13" s="3284">
        <f t="shared" si="0"/>
        <v>67.530224928978825</v>
      </c>
      <c r="M13" s="3800"/>
      <c r="N13" s="1868" t="s">
        <v>2077</v>
      </c>
    </row>
    <row r="14" spans="2:21" ht="33.75" customHeight="1">
      <c r="D14" s="3046">
        <v>90227</v>
      </c>
      <c r="E14" s="1871" t="s">
        <v>1346</v>
      </c>
      <c r="F14" s="1877">
        <v>114836</v>
      </c>
      <c r="G14" s="1873">
        <v>495858</v>
      </c>
      <c r="H14" s="1873">
        <v>210000</v>
      </c>
      <c r="I14" s="1873">
        <f>'16'!M13</f>
        <v>59127</v>
      </c>
      <c r="J14" s="1915">
        <f t="shared" si="1"/>
        <v>150873</v>
      </c>
      <c r="K14" s="1875"/>
      <c r="L14" s="3284">
        <f t="shared" si="0"/>
        <v>71.844285714285718</v>
      </c>
      <c r="M14" s="3800"/>
      <c r="N14" s="1868" t="s">
        <v>2077</v>
      </c>
    </row>
    <row r="15" spans="2:21" ht="33.75" customHeight="1">
      <c r="D15" s="3046">
        <v>90228</v>
      </c>
      <c r="E15" s="1871" t="s">
        <v>1347</v>
      </c>
      <c r="F15" s="1872">
        <v>1627952</v>
      </c>
      <c r="G15" s="1873">
        <v>5209922</v>
      </c>
      <c r="H15" s="1873">
        <v>1256000</v>
      </c>
      <c r="I15" s="1873">
        <f>'16'!M14</f>
        <v>986940</v>
      </c>
      <c r="J15" s="1915">
        <f t="shared" si="1"/>
        <v>269060</v>
      </c>
      <c r="K15" s="1875"/>
      <c r="L15" s="3284">
        <f t="shared" si="0"/>
        <v>21.421974522292995</v>
      </c>
      <c r="M15" s="3800"/>
      <c r="N15" s="1868" t="s">
        <v>2077</v>
      </c>
    </row>
    <row r="16" spans="2:21" ht="33.75" customHeight="1">
      <c r="D16" s="3046">
        <v>90229</v>
      </c>
      <c r="E16" s="1871" t="s">
        <v>1664</v>
      </c>
      <c r="F16" s="1872">
        <v>19857</v>
      </c>
      <c r="G16" s="1873">
        <v>58442</v>
      </c>
      <c r="H16" s="1873">
        <v>54000</v>
      </c>
      <c r="I16" s="1874">
        <f>'16'!M15</f>
        <v>-11118</v>
      </c>
      <c r="J16" s="1915">
        <f t="shared" si="1"/>
        <v>65118</v>
      </c>
      <c r="K16" s="1875"/>
      <c r="L16" s="3284">
        <f t="shared" si="0"/>
        <v>120.58888888888887</v>
      </c>
      <c r="M16" s="3800"/>
      <c r="N16" s="1868" t="s">
        <v>2077</v>
      </c>
    </row>
    <row r="17" spans="1:18" ht="33.75" customHeight="1">
      <c r="D17" s="3046">
        <v>90230</v>
      </c>
      <c r="E17" s="1871" t="s">
        <v>1038</v>
      </c>
      <c r="F17" s="1872">
        <v>1225056</v>
      </c>
      <c r="G17" s="1873">
        <v>237649</v>
      </c>
      <c r="H17" s="1873">
        <v>178000</v>
      </c>
      <c r="I17" s="1874">
        <f>'16'!M16</f>
        <v>184952</v>
      </c>
      <c r="J17" s="1915">
        <f t="shared" si="1"/>
        <v>-6952</v>
      </c>
      <c r="K17" s="1875"/>
      <c r="L17" s="3284">
        <f t="shared" si="0"/>
        <v>-3.9056179775280899</v>
      </c>
      <c r="M17" s="3800"/>
      <c r="N17" s="1868" t="s">
        <v>2077</v>
      </c>
    </row>
    <row r="18" spans="1:18" ht="33.75" customHeight="1" thickBot="1">
      <c r="D18" s="3047">
        <v>90231</v>
      </c>
      <c r="E18" s="1878" t="s">
        <v>1348</v>
      </c>
      <c r="F18" s="1879">
        <v>36197</v>
      </c>
      <c r="G18" s="1018">
        <v>49882</v>
      </c>
      <c r="H18" s="1018">
        <v>44500</v>
      </c>
      <c r="I18" s="1018">
        <f>'16'!M17</f>
        <v>17254</v>
      </c>
      <c r="J18" s="1915">
        <f t="shared" si="1"/>
        <v>27246</v>
      </c>
      <c r="K18" s="1880"/>
      <c r="L18" s="3284">
        <f t="shared" si="0"/>
        <v>61.226966292134833</v>
      </c>
      <c r="M18" s="3801"/>
      <c r="N18" s="1869" t="s">
        <v>2077</v>
      </c>
    </row>
    <row r="19" spans="1:18" ht="33.75" customHeight="1" thickBot="1">
      <c r="A19" s="1854" t="s">
        <v>727</v>
      </c>
      <c r="D19" s="3809" t="s">
        <v>2462</v>
      </c>
      <c r="E19" s="3810"/>
      <c r="F19" s="1882">
        <f>SUM('42-43'!F11:F18)</f>
        <v>10680801</v>
      </c>
      <c r="G19" s="1882">
        <f>SUM(G11:G18)</f>
        <v>11165299</v>
      </c>
      <c r="H19" s="1882">
        <f>SUM(H11:H18)</f>
        <v>3725821</v>
      </c>
      <c r="I19" s="1882">
        <f t="shared" ref="I19" si="2">SUM(I11:I18)</f>
        <v>1670267</v>
      </c>
      <c r="J19" s="1915">
        <f t="shared" si="1"/>
        <v>2055554</v>
      </c>
      <c r="K19" s="1898"/>
      <c r="L19" s="1899">
        <f t="shared" ref="L19:L50" si="3">J19/H19*100</f>
        <v>55.170497992254596</v>
      </c>
      <c r="M19" s="1899"/>
      <c r="N19" s="1910"/>
    </row>
    <row r="20" spans="1:18" ht="49.5" customHeight="1" thickBot="1">
      <c r="D20" s="3050" t="s">
        <v>2463</v>
      </c>
      <c r="E20" s="234"/>
      <c r="F20" s="924"/>
      <c r="G20" s="234"/>
      <c r="H20" s="234"/>
      <c r="I20" s="234"/>
      <c r="J20" s="925"/>
      <c r="L20" s="1884"/>
      <c r="M20" s="1884"/>
      <c r="N20" s="1884"/>
    </row>
    <row r="21" spans="1:18" ht="33.75" customHeight="1" thickBot="1">
      <c r="D21" s="3035">
        <v>90232</v>
      </c>
      <c r="E21" s="1415" t="s">
        <v>1349</v>
      </c>
      <c r="F21" s="1419">
        <v>2275021</v>
      </c>
      <c r="G21" s="926">
        <v>2567211</v>
      </c>
      <c r="H21" s="926">
        <v>628020</v>
      </c>
      <c r="I21" s="926">
        <f>'16'!M20</f>
        <v>883117</v>
      </c>
      <c r="J21" s="937">
        <f>H21-I21</f>
        <v>-255097</v>
      </c>
      <c r="K21" s="1887"/>
      <c r="L21" s="1888">
        <f t="shared" si="3"/>
        <v>-40.619247794656218</v>
      </c>
      <c r="M21" s="3799" t="s">
        <v>2748</v>
      </c>
      <c r="N21" s="1908" t="s">
        <v>2077</v>
      </c>
    </row>
    <row r="22" spans="1:18" ht="33.75" customHeight="1" thickBot="1">
      <c r="D22" s="3036">
        <v>90233</v>
      </c>
      <c r="E22" s="1885" t="s">
        <v>1350</v>
      </c>
      <c r="F22" s="1872">
        <v>1789964</v>
      </c>
      <c r="G22" s="1886">
        <v>6879650</v>
      </c>
      <c r="H22" s="1886">
        <v>1420414</v>
      </c>
      <c r="I22" s="1873">
        <f>'16'!M21</f>
        <v>1078722</v>
      </c>
      <c r="J22" s="937">
        <f t="shared" ref="J22:J29" si="4">H22-I22</f>
        <v>341692</v>
      </c>
      <c r="K22" s="1875"/>
      <c r="L22" s="1876">
        <f t="shared" si="3"/>
        <v>24.055803448853645</v>
      </c>
      <c r="M22" s="3800"/>
      <c r="N22" s="1868" t="s">
        <v>2077</v>
      </c>
    </row>
    <row r="23" spans="1:18" ht="33.75" customHeight="1" thickBot="1">
      <c r="D23" s="3036">
        <v>90234</v>
      </c>
      <c r="E23" s="1885" t="s">
        <v>1039</v>
      </c>
      <c r="F23" s="1872">
        <v>441163</v>
      </c>
      <c r="G23" s="1886">
        <v>793208</v>
      </c>
      <c r="H23" s="1886">
        <v>320000</v>
      </c>
      <c r="I23" s="1873">
        <f>'16'!M22</f>
        <v>451877</v>
      </c>
      <c r="J23" s="937">
        <f t="shared" si="4"/>
        <v>-131877</v>
      </c>
      <c r="K23" s="1875"/>
      <c r="L23" s="1876">
        <f t="shared" si="3"/>
        <v>-41.211562499999999</v>
      </c>
      <c r="M23" s="3800"/>
      <c r="N23" s="1868" t="s">
        <v>2077</v>
      </c>
    </row>
    <row r="24" spans="1:18" ht="33.75" customHeight="1" thickBot="1">
      <c r="C24" s="983"/>
      <c r="D24" s="3036">
        <v>90235</v>
      </c>
      <c r="E24" s="1911" t="s">
        <v>1351</v>
      </c>
      <c r="F24" s="1907">
        <v>261595</v>
      </c>
      <c r="G24" s="1886">
        <v>1114326</v>
      </c>
      <c r="H24" s="1886">
        <v>570000</v>
      </c>
      <c r="I24" s="1873">
        <f>'16'!M23</f>
        <v>544730</v>
      </c>
      <c r="J24" s="937">
        <f t="shared" si="4"/>
        <v>25270</v>
      </c>
      <c r="K24" s="1875"/>
      <c r="L24" s="1876">
        <f t="shared" si="3"/>
        <v>4.4333333333333336</v>
      </c>
      <c r="M24" s="3800"/>
      <c r="N24" s="1868" t="s">
        <v>2077</v>
      </c>
    </row>
    <row r="25" spans="1:18" ht="33.75" customHeight="1" thickBot="1">
      <c r="D25" s="3036">
        <v>90236</v>
      </c>
      <c r="E25" s="1885" t="s">
        <v>1352</v>
      </c>
      <c r="F25" s="1872">
        <v>99939</v>
      </c>
      <c r="G25" s="1886">
        <v>103697</v>
      </c>
      <c r="H25" s="1886">
        <v>78000</v>
      </c>
      <c r="I25" s="1877">
        <f>'16'!M24</f>
        <v>-74</v>
      </c>
      <c r="J25" s="937">
        <f t="shared" si="4"/>
        <v>78074</v>
      </c>
      <c r="K25" s="1875"/>
      <c r="L25" s="1876">
        <f t="shared" si="3"/>
        <v>100.09487179487179</v>
      </c>
      <c r="M25" s="3800"/>
      <c r="N25" s="1868" t="s">
        <v>2077</v>
      </c>
    </row>
    <row r="26" spans="1:18" ht="41.25" customHeight="1" thickBot="1">
      <c r="D26" s="3036">
        <v>90237</v>
      </c>
      <c r="E26" s="1912" t="s">
        <v>1353</v>
      </c>
      <c r="F26" s="1872">
        <v>466485</v>
      </c>
      <c r="G26" s="1886">
        <v>689838</v>
      </c>
      <c r="H26" s="1886">
        <v>405000</v>
      </c>
      <c r="I26" s="1873">
        <f>'16'!M25</f>
        <v>135334</v>
      </c>
      <c r="J26" s="937">
        <f t="shared" si="4"/>
        <v>269666</v>
      </c>
      <c r="K26" s="1875"/>
      <c r="L26" s="1876">
        <f t="shared" si="3"/>
        <v>66.584197530864202</v>
      </c>
      <c r="M26" s="3800"/>
      <c r="N26" s="1868" t="s">
        <v>2077</v>
      </c>
    </row>
    <row r="27" spans="1:18" ht="33.75" customHeight="1" thickBot="1">
      <c r="D27" s="3036">
        <v>90238</v>
      </c>
      <c r="E27" s="1885" t="s">
        <v>1354</v>
      </c>
      <c r="F27" s="1872">
        <v>320782</v>
      </c>
      <c r="G27" s="1886">
        <v>2422862</v>
      </c>
      <c r="H27" s="1886">
        <v>1470000</v>
      </c>
      <c r="I27" s="1873">
        <f>'16'!M26</f>
        <v>710192</v>
      </c>
      <c r="J27" s="937">
        <f t="shared" si="4"/>
        <v>759808</v>
      </c>
      <c r="K27" s="1875"/>
      <c r="L27" s="1876">
        <f t="shared" si="3"/>
        <v>51.687619047619052</v>
      </c>
      <c r="M27" s="3800"/>
      <c r="N27" s="1868" t="s">
        <v>2077</v>
      </c>
    </row>
    <row r="28" spans="1:18" ht="33.75" customHeight="1" thickBot="1">
      <c r="D28" s="3044">
        <v>90239</v>
      </c>
      <c r="E28" s="1891" t="s">
        <v>1355</v>
      </c>
      <c r="F28" s="1412">
        <v>3023</v>
      </c>
      <c r="G28" s="1892">
        <v>277199</v>
      </c>
      <c r="H28" s="1892">
        <v>176625</v>
      </c>
      <c r="I28" s="1018">
        <f>'16'!M27</f>
        <v>171154</v>
      </c>
      <c r="J28" s="937">
        <f t="shared" si="4"/>
        <v>5471</v>
      </c>
      <c r="K28" s="1880"/>
      <c r="L28" s="1881">
        <f t="shared" si="3"/>
        <v>3.0975230007077141</v>
      </c>
      <c r="M28" s="3800"/>
      <c r="N28" s="1869" t="s">
        <v>2077</v>
      </c>
    </row>
    <row r="29" spans="1:18" ht="33.75" customHeight="1">
      <c r="D29" s="3274">
        <v>90240</v>
      </c>
      <c r="E29" s="1885" t="s">
        <v>2746</v>
      </c>
      <c r="F29" s="1877"/>
      <c r="G29" s="1886">
        <v>21461</v>
      </c>
      <c r="H29" s="1886">
        <v>21461</v>
      </c>
      <c r="I29" s="1873"/>
      <c r="J29" s="937">
        <f t="shared" si="4"/>
        <v>21461</v>
      </c>
      <c r="K29" s="1875"/>
      <c r="L29" s="1881">
        <f t="shared" si="3"/>
        <v>100</v>
      </c>
      <c r="M29" s="3280"/>
      <c r="N29" s="3281"/>
    </row>
    <row r="30" spans="1:18" ht="31.5" customHeight="1" thickBot="1">
      <c r="D30" s="3811" t="s">
        <v>2464</v>
      </c>
      <c r="E30" s="3812"/>
      <c r="F30" s="3277">
        <f>SUM(F21:F29)</f>
        <v>5657972</v>
      </c>
      <c r="G30" s="3277">
        <f t="shared" ref="G30:I30" si="5">SUM(G21:G29)</f>
        <v>14869452</v>
      </c>
      <c r="H30" s="3277">
        <f>SUM(H21:H29)</f>
        <v>5089520</v>
      </c>
      <c r="I30" s="3277">
        <f t="shared" si="5"/>
        <v>3975052</v>
      </c>
      <c r="J30" s="3277">
        <f>H30-I30</f>
        <v>1114468</v>
      </c>
      <c r="K30" s="3278"/>
      <c r="L30" s="3251">
        <f t="shared" si="3"/>
        <v>21.897310551879158</v>
      </c>
      <c r="M30" s="3251"/>
      <c r="N30" s="3279"/>
      <c r="P30" s="869"/>
      <c r="Q30" s="869"/>
      <c r="R30" s="869"/>
    </row>
    <row r="31" spans="1:18" ht="51.75" customHeight="1">
      <c r="D31" s="1026"/>
      <c r="E31" s="1026"/>
      <c r="F31" s="1014"/>
      <c r="G31" s="1015"/>
      <c r="H31" s="1015"/>
      <c r="I31" s="1015"/>
      <c r="J31" s="1016"/>
      <c r="K31" s="1017"/>
      <c r="L31" s="1884"/>
      <c r="M31" s="1884"/>
      <c r="N31" s="1884"/>
      <c r="P31" s="869"/>
      <c r="Q31" s="869"/>
      <c r="R31" s="869"/>
    </row>
    <row r="32" spans="1:18" ht="51.75" customHeight="1">
      <c r="D32" s="1026"/>
      <c r="E32" s="1026"/>
      <c r="F32" s="1014"/>
      <c r="G32" s="1015"/>
      <c r="H32" s="1015"/>
      <c r="I32" s="1015"/>
      <c r="J32" s="1016"/>
      <c r="K32" s="1017"/>
      <c r="L32" s="1884"/>
      <c r="M32" s="1884"/>
      <c r="N32" s="1884"/>
      <c r="P32" s="869"/>
      <c r="Q32" s="869"/>
      <c r="R32" s="869"/>
    </row>
    <row r="33" spans="2:42" ht="51.75" customHeight="1">
      <c r="D33" s="1026"/>
      <c r="E33" s="1026"/>
      <c r="F33" s="1014"/>
      <c r="G33" s="1015"/>
      <c r="H33" s="1015"/>
      <c r="I33" s="1015"/>
      <c r="J33" s="1016"/>
      <c r="K33" s="1017"/>
      <c r="L33" s="1884"/>
      <c r="M33" s="1884"/>
      <c r="N33" s="1884"/>
      <c r="P33" s="869"/>
      <c r="Q33" s="869"/>
      <c r="R33" s="869"/>
    </row>
    <row r="34" spans="2:42" ht="31.5" customHeight="1">
      <c r="C34" s="3793">
        <v>42</v>
      </c>
      <c r="D34" s="3793"/>
      <c r="E34" s="3793"/>
      <c r="F34" s="3793"/>
      <c r="G34" s="3793"/>
      <c r="H34" s="3793"/>
      <c r="I34" s="3793"/>
      <c r="J34" s="3793"/>
      <c r="K34" s="3793"/>
      <c r="L34" s="3793"/>
      <c r="M34" s="3793"/>
      <c r="N34" s="3793"/>
      <c r="P34" s="869"/>
      <c r="Q34" s="869"/>
      <c r="R34" s="869"/>
    </row>
    <row r="35" spans="2:42" ht="33.75" customHeight="1">
      <c r="B35" s="1420"/>
      <c r="C35" s="3792" t="s">
        <v>612</v>
      </c>
      <c r="D35" s="3792"/>
      <c r="E35" s="3792"/>
      <c r="F35" s="3792"/>
      <c r="G35" s="3792"/>
      <c r="H35" s="3792"/>
      <c r="I35" s="3792"/>
      <c r="J35" s="3792"/>
      <c r="K35" s="3792"/>
      <c r="L35" s="3792"/>
      <c r="M35" s="3792"/>
      <c r="N35" s="3792"/>
      <c r="O35" s="1420"/>
      <c r="P35" s="1420"/>
      <c r="Q35" s="1420"/>
      <c r="R35" s="1420"/>
      <c r="S35" s="1420"/>
      <c r="T35" s="1420"/>
      <c r="U35" s="1420"/>
    </row>
    <row r="36" spans="2:42" ht="33.75" customHeight="1">
      <c r="B36" s="1420"/>
      <c r="C36" s="3792" t="s">
        <v>2445</v>
      </c>
      <c r="D36" s="3792"/>
      <c r="E36" s="3792"/>
      <c r="F36" s="3792"/>
      <c r="G36" s="3792"/>
      <c r="H36" s="3792"/>
      <c r="I36" s="3792"/>
      <c r="J36" s="3792"/>
      <c r="K36" s="3792"/>
      <c r="L36" s="3792"/>
      <c r="M36" s="3792"/>
      <c r="N36" s="3792"/>
      <c r="O36" s="1420"/>
      <c r="P36" s="1420"/>
      <c r="Q36" s="1420"/>
      <c r="R36" s="1420"/>
      <c r="S36" s="1420"/>
      <c r="T36" s="1420"/>
      <c r="U36" s="1420"/>
    </row>
    <row r="37" spans="2:42" ht="33.75" customHeight="1">
      <c r="B37" s="1420"/>
      <c r="C37" s="3792" t="str">
        <f>mafrozat!A3</f>
        <v xml:space="preserve"> سال مالي منتهي به 29 اسفند 1402</v>
      </c>
      <c r="D37" s="3792"/>
      <c r="E37" s="3792"/>
      <c r="F37" s="3792"/>
      <c r="G37" s="3792"/>
      <c r="H37" s="3792"/>
      <c r="I37" s="3792"/>
      <c r="J37" s="3792"/>
      <c r="K37" s="3792"/>
      <c r="L37" s="3792"/>
      <c r="M37" s="3792"/>
      <c r="N37" s="3792"/>
      <c r="O37" s="1420"/>
      <c r="P37" s="1420"/>
      <c r="Q37" s="1420"/>
      <c r="R37" s="1420"/>
      <c r="S37" s="1420"/>
      <c r="T37" s="1420"/>
      <c r="U37" s="1420"/>
    </row>
    <row r="38" spans="2:42" ht="33.75" customHeight="1">
      <c r="B38" s="1420"/>
      <c r="C38" s="1957"/>
      <c r="D38" s="1957"/>
      <c r="E38" s="1957"/>
      <c r="F38" s="1957"/>
      <c r="G38" s="1957"/>
      <c r="H38" s="1957"/>
      <c r="I38" s="1957"/>
      <c r="J38" s="1957"/>
      <c r="K38" s="1957"/>
      <c r="L38" s="1957"/>
      <c r="M38" s="1957"/>
      <c r="N38" s="1957"/>
      <c r="O38" s="1420"/>
      <c r="P38" s="1420"/>
      <c r="Q38" s="1420"/>
      <c r="R38" s="1420"/>
      <c r="S38" s="1420"/>
      <c r="T38" s="1420"/>
      <c r="U38" s="1420"/>
    </row>
    <row r="39" spans="2:42" ht="43.5">
      <c r="B39" s="603"/>
      <c r="C39" s="3795" t="s">
        <v>2632</v>
      </c>
      <c r="D39" s="3795"/>
      <c r="E39" s="3795"/>
      <c r="F39" s="3795"/>
      <c r="G39" s="3795"/>
      <c r="H39" s="3795"/>
      <c r="I39" s="3795"/>
      <c r="J39" s="3795"/>
      <c r="K39" s="3795"/>
      <c r="L39" s="3795"/>
      <c r="M39" s="3795"/>
      <c r="N39" s="3795"/>
    </row>
    <row r="40" spans="2:42" ht="57.75" customHeight="1">
      <c r="C40" s="3794" t="s">
        <v>2645</v>
      </c>
      <c r="D40" s="3794"/>
      <c r="E40" s="3794"/>
      <c r="F40" s="3794"/>
      <c r="G40" s="3794"/>
      <c r="H40" s="3794"/>
      <c r="I40" s="3794"/>
      <c r="J40" s="3794"/>
      <c r="K40" s="3794"/>
      <c r="L40" s="3794"/>
      <c r="M40" s="3794"/>
      <c r="N40" s="3794"/>
    </row>
    <row r="41" spans="2:42" ht="31.5" customHeight="1" thickBot="1">
      <c r="D41" s="3040" t="s">
        <v>2563</v>
      </c>
      <c r="E41" s="1414"/>
      <c r="F41" s="1014"/>
      <c r="G41" s="1015"/>
      <c r="H41" s="1015"/>
      <c r="I41" s="1015"/>
      <c r="J41" s="1016"/>
      <c r="K41" s="1017"/>
      <c r="L41" s="1884"/>
      <c r="M41" s="1884"/>
      <c r="N41" s="3049" t="s">
        <v>1049</v>
      </c>
      <c r="P41" s="869"/>
      <c r="Q41" s="869"/>
      <c r="R41" s="869"/>
    </row>
    <row r="42" spans="2:42" ht="24.75" customHeight="1">
      <c r="D42" s="3783" t="s">
        <v>629</v>
      </c>
      <c r="E42" s="3785" t="s">
        <v>628</v>
      </c>
      <c r="F42" s="3787" t="s">
        <v>1780</v>
      </c>
      <c r="G42" s="3779" t="s">
        <v>1781</v>
      </c>
      <c r="H42" s="3041" t="s">
        <v>753</v>
      </c>
      <c r="I42" s="3041" t="s">
        <v>627</v>
      </c>
      <c r="J42" s="3789" t="s">
        <v>2561</v>
      </c>
      <c r="K42" s="3790"/>
      <c r="L42" s="3790"/>
      <c r="M42" s="3779" t="s">
        <v>2072</v>
      </c>
      <c r="N42" s="3781" t="s">
        <v>2073</v>
      </c>
    </row>
    <row r="43" spans="2:42" ht="31.5" customHeight="1" thickBot="1">
      <c r="D43" s="3784"/>
      <c r="E43" s="3786"/>
      <c r="F43" s="3788"/>
      <c r="G43" s="3780"/>
      <c r="H43" s="3042" t="s">
        <v>2642</v>
      </c>
      <c r="I43" s="3042" t="s">
        <v>2642</v>
      </c>
      <c r="J43" s="3042" t="s">
        <v>2074</v>
      </c>
      <c r="K43" s="3042"/>
      <c r="L43" s="3042" t="s">
        <v>2075</v>
      </c>
      <c r="M43" s="3780"/>
      <c r="N43" s="3782" t="s">
        <v>2075</v>
      </c>
      <c r="AP43" s="228">
        <v>38</v>
      </c>
    </row>
    <row r="44" spans="2:42" ht="31.5" customHeight="1" thickBot="1">
      <c r="D44" s="3035">
        <v>94240</v>
      </c>
      <c r="E44" s="1415" t="s">
        <v>2567</v>
      </c>
      <c r="F44" s="937">
        <v>0</v>
      </c>
      <c r="G44" s="926">
        <v>388800</v>
      </c>
      <c r="H44" s="926">
        <v>0</v>
      </c>
      <c r="I44" s="937">
        <v>0</v>
      </c>
      <c r="J44" s="937">
        <v>0</v>
      </c>
      <c r="K44" s="1887"/>
      <c r="L44" s="3285">
        <v>0</v>
      </c>
      <c r="M44" s="3799" t="s">
        <v>2616</v>
      </c>
      <c r="N44" s="1908" t="s">
        <v>2077</v>
      </c>
      <c r="P44" s="869"/>
      <c r="Q44" s="869"/>
      <c r="R44" s="869"/>
    </row>
    <row r="45" spans="2:42" ht="31.5" customHeight="1" thickBot="1">
      <c r="D45" s="3036">
        <v>94241</v>
      </c>
      <c r="E45" s="1885" t="s">
        <v>2568</v>
      </c>
      <c r="F45" s="1877">
        <v>12796</v>
      </c>
      <c r="G45" s="1886">
        <v>377530</v>
      </c>
      <c r="H45" s="1886">
        <v>37759</v>
      </c>
      <c r="I45" s="1877">
        <f>'16'!M31</f>
        <v>6725</v>
      </c>
      <c r="J45" s="937">
        <f t="shared" ref="J45:J50" si="6">H45-I45</f>
        <v>31034</v>
      </c>
      <c r="K45" s="1875"/>
      <c r="L45" s="1876">
        <f t="shared" ref="L45:L49" si="7">J45/H45*100</f>
        <v>82.189676633385417</v>
      </c>
      <c r="M45" s="3800"/>
      <c r="N45" s="1868" t="s">
        <v>2077</v>
      </c>
      <c r="P45" s="869"/>
      <c r="Q45" s="869"/>
      <c r="R45" s="869"/>
    </row>
    <row r="46" spans="2:42" ht="31.5" customHeight="1" thickBot="1">
      <c r="D46" s="3036">
        <v>94242</v>
      </c>
      <c r="E46" s="1885" t="s">
        <v>2564</v>
      </c>
      <c r="F46" s="1877"/>
      <c r="G46" s="1886">
        <v>2170358</v>
      </c>
      <c r="H46" s="1886">
        <v>377685</v>
      </c>
      <c r="I46" s="1877">
        <f>'16'!M32</f>
        <v>178312</v>
      </c>
      <c r="J46" s="937">
        <f t="shared" si="6"/>
        <v>199373</v>
      </c>
      <c r="K46" s="1875"/>
      <c r="L46" s="1876">
        <f t="shared" si="7"/>
        <v>52.788170035876462</v>
      </c>
      <c r="M46" s="3800"/>
      <c r="N46" s="1868" t="s">
        <v>2077</v>
      </c>
      <c r="P46" s="869"/>
      <c r="Q46" s="869"/>
      <c r="R46" s="869"/>
    </row>
    <row r="47" spans="2:42" ht="31.5" customHeight="1" thickBot="1">
      <c r="D47" s="3036">
        <v>94243</v>
      </c>
      <c r="E47" s="1885" t="s">
        <v>2569</v>
      </c>
      <c r="F47" s="1877"/>
      <c r="G47" s="1886">
        <v>133484</v>
      </c>
      <c r="H47" s="1886">
        <v>34000</v>
      </c>
      <c r="I47" s="1877">
        <f>'16'!M33</f>
        <v>17536</v>
      </c>
      <c r="J47" s="937">
        <f t="shared" si="6"/>
        <v>16464</v>
      </c>
      <c r="K47" s="1875"/>
      <c r="L47" s="1876">
        <f t="shared" si="7"/>
        <v>48.423529411764704</v>
      </c>
      <c r="M47" s="3800"/>
      <c r="N47" s="1868" t="s">
        <v>2077</v>
      </c>
      <c r="P47" s="869"/>
      <c r="Q47" s="869"/>
      <c r="R47" s="869"/>
    </row>
    <row r="48" spans="2:42" ht="31.5" customHeight="1" thickBot="1">
      <c r="D48" s="3036">
        <v>94244</v>
      </c>
      <c r="E48" s="1885" t="s">
        <v>2574</v>
      </c>
      <c r="F48" s="1877"/>
      <c r="G48" s="1886">
        <v>30000</v>
      </c>
      <c r="H48" s="1886">
        <v>0</v>
      </c>
      <c r="I48" s="1877">
        <f>'16'!M34</f>
        <v>0</v>
      </c>
      <c r="J48" s="937">
        <f t="shared" si="6"/>
        <v>0</v>
      </c>
      <c r="K48" s="1875"/>
      <c r="L48" s="1876">
        <v>0</v>
      </c>
      <c r="M48" s="3800"/>
      <c r="N48" s="1868" t="s">
        <v>2077</v>
      </c>
      <c r="P48" s="869"/>
      <c r="Q48" s="869"/>
      <c r="R48" s="869"/>
    </row>
    <row r="49" spans="1:21" ht="31.5" customHeight="1" thickBot="1">
      <c r="D49" s="3037">
        <v>94245</v>
      </c>
      <c r="E49" s="1416" t="s">
        <v>2565</v>
      </c>
      <c r="F49" s="1417"/>
      <c r="G49" s="1418">
        <v>1242742</v>
      </c>
      <c r="H49" s="1418">
        <v>569110</v>
      </c>
      <c r="I49" s="1417">
        <f>'16'!M35</f>
        <v>830054</v>
      </c>
      <c r="J49" s="937">
        <f t="shared" si="6"/>
        <v>-260944</v>
      </c>
      <c r="K49" s="1889"/>
      <c r="L49" s="1876">
        <f t="shared" si="7"/>
        <v>-45.85124141202931</v>
      </c>
      <c r="M49" s="3801"/>
      <c r="N49" s="1909" t="s">
        <v>2077</v>
      </c>
      <c r="P49" s="869"/>
      <c r="Q49" s="869"/>
      <c r="R49" s="869"/>
    </row>
    <row r="50" spans="1:21" ht="31.5" customHeight="1" thickBot="1">
      <c r="D50" s="3796" t="s">
        <v>2465</v>
      </c>
      <c r="E50" s="3797"/>
      <c r="F50" s="1904">
        <f>SUM(F44:F49)</f>
        <v>12796</v>
      </c>
      <c r="G50" s="1882">
        <f>SUM(G44:G49)</f>
        <v>4342914</v>
      </c>
      <c r="H50" s="1882">
        <f>SUM(H44:H49)</f>
        <v>1018554</v>
      </c>
      <c r="I50" s="1882">
        <f>SUM(I44:I49)</f>
        <v>1032627</v>
      </c>
      <c r="J50" s="937">
        <f t="shared" si="6"/>
        <v>-14073</v>
      </c>
      <c r="K50" s="1898"/>
      <c r="L50" s="1899">
        <f t="shared" si="3"/>
        <v>-1.3816645951024689</v>
      </c>
      <c r="M50" s="1899"/>
      <c r="N50" s="1910"/>
    </row>
    <row r="51" spans="1:21" ht="48.75" customHeight="1" thickBot="1">
      <c r="D51" s="3798" t="s">
        <v>2566</v>
      </c>
      <c r="E51" s="3798"/>
      <c r="F51" s="3798"/>
      <c r="G51" s="3798"/>
      <c r="H51" s="3798"/>
      <c r="I51" s="3798"/>
      <c r="J51" s="3798"/>
      <c r="K51" s="3798"/>
      <c r="L51" s="3798"/>
      <c r="M51" s="3798"/>
      <c r="N51" s="3798"/>
    </row>
    <row r="52" spans="1:21" ht="31.5" customHeight="1">
      <c r="D52" s="3783" t="s">
        <v>629</v>
      </c>
      <c r="E52" s="3785" t="s">
        <v>628</v>
      </c>
      <c r="F52" s="3787" t="s">
        <v>1780</v>
      </c>
      <c r="G52" s="3779" t="s">
        <v>1781</v>
      </c>
      <c r="H52" s="3041" t="s">
        <v>753</v>
      </c>
      <c r="I52" s="3041" t="s">
        <v>627</v>
      </c>
      <c r="J52" s="3789" t="s">
        <v>2561</v>
      </c>
      <c r="K52" s="3790"/>
      <c r="L52" s="3790"/>
      <c r="M52" s="3779" t="s">
        <v>2072</v>
      </c>
      <c r="N52" s="3781" t="s">
        <v>2073</v>
      </c>
    </row>
    <row r="53" spans="1:21" ht="31.5" customHeight="1" thickBot="1">
      <c r="D53" s="3784"/>
      <c r="E53" s="3786"/>
      <c r="F53" s="3788"/>
      <c r="G53" s="3780"/>
      <c r="H53" s="3042" t="s">
        <v>2642</v>
      </c>
      <c r="I53" s="3042" t="s">
        <v>2642</v>
      </c>
      <c r="J53" s="3042" t="s">
        <v>2074</v>
      </c>
      <c r="K53" s="3042"/>
      <c r="L53" s="3042" t="s">
        <v>2075</v>
      </c>
      <c r="M53" s="3780"/>
      <c r="N53" s="3782" t="s">
        <v>2075</v>
      </c>
    </row>
    <row r="54" spans="1:21" ht="31.5" customHeight="1" thickBot="1">
      <c r="D54" s="3035">
        <v>1301034005</v>
      </c>
      <c r="E54" s="1415" t="s">
        <v>2749</v>
      </c>
      <c r="F54" s="937">
        <v>0</v>
      </c>
      <c r="G54" s="926">
        <v>4236500</v>
      </c>
      <c r="H54" s="926">
        <v>4236500</v>
      </c>
      <c r="I54" s="937">
        <v>74616</v>
      </c>
      <c r="J54" s="937">
        <f>H54-I54</f>
        <v>4161884</v>
      </c>
      <c r="K54" s="1887"/>
      <c r="L54" s="1888">
        <f t="shared" ref="L54:L55" si="8">J54/H54*100</f>
        <v>98.238734804673669</v>
      </c>
      <c r="M54" s="3799" t="s">
        <v>2750</v>
      </c>
      <c r="N54" s="1908"/>
    </row>
    <row r="55" spans="1:21" ht="46.5" customHeight="1" thickBot="1">
      <c r="D55" s="3796" t="s">
        <v>2322</v>
      </c>
      <c r="E55" s="3797"/>
      <c r="F55" s="1417">
        <v>0</v>
      </c>
      <c r="G55" s="1418">
        <f>G54</f>
        <v>4236500</v>
      </c>
      <c r="H55" s="1418">
        <f>SUM(H54)</f>
        <v>4236500</v>
      </c>
      <c r="I55" s="1418">
        <f>SUM(I54)</f>
        <v>74616</v>
      </c>
      <c r="J55" s="3304">
        <f>H55-I55</f>
        <v>4161884</v>
      </c>
      <c r="K55" s="1889"/>
      <c r="L55" s="1899">
        <f t="shared" si="8"/>
        <v>98.238734804673669</v>
      </c>
      <c r="M55" s="3801"/>
      <c r="N55" s="1909"/>
    </row>
    <row r="56" spans="1:21" ht="31.5" customHeight="1" thickBot="1">
      <c r="D56" s="2125"/>
      <c r="E56" s="2126"/>
      <c r="F56" s="1016"/>
      <c r="G56" s="1015"/>
      <c r="H56" s="1015"/>
      <c r="I56" s="1016"/>
      <c r="J56" s="1016"/>
      <c r="K56" s="1017"/>
      <c r="L56" s="1884"/>
      <c r="M56" s="1884"/>
      <c r="N56" s="2124"/>
    </row>
    <row r="57" spans="1:21" ht="27" customHeight="1" thickBot="1">
      <c r="D57" s="1413"/>
      <c r="E57" s="3043" t="s">
        <v>1710</v>
      </c>
      <c r="F57" s="1433">
        <f>F50+F30+F19</f>
        <v>16351569</v>
      </c>
      <c r="G57" s="1433">
        <f>G50+G30+G19+G55</f>
        <v>34614165</v>
      </c>
      <c r="H57" s="1433">
        <f>H50+H30+H19+H55</f>
        <v>14070395</v>
      </c>
      <c r="I57" s="1433">
        <f>I50+I30+I19+I55</f>
        <v>6752562</v>
      </c>
      <c r="J57" s="1906">
        <f>H57-I57</f>
        <v>7317833</v>
      </c>
      <c r="K57" s="1898"/>
      <c r="L57" s="1899">
        <f>J57/H57*100</f>
        <v>52.008724701758545</v>
      </c>
      <c r="M57" s="1899"/>
      <c r="N57" s="1910" t="s">
        <v>2077</v>
      </c>
    </row>
    <row r="58" spans="1:21" ht="30.75" customHeight="1" thickBot="1">
      <c r="D58" s="3039">
        <v>3200</v>
      </c>
      <c r="E58" s="3038" t="s">
        <v>1356</v>
      </c>
      <c r="F58" s="679"/>
      <c r="G58" s="679"/>
      <c r="H58" s="679">
        <v>46568000</v>
      </c>
      <c r="I58" s="679">
        <f>'16'!M44+'16'!M46</f>
        <v>17090122</v>
      </c>
      <c r="J58" s="1906">
        <f>H58-I58</f>
        <v>29477878</v>
      </c>
      <c r="K58" s="1887"/>
      <c r="L58" s="1899">
        <f>J58/H58*100</f>
        <v>63.300717230716373</v>
      </c>
      <c r="M58" s="1888"/>
      <c r="N58" s="1908" t="s">
        <v>2077</v>
      </c>
    </row>
    <row r="59" spans="1:21" ht="30.75" customHeight="1" thickBot="1">
      <c r="D59" s="3246"/>
      <c r="E59" s="3247" t="s">
        <v>2697</v>
      </c>
      <c r="F59" s="3248"/>
      <c r="G59" s="3248"/>
      <c r="H59" s="3248"/>
      <c r="I59" s="3248">
        <v>-6636766</v>
      </c>
      <c r="J59" s="3249"/>
      <c r="K59" s="3250"/>
      <c r="L59" s="3251"/>
      <c r="M59" s="3252"/>
      <c r="N59" s="3253"/>
    </row>
    <row r="60" spans="1:21" ht="27.75" customHeight="1" thickBot="1">
      <c r="D60" s="1900"/>
      <c r="E60" s="3180" t="s">
        <v>2613</v>
      </c>
      <c r="F60" s="1901"/>
      <c r="G60" s="1902"/>
      <c r="H60" s="923"/>
      <c r="I60" s="1417">
        <v>767896</v>
      </c>
      <c r="J60" s="1903"/>
      <c r="K60" s="1889"/>
      <c r="L60" s="1890"/>
      <c r="M60" s="1890"/>
      <c r="N60" s="1909"/>
    </row>
    <row r="61" spans="1:21" ht="25.5" customHeight="1" thickBot="1">
      <c r="D61" s="3813" t="s">
        <v>1959</v>
      </c>
      <c r="E61" s="3814"/>
      <c r="F61" s="1895">
        <f>F58+F57+F60</f>
        <v>16351569</v>
      </c>
      <c r="G61" s="1895">
        <f>G58+G57+G60</f>
        <v>34614165</v>
      </c>
      <c r="H61" s="1896">
        <f>H58+H57+H60</f>
        <v>60638395</v>
      </c>
      <c r="I61" s="1895">
        <f>I58+I57+I60+I59</f>
        <v>17973814</v>
      </c>
      <c r="J61" s="1897">
        <f>I61-H61</f>
        <v>-42664581</v>
      </c>
      <c r="K61" s="1898"/>
      <c r="L61" s="1899">
        <f>J61/H61*100</f>
        <v>-70.359020881077086</v>
      </c>
      <c r="M61" s="1899"/>
      <c r="N61" s="1883"/>
    </row>
    <row r="62" spans="1:21" ht="47.25" customHeight="1">
      <c r="C62" s="604"/>
      <c r="D62" s="3791" t="s">
        <v>2220</v>
      </c>
      <c r="E62" s="3791"/>
      <c r="F62" s="3791"/>
      <c r="G62" s="3791"/>
      <c r="H62" s="3791"/>
      <c r="I62" s="3791"/>
      <c r="J62" s="3791"/>
      <c r="K62" s="3791"/>
      <c r="L62" s="3791"/>
      <c r="M62" s="3791"/>
      <c r="N62" s="3791"/>
      <c r="U62" s="1202"/>
    </row>
    <row r="63" spans="1:21" s="1678" customFormat="1" ht="33" customHeight="1">
      <c r="A63" s="1893"/>
      <c r="B63" s="1893"/>
      <c r="C63" s="1893"/>
      <c r="D63" s="3791" t="s">
        <v>2646</v>
      </c>
      <c r="E63" s="3791"/>
      <c r="F63" s="3791"/>
      <c r="G63" s="3791"/>
      <c r="H63" s="3791"/>
      <c r="I63" s="3791"/>
      <c r="J63" s="3791"/>
      <c r="K63" s="3791"/>
      <c r="L63" s="3791"/>
      <c r="M63" s="3791"/>
      <c r="N63" s="3791"/>
    </row>
    <row r="64" spans="1:21" s="1678" customFormat="1" ht="29.25" customHeight="1">
      <c r="A64" s="1893"/>
      <c r="B64" s="1893"/>
      <c r="C64" s="1893"/>
      <c r="D64" s="1894"/>
      <c r="E64" s="1894"/>
      <c r="F64" s="1894"/>
      <c r="G64" s="1894"/>
      <c r="H64" s="1894"/>
      <c r="I64" s="1894"/>
      <c r="J64" s="1894"/>
      <c r="K64" s="1894"/>
      <c r="L64" s="1894"/>
      <c r="M64" s="1894"/>
      <c r="N64" s="1894"/>
    </row>
    <row r="65" spans="1:14" s="1678" customFormat="1" ht="77.25" hidden="1" customHeight="1">
      <c r="A65" s="1893"/>
      <c r="B65" s="1893"/>
      <c r="C65" s="1893"/>
      <c r="D65" s="1894"/>
      <c r="E65" s="1894"/>
      <c r="F65" s="1894"/>
      <c r="G65" s="1894"/>
      <c r="H65" s="1894"/>
      <c r="I65" s="1894"/>
      <c r="J65" s="1894"/>
      <c r="K65" s="1894"/>
      <c r="L65" s="1894"/>
      <c r="M65" s="1894"/>
      <c r="N65" s="1894"/>
    </row>
    <row r="66" spans="1:14" s="1678" customFormat="1" ht="20.25" customHeight="1">
      <c r="A66" s="1893"/>
      <c r="B66" s="1893"/>
      <c r="C66" s="1893"/>
      <c r="D66" s="1894"/>
      <c r="E66" s="1894"/>
      <c r="F66" s="1894"/>
      <c r="G66" s="1894"/>
      <c r="H66" s="1894"/>
      <c r="I66" s="1894"/>
      <c r="J66" s="1894"/>
      <c r="K66" s="1894"/>
      <c r="L66" s="1894"/>
      <c r="M66" s="1894"/>
      <c r="N66" s="1894"/>
    </row>
    <row r="67" spans="1:14" ht="42" customHeight="1"/>
    <row r="68" spans="1:14" ht="36" customHeight="1">
      <c r="D68" s="3793">
        <v>43</v>
      </c>
      <c r="E68" s="3793"/>
      <c r="F68" s="3793"/>
      <c r="G68" s="3793"/>
      <c r="H68" s="3793"/>
      <c r="I68" s="3793"/>
      <c r="J68" s="3793"/>
      <c r="K68" s="3793"/>
      <c r="L68" s="3793"/>
      <c r="M68" s="3793"/>
      <c r="N68" s="3793"/>
    </row>
    <row r="69" spans="1:14" ht="9.75" customHeight="1">
      <c r="D69" s="236"/>
      <c r="E69" s="237"/>
      <c r="F69" s="237"/>
      <c r="G69" s="238"/>
      <c r="H69" s="238"/>
      <c r="I69" s="238"/>
      <c r="J69" s="233"/>
      <c r="K69" s="235"/>
      <c r="M69" s="235"/>
    </row>
    <row r="71" spans="1:14">
      <c r="D71" s="235"/>
      <c r="G71" s="228"/>
      <c r="H71" s="228"/>
      <c r="I71" s="228"/>
      <c r="J71" s="228"/>
    </row>
    <row r="72" spans="1:14">
      <c r="D72" s="235"/>
      <c r="G72" s="228"/>
      <c r="H72" s="228"/>
      <c r="I72" s="228"/>
      <c r="J72" s="228"/>
    </row>
    <row r="73" spans="1:14">
      <c r="D73" s="235"/>
      <c r="G73" s="228"/>
      <c r="H73" s="228"/>
      <c r="I73" s="228"/>
      <c r="J73" s="228"/>
    </row>
    <row r="74" spans="1:14">
      <c r="D74" s="235"/>
      <c r="G74" s="228"/>
      <c r="H74" s="228"/>
      <c r="I74" s="228"/>
      <c r="J74" s="228"/>
    </row>
    <row r="75" spans="1:14">
      <c r="D75" s="235"/>
      <c r="G75" s="228"/>
      <c r="H75" s="228"/>
      <c r="I75" s="228"/>
      <c r="J75" s="228"/>
    </row>
    <row r="76" spans="1:14">
      <c r="D76" s="235"/>
      <c r="G76" s="228"/>
      <c r="H76" s="228"/>
      <c r="I76" s="228"/>
      <c r="J76" s="228"/>
    </row>
    <row r="77" spans="1:14">
      <c r="D77" s="235"/>
      <c r="G77" s="228"/>
      <c r="H77" s="228"/>
      <c r="I77" s="228"/>
      <c r="J77" s="228"/>
    </row>
    <row r="78" spans="1:14">
      <c r="D78" s="235"/>
      <c r="G78" s="228"/>
      <c r="H78" s="228"/>
      <c r="I78" s="228"/>
      <c r="J78" s="228"/>
    </row>
    <row r="79" spans="1:14">
      <c r="D79" s="235"/>
      <c r="G79" s="228"/>
      <c r="H79" s="228"/>
      <c r="I79" s="228"/>
      <c r="J79" s="228"/>
    </row>
    <row r="80" spans="1:14">
      <c r="D80" s="235"/>
      <c r="G80" s="228"/>
      <c r="H80" s="228"/>
      <c r="I80" s="228"/>
      <c r="J80" s="228"/>
    </row>
    <row r="81" spans="4:10">
      <c r="D81" s="235"/>
      <c r="G81" s="228"/>
      <c r="H81" s="228"/>
      <c r="I81" s="228"/>
      <c r="J81" s="228"/>
    </row>
    <row r="82" spans="4:10">
      <c r="D82" s="235"/>
      <c r="G82" s="228"/>
      <c r="H82" s="228"/>
      <c r="I82" s="228"/>
      <c r="J82" s="228"/>
    </row>
    <row r="83" spans="4:10">
      <c r="D83" s="235"/>
      <c r="G83" s="228"/>
      <c r="H83" s="228"/>
      <c r="I83" s="228"/>
      <c r="J83" s="228"/>
    </row>
    <row r="84" spans="4:10">
      <c r="D84" s="235"/>
      <c r="G84" s="228"/>
      <c r="H84" s="228"/>
      <c r="I84" s="228"/>
      <c r="J84" s="228"/>
    </row>
    <row r="85" spans="4:10">
      <c r="D85" s="235"/>
      <c r="G85" s="228"/>
      <c r="H85" s="228"/>
      <c r="I85" s="228"/>
      <c r="J85" s="228"/>
    </row>
    <row r="86" spans="4:10" s="240" customFormat="1">
      <c r="D86" s="239"/>
    </row>
    <row r="87" spans="4:10" s="240" customFormat="1">
      <c r="D87" s="235"/>
    </row>
    <row r="88" spans="4:10">
      <c r="G88" s="228"/>
      <c r="H88" s="228"/>
      <c r="I88" s="228"/>
      <c r="J88" s="228"/>
    </row>
    <row r="89" spans="4:10">
      <c r="G89" s="228"/>
      <c r="H89" s="228"/>
      <c r="I89" s="228"/>
      <c r="J89" s="228"/>
    </row>
    <row r="90" spans="4:10">
      <c r="G90" s="228"/>
      <c r="H90" s="228"/>
      <c r="I90" s="228"/>
      <c r="J90" s="228"/>
    </row>
    <row r="91" spans="4:10">
      <c r="G91" s="228"/>
      <c r="H91" s="228"/>
      <c r="I91" s="228"/>
      <c r="J91" s="228"/>
    </row>
    <row r="92" spans="4:10">
      <c r="G92" s="228"/>
      <c r="H92" s="228"/>
      <c r="I92" s="228"/>
      <c r="J92" s="228"/>
    </row>
    <row r="93" spans="4:10">
      <c r="G93" s="228"/>
      <c r="H93" s="228"/>
      <c r="I93" s="228"/>
      <c r="J93" s="228"/>
    </row>
    <row r="94" spans="4:10">
      <c r="G94" s="228"/>
      <c r="H94" s="228"/>
      <c r="I94" s="228"/>
      <c r="J94" s="228"/>
    </row>
    <row r="95" spans="4:10">
      <c r="G95" s="228"/>
      <c r="H95" s="228"/>
      <c r="I95" s="228"/>
      <c r="J95" s="228"/>
    </row>
    <row r="96" spans="4:10">
      <c r="G96" s="228"/>
      <c r="H96" s="228"/>
      <c r="I96" s="228"/>
      <c r="J96" s="228"/>
    </row>
    <row r="97" spans="7:10">
      <c r="G97" s="228"/>
      <c r="H97" s="228"/>
      <c r="I97" s="228"/>
      <c r="J97" s="228"/>
    </row>
    <row r="98" spans="7:10">
      <c r="G98" s="228"/>
      <c r="H98" s="228"/>
      <c r="I98" s="228"/>
      <c r="J98" s="228"/>
    </row>
    <row r="99" spans="7:10">
      <c r="G99" s="228"/>
      <c r="H99" s="228"/>
      <c r="I99" s="228"/>
      <c r="J99" s="228"/>
    </row>
    <row r="100" spans="7:10">
      <c r="G100" s="228"/>
      <c r="H100" s="228"/>
      <c r="I100" s="228"/>
      <c r="J100" s="228"/>
    </row>
    <row r="101" spans="7:10">
      <c r="G101" s="228"/>
      <c r="H101" s="228"/>
      <c r="I101" s="228"/>
      <c r="J101" s="228"/>
    </row>
    <row r="102" spans="7:10">
      <c r="G102" s="228"/>
      <c r="H102" s="228"/>
      <c r="I102" s="228"/>
      <c r="J102" s="228"/>
    </row>
    <row r="103" spans="7:10">
      <c r="G103" s="228"/>
      <c r="H103" s="228"/>
      <c r="I103" s="228"/>
      <c r="J103" s="228"/>
    </row>
    <row r="104" spans="7:10">
      <c r="G104" s="228"/>
      <c r="H104" s="228"/>
      <c r="I104" s="228"/>
      <c r="J104" s="228"/>
    </row>
    <row r="105" spans="7:10">
      <c r="G105" s="228"/>
      <c r="H105" s="228"/>
      <c r="I105" s="228"/>
      <c r="J105" s="228"/>
    </row>
    <row r="106" spans="7:10">
      <c r="G106" s="228"/>
      <c r="H106" s="228"/>
      <c r="I106" s="228"/>
      <c r="J106" s="228"/>
    </row>
    <row r="107" spans="7:10">
      <c r="G107" s="228"/>
      <c r="H107" s="228"/>
      <c r="I107" s="228"/>
      <c r="J107" s="228"/>
    </row>
    <row r="108" spans="7:10">
      <c r="G108" s="228"/>
      <c r="H108" s="228"/>
      <c r="I108" s="228"/>
      <c r="J108" s="228"/>
    </row>
    <row r="109" spans="7:10">
      <c r="G109" s="228"/>
      <c r="H109" s="228"/>
      <c r="I109" s="228"/>
      <c r="J109" s="228"/>
    </row>
    <row r="110" spans="7:10">
      <c r="G110" s="228"/>
      <c r="H110" s="228"/>
      <c r="I110" s="228"/>
      <c r="J110" s="228"/>
    </row>
    <row r="111" spans="7:10">
      <c r="G111" s="228"/>
      <c r="H111" s="228"/>
      <c r="I111" s="228"/>
      <c r="J111" s="228"/>
    </row>
    <row r="112" spans="7:10">
      <c r="G112" s="228"/>
      <c r="H112" s="228"/>
      <c r="I112" s="228"/>
      <c r="J112" s="228"/>
    </row>
    <row r="113" spans="7:10">
      <c r="G113" s="228"/>
      <c r="H113" s="228"/>
      <c r="I113" s="228"/>
      <c r="J113" s="228"/>
    </row>
    <row r="114" spans="7:10">
      <c r="G114" s="228"/>
      <c r="H114" s="228"/>
      <c r="I114" s="228"/>
      <c r="J114" s="228"/>
    </row>
    <row r="115" spans="7:10">
      <c r="G115" s="228"/>
      <c r="H115" s="228"/>
      <c r="I115" s="228"/>
      <c r="J115" s="228"/>
    </row>
  </sheetData>
  <mergeCells count="45">
    <mergeCell ref="M54:M55"/>
    <mergeCell ref="D68:N68"/>
    <mergeCell ref="D9:D10"/>
    <mergeCell ref="E9:E10"/>
    <mergeCell ref="F9:F10"/>
    <mergeCell ref="G9:G10"/>
    <mergeCell ref="D19:E19"/>
    <mergeCell ref="D30:E30"/>
    <mergeCell ref="D50:E50"/>
    <mergeCell ref="D61:E61"/>
    <mergeCell ref="C35:N35"/>
    <mergeCell ref="J9:L9"/>
    <mergeCell ref="M9:M10"/>
    <mergeCell ref="N9:N10"/>
    <mergeCell ref="C36:N36"/>
    <mergeCell ref="C37:N37"/>
    <mergeCell ref="D51:N51"/>
    <mergeCell ref="C6:N6"/>
    <mergeCell ref="C7:N7"/>
    <mergeCell ref="M21:M28"/>
    <mergeCell ref="M44:M49"/>
    <mergeCell ref="M11:M18"/>
    <mergeCell ref="D63:N63"/>
    <mergeCell ref="C2:N2"/>
    <mergeCell ref="C3:N3"/>
    <mergeCell ref="C4:N4"/>
    <mergeCell ref="C34:N34"/>
    <mergeCell ref="C40:N40"/>
    <mergeCell ref="C39:N39"/>
    <mergeCell ref="D42:D43"/>
    <mergeCell ref="E42:E43"/>
    <mergeCell ref="F42:F43"/>
    <mergeCell ref="G42:G43"/>
    <mergeCell ref="J42:L42"/>
    <mergeCell ref="M42:M43"/>
    <mergeCell ref="N42:N43"/>
    <mergeCell ref="D55:E55"/>
    <mergeCell ref="D62:N62"/>
    <mergeCell ref="M52:M53"/>
    <mergeCell ref="N52:N53"/>
    <mergeCell ref="D52:D53"/>
    <mergeCell ref="E52:E53"/>
    <mergeCell ref="F52:F53"/>
    <mergeCell ref="G52:G53"/>
    <mergeCell ref="J52:L52"/>
  </mergeCells>
  <printOptions horizontalCentered="1"/>
  <pageMargins left="0.17" right="0.15748031496063" top="0.31496062992126" bottom="0.18" header="0.31496062992126" footer="0.2"/>
  <pageSetup paperSize="9" scale="47" orientation="landscape" r:id="rId1"/>
  <rowBreaks count="1" manualBreakCount="1">
    <brk id="34" min="2"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Y77"/>
  <sheetViews>
    <sheetView rightToLeft="1" view="pageBreakPreview" zoomScale="33" zoomScaleNormal="100" zoomScaleSheetLayoutView="33" workbookViewId="0">
      <selection activeCell="C18" sqref="C18:L19"/>
    </sheetView>
  </sheetViews>
  <sheetFormatPr defaultColWidth="13.375" defaultRowHeight="61.5" customHeight="1"/>
  <cols>
    <col min="1" max="1" width="6.625" style="713" bestFit="1" customWidth="1"/>
    <col min="2" max="2" width="25" style="713" bestFit="1" customWidth="1"/>
    <col min="3" max="3" width="14.375" style="746" bestFit="1" customWidth="1"/>
    <col min="4" max="4" width="4.125" style="746" bestFit="1" customWidth="1"/>
    <col min="5" max="6" width="4.125" style="713" bestFit="1" customWidth="1"/>
    <col min="7" max="10" width="13.375" style="713"/>
    <col min="11" max="11" width="4.125" style="713" bestFit="1" customWidth="1"/>
    <col min="12" max="12" width="12.125" style="713" bestFit="1" customWidth="1"/>
    <col min="13" max="13" width="17.875" style="851" bestFit="1" customWidth="1"/>
    <col min="14" max="14" width="4.125" style="849" bestFit="1" customWidth="1"/>
    <col min="15" max="15" width="21.75" style="850" bestFit="1" customWidth="1"/>
    <col min="16" max="16" width="4.125" style="850" bestFit="1" customWidth="1"/>
    <col min="17" max="17" width="19.5" style="850" bestFit="1" customWidth="1"/>
    <col min="18" max="18" width="13.375" style="724" customWidth="1"/>
    <col min="19" max="19" width="24.375" style="747" bestFit="1" customWidth="1"/>
    <col min="20" max="20" width="4.125" style="713" bestFit="1" customWidth="1"/>
    <col min="21" max="21" width="21.75" style="724" bestFit="1" customWidth="1"/>
    <col min="22" max="22" width="4.125" style="724" bestFit="1" customWidth="1"/>
    <col min="23" max="23" width="19.5" style="724" bestFit="1" customWidth="1"/>
    <col min="24" max="25" width="13.375" style="724"/>
    <col min="26" max="26" width="15.75" style="724" bestFit="1" customWidth="1"/>
    <col min="27" max="27" width="4.125" style="724" bestFit="1" customWidth="1"/>
    <col min="28" max="28" width="16" style="724" bestFit="1" customWidth="1"/>
    <col min="29" max="29" width="4.125" style="724" bestFit="1" customWidth="1"/>
    <col min="30" max="30" width="19.5" style="724" bestFit="1" customWidth="1"/>
    <col min="31" max="31" width="13.375" style="724"/>
    <col min="32" max="32" width="11.75" style="724" bestFit="1" customWidth="1"/>
    <col min="33" max="33" width="4.125" style="724" bestFit="1" customWidth="1"/>
    <col min="34" max="34" width="16" style="724" bestFit="1" customWidth="1"/>
    <col min="35" max="35" width="4.125" style="724" bestFit="1" customWidth="1"/>
    <col min="36" max="36" width="19.5" style="724" bestFit="1" customWidth="1"/>
    <col min="37" max="38" width="13.375" style="724"/>
    <col min="39" max="39" width="13.375" style="713"/>
    <col min="40" max="40" width="45.75" style="713" bestFit="1" customWidth="1"/>
    <col min="41" max="41" width="31.75" style="849" customWidth="1"/>
    <col min="42" max="42" width="24.25" style="713" bestFit="1" customWidth="1"/>
    <col min="43" max="43" width="22.875" style="713" bestFit="1" customWidth="1"/>
    <col min="44" max="46" width="22.625" style="713" bestFit="1" customWidth="1"/>
    <col min="47" max="49" width="24.625" style="713" bestFit="1" customWidth="1"/>
    <col min="50" max="50" width="24.75" style="713" bestFit="1" customWidth="1"/>
    <col min="51" max="51" width="24.625" style="713" bestFit="1" customWidth="1"/>
    <col min="52" max="16384" width="13.375" style="713"/>
  </cols>
  <sheetData>
    <row r="1" spans="1:51" ht="61.5" customHeight="1">
      <c r="A1" s="748" t="s">
        <v>783</v>
      </c>
      <c r="B1" s="748"/>
      <c r="C1" s="748"/>
      <c r="D1" s="748"/>
      <c r="E1" s="748"/>
      <c r="F1" s="748"/>
      <c r="G1" s="748"/>
      <c r="H1" s="748"/>
      <c r="I1" s="748"/>
      <c r="J1" s="748"/>
      <c r="K1" s="748"/>
      <c r="L1" s="748"/>
      <c r="M1" s="748"/>
      <c r="N1" s="748"/>
      <c r="O1" s="748"/>
      <c r="P1" s="748"/>
      <c r="Q1" s="748"/>
      <c r="R1" s="748"/>
      <c r="S1" s="748"/>
      <c r="T1" s="748"/>
      <c r="U1" s="748"/>
      <c r="V1" s="748"/>
      <c r="W1" s="748"/>
      <c r="X1" s="748"/>
      <c r="Y1" s="748"/>
      <c r="Z1" s="748"/>
      <c r="AA1" s="748"/>
      <c r="AB1" s="748"/>
      <c r="AC1" s="748"/>
      <c r="AD1" s="748"/>
      <c r="AE1" s="748"/>
      <c r="AF1" s="748"/>
      <c r="AG1" s="748"/>
      <c r="AH1" s="748"/>
      <c r="AI1" s="748"/>
      <c r="AJ1" s="748"/>
      <c r="AK1" s="748"/>
      <c r="AL1" s="712"/>
      <c r="AN1" s="714" t="s">
        <v>857</v>
      </c>
      <c r="AO1" s="715" t="s">
        <v>1637</v>
      </c>
      <c r="AP1" s="715" t="s">
        <v>1447</v>
      </c>
      <c r="AQ1" s="715" t="s">
        <v>1269</v>
      </c>
      <c r="AR1" s="715" t="s">
        <v>1268</v>
      </c>
      <c r="AS1" s="715" t="s">
        <v>1270</v>
      </c>
      <c r="AT1" s="715" t="s">
        <v>1162</v>
      </c>
      <c r="AU1" s="715" t="s">
        <v>923</v>
      </c>
      <c r="AV1" s="715" t="s">
        <v>860</v>
      </c>
      <c r="AW1" s="715" t="s">
        <v>859</v>
      </c>
      <c r="AX1" s="715" t="s">
        <v>858</v>
      </c>
      <c r="AY1" s="715" t="s">
        <v>871</v>
      </c>
    </row>
    <row r="2" spans="1:51" s="719" customFormat="1" ht="61.5" customHeight="1">
      <c r="A2" s="716" t="s">
        <v>61</v>
      </c>
      <c r="B2" s="3828" t="s">
        <v>781</v>
      </c>
      <c r="C2" s="3828"/>
      <c r="D2" s="3828"/>
      <c r="E2" s="3828"/>
      <c r="F2" s="3828"/>
      <c r="G2" s="3828"/>
      <c r="H2" s="3828"/>
      <c r="I2" s="3828"/>
      <c r="J2" s="3828"/>
      <c r="K2" s="3828"/>
      <c r="L2" s="3828"/>
      <c r="M2" s="3839" t="s">
        <v>1638</v>
      </c>
      <c r="N2" s="3839"/>
      <c r="O2" s="3839"/>
      <c r="P2" s="3839"/>
      <c r="Q2" s="3839"/>
      <c r="R2" s="748"/>
      <c r="S2" s="3839" t="s">
        <v>1446</v>
      </c>
      <c r="T2" s="3839"/>
      <c r="U2" s="3839"/>
      <c r="V2" s="3839"/>
      <c r="W2" s="3839"/>
      <c r="X2" s="717"/>
      <c r="Y2" s="3839">
        <v>1393</v>
      </c>
      <c r="Z2" s="3839"/>
      <c r="AA2" s="3839"/>
      <c r="AB2" s="3839"/>
      <c r="AC2" s="3839"/>
      <c r="AD2" s="3839"/>
      <c r="AE2" s="718"/>
      <c r="AF2" s="3839">
        <v>1392</v>
      </c>
      <c r="AG2" s="3839"/>
      <c r="AH2" s="3839"/>
      <c r="AI2" s="3839"/>
      <c r="AJ2" s="3839"/>
      <c r="AK2" s="3839"/>
      <c r="AL2" s="717"/>
      <c r="AN2" s="720" t="s">
        <v>365</v>
      </c>
      <c r="AO2" s="855" t="s">
        <v>1639</v>
      </c>
      <c r="AP2" s="721">
        <f>'2'!F10</f>
        <v>781955</v>
      </c>
      <c r="AQ2" s="721">
        <f>'2'!H10</f>
        <v>1610502</v>
      </c>
      <c r="AR2" s="721">
        <v>385970</v>
      </c>
      <c r="AS2" s="721">
        <v>411058</v>
      </c>
      <c r="AT2" s="721">
        <v>349439</v>
      </c>
      <c r="AU2" s="721" t="e">
        <f>#REF!</f>
        <v>#REF!</v>
      </c>
      <c r="AV2" s="721">
        <v>384022</v>
      </c>
      <c r="AW2" s="722">
        <v>321084</v>
      </c>
      <c r="AX2" s="722">
        <v>365157</v>
      </c>
      <c r="AY2" s="721">
        <v>348166</v>
      </c>
    </row>
    <row r="3" spans="1:51" ht="61.5" customHeight="1">
      <c r="A3" s="3828">
        <v>1</v>
      </c>
      <c r="B3" s="723" t="s">
        <v>784</v>
      </c>
      <c r="C3" s="3835" t="s">
        <v>785</v>
      </c>
      <c r="D3" s="3821" t="s">
        <v>786</v>
      </c>
      <c r="E3" s="3838" t="s">
        <v>815</v>
      </c>
      <c r="F3" s="3838"/>
      <c r="G3" s="3838"/>
      <c r="H3" s="3838"/>
      <c r="I3" s="3838"/>
      <c r="J3" s="3838"/>
      <c r="K3" s="3838"/>
      <c r="L3" s="3838"/>
      <c r="M3" s="3822" t="e">
        <f>(Q3+O3)/O4</f>
        <v>#VALUE!</v>
      </c>
      <c r="N3" s="3821" t="s">
        <v>786</v>
      </c>
      <c r="O3" s="853">
        <f>AI2</f>
        <v>0</v>
      </c>
      <c r="P3" s="853" t="s">
        <v>816</v>
      </c>
      <c r="Q3" s="853" t="e">
        <f>AI2+AI3</f>
        <v>#VALUE!</v>
      </c>
      <c r="S3" s="3822">
        <f>(W3+U3)/U4</f>
        <v>1.7021899748146696</v>
      </c>
      <c r="T3" s="3821" t="s">
        <v>786</v>
      </c>
      <c r="U3" s="725">
        <f>AP2</f>
        <v>781955</v>
      </c>
      <c r="V3" s="725" t="s">
        <v>816</v>
      </c>
      <c r="W3" s="725">
        <f>AP2+AP3</f>
        <v>36686009</v>
      </c>
      <c r="X3" s="726"/>
      <c r="Y3" s="726"/>
      <c r="Z3" s="3823">
        <f>(AD3+AB3)/AB4</f>
        <v>1.6871123558690349</v>
      </c>
      <c r="AA3" s="3820" t="s">
        <v>786</v>
      </c>
      <c r="AB3" s="730">
        <f>AQ2</f>
        <v>1610502</v>
      </c>
      <c r="AC3" s="725" t="s">
        <v>816</v>
      </c>
      <c r="AD3" s="730">
        <f>AQ2+AQ3</f>
        <v>10046918</v>
      </c>
      <c r="AE3" s="726"/>
      <c r="AF3" s="3822">
        <f>(AJ3+AH3)/AH4</f>
        <v>0.90164103585202882</v>
      </c>
      <c r="AG3" s="3820" t="s">
        <v>786</v>
      </c>
      <c r="AH3" s="727">
        <f>AR2</f>
        <v>385970</v>
      </c>
      <c r="AI3" s="727" t="s">
        <v>816</v>
      </c>
      <c r="AJ3" s="727">
        <f>AR2+AR3</f>
        <v>4830577</v>
      </c>
      <c r="AN3" s="720" t="s">
        <v>519</v>
      </c>
      <c r="AO3" s="856"/>
      <c r="AP3" s="721">
        <f>'2'!F11</f>
        <v>35904054</v>
      </c>
      <c r="AQ3" s="721">
        <v>8436416</v>
      </c>
      <c r="AR3" s="721">
        <v>4444607</v>
      </c>
      <c r="AS3" s="721">
        <v>1882717</v>
      </c>
      <c r="AT3" s="721">
        <v>1357470</v>
      </c>
      <c r="AU3" s="721">
        <v>1368276</v>
      </c>
      <c r="AV3" s="721">
        <v>2121894</v>
      </c>
      <c r="AW3" s="722">
        <v>1059893</v>
      </c>
      <c r="AX3" s="722">
        <v>1093961</v>
      </c>
      <c r="AY3" s="721">
        <v>1445308</v>
      </c>
    </row>
    <row r="4" spans="1:51" ht="61.5" customHeight="1">
      <c r="A4" s="3828"/>
      <c r="B4" s="728" t="s">
        <v>787</v>
      </c>
      <c r="C4" s="3835"/>
      <c r="D4" s="3821"/>
      <c r="E4" s="3830" t="s">
        <v>813</v>
      </c>
      <c r="F4" s="3830"/>
      <c r="G4" s="3830"/>
      <c r="H4" s="3830"/>
      <c r="I4" s="3830"/>
      <c r="J4" s="3830"/>
      <c r="K4" s="3830"/>
      <c r="L4" s="3830"/>
      <c r="M4" s="3822"/>
      <c r="N4" s="3821"/>
      <c r="O4" s="3840">
        <f>AI23</f>
        <v>0</v>
      </c>
      <c r="P4" s="3840"/>
      <c r="Q4" s="3840"/>
      <c r="S4" s="3822"/>
      <c r="T4" s="3821"/>
      <c r="U4" s="3827">
        <f>AP23</f>
        <v>22011623</v>
      </c>
      <c r="V4" s="3827"/>
      <c r="W4" s="3827"/>
      <c r="X4" s="729"/>
      <c r="Y4" s="729"/>
      <c r="Z4" s="3823"/>
      <c r="AA4" s="3820"/>
      <c r="AB4" s="3827">
        <f>AQ23</f>
        <v>6909688</v>
      </c>
      <c r="AC4" s="3827"/>
      <c r="AD4" s="3827"/>
      <c r="AE4" s="729"/>
      <c r="AF4" s="3822"/>
      <c r="AG4" s="3820"/>
      <c r="AH4" s="3820">
        <f>AR23</f>
        <v>5785614</v>
      </c>
      <c r="AI4" s="3820"/>
      <c r="AJ4" s="3820"/>
      <c r="AN4" s="720" t="s">
        <v>94</v>
      </c>
      <c r="AO4" s="856"/>
      <c r="AP4" s="721">
        <f>'2'!F12</f>
        <v>6997560</v>
      </c>
      <c r="AQ4" s="721">
        <f>'2'!H12</f>
        <v>5177850</v>
      </c>
      <c r="AR4" s="721">
        <v>1302155</v>
      </c>
      <c r="AS4" s="721">
        <v>1685803</v>
      </c>
      <c r="AT4" s="721">
        <v>188431</v>
      </c>
      <c r="AU4" s="721">
        <v>162848</v>
      </c>
      <c r="AV4" s="721">
        <v>208375</v>
      </c>
      <c r="AW4" s="722">
        <v>175055</v>
      </c>
      <c r="AX4" s="722">
        <v>121995</v>
      </c>
      <c r="AY4" s="721">
        <v>164689</v>
      </c>
    </row>
    <row r="5" spans="1:51" ht="61.5" customHeight="1">
      <c r="A5" s="3828"/>
      <c r="B5" s="3832" t="s">
        <v>789</v>
      </c>
      <c r="C5" s="3835" t="s">
        <v>790</v>
      </c>
      <c r="D5" s="3821" t="s">
        <v>786</v>
      </c>
      <c r="E5" s="3836" t="s">
        <v>791</v>
      </c>
      <c r="F5" s="3836"/>
      <c r="G5" s="3836"/>
      <c r="H5" s="3836"/>
      <c r="I5" s="3836"/>
      <c r="J5" s="3836"/>
      <c r="K5" s="3836"/>
      <c r="L5" s="3836"/>
      <c r="M5" s="3822" t="e">
        <f>O5/O6</f>
        <v>#DIV/0!</v>
      </c>
      <c r="N5" s="3821" t="s">
        <v>786</v>
      </c>
      <c r="O5" s="853">
        <f>AI7</f>
        <v>0</v>
      </c>
      <c r="S5" s="3822">
        <f>U5/U6</f>
        <v>2.0094360602123706</v>
      </c>
      <c r="T5" s="3821" t="s">
        <v>786</v>
      </c>
      <c r="U5" s="725">
        <f>AP7</f>
        <v>44230949</v>
      </c>
      <c r="Z5" s="3823">
        <f>AB5/AB6</f>
        <v>2.3568414377031206</v>
      </c>
      <c r="AA5" s="3820" t="s">
        <v>786</v>
      </c>
      <c r="AB5" s="3819">
        <f>AQ7</f>
        <v>16285039</v>
      </c>
      <c r="AC5" s="3819"/>
      <c r="AD5" s="3819"/>
      <c r="AF5" s="3822">
        <f>AH5/AH6</f>
        <v>1.2597478850127228</v>
      </c>
      <c r="AG5" s="3820" t="s">
        <v>786</v>
      </c>
      <c r="AH5" s="3819">
        <f>AR7</f>
        <v>7288415</v>
      </c>
      <c r="AI5" s="3819"/>
      <c r="AJ5" s="3819"/>
      <c r="AN5" s="720" t="s">
        <v>367</v>
      </c>
      <c r="AO5" s="856"/>
      <c r="AP5" s="721">
        <f>'2'!F13</f>
        <v>547380</v>
      </c>
      <c r="AQ5" s="721">
        <v>1060271</v>
      </c>
      <c r="AR5" s="721">
        <v>1155683</v>
      </c>
      <c r="AS5" s="721">
        <v>544553</v>
      </c>
      <c r="AT5" s="721">
        <v>1584232</v>
      </c>
      <c r="AU5" s="721">
        <v>1877692</v>
      </c>
      <c r="AV5" s="721">
        <v>1536051</v>
      </c>
      <c r="AW5" s="722">
        <v>1250956</v>
      </c>
      <c r="AX5" s="722">
        <v>1412639</v>
      </c>
      <c r="AY5" s="721">
        <v>1133775</v>
      </c>
    </row>
    <row r="6" spans="1:51" ht="61.5" customHeight="1">
      <c r="A6" s="3828"/>
      <c r="B6" s="3832"/>
      <c r="C6" s="3835"/>
      <c r="D6" s="3821"/>
      <c r="E6" s="3842" t="s">
        <v>788</v>
      </c>
      <c r="F6" s="3842"/>
      <c r="G6" s="3842"/>
      <c r="H6" s="3842"/>
      <c r="I6" s="3842"/>
      <c r="J6" s="3842"/>
      <c r="K6" s="3842"/>
      <c r="L6" s="3842"/>
      <c r="M6" s="3822"/>
      <c r="N6" s="3821"/>
      <c r="O6" s="852">
        <f>AI23</f>
        <v>0</v>
      </c>
      <c r="S6" s="3822"/>
      <c r="T6" s="3821"/>
      <c r="U6" s="729">
        <f>AP23</f>
        <v>22011623</v>
      </c>
      <c r="Z6" s="3823"/>
      <c r="AA6" s="3820"/>
      <c r="AB6" s="3820">
        <f>AQ23</f>
        <v>6909688</v>
      </c>
      <c r="AC6" s="3820"/>
      <c r="AD6" s="3820"/>
      <c r="AF6" s="3822"/>
      <c r="AG6" s="3820"/>
      <c r="AH6" s="3820">
        <f>AR23</f>
        <v>5785614</v>
      </c>
      <c r="AI6" s="3820"/>
      <c r="AJ6" s="3820"/>
      <c r="AN6" s="720"/>
      <c r="AO6" s="856"/>
      <c r="AP6" s="721"/>
      <c r="AQ6" s="721"/>
      <c r="AR6" s="721">
        <v>0</v>
      </c>
      <c r="AS6" s="721"/>
      <c r="AT6" s="721">
        <v>372903</v>
      </c>
      <c r="AU6" s="721"/>
      <c r="AV6" s="721">
        <v>400601</v>
      </c>
      <c r="AW6" s="722">
        <v>219896</v>
      </c>
      <c r="AX6" s="722">
        <v>50561</v>
      </c>
      <c r="AY6" s="721">
        <f>561889+17843</f>
        <v>579732</v>
      </c>
    </row>
    <row r="7" spans="1:51" ht="61.5" customHeight="1">
      <c r="A7" s="3828">
        <v>2</v>
      </c>
      <c r="B7" s="731" t="s">
        <v>792</v>
      </c>
      <c r="C7" s="3835" t="s">
        <v>793</v>
      </c>
      <c r="D7" s="3821" t="s">
        <v>786</v>
      </c>
      <c r="E7" s="3829" t="s">
        <v>522</v>
      </c>
      <c r="F7" s="3829"/>
      <c r="G7" s="3829"/>
      <c r="H7" s="3829"/>
      <c r="I7" s="3829"/>
      <c r="J7" s="3829"/>
      <c r="K7" s="3829"/>
      <c r="L7" s="3829"/>
      <c r="M7" s="3822" t="e">
        <f>O7/O8</f>
        <v>#DIV/0!</v>
      </c>
      <c r="N7" s="3821" t="s">
        <v>786</v>
      </c>
      <c r="O7" s="853">
        <f>AI30</f>
        <v>0</v>
      </c>
      <c r="S7" s="3822" t="e">
        <f>U7/U8</f>
        <v>#REF!</v>
      </c>
      <c r="T7" s="3821" t="s">
        <v>786</v>
      </c>
      <c r="U7" s="725" t="e">
        <f>AP30</f>
        <v>#REF!</v>
      </c>
      <c r="Z7" s="3823" t="e">
        <f>AB7/AB8</f>
        <v>#REF!</v>
      </c>
      <c r="AA7" s="3820" t="s">
        <v>786</v>
      </c>
      <c r="AB7" s="3819" t="e">
        <f>AQ30</f>
        <v>#REF!</v>
      </c>
      <c r="AC7" s="3819"/>
      <c r="AD7" s="3819"/>
      <c r="AF7" s="3822">
        <f>AH7/AH8</f>
        <v>0.63067154362677813</v>
      </c>
      <c r="AG7" s="3820" t="s">
        <v>786</v>
      </c>
      <c r="AH7" s="3819">
        <f>AR30</f>
        <v>16658555</v>
      </c>
      <c r="AI7" s="3819"/>
      <c r="AJ7" s="3819"/>
      <c r="AN7" s="732" t="s">
        <v>531</v>
      </c>
      <c r="AO7" s="857"/>
      <c r="AP7" s="734">
        <f>'2'!F14</f>
        <v>44230949</v>
      </c>
      <c r="AQ7" s="734">
        <f>SUM(AQ2:AQ6)</f>
        <v>16285039</v>
      </c>
      <c r="AR7" s="734">
        <f>SUM(AR2:AR6)</f>
        <v>7288415</v>
      </c>
      <c r="AS7" s="734">
        <f>SUM(AS2:AS6)</f>
        <v>4524131</v>
      </c>
      <c r="AT7" s="734">
        <f t="shared" ref="AT7:AY7" si="0">SUM(AT2:AT6)</f>
        <v>3852475</v>
      </c>
      <c r="AU7" s="734" t="e">
        <f t="shared" si="0"/>
        <v>#REF!</v>
      </c>
      <c r="AV7" s="734">
        <f t="shared" si="0"/>
        <v>4650943</v>
      </c>
      <c r="AW7" s="734">
        <f t="shared" si="0"/>
        <v>3026884</v>
      </c>
      <c r="AX7" s="734">
        <f t="shared" si="0"/>
        <v>3044313</v>
      </c>
      <c r="AY7" s="734">
        <f t="shared" si="0"/>
        <v>3671670</v>
      </c>
    </row>
    <row r="8" spans="1:51" ht="61.5" customHeight="1">
      <c r="A8" s="3828"/>
      <c r="B8" s="728" t="s">
        <v>794</v>
      </c>
      <c r="C8" s="3835"/>
      <c r="D8" s="3821"/>
      <c r="E8" s="3830" t="s">
        <v>795</v>
      </c>
      <c r="F8" s="3830"/>
      <c r="G8" s="3830"/>
      <c r="H8" s="3830"/>
      <c r="I8" s="3830"/>
      <c r="J8" s="3830"/>
      <c r="K8" s="3830"/>
      <c r="L8" s="3830"/>
      <c r="M8" s="3822"/>
      <c r="N8" s="3821"/>
      <c r="O8" s="852">
        <f>AI15</f>
        <v>0</v>
      </c>
      <c r="S8" s="3822"/>
      <c r="T8" s="3821"/>
      <c r="U8" s="729" t="e">
        <f>AP15</f>
        <v>#REF!</v>
      </c>
      <c r="Z8" s="3823"/>
      <c r="AA8" s="3820"/>
      <c r="AB8" s="3820" t="e">
        <f>AQ15</f>
        <v>#REF!</v>
      </c>
      <c r="AC8" s="3820"/>
      <c r="AD8" s="3820"/>
      <c r="AF8" s="3822"/>
      <c r="AG8" s="3820"/>
      <c r="AH8" s="3820">
        <f>AR15</f>
        <v>26413995</v>
      </c>
      <c r="AI8" s="3820"/>
      <c r="AJ8" s="3820"/>
      <c r="AN8" s="714" t="s">
        <v>141</v>
      </c>
      <c r="AO8" s="858"/>
      <c r="AP8" s="721"/>
      <c r="AQ8" s="721"/>
      <c r="AR8" s="721"/>
      <c r="AS8" s="721"/>
      <c r="AT8" s="721"/>
      <c r="AU8" s="721"/>
      <c r="AV8" s="721"/>
      <c r="AW8" s="722"/>
      <c r="AX8" s="722"/>
      <c r="AY8" s="721"/>
    </row>
    <row r="9" spans="1:51" ht="61.5" customHeight="1">
      <c r="A9" s="3828"/>
      <c r="B9" s="3832" t="s">
        <v>796</v>
      </c>
      <c r="C9" s="3835" t="s">
        <v>797</v>
      </c>
      <c r="D9" s="3821" t="s">
        <v>786</v>
      </c>
      <c r="E9" s="3836" t="s">
        <v>371</v>
      </c>
      <c r="F9" s="3836"/>
      <c r="G9" s="3836"/>
      <c r="H9" s="3836"/>
      <c r="I9" s="3836"/>
      <c r="J9" s="3836"/>
      <c r="K9" s="3836"/>
      <c r="L9" s="3836"/>
      <c r="M9" s="3822" t="e">
        <f>O9/O10</f>
        <v>#DIV/0!</v>
      </c>
      <c r="N9" s="3821" t="s">
        <v>786</v>
      </c>
      <c r="O9" s="853">
        <f>AI37</f>
        <v>0</v>
      </c>
      <c r="S9" s="3822" t="e">
        <f>U9/U10</f>
        <v>#REF!</v>
      </c>
      <c r="T9" s="3821" t="s">
        <v>786</v>
      </c>
      <c r="U9" s="725" t="e">
        <f>AP37</f>
        <v>#REF!</v>
      </c>
      <c r="Z9" s="3823" t="e">
        <f>AB9/AB10</f>
        <v>#REF!</v>
      </c>
      <c r="AA9" s="3820" t="s">
        <v>786</v>
      </c>
      <c r="AB9" s="3819">
        <f>AQ37</f>
        <v>9784792</v>
      </c>
      <c r="AC9" s="3819"/>
      <c r="AD9" s="3819"/>
      <c r="AF9" s="3822">
        <f>AH9/AH10</f>
        <v>0.36932846861862439</v>
      </c>
      <c r="AG9" s="3820" t="s">
        <v>786</v>
      </c>
      <c r="AH9" s="3819">
        <f>AR37</f>
        <v>9755440.323450001</v>
      </c>
      <c r="AI9" s="3819"/>
      <c r="AJ9" s="3819"/>
      <c r="AN9" s="720" t="s">
        <v>1053</v>
      </c>
      <c r="AO9" s="856"/>
      <c r="AP9" s="721">
        <f>'2'!F17</f>
        <v>48</v>
      </c>
      <c r="AQ9" s="721">
        <f>'2'!H17</f>
        <v>48</v>
      </c>
      <c r="AR9" s="721">
        <v>53</v>
      </c>
      <c r="AS9" s="721">
        <v>53</v>
      </c>
      <c r="AT9" s="721">
        <v>18200709</v>
      </c>
      <c r="AU9" s="721">
        <v>17691110</v>
      </c>
      <c r="AV9" s="721">
        <v>17676136</v>
      </c>
      <c r="AW9" s="722">
        <v>17125737</v>
      </c>
      <c r="AX9" s="722">
        <v>15821849</v>
      </c>
      <c r="AY9" s="721">
        <v>15274205</v>
      </c>
    </row>
    <row r="10" spans="1:51" ht="61.5" customHeight="1">
      <c r="A10" s="3828"/>
      <c r="B10" s="3832"/>
      <c r="C10" s="3835"/>
      <c r="D10" s="3821"/>
      <c r="E10" s="3830" t="s">
        <v>795</v>
      </c>
      <c r="F10" s="3830"/>
      <c r="G10" s="3830"/>
      <c r="H10" s="3830"/>
      <c r="I10" s="3830"/>
      <c r="J10" s="3830"/>
      <c r="K10" s="3830"/>
      <c r="L10" s="3830"/>
      <c r="M10" s="3822"/>
      <c r="N10" s="3821"/>
      <c r="O10" s="852">
        <f>AI15</f>
        <v>0</v>
      </c>
      <c r="S10" s="3822"/>
      <c r="T10" s="3821"/>
      <c r="U10" s="729" t="e">
        <f>AP15</f>
        <v>#REF!</v>
      </c>
      <c r="Z10" s="3823"/>
      <c r="AA10" s="3820"/>
      <c r="AB10" s="3820" t="e">
        <f>AQ15</f>
        <v>#REF!</v>
      </c>
      <c r="AC10" s="3820"/>
      <c r="AD10" s="3820"/>
      <c r="AF10" s="3822"/>
      <c r="AG10" s="3820"/>
      <c r="AH10" s="3820">
        <f>AR15</f>
        <v>26413995</v>
      </c>
      <c r="AI10" s="3820"/>
      <c r="AJ10" s="3820"/>
      <c r="AN10" s="720" t="s">
        <v>350</v>
      </c>
      <c r="AO10" s="856"/>
      <c r="AP10" s="721">
        <f>'2'!F18</f>
        <v>0</v>
      </c>
      <c r="AQ10" s="721">
        <f>'2'!H18</f>
        <v>1203</v>
      </c>
      <c r="AR10" s="721">
        <v>46854</v>
      </c>
      <c r="AS10" s="721">
        <v>42844</v>
      </c>
      <c r="AT10" s="721">
        <v>43281</v>
      </c>
      <c r="AU10" s="721" t="e">
        <f>#REF!</f>
        <v>#REF!</v>
      </c>
      <c r="AV10" s="721">
        <v>14813</v>
      </c>
      <c r="AW10" s="722">
        <v>14743</v>
      </c>
      <c r="AX10" s="722">
        <v>10443</v>
      </c>
      <c r="AY10" s="721">
        <v>5394</v>
      </c>
    </row>
    <row r="11" spans="1:51" ht="61.5" customHeight="1">
      <c r="A11" s="748" t="s">
        <v>1454</v>
      </c>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c r="AC11" s="748"/>
      <c r="AD11" s="748"/>
      <c r="AE11" s="748"/>
      <c r="AF11" s="748"/>
      <c r="AG11" s="748"/>
      <c r="AH11" s="748"/>
      <c r="AI11" s="748"/>
      <c r="AJ11" s="748"/>
      <c r="AK11" s="748"/>
      <c r="AN11" s="720" t="s">
        <v>369</v>
      </c>
      <c r="AO11" s="856"/>
      <c r="AP11" s="721">
        <f>'2'!F19</f>
        <v>89766994</v>
      </c>
      <c r="AQ11" s="721">
        <v>21470766</v>
      </c>
      <c r="AR11" s="721">
        <v>18923311</v>
      </c>
      <c r="AS11" s="721">
        <v>18042143</v>
      </c>
      <c r="AT11" s="721">
        <v>54</v>
      </c>
      <c r="AU11" s="721">
        <v>19</v>
      </c>
      <c r="AV11" s="721"/>
      <c r="AW11" s="722"/>
      <c r="AX11" s="722"/>
      <c r="AY11" s="721"/>
    </row>
    <row r="12" spans="1:51" ht="61.5" customHeight="1">
      <c r="A12" s="3828">
        <v>3</v>
      </c>
      <c r="B12" s="723" t="s">
        <v>798</v>
      </c>
      <c r="C12" s="3835" t="s">
        <v>799</v>
      </c>
      <c r="D12" s="3821" t="s">
        <v>786</v>
      </c>
      <c r="E12" s="3836" t="s">
        <v>800</v>
      </c>
      <c r="F12" s="3836"/>
      <c r="G12" s="3836"/>
      <c r="H12" s="3836"/>
      <c r="I12" s="3836"/>
      <c r="J12" s="3836"/>
      <c r="K12" s="3836"/>
      <c r="L12" s="3836"/>
      <c r="M12" s="3825" t="e">
        <f>O12/O13</f>
        <v>#VALUE!</v>
      </c>
      <c r="N12" s="3821" t="s">
        <v>786</v>
      </c>
      <c r="O12" s="853" t="str">
        <f>'3'!A17</f>
        <v xml:space="preserve">سود(زیان) خالص  </v>
      </c>
      <c r="P12" s="726"/>
      <c r="Q12" s="726"/>
      <c r="S12" s="3825">
        <f>U12/U13</f>
        <v>0.6059846478917047</v>
      </c>
      <c r="T12" s="3821" t="s">
        <v>786</v>
      </c>
      <c r="U12" s="725">
        <f>'3'!G17</f>
        <v>61526507.25</v>
      </c>
      <c r="V12" s="726"/>
      <c r="W12" s="726"/>
      <c r="X12" s="726"/>
      <c r="Y12" s="726"/>
      <c r="Z12" s="3823">
        <f>AB12/AB13</f>
        <v>0.55094142734436835</v>
      </c>
      <c r="AA12" s="3820" t="s">
        <v>786</v>
      </c>
      <c r="AB12" s="3824">
        <f>AQ50</f>
        <v>29573249.708205</v>
      </c>
      <c r="AC12" s="3824"/>
      <c r="AD12" s="3824"/>
      <c r="AE12" s="726"/>
      <c r="AF12" s="3823">
        <f>AH12/AH13</f>
        <v>8.0663159974302401E-3</v>
      </c>
      <c r="AG12" s="3820" t="s">
        <v>786</v>
      </c>
      <c r="AH12" s="3819">
        <f>AR50</f>
        <v>69167.117587500717</v>
      </c>
      <c r="AI12" s="3819"/>
      <c r="AJ12" s="3819"/>
      <c r="AN12" s="735" t="s">
        <v>1295</v>
      </c>
      <c r="AO12" s="859"/>
      <c r="AP12" s="721" t="e">
        <f>'2'!F16</f>
        <v>#REF!</v>
      </c>
      <c r="AQ12" s="721" t="e">
        <f>'2'!H16</f>
        <v>#REF!</v>
      </c>
      <c r="AR12" s="721">
        <v>155362</v>
      </c>
      <c r="AS12" s="721">
        <v>147923</v>
      </c>
      <c r="AT12" s="721">
        <v>105039</v>
      </c>
      <c r="AU12" s="721">
        <v>126575</v>
      </c>
      <c r="AV12" s="721">
        <v>27240</v>
      </c>
      <c r="AW12" s="722">
        <v>22208</v>
      </c>
      <c r="AX12" s="722">
        <v>23503</v>
      </c>
      <c r="AY12" s="721"/>
    </row>
    <row r="13" spans="1:51" ht="61.5" customHeight="1">
      <c r="A13" s="3828"/>
      <c r="B13" s="728" t="s">
        <v>801</v>
      </c>
      <c r="C13" s="3835"/>
      <c r="D13" s="3821"/>
      <c r="E13" s="3830" t="s">
        <v>802</v>
      </c>
      <c r="F13" s="3830"/>
      <c r="G13" s="3830"/>
      <c r="H13" s="3830"/>
      <c r="I13" s="3830"/>
      <c r="J13" s="3830"/>
      <c r="K13" s="3830"/>
      <c r="L13" s="3830"/>
      <c r="M13" s="3825"/>
      <c r="N13" s="3821"/>
      <c r="O13" s="852">
        <f>AI42</f>
        <v>0</v>
      </c>
      <c r="P13" s="852"/>
      <c r="Q13" s="852"/>
      <c r="S13" s="3825"/>
      <c r="T13" s="3821"/>
      <c r="U13" s="729">
        <f>AP42</f>
        <v>101531462</v>
      </c>
      <c r="V13" s="729"/>
      <c r="W13" s="729"/>
      <c r="X13" s="729"/>
      <c r="Y13" s="729"/>
      <c r="Z13" s="3823"/>
      <c r="AA13" s="3820"/>
      <c r="AB13" s="3827">
        <f>AQ42</f>
        <v>53677665.610940002</v>
      </c>
      <c r="AC13" s="3827"/>
      <c r="AD13" s="3827"/>
      <c r="AE13" s="729"/>
      <c r="AF13" s="3823"/>
      <c r="AG13" s="3820"/>
      <c r="AH13" s="3820">
        <f>AR42</f>
        <v>8574808.823450001</v>
      </c>
      <c r="AI13" s="3820"/>
      <c r="AJ13" s="3820"/>
      <c r="AN13" s="759" t="s">
        <v>143</v>
      </c>
      <c r="AO13" s="860"/>
      <c r="AP13" s="734" t="e">
        <f>'2'!F20</f>
        <v>#REF!</v>
      </c>
      <c r="AQ13" s="734" t="e">
        <f>SUM(AQ9:AQ12)</f>
        <v>#REF!</v>
      </c>
      <c r="AR13" s="734">
        <f>SUM(AR9:AR12)</f>
        <v>19125580</v>
      </c>
      <c r="AS13" s="734">
        <f>SUM(AS9:AS12)</f>
        <v>18232963</v>
      </c>
      <c r="AT13" s="734">
        <f t="shared" ref="AT13:AY13" si="1">SUM(AT9:AT12)</f>
        <v>18349083</v>
      </c>
      <c r="AU13" s="734" t="e">
        <f t="shared" si="1"/>
        <v>#REF!</v>
      </c>
      <c r="AV13" s="734">
        <f t="shared" si="1"/>
        <v>17718189</v>
      </c>
      <c r="AW13" s="734">
        <f t="shared" si="1"/>
        <v>17162688</v>
      </c>
      <c r="AX13" s="734">
        <f t="shared" si="1"/>
        <v>15855795</v>
      </c>
      <c r="AY13" s="734">
        <f t="shared" si="1"/>
        <v>15279599</v>
      </c>
    </row>
    <row r="14" spans="1:51" ht="61.5" customHeight="1">
      <c r="A14" s="3828"/>
      <c r="B14" s="3837" t="s">
        <v>803</v>
      </c>
      <c r="C14" s="3835" t="s">
        <v>804</v>
      </c>
      <c r="D14" s="3821" t="s">
        <v>786</v>
      </c>
      <c r="E14" s="3836" t="s">
        <v>800</v>
      </c>
      <c r="F14" s="3836"/>
      <c r="G14" s="3836"/>
      <c r="H14" s="3836"/>
      <c r="I14" s="3836"/>
      <c r="J14" s="3836"/>
      <c r="K14" s="3836"/>
      <c r="L14" s="3836"/>
      <c r="M14" s="3825" t="e">
        <f>O14/O15</f>
        <v>#VALUE!</v>
      </c>
      <c r="N14" s="3821" t="s">
        <v>786</v>
      </c>
      <c r="O14" s="853" t="str">
        <f>O12</f>
        <v xml:space="preserve">سود(زیان) خالص  </v>
      </c>
      <c r="P14" s="726"/>
      <c r="Q14" s="726"/>
      <c r="S14" s="3825" t="e">
        <f>U14/U15</f>
        <v>#REF!</v>
      </c>
      <c r="T14" s="3821" t="s">
        <v>786</v>
      </c>
      <c r="U14" s="725">
        <f>U12</f>
        <v>61526507.25</v>
      </c>
      <c r="V14" s="726"/>
      <c r="W14" s="726"/>
      <c r="X14" s="726"/>
      <c r="Y14" s="726"/>
      <c r="Z14" s="3823" t="e">
        <f>AB14/AB15</f>
        <v>#REF!</v>
      </c>
      <c r="AA14" s="3820" t="s">
        <v>786</v>
      </c>
      <c r="AB14" s="3824">
        <f>AB12</f>
        <v>29573249.708205</v>
      </c>
      <c r="AC14" s="3824"/>
      <c r="AD14" s="3824"/>
      <c r="AE14" s="726"/>
      <c r="AF14" s="3823">
        <f>AH14/AH15</f>
        <v>2.6185784311498778E-3</v>
      </c>
      <c r="AG14" s="3820" t="s">
        <v>786</v>
      </c>
      <c r="AH14" s="3819">
        <f>AR50</f>
        <v>69167.117587500717</v>
      </c>
      <c r="AI14" s="3819"/>
      <c r="AJ14" s="3819"/>
      <c r="AN14" s="714"/>
      <c r="AO14" s="858"/>
      <c r="AP14" s="721"/>
      <c r="AQ14" s="721"/>
      <c r="AR14" s="721"/>
      <c r="AS14" s="721"/>
      <c r="AT14" s="721"/>
      <c r="AU14" s="721"/>
      <c r="AV14" s="721"/>
      <c r="AW14" s="722"/>
      <c r="AX14" s="722"/>
      <c r="AY14" s="721"/>
    </row>
    <row r="15" spans="1:51" ht="61.5" customHeight="1">
      <c r="A15" s="3828"/>
      <c r="B15" s="3832"/>
      <c r="C15" s="3835"/>
      <c r="D15" s="3821"/>
      <c r="E15" s="3830" t="s">
        <v>805</v>
      </c>
      <c r="F15" s="3830"/>
      <c r="G15" s="3830"/>
      <c r="H15" s="3830"/>
      <c r="I15" s="3830"/>
      <c r="J15" s="3830"/>
      <c r="K15" s="3830"/>
      <c r="L15" s="3830"/>
      <c r="M15" s="3825"/>
      <c r="N15" s="3821"/>
      <c r="O15" s="852">
        <f>AI15</f>
        <v>0</v>
      </c>
      <c r="P15" s="852"/>
      <c r="Q15" s="852"/>
      <c r="S15" s="3825"/>
      <c r="T15" s="3821"/>
      <c r="U15" s="729" t="e">
        <f>AP15</f>
        <v>#REF!</v>
      </c>
      <c r="V15" s="729"/>
      <c r="W15" s="729"/>
      <c r="X15" s="729"/>
      <c r="Y15" s="729"/>
      <c r="Z15" s="3823"/>
      <c r="AA15" s="3820"/>
      <c r="AB15" s="3827" t="e">
        <f>AQ15</f>
        <v>#REF!</v>
      </c>
      <c r="AC15" s="3827"/>
      <c r="AD15" s="3827"/>
      <c r="AE15" s="729"/>
      <c r="AF15" s="3823"/>
      <c r="AG15" s="3820"/>
      <c r="AH15" s="3820">
        <f>AR15</f>
        <v>26413995</v>
      </c>
      <c r="AI15" s="3820"/>
      <c r="AJ15" s="3820"/>
      <c r="AN15" s="736" t="s">
        <v>525</v>
      </c>
      <c r="AO15" s="861"/>
      <c r="AP15" s="737" t="e">
        <f>AP7+AP13</f>
        <v>#REF!</v>
      </c>
      <c r="AQ15" s="737" t="e">
        <f t="shared" ref="AQ15:AY15" si="2">AQ7+AQ13</f>
        <v>#REF!</v>
      </c>
      <c r="AR15" s="737">
        <f>AR13+AR7</f>
        <v>26413995</v>
      </c>
      <c r="AS15" s="737">
        <f t="shared" si="2"/>
        <v>22757094</v>
      </c>
      <c r="AT15" s="737">
        <f t="shared" si="2"/>
        <v>22201558</v>
      </c>
      <c r="AU15" s="737" t="e">
        <f t="shared" si="2"/>
        <v>#REF!</v>
      </c>
      <c r="AV15" s="737">
        <f t="shared" si="2"/>
        <v>22369132</v>
      </c>
      <c r="AW15" s="737">
        <f t="shared" si="2"/>
        <v>20189572</v>
      </c>
      <c r="AX15" s="737">
        <f t="shared" si="2"/>
        <v>18900108</v>
      </c>
      <c r="AY15" s="737">
        <f t="shared" si="2"/>
        <v>18951269</v>
      </c>
    </row>
    <row r="16" spans="1:51" ht="61.5" customHeight="1">
      <c r="A16" s="3828"/>
      <c r="B16" s="3832" t="s">
        <v>806</v>
      </c>
      <c r="C16" s="3835" t="s">
        <v>807</v>
      </c>
      <c r="D16" s="3835"/>
      <c r="E16" s="3821" t="s">
        <v>786</v>
      </c>
      <c r="F16" s="3829" t="s">
        <v>800</v>
      </c>
      <c r="G16" s="3829"/>
      <c r="H16" s="3829"/>
      <c r="I16" s="3829"/>
      <c r="J16" s="3829"/>
      <c r="K16" s="3829"/>
      <c r="L16" s="3829"/>
      <c r="M16" s="3825" t="e">
        <f>O16/O17</f>
        <v>#VALUE!</v>
      </c>
      <c r="N16" s="3821" t="s">
        <v>786</v>
      </c>
      <c r="O16" s="853" t="str">
        <f>O12</f>
        <v xml:space="preserve">سود(زیان) خالص  </v>
      </c>
      <c r="Q16" s="726"/>
      <c r="S16" s="3825" t="e">
        <f>U16/U17</f>
        <v>#REF!</v>
      </c>
      <c r="T16" s="3821" t="s">
        <v>786</v>
      </c>
      <c r="U16" s="725">
        <f>U12</f>
        <v>61526507.25</v>
      </c>
      <c r="W16" s="726"/>
      <c r="X16" s="726"/>
      <c r="Y16" s="726"/>
      <c r="Z16" s="3823">
        <f>AB16/AB17</f>
        <v>3.0223687645281574</v>
      </c>
      <c r="AA16" s="3820" t="s">
        <v>786</v>
      </c>
      <c r="AB16" s="3824">
        <f>AB12</f>
        <v>29573249.708205</v>
      </c>
      <c r="AC16" s="3824"/>
      <c r="AD16" s="3824"/>
      <c r="AE16" s="726"/>
      <c r="AF16" s="3823">
        <f>AH16/AH17</f>
        <v>7.0901071908807331E-3</v>
      </c>
      <c r="AG16" s="3820" t="s">
        <v>786</v>
      </c>
      <c r="AH16" s="3819">
        <f>AR50</f>
        <v>69167.117587500717</v>
      </c>
      <c r="AI16" s="3819"/>
      <c r="AJ16" s="3819"/>
      <c r="AN16" s="738"/>
      <c r="AO16" s="862"/>
      <c r="AP16" s="721"/>
      <c r="AQ16" s="721"/>
      <c r="AR16" s="721"/>
      <c r="AS16" s="721"/>
      <c r="AT16" s="721"/>
      <c r="AU16" s="721"/>
      <c r="AV16" s="721"/>
      <c r="AW16" s="722"/>
      <c r="AX16" s="722"/>
      <c r="AY16" s="721"/>
    </row>
    <row r="17" spans="1:51" ht="61.5" customHeight="1">
      <c r="A17" s="3828"/>
      <c r="B17" s="3832"/>
      <c r="C17" s="3835"/>
      <c r="D17" s="3835"/>
      <c r="E17" s="3821"/>
      <c r="F17" s="3830" t="s">
        <v>371</v>
      </c>
      <c r="G17" s="3830"/>
      <c r="H17" s="3830"/>
      <c r="I17" s="3830"/>
      <c r="J17" s="3830"/>
      <c r="K17" s="3830"/>
      <c r="L17" s="3830"/>
      <c r="M17" s="3825"/>
      <c r="N17" s="3821"/>
      <c r="O17" s="852">
        <f>AI37</f>
        <v>0</v>
      </c>
      <c r="Q17" s="852"/>
      <c r="S17" s="3825"/>
      <c r="T17" s="3821"/>
      <c r="U17" s="729" t="e">
        <f>AP37</f>
        <v>#REF!</v>
      </c>
      <c r="W17" s="729"/>
      <c r="X17" s="729"/>
      <c r="Y17" s="729"/>
      <c r="Z17" s="3823"/>
      <c r="AA17" s="3820"/>
      <c r="AB17" s="3827">
        <f>AQ37</f>
        <v>9784792</v>
      </c>
      <c r="AC17" s="3827"/>
      <c r="AD17" s="3827"/>
      <c r="AE17" s="729"/>
      <c r="AF17" s="3823"/>
      <c r="AG17" s="3820"/>
      <c r="AH17" s="3820">
        <f>AR37</f>
        <v>9755440.323450001</v>
      </c>
      <c r="AI17" s="3820"/>
      <c r="AJ17" s="3820"/>
      <c r="AN17" s="739" t="s">
        <v>861</v>
      </c>
      <c r="AO17" s="863"/>
      <c r="AP17" s="740"/>
      <c r="AQ17" s="740"/>
      <c r="AR17" s="740"/>
      <c r="AS17" s="740"/>
      <c r="AT17" s="740"/>
      <c r="AU17" s="740"/>
      <c r="AV17" s="740"/>
      <c r="AW17" s="740"/>
      <c r="AX17" s="740"/>
      <c r="AY17" s="740"/>
    </row>
    <row r="18" spans="1:51" ht="61.5" customHeight="1">
      <c r="A18" s="3828">
        <v>4</v>
      </c>
      <c r="B18" s="723" t="s">
        <v>808</v>
      </c>
      <c r="C18" s="3835" t="s">
        <v>809</v>
      </c>
      <c r="D18" s="3834"/>
      <c r="E18" s="3834"/>
      <c r="F18" s="3821" t="s">
        <v>786</v>
      </c>
      <c r="G18" s="3836" t="str">
        <f>E13</f>
        <v>فروش سالانه</v>
      </c>
      <c r="H18" s="3836"/>
      <c r="I18" s="3836"/>
      <c r="J18" s="3836"/>
      <c r="K18" s="3836"/>
      <c r="L18" s="3836"/>
      <c r="M18" s="3826" t="e">
        <f>O18/O19</f>
        <v>#DIV/0!</v>
      </c>
      <c r="N18" s="3831" t="s">
        <v>786</v>
      </c>
      <c r="O18" s="741">
        <f>AI42</f>
        <v>0</v>
      </c>
      <c r="S18" s="3826" t="e">
        <f>U18/U19</f>
        <v>#REF!</v>
      </c>
      <c r="T18" s="3831" t="s">
        <v>786</v>
      </c>
      <c r="U18" s="741">
        <f>AP42</f>
        <v>101531462</v>
      </c>
      <c r="Z18" s="3823" t="e">
        <f>AB18/AB19</f>
        <v>#REF!</v>
      </c>
      <c r="AA18" s="3820" t="s">
        <v>786</v>
      </c>
      <c r="AB18" s="3819">
        <f>AQ42</f>
        <v>53677665.610940002</v>
      </c>
      <c r="AC18" s="3819"/>
      <c r="AD18" s="3819"/>
      <c r="AF18" s="3823">
        <f>AH18/AH19</f>
        <v>0.32463127305998207</v>
      </c>
      <c r="AG18" s="3820" t="s">
        <v>786</v>
      </c>
      <c r="AH18" s="3819">
        <f>AR42</f>
        <v>8574808.823450001</v>
      </c>
      <c r="AI18" s="3819"/>
      <c r="AJ18" s="3819"/>
      <c r="AN18" s="720" t="s">
        <v>818</v>
      </c>
      <c r="AO18" s="856"/>
      <c r="AP18" s="721"/>
      <c r="AQ18" s="721"/>
      <c r="AR18" s="721"/>
      <c r="AS18" s="721"/>
      <c r="AT18" s="721"/>
      <c r="AU18" s="721"/>
      <c r="AV18" s="721">
        <v>12731</v>
      </c>
      <c r="AW18" s="721">
        <v>13519</v>
      </c>
      <c r="AX18" s="721">
        <v>32988</v>
      </c>
      <c r="AY18" s="721">
        <v>0</v>
      </c>
    </row>
    <row r="19" spans="1:51" ht="61.5" customHeight="1">
      <c r="A19" s="3828"/>
      <c r="B19" s="728" t="s">
        <v>284</v>
      </c>
      <c r="C19" s="3834"/>
      <c r="D19" s="3834"/>
      <c r="E19" s="3834"/>
      <c r="F19" s="3821"/>
      <c r="G19" s="3842" t="str">
        <f>E8</f>
        <v xml:space="preserve">جمع دارائيها </v>
      </c>
      <c r="H19" s="3842"/>
      <c r="I19" s="3842"/>
      <c r="J19" s="3842"/>
      <c r="K19" s="3842"/>
      <c r="L19" s="3842"/>
      <c r="M19" s="3826"/>
      <c r="N19" s="3831"/>
      <c r="O19" s="742">
        <f>AI15</f>
        <v>0</v>
      </c>
      <c r="Q19" s="852"/>
      <c r="S19" s="3826"/>
      <c r="T19" s="3831"/>
      <c r="U19" s="742" t="e">
        <f>AP15</f>
        <v>#REF!</v>
      </c>
      <c r="W19" s="729"/>
      <c r="X19" s="729"/>
      <c r="Y19" s="729"/>
      <c r="Z19" s="3823"/>
      <c r="AA19" s="3820"/>
      <c r="AB19" s="3827" t="e">
        <f>AQ15</f>
        <v>#REF!</v>
      </c>
      <c r="AC19" s="3827"/>
      <c r="AD19" s="3827"/>
      <c r="AE19" s="729"/>
      <c r="AF19" s="3823"/>
      <c r="AG19" s="3820"/>
      <c r="AH19" s="3820">
        <f>AR15</f>
        <v>26413995</v>
      </c>
      <c r="AI19" s="3820"/>
      <c r="AJ19" s="3820"/>
      <c r="AN19" s="720" t="s">
        <v>518</v>
      </c>
      <c r="AO19" s="856"/>
      <c r="AP19" s="721">
        <f>'2'!N10</f>
        <v>22011623</v>
      </c>
      <c r="AQ19" s="721">
        <v>6909688</v>
      </c>
      <c r="AR19" s="721">
        <v>5745753</v>
      </c>
      <c r="AS19" s="721">
        <v>3492899</v>
      </c>
      <c r="AT19" s="721">
        <v>1685890</v>
      </c>
      <c r="AU19" s="721">
        <v>2013661</v>
      </c>
      <c r="AV19" s="721">
        <v>1679286</v>
      </c>
      <c r="AW19" s="721">
        <v>7329284</v>
      </c>
      <c r="AX19" s="721">
        <v>6857862</v>
      </c>
      <c r="AY19" s="721">
        <v>6087909</v>
      </c>
    </row>
    <row r="20" spans="1:51" ht="61.5" customHeight="1">
      <c r="A20" s="3828"/>
      <c r="B20" s="3832" t="s">
        <v>810</v>
      </c>
      <c r="C20" s="3835" t="s">
        <v>811</v>
      </c>
      <c r="D20" s="3835"/>
      <c r="E20" s="3835"/>
      <c r="F20" s="3821" t="s">
        <v>786</v>
      </c>
      <c r="G20" s="3836" t="s">
        <v>225</v>
      </c>
      <c r="H20" s="3836"/>
      <c r="I20" s="3836"/>
      <c r="J20" s="3836"/>
      <c r="K20" s="3836"/>
      <c r="L20" s="3836"/>
      <c r="M20" s="3822" t="e">
        <f>O20/O21</f>
        <v>#DIV/0!</v>
      </c>
      <c r="N20" s="3821" t="s">
        <v>786</v>
      </c>
      <c r="O20" s="853">
        <f>AI44</f>
        <v>0</v>
      </c>
      <c r="P20" s="726"/>
      <c r="Q20" s="726"/>
      <c r="S20" s="3822">
        <f>U20/U21</f>
        <v>0.7963738865495702</v>
      </c>
      <c r="T20" s="3821" t="s">
        <v>786</v>
      </c>
      <c r="U20" s="725">
        <f>AP44</f>
        <v>80857005</v>
      </c>
      <c r="V20" s="726"/>
      <c r="W20" s="726"/>
      <c r="X20" s="726"/>
      <c r="Y20" s="726"/>
      <c r="Z20" s="3823">
        <f>AB20/AB21</f>
        <v>0.82607796196529659</v>
      </c>
      <c r="AA20" s="3820" t="s">
        <v>786</v>
      </c>
      <c r="AB20" s="3824">
        <f>AQ44</f>
        <v>44341936.610940002</v>
      </c>
      <c r="AC20" s="3824"/>
      <c r="AD20" s="3824"/>
      <c r="AE20" s="726"/>
      <c r="AF20" s="3823">
        <f>AH20/AH21</f>
        <v>0.10716866607415149</v>
      </c>
      <c r="AG20" s="3820" t="s">
        <v>786</v>
      </c>
      <c r="AH20" s="3819">
        <f>AR44</f>
        <v>918950.82345000096</v>
      </c>
      <c r="AI20" s="3819"/>
      <c r="AJ20" s="3819"/>
      <c r="AN20" s="720" t="s">
        <v>366</v>
      </c>
      <c r="AO20" s="856"/>
      <c r="AP20" s="721">
        <f>'2'!N11</f>
        <v>0</v>
      </c>
      <c r="AQ20" s="721">
        <f>'2'!P11</f>
        <v>0</v>
      </c>
      <c r="AR20" s="743">
        <v>0</v>
      </c>
      <c r="AS20" s="743"/>
      <c r="AT20" s="743"/>
      <c r="AU20" s="743">
        <v>144998</v>
      </c>
      <c r="AV20" s="743">
        <v>331210</v>
      </c>
      <c r="AW20" s="743">
        <v>166073</v>
      </c>
      <c r="AX20" s="743">
        <v>2075</v>
      </c>
      <c r="AY20" s="743">
        <v>0</v>
      </c>
    </row>
    <row r="21" spans="1:51" ht="61.5" customHeight="1">
      <c r="A21" s="3828"/>
      <c r="B21" s="3832"/>
      <c r="C21" s="3835"/>
      <c r="D21" s="3835"/>
      <c r="E21" s="3835"/>
      <c r="F21" s="3821"/>
      <c r="G21" s="3830" t="str">
        <f>E13</f>
        <v>فروش سالانه</v>
      </c>
      <c r="H21" s="3830"/>
      <c r="I21" s="3830"/>
      <c r="J21" s="3830"/>
      <c r="K21" s="3830"/>
      <c r="L21" s="3830"/>
      <c r="M21" s="3822"/>
      <c r="N21" s="3821"/>
      <c r="O21" s="852">
        <f>AI42</f>
        <v>0</v>
      </c>
      <c r="P21" s="852"/>
      <c r="Q21" s="852"/>
      <c r="S21" s="3822"/>
      <c r="T21" s="3821"/>
      <c r="U21" s="729">
        <f>AP42</f>
        <v>101531462</v>
      </c>
      <c r="V21" s="729"/>
      <c r="W21" s="729"/>
      <c r="X21" s="729"/>
      <c r="Y21" s="729"/>
      <c r="Z21" s="3823"/>
      <c r="AA21" s="3820"/>
      <c r="AB21" s="3827">
        <f>AQ42</f>
        <v>53677665.610940002</v>
      </c>
      <c r="AC21" s="3827"/>
      <c r="AD21" s="3827"/>
      <c r="AE21" s="729"/>
      <c r="AF21" s="3823"/>
      <c r="AG21" s="3820"/>
      <c r="AH21" s="3820">
        <f>AR42</f>
        <v>8574808.823450001</v>
      </c>
      <c r="AI21" s="3820"/>
      <c r="AJ21" s="3820"/>
      <c r="AN21" s="720" t="s">
        <v>1164</v>
      </c>
      <c r="AO21" s="856"/>
      <c r="AP21" s="721">
        <f>'2'!N12</f>
        <v>0</v>
      </c>
      <c r="AQ21" s="721">
        <f>'2'!P12</f>
        <v>0</v>
      </c>
      <c r="AR21" s="743">
        <v>18750</v>
      </c>
      <c r="AS21" s="743">
        <v>6666</v>
      </c>
      <c r="AT21" s="743"/>
      <c r="AU21" s="743"/>
      <c r="AV21" s="743"/>
      <c r="AW21" s="743"/>
      <c r="AX21" s="743"/>
      <c r="AY21" s="743"/>
    </row>
    <row r="22" spans="1:51" ht="61.5" customHeight="1">
      <c r="A22" s="3828"/>
      <c r="B22" s="3832" t="s">
        <v>812</v>
      </c>
      <c r="C22" s="3833" t="s">
        <v>814</v>
      </c>
      <c r="D22" s="3834"/>
      <c r="E22" s="3834"/>
      <c r="F22" s="3834"/>
      <c r="G22" s="3834"/>
      <c r="H22" s="3834"/>
      <c r="I22" s="3834"/>
      <c r="J22" s="3834"/>
      <c r="K22" s="3821" t="s">
        <v>786</v>
      </c>
      <c r="L22" s="744" t="s">
        <v>225</v>
      </c>
      <c r="M22" s="3822" t="e">
        <f>O22/O23</f>
        <v>#DIV/0!</v>
      </c>
      <c r="N22" s="3821" t="s">
        <v>786</v>
      </c>
      <c r="O22" s="853">
        <f>AI44</f>
        <v>0</v>
      </c>
      <c r="P22" s="726"/>
      <c r="Q22" s="726"/>
      <c r="S22" s="3822" t="e">
        <f>U22/U23</f>
        <v>#REF!</v>
      </c>
      <c r="T22" s="3821" t="s">
        <v>786</v>
      </c>
      <c r="U22" s="725">
        <f>AP44</f>
        <v>80857005</v>
      </c>
      <c r="V22" s="726"/>
      <c r="W22" s="726"/>
      <c r="X22" s="726"/>
      <c r="Y22" s="726"/>
      <c r="Z22" s="3823" t="e">
        <f>AB22/AB23</f>
        <v>#REF!</v>
      </c>
      <c r="AA22" s="3820" t="s">
        <v>786</v>
      </c>
      <c r="AB22" s="3824">
        <f>AQ44</f>
        <v>44341936.610940002</v>
      </c>
      <c r="AC22" s="3824"/>
      <c r="AD22" s="3824"/>
      <c r="AE22" s="726"/>
      <c r="AF22" s="3823">
        <f>AH22/AH23</f>
        <v>3.4790300499791905E-2</v>
      </c>
      <c r="AG22" s="3820" t="s">
        <v>786</v>
      </c>
      <c r="AH22" s="3819">
        <f>AR44</f>
        <v>918950.82345000096</v>
      </c>
      <c r="AI22" s="3819"/>
      <c r="AJ22" s="3819"/>
      <c r="AN22" s="720" t="s">
        <v>243</v>
      </c>
      <c r="AO22" s="856"/>
      <c r="AP22" s="721">
        <f>'2'!N13</f>
        <v>0</v>
      </c>
      <c r="AQ22" s="721">
        <f>'2'!P13</f>
        <v>0</v>
      </c>
      <c r="AR22" s="721">
        <v>21111</v>
      </c>
      <c r="AS22" s="721">
        <v>162570</v>
      </c>
      <c r="AT22" s="721">
        <v>123571</v>
      </c>
      <c r="AU22" s="721" t="e">
        <f>#REF!</f>
        <v>#REF!</v>
      </c>
      <c r="AV22" s="721">
        <v>283376</v>
      </c>
      <c r="AW22" s="721">
        <v>239601</v>
      </c>
      <c r="AX22" s="721">
        <v>48950</v>
      </c>
      <c r="AY22" s="721">
        <v>0</v>
      </c>
    </row>
    <row r="23" spans="1:51" ht="61.5" customHeight="1">
      <c r="A23" s="3828"/>
      <c r="B23" s="3832"/>
      <c r="C23" s="3834"/>
      <c r="D23" s="3834"/>
      <c r="E23" s="3834"/>
      <c r="F23" s="3834"/>
      <c r="G23" s="3834"/>
      <c r="H23" s="3834"/>
      <c r="I23" s="3834"/>
      <c r="J23" s="3834"/>
      <c r="K23" s="3821"/>
      <c r="L23" s="745" t="str">
        <f>G19</f>
        <v xml:space="preserve">جمع دارائيها </v>
      </c>
      <c r="M23" s="3822"/>
      <c r="N23" s="3821"/>
      <c r="O23" s="852">
        <f>AI15</f>
        <v>0</v>
      </c>
      <c r="P23" s="852"/>
      <c r="Q23" s="852"/>
      <c r="S23" s="3822"/>
      <c r="T23" s="3821"/>
      <c r="U23" s="729" t="e">
        <f>AP15</f>
        <v>#REF!</v>
      </c>
      <c r="V23" s="729"/>
      <c r="W23" s="729"/>
      <c r="X23" s="729"/>
      <c r="Y23" s="729"/>
      <c r="Z23" s="3823"/>
      <c r="AA23" s="3820"/>
      <c r="AB23" s="3827" t="e">
        <f>AQ15</f>
        <v>#REF!</v>
      </c>
      <c r="AC23" s="3827"/>
      <c r="AD23" s="3827"/>
      <c r="AE23" s="729"/>
      <c r="AF23" s="3823"/>
      <c r="AG23" s="3820"/>
      <c r="AH23" s="3820">
        <f>AR15</f>
        <v>26413995</v>
      </c>
      <c r="AI23" s="3820"/>
      <c r="AJ23" s="3820"/>
      <c r="AN23" s="732" t="s">
        <v>142</v>
      </c>
      <c r="AO23" s="857"/>
      <c r="AP23" s="758">
        <f>'2'!N14</f>
        <v>22011623</v>
      </c>
      <c r="AQ23" s="734">
        <f t="shared" ref="AQ23:AY23" si="3">SUM(AQ18:AQ22)</f>
        <v>6909688</v>
      </c>
      <c r="AR23" s="734">
        <v>5785614</v>
      </c>
      <c r="AS23" s="734">
        <f>SUM(AS19:AS22)</f>
        <v>3662135</v>
      </c>
      <c r="AT23" s="734">
        <f t="shared" si="3"/>
        <v>1809461</v>
      </c>
      <c r="AU23" s="734" t="e">
        <f t="shared" si="3"/>
        <v>#REF!</v>
      </c>
      <c r="AV23" s="734">
        <f t="shared" si="3"/>
        <v>2306603</v>
      </c>
      <c r="AW23" s="734">
        <f t="shared" si="3"/>
        <v>7748477</v>
      </c>
      <c r="AX23" s="734">
        <f t="shared" si="3"/>
        <v>6941875</v>
      </c>
      <c r="AY23" s="734">
        <f t="shared" si="3"/>
        <v>6087909</v>
      </c>
    </row>
    <row r="24" spans="1:51" ht="61.5" customHeight="1">
      <c r="AN24" s="739" t="s">
        <v>368</v>
      </c>
      <c r="AO24" s="863"/>
      <c r="AP24" s="721">
        <f>'2'!N15</f>
        <v>0</v>
      </c>
      <c r="AQ24" s="721"/>
      <c r="AR24" s="721"/>
      <c r="AS24" s="721"/>
      <c r="AT24" s="721"/>
      <c r="AU24" s="721"/>
      <c r="AV24" s="721"/>
      <c r="AW24" s="722"/>
      <c r="AX24" s="722"/>
      <c r="AY24" s="721"/>
    </row>
    <row r="25" spans="1:51" ht="61.5" customHeight="1">
      <c r="A25" s="3828">
        <v>25</v>
      </c>
      <c r="B25" s="3828"/>
      <c r="C25" s="3828"/>
      <c r="D25" s="3828"/>
      <c r="E25" s="3828"/>
      <c r="F25" s="3828"/>
      <c r="G25" s="3828"/>
      <c r="H25" s="3828"/>
      <c r="I25" s="3828"/>
      <c r="J25" s="3828"/>
      <c r="K25" s="3828"/>
      <c r="L25" s="3828"/>
      <c r="M25" s="3828"/>
      <c r="N25" s="3828"/>
      <c r="O25" s="3828"/>
      <c r="P25" s="3828"/>
      <c r="Q25" s="3828"/>
      <c r="R25" s="3828"/>
      <c r="S25" s="3828"/>
      <c r="T25" s="3828"/>
      <c r="U25" s="3828"/>
      <c r="V25" s="3828"/>
      <c r="W25" s="3828"/>
      <c r="X25" s="3828"/>
      <c r="Y25" s="3828"/>
      <c r="Z25" s="3828"/>
      <c r="AA25" s="3828"/>
      <c r="AB25" s="3828"/>
      <c r="AC25" s="3828"/>
      <c r="AD25" s="3828"/>
      <c r="AE25" s="3828"/>
      <c r="AF25" s="3828"/>
      <c r="AG25" s="3828"/>
      <c r="AH25" s="3828"/>
      <c r="AI25" s="3828"/>
      <c r="AJ25" s="3828"/>
      <c r="AK25" s="3828"/>
      <c r="AL25" s="3828"/>
      <c r="AM25" s="3828"/>
      <c r="AN25" s="720" t="s">
        <v>819</v>
      </c>
      <c r="AO25" s="856"/>
      <c r="AP25" s="721" t="e">
        <f>'2'!N16</f>
        <v>#REF!</v>
      </c>
      <c r="AQ25" s="721" t="e">
        <f>'2'!P16</f>
        <v>#REF!</v>
      </c>
      <c r="AR25" s="721">
        <v>9435086</v>
      </c>
      <c r="AS25" s="721">
        <v>8349597</v>
      </c>
      <c r="AT25" s="721">
        <v>9384748</v>
      </c>
      <c r="AU25" s="721" t="e">
        <f>#REF!</f>
        <v>#REF!</v>
      </c>
      <c r="AV25" s="721">
        <v>8524561</v>
      </c>
      <c r="AW25" s="721">
        <v>621478</v>
      </c>
      <c r="AX25" s="721">
        <v>325281</v>
      </c>
      <c r="AY25" s="721">
        <v>3089411</v>
      </c>
    </row>
    <row r="26" spans="1:51" ht="61.5" customHeight="1">
      <c r="A26" s="748"/>
      <c r="B26" s="748"/>
      <c r="C26" s="748"/>
      <c r="D26" s="748"/>
      <c r="E26" s="748"/>
      <c r="F26" s="748"/>
      <c r="G26" s="748"/>
      <c r="H26" s="748"/>
      <c r="I26" s="748"/>
      <c r="J26" s="748"/>
      <c r="K26" s="748"/>
      <c r="L26" s="748"/>
      <c r="M26" s="748"/>
      <c r="N26" s="748"/>
      <c r="O26" s="748"/>
      <c r="P26" s="748"/>
      <c r="Q26" s="748"/>
      <c r="R26" s="748"/>
      <c r="S26" s="748"/>
      <c r="T26" s="748"/>
      <c r="U26" s="748"/>
      <c r="V26" s="748"/>
      <c r="W26" s="748"/>
      <c r="X26" s="748"/>
      <c r="Y26" s="748"/>
      <c r="Z26" s="748"/>
      <c r="AA26" s="748"/>
      <c r="AB26" s="748"/>
      <c r="AC26" s="748"/>
      <c r="AD26" s="748"/>
      <c r="AE26" s="748"/>
      <c r="AF26" s="748"/>
      <c r="AG26" s="748"/>
      <c r="AH26" s="748"/>
      <c r="AI26" s="748"/>
      <c r="AJ26" s="748"/>
      <c r="AK26" s="748"/>
      <c r="AL26" s="748"/>
      <c r="AN26" s="720" t="s">
        <v>1164</v>
      </c>
      <c r="AO26" s="856"/>
      <c r="AP26" s="721" t="e">
        <f>'2'!#REF!</f>
        <v>#REF!</v>
      </c>
      <c r="AQ26" s="721" t="e">
        <f>'2'!#REF!</f>
        <v>#REF!</v>
      </c>
      <c r="AR26" s="721">
        <v>19070</v>
      </c>
      <c r="AS26" s="721">
        <v>10304</v>
      </c>
      <c r="AT26" s="721">
        <v>0</v>
      </c>
      <c r="AU26" s="721"/>
      <c r="AV26" s="721"/>
      <c r="AW26" s="721"/>
      <c r="AX26" s="721"/>
      <c r="AY26" s="721"/>
    </row>
    <row r="27" spans="1:51" ht="61.5" customHeight="1">
      <c r="AN27" s="720" t="s">
        <v>16</v>
      </c>
      <c r="AO27" s="856"/>
      <c r="AP27" s="721" t="e">
        <f>'2'!N17</f>
        <v>#REF!</v>
      </c>
      <c r="AQ27" s="721" t="e">
        <f>'2'!P17</f>
        <v>#REF!</v>
      </c>
      <c r="AR27" s="743">
        <v>1418785</v>
      </c>
      <c r="AS27" s="743">
        <v>1002673</v>
      </c>
      <c r="AT27" s="743">
        <v>814331</v>
      </c>
      <c r="AU27" s="743" t="e">
        <f>#REF!</f>
        <v>#REF!</v>
      </c>
      <c r="AV27" s="743">
        <v>599647</v>
      </c>
      <c r="AW27" s="743">
        <v>464972</v>
      </c>
      <c r="AX27" s="743">
        <v>391152</v>
      </c>
      <c r="AY27" s="743">
        <v>839581</v>
      </c>
    </row>
    <row r="28" spans="1:51" ht="61.5" customHeight="1">
      <c r="AN28" s="732" t="s">
        <v>144</v>
      </c>
      <c r="AO28" s="857"/>
      <c r="AP28" s="758" t="e">
        <f>'2'!N19</f>
        <v>#REF!</v>
      </c>
      <c r="AQ28" s="734" t="e">
        <f>SUM(AQ24:AQ27)</f>
        <v>#REF!</v>
      </c>
      <c r="AR28" s="734">
        <v>10872941</v>
      </c>
      <c r="AS28" s="734">
        <f>SUM(AS25:AS27)</f>
        <v>9362574</v>
      </c>
      <c r="AT28" s="734">
        <f>SUM(AT24:AT27)</f>
        <v>10199079</v>
      </c>
      <c r="AU28" s="734" t="e">
        <f>SUM(AU24:AU27)</f>
        <v>#REF!</v>
      </c>
      <c r="AV28" s="734">
        <f>SUM(AV24:AV27)</f>
        <v>9124208</v>
      </c>
      <c r="AW28" s="734">
        <f>SUM(AW25:AW27)</f>
        <v>1086450</v>
      </c>
      <c r="AX28" s="734">
        <v>716433</v>
      </c>
      <c r="AY28" s="734">
        <f>SUM(AY25:AY27)</f>
        <v>3928992</v>
      </c>
    </row>
    <row r="29" spans="1:51" ht="61.5" customHeight="1">
      <c r="AN29" s="720"/>
      <c r="AO29" s="856"/>
      <c r="AP29" s="721"/>
      <c r="AQ29" s="743"/>
      <c r="AR29" s="743"/>
      <c r="AS29" s="743"/>
      <c r="AT29" s="743"/>
      <c r="AU29" s="743"/>
      <c r="AV29" s="743"/>
      <c r="AW29" s="722"/>
      <c r="AX29" s="722"/>
      <c r="AY29" s="743"/>
    </row>
    <row r="30" spans="1:51" ht="61.5" customHeight="1">
      <c r="AN30" s="732" t="s">
        <v>522</v>
      </c>
      <c r="AO30" s="857"/>
      <c r="AP30" s="758" t="e">
        <f>'2'!N20</f>
        <v>#REF!</v>
      </c>
      <c r="AQ30" s="737" t="e">
        <f t="shared" ref="AQ30:AY30" si="4">AQ23+AQ28</f>
        <v>#REF!</v>
      </c>
      <c r="AR30" s="737">
        <v>16658555</v>
      </c>
      <c r="AS30" s="737">
        <f t="shared" si="4"/>
        <v>13024709</v>
      </c>
      <c r="AT30" s="737">
        <f t="shared" si="4"/>
        <v>12008540</v>
      </c>
      <c r="AU30" s="737" t="e">
        <f t="shared" si="4"/>
        <v>#REF!</v>
      </c>
      <c r="AV30" s="737">
        <f t="shared" si="4"/>
        <v>11430811</v>
      </c>
      <c r="AW30" s="737">
        <f t="shared" si="4"/>
        <v>8834927</v>
      </c>
      <c r="AX30" s="737">
        <f t="shared" si="4"/>
        <v>7658308</v>
      </c>
      <c r="AY30" s="737">
        <f t="shared" si="4"/>
        <v>10016901</v>
      </c>
    </row>
    <row r="31" spans="1:51" ht="61.5" customHeight="1">
      <c r="AN31" s="720" t="s">
        <v>370</v>
      </c>
      <c r="AO31" s="856"/>
      <c r="AP31" s="721">
        <f>'2'!N21</f>
        <v>0</v>
      </c>
      <c r="AQ31" s="721"/>
      <c r="AR31" s="721"/>
      <c r="AS31" s="721"/>
      <c r="AT31" s="721"/>
      <c r="AU31" s="721"/>
      <c r="AV31" s="721"/>
      <c r="AW31" s="722"/>
      <c r="AX31" s="722"/>
      <c r="AY31" s="721"/>
    </row>
    <row r="32" spans="1:51" ht="61.5" customHeight="1">
      <c r="AN32" s="749" t="s">
        <v>1455</v>
      </c>
      <c r="AO32" s="864"/>
      <c r="AP32" s="721">
        <f>'2'!N22</f>
        <v>12000000</v>
      </c>
      <c r="AQ32" s="738">
        <f>'2'!P22</f>
        <v>12000000</v>
      </c>
      <c r="AR32" s="738">
        <v>12000000</v>
      </c>
      <c r="AS32" s="738">
        <v>12000000</v>
      </c>
      <c r="AT32" s="738">
        <v>12000000</v>
      </c>
      <c r="AU32" s="738" t="e">
        <f>#REF!</f>
        <v>#REF!</v>
      </c>
      <c r="AV32" s="738">
        <v>12000000</v>
      </c>
      <c r="AW32" s="738">
        <v>12000000</v>
      </c>
      <c r="AX32" s="738">
        <v>12000000</v>
      </c>
      <c r="AY32" s="738">
        <v>9507722</v>
      </c>
    </row>
    <row r="33" spans="15:51" ht="61.5" customHeight="1">
      <c r="AN33" s="720" t="s">
        <v>523</v>
      </c>
      <c r="AO33" s="856"/>
      <c r="AP33" s="721">
        <f>'2'!N24</f>
        <v>2736</v>
      </c>
      <c r="AQ33" s="738">
        <f>'2'!P24</f>
        <v>2736</v>
      </c>
      <c r="AR33" s="721">
        <v>2735</v>
      </c>
      <c r="AS33" s="721">
        <v>2735</v>
      </c>
      <c r="AT33" s="721">
        <v>2735</v>
      </c>
      <c r="AU33" s="721" t="e">
        <f>#REF!</f>
        <v>#REF!</v>
      </c>
      <c r="AV33" s="721">
        <v>2735</v>
      </c>
      <c r="AW33" s="721">
        <v>2735</v>
      </c>
      <c r="AX33" s="721">
        <v>2735</v>
      </c>
      <c r="AY33" s="721">
        <v>2735</v>
      </c>
    </row>
    <row r="34" spans="15:51" ht="61.5" customHeight="1">
      <c r="AN34" s="720" t="s">
        <v>146</v>
      </c>
      <c r="AO34" s="856"/>
      <c r="AP34" s="721">
        <v>1</v>
      </c>
      <c r="AQ34" s="738">
        <v>1</v>
      </c>
      <c r="AR34" s="721">
        <v>1</v>
      </c>
      <c r="AS34" s="721">
        <v>1</v>
      </c>
      <c r="AT34" s="721">
        <v>1</v>
      </c>
      <c r="AU34" s="721" t="e">
        <f>#REF!</f>
        <v>#REF!</v>
      </c>
      <c r="AV34" s="750">
        <v>0.5</v>
      </c>
      <c r="AW34" s="750">
        <v>0.5</v>
      </c>
      <c r="AX34" s="750">
        <v>0.5</v>
      </c>
      <c r="AY34" s="750">
        <v>0.5</v>
      </c>
    </row>
    <row r="35" spans="15:51" ht="61.5" customHeight="1">
      <c r="AN35" s="720" t="s">
        <v>147</v>
      </c>
      <c r="AO35" s="856"/>
      <c r="AP35" s="721"/>
      <c r="AQ35" s="721"/>
      <c r="AR35" s="721"/>
      <c r="AS35" s="721"/>
      <c r="AT35" s="721"/>
      <c r="AU35" s="721" t="e">
        <f>#REF!</f>
        <v>#REF!</v>
      </c>
      <c r="AV35" s="750">
        <v>6141.5</v>
      </c>
      <c r="AW35" s="750">
        <v>6141.5</v>
      </c>
      <c r="AX35" s="751">
        <v>6141.5</v>
      </c>
      <c r="AY35" s="750">
        <v>6141.5</v>
      </c>
    </row>
    <row r="36" spans="15:51" ht="61.5" customHeight="1">
      <c r="O36" s="1089"/>
      <c r="P36" s="1089"/>
      <c r="Q36" s="1089"/>
      <c r="R36" s="3841" t="s">
        <v>1742</v>
      </c>
      <c r="S36" s="3841"/>
      <c r="T36" s="3841"/>
      <c r="U36" s="3841"/>
      <c r="V36" s="1089"/>
      <c r="W36" s="1089"/>
      <c r="X36" s="1089"/>
      <c r="Y36" s="1089"/>
      <c r="AN36" s="720" t="s">
        <v>524</v>
      </c>
      <c r="AO36" s="856"/>
      <c r="AP36" s="721" t="e">
        <f>'2'!N25</f>
        <v>#REF!</v>
      </c>
      <c r="AQ36" s="738">
        <v>-2217945</v>
      </c>
      <c r="AR36" s="721">
        <v>-2247295.176549999</v>
      </c>
      <c r="AS36" s="721">
        <v>-2270351</v>
      </c>
      <c r="AT36" s="721">
        <v>-1809717</v>
      </c>
      <c r="AU36" s="721">
        <v>-1902291</v>
      </c>
      <c r="AV36" s="743">
        <v>-1070556</v>
      </c>
      <c r="AW36" s="743">
        <v>-654232</v>
      </c>
      <c r="AX36" s="743">
        <v>-767077</v>
      </c>
      <c r="AY36" s="743">
        <v>-582231</v>
      </c>
    </row>
    <row r="37" spans="15:51" ht="61.5" customHeight="1">
      <c r="O37" s="1089"/>
      <c r="P37" s="1089"/>
      <c r="Q37" s="1089" t="s">
        <v>1745</v>
      </c>
      <c r="R37" s="1089"/>
      <c r="S37" s="1090" t="s">
        <v>1727</v>
      </c>
      <c r="T37" s="1091"/>
      <c r="U37" s="1089" t="s">
        <v>1746</v>
      </c>
      <c r="V37" s="1089"/>
      <c r="W37" s="1089" t="s">
        <v>1747</v>
      </c>
      <c r="X37" s="1089"/>
      <c r="Y37" s="1089"/>
      <c r="AN37" s="732" t="s">
        <v>371</v>
      </c>
      <c r="AO37" s="857"/>
      <c r="AP37" s="758" t="e">
        <f>'2'!N26</f>
        <v>#REF!</v>
      </c>
      <c r="AQ37" s="734">
        <f t="shared" ref="AQ37:AY37" si="5">SUM(AQ32:AQ36)</f>
        <v>9784792</v>
      </c>
      <c r="AR37" s="734">
        <v>9755440.323450001</v>
      </c>
      <c r="AS37" s="734">
        <f t="shared" si="5"/>
        <v>9732385</v>
      </c>
      <c r="AT37" s="734">
        <f t="shared" si="5"/>
        <v>10193019</v>
      </c>
      <c r="AU37" s="734" t="e">
        <f t="shared" si="5"/>
        <v>#REF!</v>
      </c>
      <c r="AV37" s="734">
        <f t="shared" si="5"/>
        <v>10938321</v>
      </c>
      <c r="AW37" s="734">
        <f t="shared" si="5"/>
        <v>11354645</v>
      </c>
      <c r="AX37" s="734">
        <f t="shared" si="5"/>
        <v>11241800</v>
      </c>
      <c r="AY37" s="734">
        <f t="shared" si="5"/>
        <v>8934368</v>
      </c>
    </row>
    <row r="38" spans="15:51" ht="61.5" customHeight="1">
      <c r="O38" s="1089" t="s">
        <v>1743</v>
      </c>
      <c r="P38" s="1089"/>
      <c r="Q38" s="1089">
        <v>12826249</v>
      </c>
      <c r="R38" s="1089"/>
      <c r="S38" s="1089">
        <v>10695894</v>
      </c>
      <c r="T38" s="1091"/>
      <c r="U38" s="1089">
        <f>Q38-S38</f>
        <v>2130355</v>
      </c>
      <c r="V38" s="1089"/>
      <c r="W38" s="1089">
        <f>U38/Q38*100</f>
        <v>16.609337616944753</v>
      </c>
      <c r="X38" s="1089"/>
      <c r="Y38" s="1089"/>
      <c r="AN38" s="720"/>
      <c r="AO38" s="856"/>
      <c r="AP38" s="721"/>
      <c r="AQ38" s="743"/>
      <c r="AR38" s="743"/>
      <c r="AS38" s="743"/>
      <c r="AT38" s="743"/>
      <c r="AU38" s="743"/>
      <c r="AV38" s="743"/>
      <c r="AW38" s="743"/>
      <c r="AX38" s="743"/>
      <c r="AY38" s="743"/>
    </row>
    <row r="39" spans="15:51" ht="61.5" customHeight="1">
      <c r="O39" s="1089" t="s">
        <v>1744</v>
      </c>
      <c r="P39" s="1089"/>
      <c r="Q39" s="1089">
        <v>40032</v>
      </c>
      <c r="R39" s="1089"/>
      <c r="S39" s="1089">
        <v>34403</v>
      </c>
      <c r="T39" s="1091"/>
      <c r="U39" s="1089">
        <f>Q39-S39</f>
        <v>5629</v>
      </c>
      <c r="V39" s="1089"/>
      <c r="W39" s="1089">
        <f>U39/Q39*100</f>
        <v>14.06125099920064</v>
      </c>
      <c r="X39" s="1089"/>
      <c r="Y39" s="1089"/>
      <c r="AN39" s="732" t="s">
        <v>372</v>
      </c>
      <c r="AO39" s="857"/>
      <c r="AP39" s="758" t="e">
        <f>'2'!N27</f>
        <v>#REF!</v>
      </c>
      <c r="AQ39" s="737" t="e">
        <f t="shared" ref="AQ39:AV39" si="6">AQ37+AQ30</f>
        <v>#REF!</v>
      </c>
      <c r="AR39" s="737">
        <v>26413995.323449999</v>
      </c>
      <c r="AS39" s="737">
        <f t="shared" si="6"/>
        <v>22757094</v>
      </c>
      <c r="AT39" s="737">
        <f t="shared" si="6"/>
        <v>22201559</v>
      </c>
      <c r="AU39" s="737" t="e">
        <f t="shared" si="6"/>
        <v>#REF!</v>
      </c>
      <c r="AV39" s="737">
        <f t="shared" si="6"/>
        <v>22369132</v>
      </c>
      <c r="AW39" s="737">
        <f>AW30+AW37</f>
        <v>20189572</v>
      </c>
      <c r="AX39" s="737">
        <f>AX30+AX37</f>
        <v>18900108</v>
      </c>
      <c r="AY39" s="737">
        <f>AY30+AY37</f>
        <v>18951269</v>
      </c>
    </row>
    <row r="40" spans="15:51" ht="61.5" customHeight="1">
      <c r="O40" s="1089" t="s">
        <v>679</v>
      </c>
      <c r="P40" s="1089"/>
      <c r="Q40" s="1089">
        <f>SUM(Q38:Q39)</f>
        <v>12866281</v>
      </c>
      <c r="R40" s="1089"/>
      <c r="S40" s="1089">
        <f>SUM(S38:S39)</f>
        <v>10730297</v>
      </c>
      <c r="T40" s="1091"/>
      <c r="U40" s="1089">
        <f>SUM(U38:U39)</f>
        <v>2135984</v>
      </c>
      <c r="V40" s="1089"/>
      <c r="W40" s="1093">
        <f>U40/Q40*100</f>
        <v>16.601409529295992</v>
      </c>
      <c r="X40" s="1089"/>
      <c r="Y40" s="1089"/>
      <c r="AN40" s="752" t="s">
        <v>1456</v>
      </c>
      <c r="AO40" s="865"/>
      <c r="AP40" s="721" t="e">
        <f>AP39-AP15</f>
        <v>#REF!</v>
      </c>
      <c r="AQ40" s="721" t="e">
        <f t="shared" ref="AQ40:AY40" si="7">AQ39-AQ15</f>
        <v>#REF!</v>
      </c>
      <c r="AR40" s="721">
        <f t="shared" si="7"/>
        <v>0.3234499990940094</v>
      </c>
      <c r="AS40" s="721">
        <f t="shared" si="7"/>
        <v>0</v>
      </c>
      <c r="AT40" s="721">
        <f t="shared" si="7"/>
        <v>1</v>
      </c>
      <c r="AU40" s="721" t="e">
        <f t="shared" si="7"/>
        <v>#REF!</v>
      </c>
      <c r="AV40" s="721">
        <f t="shared" si="7"/>
        <v>0</v>
      </c>
      <c r="AW40" s="721">
        <f t="shared" si="7"/>
        <v>0</v>
      </c>
      <c r="AX40" s="721">
        <f t="shared" si="7"/>
        <v>0</v>
      </c>
      <c r="AY40" s="721">
        <f t="shared" si="7"/>
        <v>0</v>
      </c>
    </row>
    <row r="41" spans="15:51" ht="61.5" customHeight="1">
      <c r="O41" s="1089"/>
      <c r="P41" s="1089"/>
      <c r="Q41" s="1089"/>
      <c r="R41" s="1089"/>
      <c r="S41" s="1090"/>
      <c r="T41" s="1091"/>
      <c r="U41" s="1089"/>
      <c r="V41" s="1089"/>
      <c r="W41" s="1089"/>
      <c r="X41" s="1089"/>
      <c r="Y41" s="1089"/>
      <c r="AN41" s="753" t="s">
        <v>62</v>
      </c>
      <c r="AO41" s="863"/>
      <c r="AP41" s="721" t="str">
        <f>مفروضات!C10</f>
        <v>سال 1400</v>
      </c>
      <c r="AQ41" s="754" t="str">
        <f>AQ1</f>
        <v>سال مالي 93</v>
      </c>
      <c r="AR41" s="754" t="s">
        <v>1268</v>
      </c>
      <c r="AS41" s="754" t="s">
        <v>1270</v>
      </c>
      <c r="AT41" s="715" t="s">
        <v>1162</v>
      </c>
      <c r="AU41" s="715" t="s">
        <v>923</v>
      </c>
      <c r="AV41" s="754" t="str">
        <f>AV1</f>
        <v>سال مالي 1388</v>
      </c>
      <c r="AW41" s="754" t="str">
        <f>AW1</f>
        <v>سال مالي 1387</v>
      </c>
      <c r="AX41" s="754" t="str">
        <f>AX1</f>
        <v>سال مالي 1386</v>
      </c>
      <c r="AY41" s="754" t="str">
        <f>AY1</f>
        <v>سال مالي 1385</v>
      </c>
    </row>
    <row r="42" spans="15:51" ht="61.5" customHeight="1">
      <c r="O42" s="1086"/>
      <c r="P42" s="1086"/>
      <c r="Q42" s="1086"/>
      <c r="R42" s="1086"/>
      <c r="S42" s="1087"/>
      <c r="T42" s="1088"/>
      <c r="U42" s="1086"/>
      <c r="V42" s="1086"/>
      <c r="W42" s="1086"/>
      <c r="X42" s="1086"/>
      <c r="Y42" s="1086"/>
      <c r="AN42" s="755" t="s">
        <v>862</v>
      </c>
      <c r="AO42" s="866"/>
      <c r="AP42" s="721">
        <f>'3'!G9</f>
        <v>101531462</v>
      </c>
      <c r="AQ42" s="743">
        <f>'3'!I9</f>
        <v>53677665.610940002</v>
      </c>
      <c r="AR42" s="743">
        <v>8574808.823450001</v>
      </c>
      <c r="AS42" s="743">
        <v>6426998</v>
      </c>
      <c r="AT42" s="743">
        <v>5453575</v>
      </c>
      <c r="AU42" s="743" t="e">
        <f>#REF!</f>
        <v>#REF!</v>
      </c>
      <c r="AV42" s="743">
        <v>4373580</v>
      </c>
      <c r="AW42" s="743">
        <v>3997969</v>
      </c>
      <c r="AX42" s="756">
        <v>3192651</v>
      </c>
      <c r="AY42" s="743">
        <v>2611494</v>
      </c>
    </row>
    <row r="43" spans="15:51" ht="61.5" customHeight="1">
      <c r="O43" s="1086"/>
      <c r="P43" s="1086"/>
      <c r="Q43" s="1086"/>
      <c r="R43" s="1086"/>
      <c r="S43" s="1087"/>
      <c r="T43" s="1088"/>
      <c r="U43" s="1086"/>
      <c r="V43" s="1086"/>
      <c r="W43" s="1086"/>
      <c r="X43" s="1086"/>
      <c r="Y43" s="1086"/>
      <c r="AN43" s="755" t="s">
        <v>863</v>
      </c>
      <c r="AO43" s="866"/>
      <c r="AP43" s="721">
        <f>'3'!G10</f>
        <v>-20674457</v>
      </c>
      <c r="AQ43" s="743">
        <v>-9335729</v>
      </c>
      <c r="AR43" s="743">
        <v>-7655858</v>
      </c>
      <c r="AS43" s="743">
        <v>-5852007</v>
      </c>
      <c r="AT43" s="743">
        <v>-4974196</v>
      </c>
      <c r="AU43" s="743">
        <v>-4095037</v>
      </c>
      <c r="AV43" s="743">
        <v>-3508619</v>
      </c>
      <c r="AW43" s="743">
        <v>-3041089</v>
      </c>
      <c r="AX43" s="757">
        <v>-2700938</v>
      </c>
      <c r="AY43" s="743">
        <v>-2301629</v>
      </c>
    </row>
    <row r="44" spans="15:51" ht="61.5" customHeight="1">
      <c r="AN44" s="755" t="s">
        <v>864</v>
      </c>
      <c r="AO44" s="866"/>
      <c r="AP44" s="733">
        <f t="shared" ref="AP44:AY44" si="8">SUM(AP42:AP43)</f>
        <v>80857005</v>
      </c>
      <c r="AQ44" s="733">
        <f t="shared" si="8"/>
        <v>44341936.610940002</v>
      </c>
      <c r="AR44" s="733">
        <v>918950.82345000096</v>
      </c>
      <c r="AS44" s="733">
        <f t="shared" si="8"/>
        <v>574991</v>
      </c>
      <c r="AT44" s="733">
        <f t="shared" si="8"/>
        <v>479379</v>
      </c>
      <c r="AU44" s="733" t="e">
        <f t="shared" si="8"/>
        <v>#REF!</v>
      </c>
      <c r="AV44" s="733">
        <f t="shared" si="8"/>
        <v>864961</v>
      </c>
      <c r="AW44" s="733">
        <f t="shared" si="8"/>
        <v>956880</v>
      </c>
      <c r="AX44" s="733">
        <f t="shared" si="8"/>
        <v>491713</v>
      </c>
      <c r="AY44" s="733">
        <f t="shared" si="8"/>
        <v>309865</v>
      </c>
    </row>
    <row r="45" spans="15:51" ht="61.5" customHeight="1">
      <c r="AN45" s="755" t="s">
        <v>865</v>
      </c>
      <c r="AO45" s="866"/>
      <c r="AP45" s="743">
        <f>'3'!G12</f>
        <v>0</v>
      </c>
      <c r="AQ45" s="743">
        <f>'3'!I12</f>
        <v>-5804244</v>
      </c>
      <c r="AR45" s="743">
        <v>-1105639</v>
      </c>
      <c r="AS45" s="743">
        <v>-847419</v>
      </c>
      <c r="AT45" s="743">
        <v>-624775</v>
      </c>
      <c r="AU45" s="743">
        <v>-657779</v>
      </c>
      <c r="AV45" s="743">
        <v>-433718</v>
      </c>
      <c r="AW45" s="743">
        <v>-370985</v>
      </c>
      <c r="AX45" s="757">
        <v>-380948</v>
      </c>
      <c r="AY45" s="743">
        <v>-465048</v>
      </c>
    </row>
    <row r="46" spans="15:51" ht="61.5" customHeight="1">
      <c r="AN46" s="755" t="s">
        <v>866</v>
      </c>
      <c r="AO46" s="866"/>
      <c r="AP46" s="733">
        <f t="shared" ref="AP46:AY46" si="9">SUM(AP44:AP45)</f>
        <v>80857005</v>
      </c>
      <c r="AQ46" s="733">
        <f t="shared" si="9"/>
        <v>38537692.610940002</v>
      </c>
      <c r="AR46" s="733">
        <v>-186688.17654999904</v>
      </c>
      <c r="AS46" s="733">
        <f t="shared" si="9"/>
        <v>-272428</v>
      </c>
      <c r="AT46" s="733">
        <f t="shared" si="9"/>
        <v>-145396</v>
      </c>
      <c r="AU46" s="733" t="e">
        <f t="shared" si="9"/>
        <v>#REF!</v>
      </c>
      <c r="AV46" s="733">
        <f t="shared" si="9"/>
        <v>431243</v>
      </c>
      <c r="AW46" s="733">
        <f t="shared" si="9"/>
        <v>585895</v>
      </c>
      <c r="AX46" s="733">
        <f t="shared" si="9"/>
        <v>110765</v>
      </c>
      <c r="AY46" s="733">
        <f t="shared" si="9"/>
        <v>-155183</v>
      </c>
    </row>
    <row r="47" spans="15:51" ht="61.5" customHeight="1">
      <c r="AN47" s="755" t="s">
        <v>867</v>
      </c>
      <c r="AO47" s="866"/>
      <c r="AP47" s="743">
        <f>'3'!G14</f>
        <v>1178338</v>
      </c>
      <c r="AQ47" s="743">
        <f>'3'!I14</f>
        <v>893307</v>
      </c>
      <c r="AR47" s="743">
        <v>278911</v>
      </c>
      <c r="AS47" s="743">
        <v>244011</v>
      </c>
      <c r="AT47" s="743">
        <v>42277</v>
      </c>
      <c r="AU47" s="743" t="e">
        <f>#REF!</f>
        <v>#REF!</v>
      </c>
      <c r="AV47" s="743">
        <v>52559</v>
      </c>
      <c r="AW47" s="743">
        <v>13107</v>
      </c>
      <c r="AX47" s="757">
        <v>11610</v>
      </c>
      <c r="AY47" s="743">
        <v>7151</v>
      </c>
    </row>
    <row r="48" spans="15:51" ht="61.5" customHeight="1">
      <c r="AN48" s="755" t="s">
        <v>868</v>
      </c>
      <c r="AO48" s="866"/>
      <c r="AP48" s="733">
        <f t="shared" ref="AP48:AY48" si="10">SUM(AP46:AP47)</f>
        <v>82035343</v>
      </c>
      <c r="AQ48" s="733">
        <f t="shared" si="10"/>
        <v>39430999.610940002</v>
      </c>
      <c r="AR48" s="733">
        <v>92222.823450000957</v>
      </c>
      <c r="AS48" s="733">
        <f t="shared" si="10"/>
        <v>-28417</v>
      </c>
      <c r="AT48" s="733">
        <f t="shared" si="10"/>
        <v>-103119</v>
      </c>
      <c r="AU48" s="733" t="e">
        <f t="shared" si="10"/>
        <v>#REF!</v>
      </c>
      <c r="AV48" s="733">
        <f t="shared" si="10"/>
        <v>483802</v>
      </c>
      <c r="AW48" s="733">
        <f t="shared" si="10"/>
        <v>599002</v>
      </c>
      <c r="AX48" s="733">
        <f t="shared" si="10"/>
        <v>122375</v>
      </c>
      <c r="AY48" s="733">
        <f t="shared" si="10"/>
        <v>-148032</v>
      </c>
    </row>
    <row r="49" spans="3:51" ht="61.5" customHeight="1">
      <c r="AN49" s="755" t="s">
        <v>869</v>
      </c>
      <c r="AO49" s="866"/>
      <c r="AP49" s="743">
        <f>-AP48*25/100</f>
        <v>-20508835.75</v>
      </c>
      <c r="AQ49" s="743">
        <f>-AQ48*25/100</f>
        <v>-9857749.9027350005</v>
      </c>
      <c r="AR49" s="743">
        <v>-23055.705862500239</v>
      </c>
      <c r="AS49" s="743">
        <v>-24375</v>
      </c>
      <c r="AT49" s="743">
        <v>-25396</v>
      </c>
      <c r="AU49" s="743">
        <f>'3'!H16</f>
        <v>0</v>
      </c>
      <c r="AV49" s="743">
        <v>-120950</v>
      </c>
      <c r="AW49" s="743">
        <v>-149750</v>
      </c>
      <c r="AX49" s="757">
        <v>-30594</v>
      </c>
      <c r="AY49" s="743">
        <v>0</v>
      </c>
    </row>
    <row r="50" spans="3:51" ht="61.5" customHeight="1">
      <c r="AN50" s="755" t="s">
        <v>870</v>
      </c>
      <c r="AO50" s="866"/>
      <c r="AP50" s="733">
        <f t="shared" ref="AP50:AY50" si="11">SUM(AP48:AP49)</f>
        <v>61526507.25</v>
      </c>
      <c r="AQ50" s="733">
        <f t="shared" si="11"/>
        <v>29573249.708205</v>
      </c>
      <c r="AR50" s="733">
        <v>69167.117587500717</v>
      </c>
      <c r="AS50" s="733">
        <f t="shared" si="11"/>
        <v>-52792</v>
      </c>
      <c r="AT50" s="733">
        <f t="shared" si="11"/>
        <v>-128515</v>
      </c>
      <c r="AU50" s="733" t="e">
        <f t="shared" si="11"/>
        <v>#REF!</v>
      </c>
      <c r="AV50" s="733">
        <f t="shared" si="11"/>
        <v>362852</v>
      </c>
      <c r="AW50" s="733">
        <f t="shared" si="11"/>
        <v>449252</v>
      </c>
      <c r="AX50" s="733">
        <f t="shared" si="11"/>
        <v>91781</v>
      </c>
      <c r="AY50" s="733">
        <f t="shared" si="11"/>
        <v>-148032</v>
      </c>
    </row>
    <row r="51" spans="3:51" ht="61.5" customHeight="1">
      <c r="AN51" s="755" t="s">
        <v>1457</v>
      </c>
      <c r="AO51" s="866"/>
      <c r="AP51" s="733">
        <f>SUM(AP49:AP50)</f>
        <v>41017671.5</v>
      </c>
      <c r="AQ51" s="733">
        <f>SUM(AQ49:AQ50)</f>
        <v>19715499.805469997</v>
      </c>
    </row>
    <row r="52" spans="3:51" ht="61.5" customHeight="1">
      <c r="AN52" s="755" t="s">
        <v>1458</v>
      </c>
      <c r="AO52" s="866"/>
      <c r="AP52" s="743">
        <f>AP50-AP51</f>
        <v>20508835.75</v>
      </c>
      <c r="AQ52" s="743">
        <f>AQ50-AQ51</f>
        <v>9857749.9027350023</v>
      </c>
    </row>
    <row r="53" spans="3:51" ht="61.5" customHeight="1">
      <c r="AO53" s="854"/>
      <c r="AP53" s="733">
        <f>SUM(AP51:AP52)</f>
        <v>61526507.25</v>
      </c>
      <c r="AQ53" s="733">
        <f>SUM(AQ51:AQ52)</f>
        <v>29573249.708205</v>
      </c>
    </row>
    <row r="61" spans="3:51" ht="61.5" customHeight="1">
      <c r="C61" s="713"/>
      <c r="D61" s="713"/>
      <c r="M61" s="849"/>
      <c r="O61" s="849"/>
      <c r="P61" s="849"/>
      <c r="Q61" s="849"/>
      <c r="R61" s="713"/>
      <c r="S61" s="713"/>
      <c r="U61" s="713"/>
      <c r="V61" s="713"/>
      <c r="W61" s="713"/>
      <c r="X61" s="713"/>
      <c r="Y61" s="713"/>
      <c r="Z61" s="713"/>
      <c r="AA61" s="713"/>
      <c r="AB61" s="713"/>
      <c r="AC61" s="713"/>
      <c r="AD61" s="713"/>
      <c r="AE61" s="713"/>
      <c r="AF61" s="713"/>
      <c r="AG61" s="713"/>
      <c r="AH61" s="713"/>
      <c r="AI61" s="713"/>
      <c r="AJ61" s="713"/>
      <c r="AK61" s="713"/>
    </row>
    <row r="62" spans="3:51" ht="61.5" customHeight="1">
      <c r="C62" s="713"/>
      <c r="D62" s="713"/>
      <c r="M62" s="849"/>
      <c r="O62" s="849"/>
      <c r="P62" s="849"/>
      <c r="Q62" s="849"/>
      <c r="R62" s="713"/>
      <c r="S62" s="713"/>
      <c r="U62" s="713"/>
      <c r="V62" s="713"/>
      <c r="W62" s="713"/>
      <c r="X62" s="713"/>
      <c r="Y62" s="713"/>
      <c r="Z62" s="713"/>
      <c r="AA62" s="713"/>
      <c r="AB62" s="713"/>
      <c r="AC62" s="713"/>
      <c r="AD62" s="713"/>
      <c r="AE62" s="713"/>
      <c r="AF62" s="713"/>
      <c r="AG62" s="713"/>
      <c r="AH62" s="713"/>
      <c r="AI62" s="713"/>
      <c r="AJ62" s="713"/>
      <c r="AK62" s="713"/>
    </row>
    <row r="65" spans="3:37" ht="61.5" customHeight="1">
      <c r="C65" s="713"/>
      <c r="D65" s="713"/>
      <c r="M65" s="849"/>
      <c r="O65" s="849"/>
      <c r="P65" s="849"/>
      <c r="Q65" s="849"/>
      <c r="R65" s="713"/>
      <c r="S65" s="713"/>
      <c r="U65" s="713"/>
      <c r="V65" s="713"/>
      <c r="W65" s="713"/>
      <c r="X65" s="713"/>
      <c r="Y65" s="713"/>
      <c r="Z65" s="713"/>
      <c r="AA65" s="713"/>
      <c r="AB65" s="713"/>
      <c r="AC65" s="713"/>
      <c r="AD65" s="713"/>
      <c r="AE65" s="713"/>
      <c r="AF65" s="713"/>
      <c r="AG65" s="713"/>
      <c r="AH65" s="713"/>
      <c r="AI65" s="713"/>
      <c r="AJ65" s="713"/>
      <c r="AK65" s="713"/>
    </row>
    <row r="66" spans="3:37" ht="61.5" customHeight="1">
      <c r="C66" s="713"/>
      <c r="D66" s="713"/>
      <c r="M66" s="849"/>
      <c r="O66" s="849"/>
      <c r="P66" s="849"/>
      <c r="Q66" s="849"/>
      <c r="R66" s="713"/>
      <c r="S66" s="713"/>
      <c r="U66" s="713"/>
      <c r="V66" s="713"/>
      <c r="W66" s="713"/>
      <c r="X66" s="713"/>
      <c r="Y66" s="713"/>
      <c r="Z66" s="713"/>
      <c r="AA66" s="713"/>
      <c r="AB66" s="713"/>
      <c r="AC66" s="713"/>
      <c r="AD66" s="713"/>
      <c r="AE66" s="713"/>
      <c r="AF66" s="713"/>
      <c r="AG66" s="713"/>
      <c r="AH66" s="713"/>
      <c r="AI66" s="713"/>
      <c r="AJ66" s="713"/>
      <c r="AK66" s="713"/>
    </row>
    <row r="67" spans="3:37" ht="61.5" customHeight="1">
      <c r="C67" s="713"/>
      <c r="D67" s="713"/>
      <c r="M67" s="849"/>
      <c r="O67" s="849"/>
      <c r="P67" s="849"/>
      <c r="Q67" s="849"/>
      <c r="R67" s="713"/>
      <c r="S67" s="713"/>
      <c r="U67" s="713"/>
      <c r="V67" s="713"/>
      <c r="W67" s="713"/>
      <c r="X67" s="713"/>
      <c r="Y67" s="713"/>
      <c r="Z67" s="713"/>
      <c r="AA67" s="713"/>
      <c r="AB67" s="713"/>
      <c r="AC67" s="713"/>
      <c r="AD67" s="713"/>
      <c r="AE67" s="713"/>
      <c r="AF67" s="713"/>
      <c r="AG67" s="713"/>
      <c r="AH67" s="713"/>
      <c r="AI67" s="713"/>
      <c r="AJ67" s="713"/>
      <c r="AK67" s="713"/>
    </row>
    <row r="68" spans="3:37" ht="61.5" customHeight="1">
      <c r="C68" s="713"/>
      <c r="D68" s="713"/>
      <c r="M68" s="849"/>
      <c r="O68" s="849"/>
      <c r="P68" s="849"/>
      <c r="Q68" s="849"/>
      <c r="R68" s="713"/>
      <c r="S68" s="713"/>
      <c r="U68" s="713"/>
      <c r="V68" s="713"/>
      <c r="W68" s="713"/>
      <c r="X68" s="713"/>
      <c r="Y68" s="713"/>
      <c r="Z68" s="713"/>
      <c r="AA68" s="713"/>
      <c r="AB68" s="713"/>
      <c r="AC68" s="713"/>
      <c r="AD68" s="713"/>
      <c r="AE68" s="713"/>
      <c r="AF68" s="713"/>
      <c r="AG68" s="713"/>
      <c r="AH68" s="713"/>
      <c r="AI68" s="713"/>
      <c r="AJ68" s="713"/>
      <c r="AK68" s="713"/>
    </row>
    <row r="69" spans="3:37" ht="61.5" customHeight="1">
      <c r="C69" s="713"/>
      <c r="D69" s="713"/>
      <c r="M69" s="849"/>
      <c r="O69" s="849"/>
      <c r="P69" s="849"/>
      <c r="Q69" s="849"/>
      <c r="R69" s="713"/>
      <c r="S69" s="713"/>
      <c r="U69" s="713"/>
      <c r="V69" s="713"/>
      <c r="W69" s="713"/>
      <c r="X69" s="713"/>
      <c r="Y69" s="713"/>
      <c r="Z69" s="713"/>
      <c r="AA69" s="713"/>
      <c r="AB69" s="713"/>
      <c r="AC69" s="713"/>
      <c r="AD69" s="713"/>
      <c r="AE69" s="713"/>
      <c r="AF69" s="713"/>
      <c r="AG69" s="713"/>
      <c r="AH69" s="713"/>
      <c r="AI69" s="713"/>
      <c r="AJ69" s="713"/>
      <c r="AK69" s="713"/>
    </row>
    <row r="70" spans="3:37" ht="61.5" customHeight="1">
      <c r="C70" s="713"/>
      <c r="D70" s="713"/>
      <c r="M70" s="849"/>
      <c r="O70" s="849"/>
      <c r="P70" s="849"/>
      <c r="Q70" s="849"/>
      <c r="R70" s="713"/>
      <c r="S70" s="713"/>
      <c r="U70" s="713"/>
      <c r="V70" s="713"/>
      <c r="W70" s="713"/>
      <c r="X70" s="713"/>
      <c r="Y70" s="713"/>
      <c r="Z70" s="713"/>
      <c r="AA70" s="713"/>
      <c r="AB70" s="713"/>
      <c r="AC70" s="713"/>
      <c r="AD70" s="713"/>
      <c r="AE70" s="713"/>
      <c r="AF70" s="713"/>
      <c r="AG70" s="713"/>
      <c r="AH70" s="713"/>
      <c r="AI70" s="713"/>
      <c r="AJ70" s="713"/>
      <c r="AK70" s="713"/>
    </row>
    <row r="71" spans="3:37" ht="61.5" customHeight="1">
      <c r="C71" s="713"/>
      <c r="D71" s="713"/>
      <c r="M71" s="849"/>
      <c r="O71" s="849"/>
      <c r="P71" s="849"/>
      <c r="Q71" s="849"/>
      <c r="R71" s="713"/>
      <c r="S71" s="713"/>
      <c r="U71" s="713"/>
      <c r="V71" s="713"/>
      <c r="W71" s="713"/>
      <c r="X71" s="713"/>
      <c r="Y71" s="713"/>
      <c r="Z71" s="713"/>
      <c r="AA71" s="713"/>
      <c r="AB71" s="713"/>
      <c r="AC71" s="713"/>
      <c r="AD71" s="713"/>
      <c r="AE71" s="713"/>
      <c r="AF71" s="713"/>
      <c r="AG71" s="713"/>
      <c r="AH71" s="713"/>
      <c r="AI71" s="713"/>
      <c r="AJ71" s="713"/>
      <c r="AK71" s="713"/>
    </row>
    <row r="72" spans="3:37" ht="61.5" customHeight="1">
      <c r="C72" s="713"/>
      <c r="D72" s="713"/>
      <c r="M72" s="849"/>
      <c r="O72" s="849"/>
      <c r="P72" s="849"/>
      <c r="Q72" s="849"/>
      <c r="R72" s="713"/>
      <c r="S72" s="713"/>
      <c r="U72" s="713"/>
      <c r="V72" s="713"/>
      <c r="W72" s="713"/>
      <c r="X72" s="713"/>
      <c r="Y72" s="713"/>
      <c r="Z72" s="713"/>
      <c r="AA72" s="713"/>
      <c r="AB72" s="713"/>
      <c r="AC72" s="713"/>
      <c r="AD72" s="713"/>
      <c r="AE72" s="713"/>
      <c r="AF72" s="713"/>
      <c r="AG72" s="713"/>
      <c r="AH72" s="713"/>
      <c r="AI72" s="713"/>
      <c r="AJ72" s="713"/>
      <c r="AK72" s="713"/>
    </row>
    <row r="73" spans="3:37" ht="61.5" customHeight="1">
      <c r="C73" s="713"/>
      <c r="D73" s="713"/>
      <c r="M73" s="849"/>
      <c r="O73" s="849"/>
      <c r="P73" s="849"/>
      <c r="Q73" s="849"/>
      <c r="R73" s="713"/>
      <c r="S73" s="713"/>
      <c r="U73" s="713"/>
      <c r="V73" s="713"/>
      <c r="W73" s="713"/>
      <c r="X73" s="713"/>
      <c r="Y73" s="713"/>
      <c r="Z73" s="713"/>
      <c r="AA73" s="713"/>
      <c r="AB73" s="713"/>
      <c r="AC73" s="713"/>
      <c r="AD73" s="713"/>
      <c r="AE73" s="713"/>
      <c r="AF73" s="713"/>
      <c r="AG73" s="713"/>
      <c r="AH73" s="713"/>
      <c r="AI73" s="713"/>
      <c r="AJ73" s="713"/>
      <c r="AK73" s="713"/>
    </row>
    <row r="74" spans="3:37" ht="61.5" customHeight="1">
      <c r="C74" s="713"/>
      <c r="D74" s="713"/>
      <c r="M74" s="849"/>
      <c r="O74" s="849"/>
      <c r="P74" s="849"/>
      <c r="Q74" s="849"/>
      <c r="R74" s="713"/>
      <c r="S74" s="713"/>
      <c r="U74" s="713"/>
      <c r="V74" s="713"/>
      <c r="W74" s="713"/>
      <c r="X74" s="713"/>
      <c r="Y74" s="713"/>
      <c r="Z74" s="713"/>
      <c r="AA74" s="713"/>
      <c r="AB74" s="713"/>
      <c r="AC74" s="713"/>
      <c r="AD74" s="713"/>
      <c r="AE74" s="713"/>
      <c r="AF74" s="713"/>
      <c r="AG74" s="713"/>
      <c r="AH74" s="713"/>
      <c r="AI74" s="713"/>
      <c r="AJ74" s="713"/>
      <c r="AK74" s="713"/>
    </row>
    <row r="75" spans="3:37" ht="61.5" customHeight="1">
      <c r="C75" s="713"/>
      <c r="D75" s="713"/>
      <c r="M75" s="849"/>
      <c r="O75" s="849"/>
      <c r="P75" s="849"/>
      <c r="Q75" s="849"/>
      <c r="R75" s="713"/>
      <c r="S75" s="713"/>
      <c r="U75" s="713"/>
      <c r="V75" s="713"/>
      <c r="W75" s="713"/>
      <c r="X75" s="713"/>
      <c r="Y75" s="713"/>
      <c r="Z75" s="713"/>
      <c r="AA75" s="713"/>
      <c r="AB75" s="713"/>
      <c r="AC75" s="713"/>
      <c r="AD75" s="713"/>
      <c r="AE75" s="713"/>
      <c r="AF75" s="713"/>
      <c r="AG75" s="713"/>
      <c r="AH75" s="713"/>
      <c r="AI75" s="713"/>
      <c r="AJ75" s="713"/>
      <c r="AK75" s="713"/>
    </row>
    <row r="76" spans="3:37" ht="61.5" customHeight="1">
      <c r="C76" s="713"/>
      <c r="D76" s="713"/>
      <c r="M76" s="849"/>
      <c r="O76" s="849"/>
      <c r="P76" s="849"/>
      <c r="Q76" s="849"/>
      <c r="R76" s="713"/>
      <c r="S76" s="713"/>
      <c r="U76" s="713"/>
      <c r="V76" s="713"/>
      <c r="W76" s="713"/>
      <c r="X76" s="713"/>
      <c r="Y76" s="713"/>
      <c r="Z76" s="713"/>
      <c r="AA76" s="713"/>
      <c r="AB76" s="713"/>
      <c r="AC76" s="713"/>
      <c r="AD76" s="713"/>
      <c r="AE76" s="713"/>
      <c r="AF76" s="713"/>
      <c r="AG76" s="713"/>
      <c r="AH76" s="713"/>
      <c r="AI76" s="713"/>
      <c r="AJ76" s="713"/>
      <c r="AK76" s="713"/>
    </row>
    <row r="77" spans="3:37" ht="61.5" customHeight="1">
      <c r="C77" s="713"/>
      <c r="D77" s="713"/>
      <c r="M77" s="849"/>
      <c r="O77" s="849"/>
      <c r="P77" s="849"/>
      <c r="Q77" s="849"/>
      <c r="R77" s="713"/>
      <c r="S77" s="713"/>
      <c r="U77" s="713"/>
      <c r="V77" s="713"/>
      <c r="W77" s="713"/>
      <c r="X77" s="713"/>
      <c r="Y77" s="713"/>
      <c r="Z77" s="713"/>
      <c r="AA77" s="713"/>
      <c r="AB77" s="713"/>
      <c r="AC77" s="713"/>
      <c r="AD77" s="713"/>
      <c r="AE77" s="713"/>
      <c r="AF77" s="713"/>
      <c r="AG77" s="713"/>
      <c r="AH77" s="713"/>
      <c r="AI77" s="713"/>
      <c r="AJ77" s="713"/>
      <c r="AK77" s="713"/>
    </row>
  </sheetData>
  <mergeCells count="175">
    <mergeCell ref="R36:U36"/>
    <mergeCell ref="D5:D6"/>
    <mergeCell ref="C7:C8"/>
    <mergeCell ref="G19:L19"/>
    <mergeCell ref="M18:M19"/>
    <mergeCell ref="N18:N19"/>
    <mergeCell ref="G20:L20"/>
    <mergeCell ref="G21:L21"/>
    <mergeCell ref="E14:L14"/>
    <mergeCell ref="E5:L5"/>
    <mergeCell ref="E6:L6"/>
    <mergeCell ref="E15:L15"/>
    <mergeCell ref="G18:L18"/>
    <mergeCell ref="C12:C13"/>
    <mergeCell ref="D12:D13"/>
    <mergeCell ref="AH5:AJ5"/>
    <mergeCell ref="AH6:AJ6"/>
    <mergeCell ref="AG5:AG6"/>
    <mergeCell ref="AF5:AF6"/>
    <mergeCell ref="M3:M4"/>
    <mergeCell ref="M22:M23"/>
    <mergeCell ref="N22:N23"/>
    <mergeCell ref="N3:N4"/>
    <mergeCell ref="O4:Q4"/>
    <mergeCell ref="M5:M6"/>
    <mergeCell ref="N5:N6"/>
    <mergeCell ref="M7:M8"/>
    <mergeCell ref="N7:N8"/>
    <mergeCell ref="M9:M10"/>
    <mergeCell ref="N9:N10"/>
    <mergeCell ref="M12:M13"/>
    <mergeCell ref="N12:N13"/>
    <mergeCell ref="Z22:Z23"/>
    <mergeCell ref="AB5:AD5"/>
    <mergeCell ref="AB6:AD6"/>
    <mergeCell ref="AA5:AA6"/>
    <mergeCell ref="AB7:AD7"/>
    <mergeCell ref="AB8:AD8"/>
    <mergeCell ref="AA7:AA8"/>
    <mergeCell ref="AG3:AG4"/>
    <mergeCell ref="AF3:AF4"/>
    <mergeCell ref="AH4:AJ4"/>
    <mergeCell ref="AF2:AK2"/>
    <mergeCell ref="S3:S4"/>
    <mergeCell ref="T3:T4"/>
    <mergeCell ref="U4:W4"/>
    <mergeCell ref="B2:L2"/>
    <mergeCell ref="M2:Q2"/>
    <mergeCell ref="AB4:AD4"/>
    <mergeCell ref="AA3:AA4"/>
    <mergeCell ref="Z3:Z4"/>
    <mergeCell ref="E4:L4"/>
    <mergeCell ref="S2:W2"/>
    <mergeCell ref="Y2:AD2"/>
    <mergeCell ref="A3:A6"/>
    <mergeCell ref="C3:C4"/>
    <mergeCell ref="B20:B21"/>
    <mergeCell ref="C20:E21"/>
    <mergeCell ref="AA14:AA15"/>
    <mergeCell ref="AB16:AD16"/>
    <mergeCell ref="AB17:AD17"/>
    <mergeCell ref="AA16:AA17"/>
    <mergeCell ref="AB18:AD18"/>
    <mergeCell ref="AB19:AD19"/>
    <mergeCell ref="B16:B17"/>
    <mergeCell ref="C16:D17"/>
    <mergeCell ref="E16:E17"/>
    <mergeCell ref="B14:B15"/>
    <mergeCell ref="C14:C15"/>
    <mergeCell ref="D14:D15"/>
    <mergeCell ref="T12:T13"/>
    <mergeCell ref="T16:T17"/>
    <mergeCell ref="D3:D4"/>
    <mergeCell ref="E3:L3"/>
    <mergeCell ref="B5:B6"/>
    <mergeCell ref="C5:C6"/>
    <mergeCell ref="C18:E19"/>
    <mergeCell ref="F18:F19"/>
    <mergeCell ref="B22:B23"/>
    <mergeCell ref="C22:J23"/>
    <mergeCell ref="A7:A10"/>
    <mergeCell ref="D7:D8"/>
    <mergeCell ref="B9:B10"/>
    <mergeCell ref="C9:C10"/>
    <mergeCell ref="D9:D10"/>
    <mergeCell ref="E7:L7"/>
    <mergeCell ref="E8:L8"/>
    <mergeCell ref="E9:L9"/>
    <mergeCell ref="E10:L10"/>
    <mergeCell ref="E12:L12"/>
    <mergeCell ref="E13:L13"/>
    <mergeCell ref="A18:A23"/>
    <mergeCell ref="Z12:Z13"/>
    <mergeCell ref="Z14:Z15"/>
    <mergeCell ref="Z16:Z17"/>
    <mergeCell ref="Z18:Z19"/>
    <mergeCell ref="A25:AM25"/>
    <mergeCell ref="F16:L16"/>
    <mergeCell ref="F17:L17"/>
    <mergeCell ref="S22:S23"/>
    <mergeCell ref="T22:T23"/>
    <mergeCell ref="S20:S21"/>
    <mergeCell ref="T20:T21"/>
    <mergeCell ref="F20:F21"/>
    <mergeCell ref="AF20:AF21"/>
    <mergeCell ref="AG22:AG23"/>
    <mergeCell ref="AF22:AF23"/>
    <mergeCell ref="AG20:AG21"/>
    <mergeCell ref="AH21:AJ21"/>
    <mergeCell ref="AH22:AJ22"/>
    <mergeCell ref="AH23:AJ23"/>
    <mergeCell ref="T18:T19"/>
    <mergeCell ref="AB22:AD22"/>
    <mergeCell ref="AB23:AD23"/>
    <mergeCell ref="K22:K23"/>
    <mergeCell ref="A12:A17"/>
    <mergeCell ref="AB15:AD15"/>
    <mergeCell ref="AA18:AA19"/>
    <mergeCell ref="AB20:AD20"/>
    <mergeCell ref="AB21:AD21"/>
    <mergeCell ref="S5:S6"/>
    <mergeCell ref="T5:T6"/>
    <mergeCell ref="AG7:AG8"/>
    <mergeCell ref="AF7:AF8"/>
    <mergeCell ref="AG9:AG10"/>
    <mergeCell ref="AB9:AD9"/>
    <mergeCell ref="AB10:AD10"/>
    <mergeCell ref="AB12:AD12"/>
    <mergeCell ref="AB13:AD13"/>
    <mergeCell ref="AG12:AG13"/>
    <mergeCell ref="AF12:AF13"/>
    <mergeCell ref="AA9:AA10"/>
    <mergeCell ref="AA12:AA13"/>
    <mergeCell ref="Z5:Z6"/>
    <mergeCell ref="S7:S8"/>
    <mergeCell ref="T7:T8"/>
    <mergeCell ref="S12:S13"/>
    <mergeCell ref="AF9:AF10"/>
    <mergeCell ref="Z7:Z8"/>
    <mergeCell ref="Z9:Z10"/>
    <mergeCell ref="AA22:AA23"/>
    <mergeCell ref="M14:M15"/>
    <mergeCell ref="N14:N15"/>
    <mergeCell ref="M16:M17"/>
    <mergeCell ref="N16:N17"/>
    <mergeCell ref="S18:S19"/>
    <mergeCell ref="AA20:AA21"/>
    <mergeCell ref="Z20:Z21"/>
    <mergeCell ref="S14:S15"/>
    <mergeCell ref="T14:T15"/>
    <mergeCell ref="S16:S17"/>
    <mergeCell ref="AH7:AJ7"/>
    <mergeCell ref="AH8:AJ8"/>
    <mergeCell ref="AH9:AJ9"/>
    <mergeCell ref="AH12:AJ12"/>
    <mergeCell ref="AH13:AJ13"/>
    <mergeCell ref="AH10:AJ10"/>
    <mergeCell ref="AH14:AJ14"/>
    <mergeCell ref="T9:T10"/>
    <mergeCell ref="M20:M21"/>
    <mergeCell ref="N20:N21"/>
    <mergeCell ref="AH15:AJ15"/>
    <mergeCell ref="AH16:AJ16"/>
    <mergeCell ref="AH17:AJ17"/>
    <mergeCell ref="AH18:AJ18"/>
    <mergeCell ref="AH19:AJ19"/>
    <mergeCell ref="AH20:AJ20"/>
    <mergeCell ref="S9:S10"/>
    <mergeCell ref="AG16:AG17"/>
    <mergeCell ref="AF16:AF17"/>
    <mergeCell ref="AG18:AG19"/>
    <mergeCell ref="AF18:AF19"/>
    <mergeCell ref="AG14:AG15"/>
    <mergeCell ref="AF14:AF15"/>
    <mergeCell ref="AB14:AD14"/>
  </mergeCells>
  <printOptions horizontalCentered="1"/>
  <pageMargins left="0.15748031496062992" right="0.15748031496062992" top="0" bottom="0.15748031496062992" header="0.23622047244094491" footer="0.39370078740157483"/>
  <pageSetup paperSize="9" orientation="landscape" r:id="rId1"/>
  <headerFooter alignWithMargins="0">
    <oddHeader xml:space="preserve">&amp;C&amp;"Nazanin,Bold"&amp;25 </oddHeader>
    <oddFooter xml:space="preserve">&amp;C&amp;16
</oddFooter>
  </headerFooter>
  <colBreaks count="3" manualBreakCount="3">
    <brk id="36" max="22" man="1"/>
    <brk id="37" max="23" man="1"/>
    <brk id="38" max="2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rightToLeft="1" view="pageBreakPreview" topLeftCell="A10" zoomScale="70" zoomScaleNormal="100" zoomScaleSheetLayoutView="70" workbookViewId="0">
      <selection activeCell="L20" sqref="L20"/>
    </sheetView>
  </sheetViews>
  <sheetFormatPr defaultColWidth="16.375" defaultRowHeight="24" customHeight="1"/>
  <cols>
    <col min="1" max="1" width="3.5" style="1678" customWidth="1"/>
    <col min="2" max="2" width="6" style="1678" customWidth="1"/>
    <col min="3" max="3" width="25.625" style="1678" customWidth="1"/>
    <col min="4" max="4" width="12" style="1678" customWidth="1"/>
    <col min="5" max="5" width="24.375" style="1678" customWidth="1"/>
    <col min="6" max="6" width="19" style="1678" customWidth="1"/>
    <col min="7" max="7" width="12.375" style="1678" customWidth="1"/>
    <col min="8" max="8" width="16.5" style="1678" bestFit="1" customWidth="1"/>
    <col min="9" max="9" width="16.75" style="1678" customWidth="1"/>
    <col min="10" max="10" width="43.625" style="1678" customWidth="1"/>
    <col min="11" max="16384" width="16.375" style="1678"/>
  </cols>
  <sheetData>
    <row r="1" spans="1:16" s="250" customFormat="1" ht="33" customHeight="1">
      <c r="A1" s="3740" t="s">
        <v>612</v>
      </c>
      <c r="B1" s="3740"/>
      <c r="C1" s="3740"/>
      <c r="D1" s="3740"/>
      <c r="E1" s="3740"/>
      <c r="F1" s="3740"/>
      <c r="G1" s="3740"/>
      <c r="H1" s="3740"/>
      <c r="I1" s="3740"/>
      <c r="J1" s="3740"/>
      <c r="K1" s="1861"/>
      <c r="L1" s="1861"/>
      <c r="M1" s="1861"/>
      <c r="N1" s="1861"/>
      <c r="O1" s="484"/>
      <c r="P1" s="484"/>
    </row>
    <row r="2" spans="1:16" s="250" customFormat="1" ht="35.25" customHeight="1">
      <c r="A2" s="3849" t="s">
        <v>2444</v>
      </c>
      <c r="B2" s="3740"/>
      <c r="C2" s="3740"/>
      <c r="D2" s="3740"/>
      <c r="E2" s="3740"/>
      <c r="F2" s="3740"/>
      <c r="G2" s="3740"/>
      <c r="H2" s="3740"/>
      <c r="I2" s="3740"/>
      <c r="J2" s="3740"/>
      <c r="K2" s="1861"/>
      <c r="L2" s="1861"/>
      <c r="M2" s="1861"/>
      <c r="N2" s="1861"/>
      <c r="O2" s="484"/>
      <c r="P2" s="484"/>
    </row>
    <row r="3" spans="1:16" s="250" customFormat="1" ht="35.25" customHeight="1">
      <c r="A3" s="3740" t="str">
        <f>mafrozat!A3</f>
        <v xml:space="preserve"> سال مالي منتهي به 29 اسفند 1402</v>
      </c>
      <c r="B3" s="3740"/>
      <c r="C3" s="3740"/>
      <c r="D3" s="3740"/>
      <c r="E3" s="3740"/>
      <c r="F3" s="3740"/>
      <c r="G3" s="3740"/>
      <c r="H3" s="3740"/>
      <c r="I3" s="3740"/>
      <c r="J3" s="3740"/>
      <c r="K3" s="1861"/>
      <c r="L3" s="1861"/>
      <c r="M3" s="1861"/>
      <c r="N3" s="1861"/>
      <c r="O3" s="484"/>
      <c r="P3" s="484"/>
    </row>
    <row r="4" spans="1:16" customFormat="1" ht="24" customHeight="1">
      <c r="B4" s="3851" t="s">
        <v>2630</v>
      </c>
      <c r="C4" s="3851"/>
      <c r="D4" s="3851"/>
      <c r="E4" s="3851"/>
      <c r="F4" s="3851"/>
      <c r="G4" s="3851"/>
      <c r="H4" s="3851"/>
      <c r="I4" s="3851"/>
      <c r="J4" s="3851"/>
    </row>
    <row r="5" spans="1:16" customFormat="1" ht="18.75" customHeight="1" thickBot="1">
      <c r="E5" s="1328"/>
      <c r="J5" s="3034" t="s">
        <v>1879</v>
      </c>
    </row>
    <row r="6" spans="1:16" customFormat="1" ht="46.5" customHeight="1">
      <c r="A6" s="1862"/>
      <c r="B6" s="3852" t="s">
        <v>2067</v>
      </c>
      <c r="C6" s="3854" t="s">
        <v>2096</v>
      </c>
      <c r="D6" s="3854" t="s">
        <v>2078</v>
      </c>
      <c r="E6" s="3854" t="s">
        <v>2079</v>
      </c>
      <c r="F6" s="3854" t="s">
        <v>2079</v>
      </c>
      <c r="G6" s="3854" t="s">
        <v>2080</v>
      </c>
      <c r="H6" s="3856" t="s">
        <v>2458</v>
      </c>
      <c r="I6" s="3857"/>
      <c r="J6" s="3843" t="s">
        <v>2072</v>
      </c>
    </row>
    <row r="7" spans="1:16" customFormat="1" ht="24.75" customHeight="1" thickBot="1">
      <c r="A7" s="1862"/>
      <c r="B7" s="3853"/>
      <c r="C7" s="3855"/>
      <c r="D7" s="3855"/>
      <c r="E7" s="3855"/>
      <c r="F7" s="3855"/>
      <c r="G7" s="3855"/>
      <c r="H7" s="1866" t="s">
        <v>2081</v>
      </c>
      <c r="I7" s="1866" t="s">
        <v>2075</v>
      </c>
      <c r="J7" s="3844"/>
    </row>
    <row r="8" spans="1:16" s="1308" customFormat="1" ht="33.75" customHeight="1">
      <c r="A8" s="464"/>
      <c r="B8" s="1917">
        <v>1</v>
      </c>
      <c r="C8" s="1918" t="s">
        <v>2082</v>
      </c>
      <c r="D8" s="1918" t="s">
        <v>2083</v>
      </c>
      <c r="E8" s="1919">
        <v>68200</v>
      </c>
      <c r="F8" s="1919">
        <f>E8</f>
        <v>68200</v>
      </c>
      <c r="G8" s="1919">
        <f>'11'!G17/1000</f>
        <v>70758.631999999998</v>
      </c>
      <c r="H8" s="1919">
        <f>G8-F8</f>
        <v>2558.6319999999978</v>
      </c>
      <c r="I8" s="1920">
        <f>H8/F8*100</f>
        <v>3.7516598240469179</v>
      </c>
      <c r="J8" s="1921" t="s">
        <v>2084</v>
      </c>
    </row>
    <row r="9" spans="1:16" s="1308" customFormat="1" ht="35.25" customHeight="1" thickBot="1">
      <c r="A9" s="464"/>
      <c r="B9" s="1922">
        <v>2</v>
      </c>
      <c r="C9" s="1923" t="s">
        <v>2085</v>
      </c>
      <c r="D9" s="1923" t="s">
        <v>2083</v>
      </c>
      <c r="E9" s="1924">
        <v>63000</v>
      </c>
      <c r="F9" s="1924">
        <v>63000</v>
      </c>
      <c r="G9" s="1924">
        <f>'11'!G31/1000</f>
        <v>66436.312999999995</v>
      </c>
      <c r="H9" s="1924">
        <f>G9-F9</f>
        <v>3436.3129999999946</v>
      </c>
      <c r="I9" s="1925">
        <f>H9/F9*100</f>
        <v>5.4544650793650709</v>
      </c>
      <c r="J9" s="1926" t="s">
        <v>2086</v>
      </c>
    </row>
    <row r="10" spans="1:16" s="1308" customFormat="1" ht="37.5" customHeight="1" thickBot="1">
      <c r="A10" s="464"/>
      <c r="B10" s="3845" t="s">
        <v>679</v>
      </c>
      <c r="C10" s="3846"/>
      <c r="D10" s="1927"/>
      <c r="E10" s="1928">
        <f>SUM(E8:E9)</f>
        <v>131200</v>
      </c>
      <c r="F10" s="1928">
        <f>SUM(F8:F9)</f>
        <v>131200</v>
      </c>
      <c r="G10" s="1928">
        <f>SUM(G8:G9)</f>
        <v>137194.94500000001</v>
      </c>
      <c r="H10" s="1928"/>
      <c r="I10" s="1927"/>
      <c r="J10" s="1929"/>
    </row>
    <row r="11" spans="1:16" customFormat="1" ht="15" customHeight="1">
      <c r="A11" s="1862"/>
      <c r="B11" s="1862"/>
      <c r="C11" s="1862"/>
      <c r="D11" s="1862"/>
      <c r="E11" s="1862"/>
      <c r="F11" s="1862"/>
      <c r="G11" s="1862"/>
      <c r="H11" s="1862"/>
      <c r="I11" s="1862"/>
      <c r="J11" s="1862"/>
    </row>
    <row r="12" spans="1:16" customFormat="1" ht="27.75" customHeight="1">
      <c r="A12" s="1862"/>
      <c r="B12" s="3847" t="s">
        <v>2631</v>
      </c>
      <c r="C12" s="3847"/>
      <c r="D12" s="3847"/>
      <c r="E12" s="3847"/>
      <c r="F12" s="3847"/>
      <c r="G12" s="3847"/>
      <c r="H12" s="3847"/>
      <c r="I12" s="3847"/>
      <c r="J12" s="3847"/>
    </row>
    <row r="13" spans="1:16" customFormat="1" ht="16.5" customHeight="1" thickBot="1">
      <c r="A13" s="1862"/>
      <c r="B13" s="1862"/>
      <c r="C13" s="1862"/>
      <c r="D13" s="1862"/>
      <c r="E13" s="706"/>
      <c r="F13" s="1862"/>
      <c r="G13" s="1862"/>
      <c r="H13" s="1862"/>
      <c r="I13" s="1862"/>
      <c r="J13" s="464" t="s">
        <v>1879</v>
      </c>
    </row>
    <row r="14" spans="1:16" customFormat="1" ht="116.25" customHeight="1" thickBot="1">
      <c r="A14" s="1862"/>
      <c r="B14" s="1930" t="s">
        <v>2067</v>
      </c>
      <c r="C14" s="1927" t="s">
        <v>2087</v>
      </c>
      <c r="D14" s="1927" t="s">
        <v>2088</v>
      </c>
      <c r="E14" s="1927" t="s">
        <v>2089</v>
      </c>
      <c r="F14" s="1927" t="s">
        <v>2089</v>
      </c>
      <c r="G14" s="1927" t="s">
        <v>2090</v>
      </c>
      <c r="H14" s="1927" t="s">
        <v>2091</v>
      </c>
      <c r="I14" s="1927" t="s">
        <v>2092</v>
      </c>
      <c r="J14" s="3051" t="s">
        <v>2072</v>
      </c>
    </row>
    <row r="15" spans="1:16" s="1308" customFormat="1" ht="37.5" customHeight="1" thickBot="1">
      <c r="A15" s="464"/>
      <c r="B15" s="1863">
        <v>1</v>
      </c>
      <c r="C15" s="1864" t="s">
        <v>2082</v>
      </c>
      <c r="D15" s="1931">
        <v>68200</v>
      </c>
      <c r="E15" s="1932">
        <v>746</v>
      </c>
      <c r="F15" s="1932">
        <v>746</v>
      </c>
      <c r="G15" s="1932">
        <f>F15</f>
        <v>746</v>
      </c>
      <c r="H15" s="1931">
        <f>E15*E8</f>
        <v>50877200</v>
      </c>
      <c r="I15" s="1931">
        <f>'11'!K17</f>
        <v>52785939</v>
      </c>
      <c r="J15" s="1865" t="s">
        <v>2094</v>
      </c>
    </row>
    <row r="16" spans="1:16" s="1308" customFormat="1" ht="31.5" customHeight="1">
      <c r="A16" s="464"/>
      <c r="B16" s="1922">
        <v>2</v>
      </c>
      <c r="C16" s="1923" t="s">
        <v>2085</v>
      </c>
      <c r="D16" s="1924">
        <v>63000</v>
      </c>
      <c r="E16" s="1939">
        <v>737</v>
      </c>
      <c r="F16" s="1932">
        <v>737</v>
      </c>
      <c r="G16" s="1932">
        <f t="shared" ref="F16:H18" si="0">F16</f>
        <v>737</v>
      </c>
      <c r="H16" s="1924">
        <f>E16*E9</f>
        <v>46431000</v>
      </c>
      <c r="I16" s="1931">
        <f>'11'!K31</f>
        <v>48503349</v>
      </c>
      <c r="J16" s="1926" t="s">
        <v>2094</v>
      </c>
    </row>
    <row r="17" spans="1:10" s="1308" customFormat="1" ht="48.75" customHeight="1">
      <c r="A17" s="464"/>
      <c r="B17" s="1922">
        <v>3</v>
      </c>
      <c r="C17" s="1923" t="s">
        <v>2570</v>
      </c>
      <c r="D17" s="1924">
        <v>1</v>
      </c>
      <c r="E17" s="1940">
        <v>281294</v>
      </c>
      <c r="F17" s="1940">
        <f t="shared" si="0"/>
        <v>281294</v>
      </c>
      <c r="G17" s="1940">
        <f t="shared" si="0"/>
        <v>281294</v>
      </c>
      <c r="H17" s="1940">
        <f t="shared" si="0"/>
        <v>281294</v>
      </c>
      <c r="I17" s="1924">
        <f>'11'!K33</f>
        <v>242174</v>
      </c>
      <c r="J17" s="1926"/>
    </row>
    <row r="18" spans="1:10" s="1308" customFormat="1" ht="36" customHeight="1" thickBot="1">
      <c r="A18" s="464"/>
      <c r="B18" s="1935"/>
      <c r="C18" s="1937" t="s">
        <v>2093</v>
      </c>
      <c r="D18" s="1933">
        <v>1</v>
      </c>
      <c r="E18" s="1938">
        <v>738192</v>
      </c>
      <c r="F18" s="1938">
        <f t="shared" si="0"/>
        <v>738192</v>
      </c>
      <c r="G18" s="1940">
        <f t="shared" si="0"/>
        <v>738192</v>
      </c>
      <c r="H18" s="1933">
        <f>E18*D18</f>
        <v>738192</v>
      </c>
      <c r="I18" s="1933">
        <f>'13-14'!H107</f>
        <v>1178338</v>
      </c>
      <c r="J18" s="1934" t="s">
        <v>2095</v>
      </c>
    </row>
    <row r="19" spans="1:10" s="1308" customFormat="1" ht="34.5" customHeight="1" thickBot="1">
      <c r="A19" s="464"/>
      <c r="B19" s="3845" t="s">
        <v>1468</v>
      </c>
      <c r="C19" s="3846"/>
      <c r="D19" s="1936"/>
      <c r="E19" s="1927"/>
      <c r="F19" s="1927"/>
      <c r="G19" s="1927"/>
      <c r="H19" s="1928">
        <f>SUM(H15:H18)</f>
        <v>98327686</v>
      </c>
      <c r="I19" s="1928">
        <f>SUM(I15:I18)</f>
        <v>102709800</v>
      </c>
      <c r="J19" s="1929"/>
    </row>
    <row r="20" spans="1:10" s="1308" customFormat="1" ht="54" customHeight="1">
      <c r="A20" s="464"/>
      <c r="B20" s="3850" t="s">
        <v>2221</v>
      </c>
      <c r="C20" s="3850"/>
      <c r="D20" s="3850"/>
      <c r="E20" s="3850"/>
      <c r="F20" s="3850"/>
      <c r="G20" s="3850"/>
      <c r="H20" s="3850"/>
      <c r="I20" s="3850"/>
      <c r="J20" s="3850"/>
    </row>
    <row r="21" spans="1:10" ht="42.75" customHeight="1">
      <c r="A21" s="3848">
        <v>44</v>
      </c>
      <c r="B21" s="3848"/>
      <c r="C21" s="3848"/>
      <c r="D21" s="3848"/>
      <c r="E21" s="3848"/>
      <c r="F21" s="3848"/>
      <c r="G21" s="3848"/>
      <c r="H21" s="3848"/>
      <c r="I21" s="3848"/>
      <c r="J21" s="3848"/>
    </row>
  </sheetData>
  <mergeCells count="17">
    <mergeCell ref="H6:I6"/>
    <mergeCell ref="J6:J7"/>
    <mergeCell ref="B10:C10"/>
    <mergeCell ref="B12:J12"/>
    <mergeCell ref="A21:J21"/>
    <mergeCell ref="A1:J1"/>
    <mergeCell ref="A2:J2"/>
    <mergeCell ref="A3:J3"/>
    <mergeCell ref="B20:J20"/>
    <mergeCell ref="B19:C19"/>
    <mergeCell ref="B4:J4"/>
    <mergeCell ref="B6:B7"/>
    <mergeCell ref="C6:C7"/>
    <mergeCell ref="D6:D7"/>
    <mergeCell ref="E6:E7"/>
    <mergeCell ref="F6:F7"/>
    <mergeCell ref="G6:G7"/>
  </mergeCells>
  <pageMargins left="0.7" right="0.7" top="0.75" bottom="0.75" header="0.3" footer="0.3"/>
  <pageSetup paperSize="9" scale="64"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Z575"/>
  <sheetViews>
    <sheetView rightToLeft="1" zoomScale="85" zoomScaleNormal="85" zoomScaleSheetLayoutView="98" workbookViewId="0">
      <pane ySplit="2" topLeftCell="A3" activePane="bottomLeft" state="frozen"/>
      <selection activeCell="E19" sqref="E19:G19"/>
      <selection pane="bottomLeft" activeCell="E19" sqref="E19:G19"/>
    </sheetView>
  </sheetViews>
  <sheetFormatPr defaultColWidth="1.375" defaultRowHeight="19.5" customHeight="1"/>
  <cols>
    <col min="1" max="1" width="7.625" style="545" bestFit="1" customWidth="1"/>
    <col min="2" max="2" width="8.125" style="545" bestFit="1" customWidth="1"/>
    <col min="3" max="3" width="5.625" style="528" bestFit="1" customWidth="1"/>
    <col min="4" max="4" width="24" style="1035" customWidth="1"/>
    <col min="5" max="5" width="46.75" style="1030" bestFit="1" customWidth="1"/>
    <col min="6" max="6" width="20.75" style="545" bestFit="1" customWidth="1"/>
    <col min="7" max="7" width="17.875" style="545" hidden="1" customWidth="1"/>
    <col min="8" max="10" width="19.5" style="545" hidden="1" customWidth="1"/>
    <col min="11" max="11" width="16.25" style="545" hidden="1" customWidth="1"/>
    <col min="12" max="12" width="20.375" style="545" hidden="1" customWidth="1"/>
    <col min="13" max="13" width="9" style="545" hidden="1" customWidth="1"/>
    <col min="14" max="15" width="19.5" style="545" hidden="1" customWidth="1"/>
    <col min="16" max="16" width="17.875" style="545" hidden="1" customWidth="1"/>
    <col min="17" max="17" width="19.5" style="546" bestFit="1" customWidth="1"/>
    <col min="18" max="18" width="9.625" style="545" bestFit="1" customWidth="1"/>
    <col min="19" max="19" width="21.25" style="1012" customWidth="1"/>
    <col min="20" max="20" width="20.625" style="545" customWidth="1"/>
    <col min="21" max="21" width="14.25" style="995" customWidth="1"/>
    <col min="22" max="22" width="12.5" style="545" bestFit="1" customWidth="1"/>
    <col min="23" max="23" width="19.875" style="545" bestFit="1" customWidth="1"/>
    <col min="24" max="24" width="22.625" style="545" bestFit="1" customWidth="1"/>
    <col min="25" max="25" width="20.75" style="995" bestFit="1" customWidth="1"/>
    <col min="26" max="26" width="16.875" style="545" bestFit="1" customWidth="1"/>
    <col min="27" max="16384" width="1.375" style="545"/>
  </cols>
  <sheetData>
    <row r="1" spans="1:26" s="556" customFormat="1" ht="18.75" customHeight="1">
      <c r="A1" s="3335" t="s">
        <v>1641</v>
      </c>
      <c r="B1" s="3335" t="s">
        <v>1617</v>
      </c>
      <c r="C1" s="3337" t="s">
        <v>1616</v>
      </c>
      <c r="D1" s="1032"/>
      <c r="E1" s="3339" t="s">
        <v>62</v>
      </c>
      <c r="F1" s="3343" t="s">
        <v>1525</v>
      </c>
      <c r="G1" s="3343" t="s">
        <v>1526</v>
      </c>
      <c r="H1" s="3343" t="s">
        <v>1527</v>
      </c>
      <c r="I1" s="3343" t="s">
        <v>1357</v>
      </c>
      <c r="J1" s="3343" t="s">
        <v>1358</v>
      </c>
      <c r="K1" s="3343" t="s">
        <v>1452</v>
      </c>
      <c r="L1" s="3343" t="s">
        <v>1416</v>
      </c>
      <c r="M1" s="3343" t="s">
        <v>1417</v>
      </c>
      <c r="N1" s="3343" t="s">
        <v>1418</v>
      </c>
      <c r="O1" s="3343" t="s">
        <v>1472</v>
      </c>
      <c r="P1" s="3343" t="s">
        <v>1528</v>
      </c>
      <c r="Q1" s="1513" t="s">
        <v>1784</v>
      </c>
      <c r="R1" s="1275" t="s">
        <v>1785</v>
      </c>
      <c r="S1" s="3376" t="s">
        <v>1787</v>
      </c>
      <c r="T1" s="3347">
        <v>1397</v>
      </c>
      <c r="U1" s="3357">
        <v>1398</v>
      </c>
      <c r="V1" s="3347">
        <v>1397</v>
      </c>
      <c r="W1" s="3353" t="s">
        <v>1450</v>
      </c>
      <c r="X1" s="3355" t="s">
        <v>1451</v>
      </c>
      <c r="Y1" s="3357" t="s">
        <v>1788</v>
      </c>
      <c r="Z1" s="3347" t="s">
        <v>1789</v>
      </c>
    </row>
    <row r="2" spans="1:26" s="557" customFormat="1" ht="18.75" hidden="1" customHeight="1">
      <c r="A2" s="3336"/>
      <c r="B2" s="3336"/>
      <c r="C2" s="3338"/>
      <c r="D2" s="1033"/>
      <c r="E2" s="3340"/>
      <c r="F2" s="3344"/>
      <c r="G2" s="3344"/>
      <c r="H2" s="3344"/>
      <c r="I2" s="3344"/>
      <c r="J2" s="3344"/>
      <c r="K2" s="3344"/>
      <c r="L2" s="3344"/>
      <c r="M2" s="3344"/>
      <c r="N2" s="3344"/>
      <c r="O2" s="3344"/>
      <c r="P2" s="3344"/>
      <c r="Q2" s="1274"/>
      <c r="R2" s="1276"/>
      <c r="S2" s="3346"/>
      <c r="T2" s="3348"/>
      <c r="U2" s="3358"/>
      <c r="V2" s="3348"/>
      <c r="W2" s="3354"/>
      <c r="X2" s="3356"/>
      <c r="Y2" s="3358"/>
      <c r="Z2" s="3348"/>
    </row>
    <row r="3" spans="1:26" ht="27" hidden="1" customHeight="1">
      <c r="A3" s="531"/>
      <c r="B3" s="531">
        <v>1012</v>
      </c>
      <c r="C3" s="529">
        <v>17</v>
      </c>
      <c r="D3" s="1027" t="s">
        <v>425</v>
      </c>
      <c r="E3" s="1028" t="s">
        <v>426</v>
      </c>
      <c r="F3" s="547">
        <v>-13668631</v>
      </c>
      <c r="G3" s="547"/>
      <c r="H3" s="547"/>
      <c r="I3" s="547"/>
      <c r="J3" s="547"/>
      <c r="K3" s="547"/>
      <c r="L3" s="547"/>
      <c r="M3" s="547"/>
      <c r="N3" s="547"/>
      <c r="O3" s="547"/>
      <c r="P3" s="547"/>
      <c r="Q3" s="547"/>
      <c r="R3" s="547"/>
      <c r="S3" s="989">
        <f>SUM(F3:R3)</f>
        <v>-13668631</v>
      </c>
      <c r="T3" s="547">
        <v>-9626000</v>
      </c>
      <c r="U3" s="1264">
        <f>ROUND((S3/1000000),0)+1</f>
        <v>-13</v>
      </c>
      <c r="V3" s="547">
        <v>-10</v>
      </c>
      <c r="W3" s="566"/>
      <c r="X3" s="567"/>
      <c r="Y3" s="989">
        <f>S3+X3-W3</f>
        <v>-13668631</v>
      </c>
      <c r="Z3" s="812">
        <f>ROUND((Y3/1000000),0)</f>
        <v>-14</v>
      </c>
    </row>
    <row r="4" spans="1:26" ht="27" hidden="1" customHeight="1">
      <c r="A4" s="531"/>
      <c r="B4" s="531">
        <v>1009</v>
      </c>
      <c r="C4" s="529">
        <v>17</v>
      </c>
      <c r="D4" s="1027" t="s">
        <v>1201</v>
      </c>
      <c r="E4" s="1028" t="s">
        <v>1081</v>
      </c>
      <c r="F4" s="547">
        <v>14714000</v>
      </c>
      <c r="G4" s="547">
        <v>-2371110</v>
      </c>
      <c r="H4" s="547">
        <v>-2714000</v>
      </c>
      <c r="I4" s="547"/>
      <c r="J4" s="547"/>
      <c r="K4" s="547"/>
      <c r="L4" s="547"/>
      <c r="M4" s="547"/>
      <c r="N4" s="547"/>
      <c r="O4" s="547"/>
      <c r="P4" s="547">
        <v>1529580000</v>
      </c>
      <c r="Q4" s="547"/>
      <c r="R4" s="547"/>
      <c r="S4" s="989">
        <f>SUM(F4:R4)</f>
        <v>1539208890</v>
      </c>
      <c r="T4" s="547">
        <v>14714000</v>
      </c>
      <c r="U4" s="989">
        <f t="shared" ref="U4:U67" si="0">ROUND((S4/1000000),0)</f>
        <v>1539</v>
      </c>
      <c r="V4" s="547">
        <v>15</v>
      </c>
      <c r="W4" s="566"/>
      <c r="X4" s="567"/>
      <c r="Y4" s="989">
        <f t="shared" ref="Y4:Y68" si="1">S4+X4-W4</f>
        <v>1539208890</v>
      </c>
      <c r="Z4" s="812">
        <f t="shared" ref="Z4:Z68" si="2">ROUND((Y4/1000000),0)</f>
        <v>1539</v>
      </c>
    </row>
    <row r="5" spans="1:26" ht="27" hidden="1" customHeight="1">
      <c r="A5" s="531"/>
      <c r="B5" s="531">
        <v>401</v>
      </c>
      <c r="C5" s="529">
        <v>11</v>
      </c>
      <c r="D5" s="1027" t="s">
        <v>824</v>
      </c>
      <c r="E5" s="1028" t="s">
        <v>825</v>
      </c>
      <c r="F5" s="547"/>
      <c r="G5" s="547"/>
      <c r="H5" s="547"/>
      <c r="I5" s="547"/>
      <c r="J5" s="547"/>
      <c r="K5" s="547"/>
      <c r="L5" s="547"/>
      <c r="M5" s="547"/>
      <c r="N5" s="547"/>
      <c r="O5" s="547"/>
      <c r="P5" s="547"/>
      <c r="Q5" s="547"/>
      <c r="R5" s="547"/>
      <c r="S5" s="989">
        <f t="shared" ref="S5:S67" si="3">SUM(F5:R5)</f>
        <v>0</v>
      </c>
      <c r="T5" s="547">
        <v>0</v>
      </c>
      <c r="U5" s="989">
        <f t="shared" si="0"/>
        <v>0</v>
      </c>
      <c r="V5" s="547">
        <v>0</v>
      </c>
      <c r="W5" s="566"/>
      <c r="X5" s="567"/>
      <c r="Y5" s="989">
        <f t="shared" si="1"/>
        <v>0</v>
      </c>
      <c r="Z5" s="812">
        <f t="shared" si="2"/>
        <v>0</v>
      </c>
    </row>
    <row r="6" spans="1:26" ht="27" hidden="1" customHeight="1">
      <c r="A6" s="531"/>
      <c r="B6" s="531">
        <v>1009</v>
      </c>
      <c r="C6" s="529">
        <v>17</v>
      </c>
      <c r="D6" s="1027" t="s">
        <v>607</v>
      </c>
      <c r="E6" s="1028" t="s">
        <v>606</v>
      </c>
      <c r="F6" s="547"/>
      <c r="G6" s="547"/>
      <c r="H6" s="547"/>
      <c r="I6" s="547"/>
      <c r="J6" s="547"/>
      <c r="K6" s="547"/>
      <c r="L6" s="547"/>
      <c r="M6" s="547"/>
      <c r="N6" s="547"/>
      <c r="O6" s="547"/>
      <c r="P6" s="547"/>
      <c r="Q6" s="547"/>
      <c r="R6" s="547"/>
      <c r="S6" s="989">
        <f t="shared" si="3"/>
        <v>0</v>
      </c>
      <c r="T6" s="547">
        <v>0</v>
      </c>
      <c r="U6" s="989">
        <f t="shared" si="0"/>
        <v>0</v>
      </c>
      <c r="V6" s="547">
        <v>0</v>
      </c>
      <c r="W6" s="566"/>
      <c r="X6" s="567"/>
      <c r="Y6" s="989">
        <f t="shared" si="1"/>
        <v>0</v>
      </c>
      <c r="Z6" s="812">
        <f t="shared" si="2"/>
        <v>0</v>
      </c>
    </row>
    <row r="7" spans="1:26" ht="27" hidden="1" customHeight="1">
      <c r="A7" s="531"/>
      <c r="B7" s="531">
        <v>1009</v>
      </c>
      <c r="C7" s="529">
        <v>17</v>
      </c>
      <c r="D7" s="1027" t="s">
        <v>872</v>
      </c>
      <c r="E7" s="1028" t="s">
        <v>826</v>
      </c>
      <c r="F7" s="547">
        <v>0</v>
      </c>
      <c r="G7" s="547"/>
      <c r="H7" s="547"/>
      <c r="I7" s="547"/>
      <c r="J7" s="547"/>
      <c r="K7" s="547"/>
      <c r="L7" s="547"/>
      <c r="M7" s="547"/>
      <c r="N7" s="547"/>
      <c r="O7" s="547"/>
      <c r="P7" s="547"/>
      <c r="Q7" s="547"/>
      <c r="R7" s="547"/>
      <c r="S7" s="989">
        <f t="shared" si="3"/>
        <v>0</v>
      </c>
      <c r="T7" s="547"/>
      <c r="U7" s="989">
        <f t="shared" si="0"/>
        <v>0</v>
      </c>
      <c r="V7" s="547"/>
      <c r="W7" s="566"/>
      <c r="X7" s="567"/>
      <c r="Y7" s="989">
        <f t="shared" si="1"/>
        <v>0</v>
      </c>
      <c r="Z7" s="812">
        <f t="shared" si="2"/>
        <v>0</v>
      </c>
    </row>
    <row r="8" spans="1:26" s="1290" customFormat="1" ht="27" hidden="1" customHeight="1">
      <c r="A8" s="1284"/>
      <c r="B8" s="1284">
        <v>1009</v>
      </c>
      <c r="C8" s="529">
        <v>17</v>
      </c>
      <c r="D8" s="1285">
        <v>6503855</v>
      </c>
      <c r="E8" s="1286" t="s">
        <v>221</v>
      </c>
      <c r="F8" s="1287">
        <v>3125001</v>
      </c>
      <c r="G8" s="1287"/>
      <c r="H8" s="1287"/>
      <c r="I8" s="1287"/>
      <c r="J8" s="1287"/>
      <c r="K8" s="1287"/>
      <c r="L8" s="1287"/>
      <c r="M8" s="1287"/>
      <c r="N8" s="1287"/>
      <c r="O8" s="1287"/>
      <c r="P8" s="1287"/>
      <c r="Q8" s="1287"/>
      <c r="R8" s="1287"/>
      <c r="S8" s="989">
        <f>SUM(F8:R8)</f>
        <v>3125001</v>
      </c>
      <c r="T8" s="1287">
        <v>0</v>
      </c>
      <c r="U8" s="989">
        <f t="shared" si="0"/>
        <v>3</v>
      </c>
      <c r="V8" s="1287">
        <v>0</v>
      </c>
      <c r="W8" s="1288"/>
      <c r="X8" s="1289"/>
      <c r="Y8" s="1287"/>
      <c r="Z8" s="1287"/>
    </row>
    <row r="9" spans="1:26" ht="27" hidden="1" customHeight="1">
      <c r="A9" s="531"/>
      <c r="B9" s="531">
        <v>1009</v>
      </c>
      <c r="C9" s="529">
        <v>17</v>
      </c>
      <c r="D9" s="1027" t="s">
        <v>427</v>
      </c>
      <c r="E9" s="1029" t="s">
        <v>774</v>
      </c>
      <c r="F9" s="547">
        <v>-1337752836</v>
      </c>
      <c r="G9" s="547"/>
      <c r="H9" s="547"/>
      <c r="I9" s="547"/>
      <c r="J9" s="547"/>
      <c r="K9" s="547"/>
      <c r="L9" s="547"/>
      <c r="M9" s="547"/>
      <c r="N9" s="547"/>
      <c r="O9" s="547"/>
      <c r="P9" s="547"/>
      <c r="Q9" s="547"/>
      <c r="R9" s="547"/>
      <c r="S9" s="989">
        <f>SUM(F9:R9)</f>
        <v>-1337752836</v>
      </c>
      <c r="T9" s="547">
        <v>-15613794</v>
      </c>
      <c r="U9" s="989">
        <f t="shared" si="0"/>
        <v>-1338</v>
      </c>
      <c r="V9" s="547">
        <v>-16</v>
      </c>
      <c r="W9" s="566"/>
      <c r="X9" s="567"/>
      <c r="Y9" s="989">
        <f t="shared" si="1"/>
        <v>-1337752836</v>
      </c>
      <c r="Z9" s="812">
        <f t="shared" si="2"/>
        <v>-1338</v>
      </c>
    </row>
    <row r="10" spans="1:26" ht="27" hidden="1" customHeight="1">
      <c r="A10" s="531"/>
      <c r="B10" s="531">
        <v>1009</v>
      </c>
      <c r="C10" s="529">
        <v>17</v>
      </c>
      <c r="D10" s="1027" t="s">
        <v>828</v>
      </c>
      <c r="E10" s="1028" t="s">
        <v>829</v>
      </c>
      <c r="F10" s="547"/>
      <c r="G10" s="547"/>
      <c r="H10" s="547"/>
      <c r="I10" s="547"/>
      <c r="J10" s="547"/>
      <c r="K10" s="547"/>
      <c r="L10" s="547"/>
      <c r="M10" s="547"/>
      <c r="N10" s="547"/>
      <c r="O10" s="547"/>
      <c r="P10" s="547"/>
      <c r="Q10" s="547"/>
      <c r="R10" s="547"/>
      <c r="S10" s="989">
        <f t="shared" si="3"/>
        <v>0</v>
      </c>
      <c r="T10" s="547">
        <v>0</v>
      </c>
      <c r="U10" s="989">
        <f t="shared" si="0"/>
        <v>0</v>
      </c>
      <c r="V10" s="547">
        <v>0</v>
      </c>
      <c r="W10" s="566"/>
      <c r="X10" s="567"/>
      <c r="Y10" s="989">
        <f t="shared" si="1"/>
        <v>0</v>
      </c>
      <c r="Z10" s="812">
        <f t="shared" si="2"/>
        <v>0</v>
      </c>
    </row>
    <row r="11" spans="1:26" ht="27" hidden="1" customHeight="1">
      <c r="A11" s="531"/>
      <c r="B11" s="531">
        <v>1009</v>
      </c>
      <c r="C11" s="529">
        <v>17</v>
      </c>
      <c r="D11" s="1027" t="s">
        <v>1419</v>
      </c>
      <c r="E11" s="1028" t="s">
        <v>1263</v>
      </c>
      <c r="F11" s="547">
        <v>-2349475</v>
      </c>
      <c r="G11" s="547"/>
      <c r="H11" s="547"/>
      <c r="I11" s="547"/>
      <c r="J11" s="547"/>
      <c r="K11" s="547"/>
      <c r="L11" s="547"/>
      <c r="M11" s="547"/>
      <c r="N11" s="547"/>
      <c r="O11" s="547"/>
      <c r="P11" s="547"/>
      <c r="Q11" s="547"/>
      <c r="R11" s="547"/>
      <c r="S11" s="989">
        <f t="shared" si="3"/>
        <v>-2349475</v>
      </c>
      <c r="T11" s="547">
        <v>-51169475</v>
      </c>
      <c r="U11" s="989">
        <f t="shared" si="0"/>
        <v>-2</v>
      </c>
      <c r="V11" s="547">
        <v>-51</v>
      </c>
      <c r="W11" s="566"/>
      <c r="X11" s="567"/>
      <c r="Y11" s="989">
        <f t="shared" si="1"/>
        <v>-2349475</v>
      </c>
      <c r="Z11" s="812">
        <f t="shared" si="2"/>
        <v>-2</v>
      </c>
    </row>
    <row r="12" spans="1:26" ht="27" hidden="1" customHeight="1">
      <c r="A12" s="531"/>
      <c r="B12" s="531">
        <v>1009</v>
      </c>
      <c r="C12" s="529">
        <v>17</v>
      </c>
      <c r="D12" s="1027" t="s">
        <v>1166</v>
      </c>
      <c r="E12" s="1028" t="s">
        <v>1167</v>
      </c>
      <c r="F12" s="547">
        <v>1425718</v>
      </c>
      <c r="G12" s="547"/>
      <c r="H12" s="547"/>
      <c r="I12" s="547"/>
      <c r="J12" s="547"/>
      <c r="K12" s="547"/>
      <c r="L12" s="547"/>
      <c r="M12" s="547"/>
      <c r="N12" s="547"/>
      <c r="O12" s="547"/>
      <c r="P12" s="547"/>
      <c r="Q12" s="547"/>
      <c r="R12" s="547"/>
      <c r="S12" s="989">
        <f t="shared" si="3"/>
        <v>1425718</v>
      </c>
      <c r="T12" s="547">
        <v>-5017527</v>
      </c>
      <c r="U12" s="1366">
        <f t="shared" si="0"/>
        <v>1</v>
      </c>
      <c r="V12" s="547">
        <v>-5</v>
      </c>
      <c r="W12" s="566"/>
      <c r="X12" s="567"/>
      <c r="Y12" s="989">
        <f t="shared" si="1"/>
        <v>1425718</v>
      </c>
      <c r="Z12" s="812">
        <f t="shared" si="2"/>
        <v>1</v>
      </c>
    </row>
    <row r="13" spans="1:26" ht="27" hidden="1" customHeight="1">
      <c r="A13" s="531"/>
      <c r="B13" s="531">
        <v>1009</v>
      </c>
      <c r="C13" s="529">
        <v>17</v>
      </c>
      <c r="D13" s="1027" t="s">
        <v>1224</v>
      </c>
      <c r="E13" s="1028" t="s">
        <v>1225</v>
      </c>
      <c r="F13" s="547">
        <v>38200000</v>
      </c>
      <c r="G13" s="547"/>
      <c r="H13" s="547">
        <f>352381649-358120571</f>
        <v>-5738922</v>
      </c>
      <c r="I13" s="547"/>
      <c r="J13" s="547"/>
      <c r="K13" s="547"/>
      <c r="L13" s="547">
        <v>-4200000</v>
      </c>
      <c r="M13" s="547"/>
      <c r="N13" s="547"/>
      <c r="O13" s="547"/>
      <c r="P13" s="547">
        <v>-16800000</v>
      </c>
      <c r="Q13" s="547"/>
      <c r="R13" s="547"/>
      <c r="S13" s="989">
        <f>SUM(F13:R13)</f>
        <v>11461078</v>
      </c>
      <c r="T13" s="547">
        <v>33500000</v>
      </c>
      <c r="U13" s="1366">
        <f t="shared" si="0"/>
        <v>11</v>
      </c>
      <c r="V13" s="547">
        <v>34</v>
      </c>
      <c r="W13" s="566"/>
      <c r="X13" s="567"/>
      <c r="Y13" s="989">
        <f t="shared" si="1"/>
        <v>11461078</v>
      </c>
      <c r="Z13" s="812">
        <f t="shared" si="2"/>
        <v>11</v>
      </c>
    </row>
    <row r="14" spans="1:26" ht="27" hidden="1" customHeight="1">
      <c r="A14" s="531"/>
      <c r="B14" s="531">
        <v>1009</v>
      </c>
      <c r="C14" s="529">
        <v>17</v>
      </c>
      <c r="D14" s="1027" t="s">
        <v>430</v>
      </c>
      <c r="E14" s="1028" t="s">
        <v>431</v>
      </c>
      <c r="F14" s="547">
        <v>-18200000</v>
      </c>
      <c r="G14" s="547"/>
      <c r="H14" s="547"/>
      <c r="I14" s="547"/>
      <c r="J14" s="547"/>
      <c r="K14" s="547"/>
      <c r="L14" s="547"/>
      <c r="M14" s="547"/>
      <c r="N14" s="547"/>
      <c r="O14" s="547"/>
      <c r="P14" s="547"/>
      <c r="Q14" s="547"/>
      <c r="R14" s="547"/>
      <c r="S14" s="989">
        <f t="shared" si="3"/>
        <v>-18200000</v>
      </c>
      <c r="T14" s="547">
        <v>-3200000</v>
      </c>
      <c r="U14" s="989">
        <f t="shared" si="0"/>
        <v>-18</v>
      </c>
      <c r="V14" s="547">
        <v>-3</v>
      </c>
      <c r="W14" s="566"/>
      <c r="X14" s="567"/>
      <c r="Y14" s="989">
        <f t="shared" si="1"/>
        <v>-18200000</v>
      </c>
      <c r="Z14" s="812">
        <f t="shared" si="2"/>
        <v>-18</v>
      </c>
    </row>
    <row r="15" spans="1:26" ht="27" hidden="1" customHeight="1">
      <c r="A15" s="531"/>
      <c r="B15" s="531">
        <v>401</v>
      </c>
      <c r="C15" s="529">
        <v>11</v>
      </c>
      <c r="D15" s="1027" t="s">
        <v>432</v>
      </c>
      <c r="E15" s="1028" t="s">
        <v>433</v>
      </c>
      <c r="F15" s="547">
        <v>-462718308</v>
      </c>
      <c r="G15" s="547"/>
      <c r="H15" s="547">
        <f>5017223403-4626347277</f>
        <v>390876126</v>
      </c>
      <c r="I15" s="547"/>
      <c r="J15" s="547">
        <f>155543903-128751903</f>
        <v>26792000</v>
      </c>
      <c r="K15" s="547"/>
      <c r="L15" s="547"/>
      <c r="M15" s="547"/>
      <c r="N15" s="547"/>
      <c r="O15" s="547"/>
      <c r="P15" s="547"/>
      <c r="Q15" s="547"/>
      <c r="R15" s="547"/>
      <c r="S15" s="989">
        <f t="shared" si="3"/>
        <v>-45050182</v>
      </c>
      <c r="T15" s="547">
        <v>-2740698809</v>
      </c>
      <c r="U15" s="989">
        <f>ROUND((S15/1000000),0)</f>
        <v>-45</v>
      </c>
      <c r="V15" s="547">
        <v>-2741</v>
      </c>
      <c r="W15" s="566"/>
      <c r="X15" s="567"/>
      <c r="Y15" s="989">
        <f t="shared" si="1"/>
        <v>-45050182</v>
      </c>
      <c r="Z15" s="812">
        <f t="shared" si="2"/>
        <v>-45</v>
      </c>
    </row>
    <row r="16" spans="1:26" ht="42.75" hidden="1" customHeight="1">
      <c r="A16" s="531"/>
      <c r="B16" s="531">
        <v>401</v>
      </c>
      <c r="C16" s="529">
        <v>11</v>
      </c>
      <c r="D16" s="1027" t="s">
        <v>924</v>
      </c>
      <c r="E16" s="1029" t="s">
        <v>925</v>
      </c>
      <c r="F16" s="547"/>
      <c r="G16" s="547"/>
      <c r="H16" s="547"/>
      <c r="I16" s="547"/>
      <c r="J16" s="547"/>
      <c r="K16" s="547"/>
      <c r="L16" s="547"/>
      <c r="M16" s="547"/>
      <c r="N16" s="547"/>
      <c r="O16" s="547"/>
      <c r="P16" s="547"/>
      <c r="Q16" s="547"/>
      <c r="R16" s="547"/>
      <c r="S16" s="989">
        <f t="shared" si="3"/>
        <v>0</v>
      </c>
      <c r="T16" s="547">
        <v>0</v>
      </c>
      <c r="U16" s="989">
        <f t="shared" si="0"/>
        <v>0</v>
      </c>
      <c r="V16" s="547">
        <v>0</v>
      </c>
      <c r="W16" s="566"/>
      <c r="X16" s="567"/>
      <c r="Y16" s="989">
        <f t="shared" si="1"/>
        <v>0</v>
      </c>
      <c r="Z16" s="812">
        <f t="shared" si="2"/>
        <v>0</v>
      </c>
    </row>
    <row r="17" spans="1:26" ht="27" hidden="1" customHeight="1">
      <c r="A17" s="531"/>
      <c r="B17" s="531">
        <v>1009</v>
      </c>
      <c r="C17" s="529">
        <v>17</v>
      </c>
      <c r="D17" s="1027" t="s">
        <v>434</v>
      </c>
      <c r="E17" s="1028" t="s">
        <v>435</v>
      </c>
      <c r="F17" s="547"/>
      <c r="G17" s="547"/>
      <c r="H17" s="547"/>
      <c r="I17" s="547"/>
      <c r="J17" s="547"/>
      <c r="K17" s="547"/>
      <c r="L17" s="547"/>
      <c r="M17" s="547"/>
      <c r="N17" s="547"/>
      <c r="O17" s="547"/>
      <c r="P17" s="547"/>
      <c r="Q17" s="547"/>
      <c r="R17" s="547"/>
      <c r="S17" s="989">
        <f t="shared" si="3"/>
        <v>0</v>
      </c>
      <c r="T17" s="547">
        <v>0</v>
      </c>
      <c r="U17" s="989">
        <f t="shared" si="0"/>
        <v>0</v>
      </c>
      <c r="V17" s="547">
        <v>0</v>
      </c>
      <c r="W17" s="566"/>
      <c r="X17" s="567"/>
      <c r="Y17" s="989">
        <f t="shared" si="1"/>
        <v>0</v>
      </c>
      <c r="Z17" s="812">
        <f t="shared" si="2"/>
        <v>0</v>
      </c>
    </row>
    <row r="18" spans="1:26" ht="27" hidden="1" customHeight="1">
      <c r="A18" s="531"/>
      <c r="B18" s="531">
        <v>401</v>
      </c>
      <c r="C18" s="529">
        <v>11</v>
      </c>
      <c r="D18" s="1027" t="s">
        <v>436</v>
      </c>
      <c r="E18" s="1028" t="s">
        <v>437</v>
      </c>
      <c r="F18" s="547"/>
      <c r="G18" s="547"/>
      <c r="H18" s="547"/>
      <c r="I18" s="547"/>
      <c r="J18" s="547"/>
      <c r="K18" s="547"/>
      <c r="L18" s="547"/>
      <c r="M18" s="547"/>
      <c r="N18" s="547"/>
      <c r="O18" s="547"/>
      <c r="P18" s="547"/>
      <c r="Q18" s="547"/>
      <c r="R18" s="547"/>
      <c r="S18" s="989">
        <f t="shared" si="3"/>
        <v>0</v>
      </c>
      <c r="T18" s="547">
        <v>0</v>
      </c>
      <c r="U18" s="989">
        <f t="shared" si="0"/>
        <v>0</v>
      </c>
      <c r="V18" s="547">
        <v>0</v>
      </c>
      <c r="W18" s="566"/>
      <c r="X18" s="567"/>
      <c r="Y18" s="989">
        <f t="shared" si="1"/>
        <v>0</v>
      </c>
      <c r="Z18" s="812">
        <f t="shared" si="2"/>
        <v>0</v>
      </c>
    </row>
    <row r="19" spans="1:26" ht="27" hidden="1" customHeight="1">
      <c r="A19" s="531"/>
      <c r="B19" s="531">
        <v>1009</v>
      </c>
      <c r="C19" s="529">
        <v>17</v>
      </c>
      <c r="D19" s="1027" t="s">
        <v>438</v>
      </c>
      <c r="E19" s="1028" t="s">
        <v>176</v>
      </c>
      <c r="F19" s="547">
        <v>-2104339438</v>
      </c>
      <c r="G19" s="547">
        <v>120316926</v>
      </c>
      <c r="H19" s="547"/>
      <c r="I19" s="547"/>
      <c r="J19" s="547"/>
      <c r="K19" s="547"/>
      <c r="L19" s="547"/>
      <c r="M19" s="547"/>
      <c r="N19" s="547"/>
      <c r="O19" s="547"/>
      <c r="P19" s="547"/>
      <c r="Q19" s="547"/>
      <c r="R19" s="547"/>
      <c r="S19" s="989">
        <f t="shared" si="3"/>
        <v>-1984022512</v>
      </c>
      <c r="T19" s="547">
        <v>-1202640718</v>
      </c>
      <c r="U19" s="989">
        <f t="shared" si="0"/>
        <v>-1984</v>
      </c>
      <c r="V19" s="547">
        <v>-1203</v>
      </c>
      <c r="W19" s="566"/>
      <c r="X19" s="567"/>
      <c r="Y19" s="989">
        <f t="shared" si="1"/>
        <v>-1984022512</v>
      </c>
      <c r="Z19" s="812">
        <f t="shared" si="2"/>
        <v>-1984</v>
      </c>
    </row>
    <row r="20" spans="1:26" ht="27" hidden="1" customHeight="1">
      <c r="A20" s="531"/>
      <c r="B20" s="531">
        <v>401</v>
      </c>
      <c r="C20" s="529">
        <v>11</v>
      </c>
      <c r="D20" s="1027" t="s">
        <v>1168</v>
      </c>
      <c r="E20" s="1028" t="s">
        <v>1101</v>
      </c>
      <c r="F20" s="547"/>
      <c r="G20" s="547"/>
      <c r="H20" s="547"/>
      <c r="I20" s="547"/>
      <c r="J20" s="547"/>
      <c r="K20" s="547"/>
      <c r="L20" s="547"/>
      <c r="M20" s="547"/>
      <c r="N20" s="547"/>
      <c r="O20" s="547"/>
      <c r="P20" s="547"/>
      <c r="Q20" s="547"/>
      <c r="R20" s="547"/>
      <c r="S20" s="989">
        <f t="shared" si="3"/>
        <v>0</v>
      </c>
      <c r="T20" s="547">
        <v>0</v>
      </c>
      <c r="U20" s="989">
        <f t="shared" si="0"/>
        <v>0</v>
      </c>
      <c r="V20" s="547">
        <v>0</v>
      </c>
      <c r="W20" s="566"/>
      <c r="X20" s="567"/>
      <c r="Y20" s="989">
        <f t="shared" si="1"/>
        <v>0</v>
      </c>
      <c r="Z20" s="812">
        <f t="shared" si="2"/>
        <v>0</v>
      </c>
    </row>
    <row r="21" spans="1:26" ht="27" hidden="1" customHeight="1">
      <c r="A21" s="531"/>
      <c r="B21" s="531">
        <v>1009</v>
      </c>
      <c r="C21" s="529">
        <v>17</v>
      </c>
      <c r="D21" s="1027" t="s">
        <v>472</v>
      </c>
      <c r="E21" s="1028" t="s">
        <v>473</v>
      </c>
      <c r="F21" s="547">
        <v>-9690714035</v>
      </c>
      <c r="G21" s="547"/>
      <c r="H21" s="547"/>
      <c r="I21" s="547"/>
      <c r="J21" s="547"/>
      <c r="K21" s="547"/>
      <c r="L21" s="547"/>
      <c r="M21" s="547"/>
      <c r="N21" s="547"/>
      <c r="O21" s="547"/>
      <c r="P21" s="547"/>
      <c r="Q21" s="547"/>
      <c r="R21" s="547"/>
      <c r="S21" s="989">
        <f t="shared" si="3"/>
        <v>-9690714035</v>
      </c>
      <c r="T21" s="547">
        <v>-4575641596</v>
      </c>
      <c r="U21" s="1366">
        <f>ROUND((S21/1000000),0)</f>
        <v>-9691</v>
      </c>
      <c r="V21" s="547">
        <v>-4576</v>
      </c>
      <c r="W21" s="566"/>
      <c r="X21" s="567"/>
      <c r="Y21" s="989">
        <f t="shared" si="1"/>
        <v>-9690714035</v>
      </c>
      <c r="Z21" s="812">
        <f t="shared" si="2"/>
        <v>-9691</v>
      </c>
    </row>
    <row r="22" spans="1:26" ht="27" hidden="1" customHeight="1">
      <c r="A22" s="531"/>
      <c r="B22" s="531">
        <v>1009</v>
      </c>
      <c r="C22" s="529">
        <v>17</v>
      </c>
      <c r="D22" s="1027" t="s">
        <v>698</v>
      </c>
      <c r="E22" s="1028" t="s">
        <v>926</v>
      </c>
      <c r="F22" s="547"/>
      <c r="G22" s="547"/>
      <c r="H22" s="547"/>
      <c r="I22" s="547"/>
      <c r="J22" s="547"/>
      <c r="K22" s="547"/>
      <c r="L22" s="547"/>
      <c r="M22" s="547"/>
      <c r="N22" s="547"/>
      <c r="O22" s="547"/>
      <c r="P22" s="547"/>
      <c r="Q22" s="547"/>
      <c r="R22" s="547"/>
      <c r="S22" s="989">
        <f t="shared" si="3"/>
        <v>0</v>
      </c>
      <c r="T22" s="547">
        <v>0</v>
      </c>
      <c r="U22" s="989">
        <f t="shared" si="0"/>
        <v>0</v>
      </c>
      <c r="V22" s="547">
        <v>0</v>
      </c>
      <c r="W22" s="566"/>
      <c r="X22" s="567"/>
      <c r="Y22" s="989">
        <f t="shared" si="1"/>
        <v>0</v>
      </c>
      <c r="Z22" s="812">
        <f t="shared" si="2"/>
        <v>0</v>
      </c>
    </row>
    <row r="23" spans="1:26" ht="27" hidden="1" customHeight="1">
      <c r="A23" s="531"/>
      <c r="B23" s="531">
        <v>1009</v>
      </c>
      <c r="C23" s="529">
        <v>17</v>
      </c>
      <c r="D23" s="1027" t="s">
        <v>830</v>
      </c>
      <c r="E23" s="1028" t="s">
        <v>552</v>
      </c>
      <c r="F23" s="547"/>
      <c r="G23" s="547"/>
      <c r="H23" s="547"/>
      <c r="I23" s="547"/>
      <c r="J23" s="547"/>
      <c r="K23" s="547"/>
      <c r="L23" s="547"/>
      <c r="M23" s="547"/>
      <c r="N23" s="547"/>
      <c r="O23" s="547"/>
      <c r="P23" s="547"/>
      <c r="Q23" s="547"/>
      <c r="R23" s="547"/>
      <c r="S23" s="989">
        <f t="shared" si="3"/>
        <v>0</v>
      </c>
      <c r="T23" s="547">
        <v>0</v>
      </c>
      <c r="U23" s="989">
        <f t="shared" si="0"/>
        <v>0</v>
      </c>
      <c r="V23" s="547">
        <v>0</v>
      </c>
      <c r="W23" s="566"/>
      <c r="X23" s="567"/>
      <c r="Y23" s="989">
        <f t="shared" si="1"/>
        <v>0</v>
      </c>
      <c r="Z23" s="812">
        <f t="shared" si="2"/>
        <v>0</v>
      </c>
    </row>
    <row r="24" spans="1:26" ht="27" hidden="1" customHeight="1">
      <c r="A24" s="531"/>
      <c r="B24" s="531">
        <v>401</v>
      </c>
      <c r="C24" s="529">
        <v>11</v>
      </c>
      <c r="D24" s="1027" t="s">
        <v>128</v>
      </c>
      <c r="E24" s="1028" t="s">
        <v>1082</v>
      </c>
      <c r="F24" s="547">
        <v>-22856000</v>
      </c>
      <c r="G24" s="547"/>
      <c r="H24" s="547">
        <f>1927089380-2215465450</f>
        <v>-288376070</v>
      </c>
      <c r="I24" s="547"/>
      <c r="J24" s="547"/>
      <c r="K24" s="547"/>
      <c r="L24" s="547"/>
      <c r="M24" s="547"/>
      <c r="N24" s="547"/>
      <c r="O24" s="547"/>
      <c r="P24" s="547"/>
      <c r="Q24" s="547"/>
      <c r="R24" s="547"/>
      <c r="S24" s="989">
        <f t="shared" si="3"/>
        <v>-311232070</v>
      </c>
      <c r="T24" s="547">
        <v>1183961580</v>
      </c>
      <c r="U24" s="989">
        <f t="shared" si="0"/>
        <v>-311</v>
      </c>
      <c r="V24" s="547">
        <v>1184</v>
      </c>
      <c r="W24" s="566"/>
      <c r="X24" s="567"/>
      <c r="Y24" s="989">
        <f t="shared" si="1"/>
        <v>-311232070</v>
      </c>
      <c r="Z24" s="812">
        <f t="shared" si="2"/>
        <v>-311</v>
      </c>
    </row>
    <row r="25" spans="1:26" ht="27" hidden="1" customHeight="1">
      <c r="A25" s="531"/>
      <c r="B25" s="531">
        <v>1002</v>
      </c>
      <c r="C25" s="529">
        <v>17</v>
      </c>
      <c r="D25" s="1027" t="s">
        <v>132</v>
      </c>
      <c r="E25" s="1028" t="s">
        <v>1703</v>
      </c>
      <c r="F25" s="547">
        <v>507174908</v>
      </c>
      <c r="G25" s="547">
        <v>-197825728</v>
      </c>
      <c r="H25" s="547">
        <f>2028925776-2338274956</f>
        <v>-309349180</v>
      </c>
      <c r="I25" s="547"/>
      <c r="J25" s="547"/>
      <c r="K25" s="547"/>
      <c r="L25" s="547"/>
      <c r="M25" s="547"/>
      <c r="N25" s="547"/>
      <c r="O25" s="547"/>
      <c r="P25" s="547"/>
      <c r="Q25" s="547"/>
      <c r="R25" s="547"/>
      <c r="S25" s="989">
        <f t="shared" si="3"/>
        <v>0</v>
      </c>
      <c r="T25" s="547">
        <v>-6496332015</v>
      </c>
      <c r="U25" s="989">
        <f t="shared" si="0"/>
        <v>0</v>
      </c>
      <c r="V25" s="547">
        <v>-6496</v>
      </c>
      <c r="W25" s="566"/>
      <c r="X25" s="567"/>
      <c r="Y25" s="989">
        <f t="shared" si="1"/>
        <v>0</v>
      </c>
      <c r="Z25" s="812">
        <f t="shared" si="2"/>
        <v>0</v>
      </c>
    </row>
    <row r="26" spans="1:26" ht="27" hidden="1" customHeight="1">
      <c r="A26" s="531"/>
      <c r="B26" s="531">
        <v>1301</v>
      </c>
      <c r="C26" s="529">
        <v>18</v>
      </c>
      <c r="D26" s="1027" t="s">
        <v>134</v>
      </c>
      <c r="E26" s="1028" t="s">
        <v>135</v>
      </c>
      <c r="F26" s="547">
        <v>-17300718026</v>
      </c>
      <c r="G26" s="547">
        <f>842875133-181348110</f>
        <v>661527023</v>
      </c>
      <c r="H26" s="547">
        <v>181348110</v>
      </c>
      <c r="I26" s="547"/>
      <c r="J26" s="547"/>
      <c r="K26" s="547">
        <f>13126139479-16295753784</f>
        <v>-3169614305</v>
      </c>
      <c r="L26" s="547"/>
      <c r="M26" s="547"/>
      <c r="N26" s="547"/>
      <c r="O26" s="547"/>
      <c r="P26" s="547"/>
      <c r="Q26" s="547"/>
      <c r="R26" s="547"/>
      <c r="S26" s="989">
        <f t="shared" si="3"/>
        <v>-19627457198</v>
      </c>
      <c r="T26" s="547">
        <v>-18811896003</v>
      </c>
      <c r="U26" s="989">
        <f t="shared" si="0"/>
        <v>-19627</v>
      </c>
      <c r="V26" s="547">
        <v>-18812</v>
      </c>
      <c r="W26" s="566"/>
      <c r="X26" s="567"/>
      <c r="Y26" s="989">
        <f t="shared" si="1"/>
        <v>-19627457198</v>
      </c>
      <c r="Z26" s="812">
        <f t="shared" si="2"/>
        <v>-19627</v>
      </c>
    </row>
    <row r="27" spans="1:26" ht="27" hidden="1" customHeight="1">
      <c r="A27" s="531"/>
      <c r="B27" s="531">
        <v>1009</v>
      </c>
      <c r="C27" s="529">
        <v>17</v>
      </c>
      <c r="D27" s="1027" t="s">
        <v>1169</v>
      </c>
      <c r="E27" s="1028" t="s">
        <v>1170</v>
      </c>
      <c r="F27" s="547">
        <v>-19272000</v>
      </c>
      <c r="G27" s="547"/>
      <c r="H27" s="547"/>
      <c r="I27" s="547"/>
      <c r="J27" s="547"/>
      <c r="K27" s="547"/>
      <c r="L27" s="547"/>
      <c r="M27" s="547"/>
      <c r="N27" s="547"/>
      <c r="O27" s="547"/>
      <c r="P27" s="547"/>
      <c r="Q27" s="547"/>
      <c r="R27" s="547"/>
      <c r="S27" s="989">
        <f t="shared" si="3"/>
        <v>-19272000</v>
      </c>
      <c r="T27" s="547">
        <v>165799200</v>
      </c>
      <c r="U27" s="989">
        <f t="shared" si="0"/>
        <v>-19</v>
      </c>
      <c r="V27" s="547">
        <v>166</v>
      </c>
      <c r="W27" s="566"/>
      <c r="X27" s="567"/>
      <c r="Y27" s="989">
        <f t="shared" si="1"/>
        <v>-19272000</v>
      </c>
      <c r="Z27" s="812">
        <f t="shared" si="2"/>
        <v>-19</v>
      </c>
    </row>
    <row r="28" spans="1:26" ht="27" hidden="1" customHeight="1">
      <c r="A28" s="531"/>
      <c r="B28" s="531">
        <v>1009</v>
      </c>
      <c r="C28" s="529">
        <v>17</v>
      </c>
      <c r="D28" s="1027" t="s">
        <v>1226</v>
      </c>
      <c r="E28" s="1028" t="s">
        <v>1083</v>
      </c>
      <c r="F28" s="547"/>
      <c r="G28" s="547"/>
      <c r="H28" s="547"/>
      <c r="I28" s="547"/>
      <c r="J28" s="547"/>
      <c r="K28" s="547"/>
      <c r="L28" s="547"/>
      <c r="M28" s="547"/>
      <c r="N28" s="547"/>
      <c r="O28" s="547"/>
      <c r="P28" s="547"/>
      <c r="Q28" s="547"/>
      <c r="R28" s="547"/>
      <c r="S28" s="989">
        <f t="shared" si="3"/>
        <v>0</v>
      </c>
      <c r="T28" s="547">
        <v>0</v>
      </c>
      <c r="U28" s="989">
        <f t="shared" si="0"/>
        <v>0</v>
      </c>
      <c r="V28" s="547">
        <v>0</v>
      </c>
      <c r="W28" s="566"/>
      <c r="X28" s="567"/>
      <c r="Y28" s="989">
        <f t="shared" si="1"/>
        <v>0</v>
      </c>
      <c r="Z28" s="812">
        <f t="shared" si="2"/>
        <v>0</v>
      </c>
    </row>
    <row r="29" spans="1:26" ht="27" hidden="1" customHeight="1">
      <c r="A29" s="531"/>
      <c r="B29" s="531">
        <v>1009</v>
      </c>
      <c r="C29" s="529">
        <v>17</v>
      </c>
      <c r="D29" s="1027" t="s">
        <v>136</v>
      </c>
      <c r="E29" s="1028" t="s">
        <v>700</v>
      </c>
      <c r="F29" s="547">
        <v>-238317745</v>
      </c>
      <c r="G29" s="547"/>
      <c r="H29" s="547"/>
      <c r="I29" s="547"/>
      <c r="J29" s="547"/>
      <c r="K29" s="547"/>
      <c r="L29" s="547"/>
      <c r="M29" s="547"/>
      <c r="N29" s="547"/>
      <c r="O29" s="547"/>
      <c r="P29" s="547"/>
      <c r="Q29" s="547"/>
      <c r="R29" s="547"/>
      <c r="S29" s="989">
        <f t="shared" si="3"/>
        <v>-238317745</v>
      </c>
      <c r="T29" s="547">
        <v>489579014</v>
      </c>
      <c r="U29" s="989">
        <f t="shared" si="0"/>
        <v>-238</v>
      </c>
      <c r="V29" s="547">
        <v>490</v>
      </c>
      <c r="W29" s="566"/>
      <c r="X29" s="567"/>
      <c r="Y29" s="989">
        <f t="shared" si="1"/>
        <v>-238317745</v>
      </c>
      <c r="Z29" s="812">
        <f t="shared" si="2"/>
        <v>-238</v>
      </c>
    </row>
    <row r="30" spans="1:26" ht="27" hidden="1" customHeight="1">
      <c r="A30" s="531"/>
      <c r="B30" s="531">
        <v>401</v>
      </c>
      <c r="C30" s="529">
        <v>11</v>
      </c>
      <c r="D30" s="1027" t="s">
        <v>927</v>
      </c>
      <c r="E30" s="1028" t="s">
        <v>928</v>
      </c>
      <c r="F30" s="547">
        <v>610195791130</v>
      </c>
      <c r="G30" s="547">
        <f>83209860-41409860</f>
        <v>41800000</v>
      </c>
      <c r="H30" s="547">
        <f>211132744-142570920088</f>
        <v>-142359787344</v>
      </c>
      <c r="I30" s="547"/>
      <c r="J30" s="547"/>
      <c r="K30" s="547"/>
      <c r="L30" s="547">
        <v>-468050803898</v>
      </c>
      <c r="M30" s="547"/>
      <c r="N30" s="547">
        <v>1529580000</v>
      </c>
      <c r="O30" s="547">
        <v>173000112</v>
      </c>
      <c r="P30" s="547">
        <v>-1529580000</v>
      </c>
      <c r="Q30" s="547"/>
      <c r="R30" s="547"/>
      <c r="S30" s="989">
        <f>SUM(F30:R30)</f>
        <v>0</v>
      </c>
      <c r="T30" s="547">
        <v>0</v>
      </c>
      <c r="U30" s="989">
        <f t="shared" si="0"/>
        <v>0</v>
      </c>
      <c r="V30" s="547">
        <v>0</v>
      </c>
      <c r="W30" s="566"/>
      <c r="X30" s="567"/>
      <c r="Y30" s="989">
        <f t="shared" si="1"/>
        <v>0</v>
      </c>
      <c r="Z30" s="812">
        <f t="shared" si="2"/>
        <v>0</v>
      </c>
    </row>
    <row r="31" spans="1:26" ht="27" hidden="1" customHeight="1">
      <c r="A31" s="531"/>
      <c r="B31" s="531">
        <v>1009</v>
      </c>
      <c r="C31" s="529">
        <v>17</v>
      </c>
      <c r="D31" s="1027" t="s">
        <v>83</v>
      </c>
      <c r="E31" s="1028" t="s">
        <v>930</v>
      </c>
      <c r="F31" s="547">
        <v>-2826130</v>
      </c>
      <c r="G31" s="547">
        <v>1583680</v>
      </c>
      <c r="H31" s="547"/>
      <c r="I31" s="547"/>
      <c r="J31" s="547"/>
      <c r="K31" s="547"/>
      <c r="L31" s="547"/>
      <c r="M31" s="547"/>
      <c r="N31" s="547">
        <v>0</v>
      </c>
      <c r="O31" s="547">
        <v>1242450</v>
      </c>
      <c r="P31" s="547"/>
      <c r="Q31" s="547"/>
      <c r="R31" s="547"/>
      <c r="S31" s="989">
        <f t="shared" si="3"/>
        <v>0</v>
      </c>
      <c r="T31" s="547">
        <v>0</v>
      </c>
      <c r="U31" s="989">
        <f t="shared" si="0"/>
        <v>0</v>
      </c>
      <c r="V31" s="547">
        <v>0</v>
      </c>
      <c r="W31" s="566"/>
      <c r="X31" s="567"/>
      <c r="Y31" s="989">
        <f t="shared" si="1"/>
        <v>0</v>
      </c>
      <c r="Z31" s="812">
        <f t="shared" si="2"/>
        <v>0</v>
      </c>
    </row>
    <row r="32" spans="1:26" ht="27" hidden="1" customHeight="1">
      <c r="A32" s="531"/>
      <c r="B32" s="531">
        <v>1009</v>
      </c>
      <c r="C32" s="529">
        <v>17</v>
      </c>
      <c r="D32" s="1027" t="s">
        <v>212</v>
      </c>
      <c r="E32" s="1028" t="s">
        <v>929</v>
      </c>
      <c r="F32" s="547">
        <v>-609567706809</v>
      </c>
      <c r="G32" s="547"/>
      <c r="H32" s="547">
        <v>142577980848</v>
      </c>
      <c r="I32" s="547"/>
      <c r="J32" s="547"/>
      <c r="K32" s="547"/>
      <c r="L32" s="547">
        <v>466989725961</v>
      </c>
      <c r="M32" s="547"/>
      <c r="N32" s="547"/>
      <c r="O32" s="547"/>
      <c r="P32" s="547"/>
      <c r="Q32" s="547"/>
      <c r="R32" s="547"/>
      <c r="S32" s="989">
        <f t="shared" si="3"/>
        <v>0</v>
      </c>
      <c r="T32" s="547">
        <v>0</v>
      </c>
      <c r="U32" s="989">
        <f t="shared" si="0"/>
        <v>0</v>
      </c>
      <c r="V32" s="547">
        <v>0</v>
      </c>
      <c r="W32" s="566"/>
      <c r="X32" s="567"/>
      <c r="Y32" s="989">
        <f t="shared" si="1"/>
        <v>0</v>
      </c>
      <c r="Z32" s="812">
        <f t="shared" si="2"/>
        <v>0</v>
      </c>
    </row>
    <row r="33" spans="1:26" ht="27" hidden="1" customHeight="1">
      <c r="A33" s="531"/>
      <c r="B33" s="531"/>
      <c r="C33" s="529" t="s">
        <v>764</v>
      </c>
      <c r="D33" s="1027" t="s">
        <v>931</v>
      </c>
      <c r="E33" s="1028" t="s">
        <v>933</v>
      </c>
      <c r="F33" s="547"/>
      <c r="G33" s="547"/>
      <c r="H33" s="547"/>
      <c r="I33" s="547"/>
      <c r="J33" s="547"/>
      <c r="K33" s="547"/>
      <c r="L33" s="547"/>
      <c r="M33" s="547"/>
      <c r="N33" s="547"/>
      <c r="O33" s="547"/>
      <c r="P33" s="547"/>
      <c r="Q33" s="547"/>
      <c r="R33" s="547"/>
      <c r="S33" s="989">
        <f t="shared" si="3"/>
        <v>0</v>
      </c>
      <c r="T33" s="547">
        <v>0</v>
      </c>
      <c r="U33" s="989">
        <f t="shared" si="0"/>
        <v>0</v>
      </c>
      <c r="V33" s="547">
        <v>0</v>
      </c>
      <c r="W33" s="566"/>
      <c r="X33" s="567"/>
      <c r="Y33" s="989">
        <f t="shared" si="1"/>
        <v>0</v>
      </c>
      <c r="Z33" s="812">
        <f t="shared" si="2"/>
        <v>0</v>
      </c>
    </row>
    <row r="34" spans="1:26" ht="27" hidden="1" customHeight="1">
      <c r="A34" s="531"/>
      <c r="B34" s="531"/>
      <c r="C34" s="529" t="s">
        <v>764</v>
      </c>
      <c r="D34" s="1027" t="s">
        <v>1406</v>
      </c>
      <c r="E34" s="1028" t="s">
        <v>934</v>
      </c>
      <c r="F34" s="547"/>
      <c r="G34" s="547"/>
      <c r="H34" s="547"/>
      <c r="I34" s="547"/>
      <c r="J34" s="547"/>
      <c r="K34" s="547"/>
      <c r="L34" s="547"/>
      <c r="M34" s="547"/>
      <c r="N34" s="547"/>
      <c r="O34" s="547"/>
      <c r="P34" s="547"/>
      <c r="Q34" s="547"/>
      <c r="R34" s="547"/>
      <c r="S34" s="989">
        <f t="shared" si="3"/>
        <v>0</v>
      </c>
      <c r="T34" s="547">
        <v>0</v>
      </c>
      <c r="U34" s="989">
        <f t="shared" si="0"/>
        <v>0</v>
      </c>
      <c r="V34" s="547">
        <v>0</v>
      </c>
      <c r="W34" s="566"/>
      <c r="X34" s="567"/>
      <c r="Y34" s="989">
        <f t="shared" si="1"/>
        <v>0</v>
      </c>
      <c r="Z34" s="812">
        <f t="shared" si="2"/>
        <v>0</v>
      </c>
    </row>
    <row r="35" spans="1:26" ht="27" hidden="1" customHeight="1">
      <c r="A35" s="531"/>
      <c r="B35" s="531">
        <v>1009</v>
      </c>
      <c r="C35" s="529">
        <v>17</v>
      </c>
      <c r="D35" s="1027" t="s">
        <v>932</v>
      </c>
      <c r="E35" s="1028" t="s">
        <v>935</v>
      </c>
      <c r="F35" s="547">
        <v>-304010</v>
      </c>
      <c r="G35" s="547"/>
      <c r="H35" s="547">
        <v>304010</v>
      </c>
      <c r="I35" s="547"/>
      <c r="J35" s="547"/>
      <c r="K35" s="547"/>
      <c r="L35" s="547"/>
      <c r="M35" s="547"/>
      <c r="N35" s="547"/>
      <c r="O35" s="547"/>
      <c r="P35" s="547"/>
      <c r="Q35" s="547"/>
      <c r="R35" s="547"/>
      <c r="S35" s="989">
        <f t="shared" si="3"/>
        <v>0</v>
      </c>
      <c r="T35" s="547">
        <v>0</v>
      </c>
      <c r="U35" s="989">
        <f t="shared" si="0"/>
        <v>0</v>
      </c>
      <c r="V35" s="547">
        <v>0</v>
      </c>
      <c r="W35" s="566"/>
      <c r="X35" s="567"/>
      <c r="Y35" s="989">
        <f t="shared" si="1"/>
        <v>0</v>
      </c>
      <c r="Z35" s="812">
        <f t="shared" si="2"/>
        <v>0</v>
      </c>
    </row>
    <row r="36" spans="1:26" ht="27" hidden="1" customHeight="1">
      <c r="A36" s="531"/>
      <c r="B36" s="531">
        <v>1009</v>
      </c>
      <c r="C36" s="529">
        <v>17</v>
      </c>
      <c r="D36" s="1027" t="s">
        <v>1531</v>
      </c>
      <c r="E36" s="1028" t="s">
        <v>1532</v>
      </c>
      <c r="F36" s="547">
        <v>-2400000</v>
      </c>
      <c r="G36" s="547">
        <v>2400000</v>
      </c>
      <c r="H36" s="547"/>
      <c r="I36" s="547"/>
      <c r="J36" s="547"/>
      <c r="K36" s="547"/>
      <c r="L36" s="547"/>
      <c r="M36" s="547"/>
      <c r="N36" s="547"/>
      <c r="O36" s="547"/>
      <c r="P36" s="547"/>
      <c r="Q36" s="547"/>
      <c r="R36" s="547"/>
      <c r="S36" s="989">
        <f t="shared" si="3"/>
        <v>0</v>
      </c>
      <c r="T36" s="547">
        <v>0</v>
      </c>
      <c r="U36" s="989">
        <f t="shared" si="0"/>
        <v>0</v>
      </c>
      <c r="V36" s="547">
        <v>0</v>
      </c>
      <c r="W36" s="566"/>
      <c r="X36" s="567"/>
      <c r="Y36" s="989">
        <f t="shared" si="1"/>
        <v>0</v>
      </c>
      <c r="Z36" s="812">
        <f t="shared" si="2"/>
        <v>0</v>
      </c>
    </row>
    <row r="37" spans="1:26" ht="27" hidden="1" customHeight="1">
      <c r="A37" s="531"/>
      <c r="B37" s="531">
        <v>1009</v>
      </c>
      <c r="C37" s="529">
        <v>17</v>
      </c>
      <c r="D37" s="1027" t="s">
        <v>1533</v>
      </c>
      <c r="E37" s="1028" t="s">
        <v>1534</v>
      </c>
      <c r="F37" s="547">
        <v>-3000000</v>
      </c>
      <c r="G37" s="547">
        <v>3000000</v>
      </c>
      <c r="H37" s="547"/>
      <c r="I37" s="547"/>
      <c r="J37" s="547"/>
      <c r="K37" s="547"/>
      <c r="L37" s="547"/>
      <c r="M37" s="547"/>
      <c r="N37" s="547"/>
      <c r="O37" s="547"/>
      <c r="P37" s="547"/>
      <c r="Q37" s="547"/>
      <c r="R37" s="547"/>
      <c r="S37" s="989">
        <f t="shared" si="3"/>
        <v>0</v>
      </c>
      <c r="T37" s="547">
        <v>0</v>
      </c>
      <c r="U37" s="989">
        <f t="shared" si="0"/>
        <v>0</v>
      </c>
      <c r="V37" s="547">
        <v>0</v>
      </c>
      <c r="W37" s="566"/>
      <c r="X37" s="567"/>
      <c r="Y37" s="989">
        <f t="shared" si="1"/>
        <v>0</v>
      </c>
      <c r="Z37" s="812">
        <f t="shared" si="2"/>
        <v>0</v>
      </c>
    </row>
    <row r="38" spans="1:26" ht="27" hidden="1" customHeight="1">
      <c r="A38" s="531"/>
      <c r="B38" s="531">
        <v>1009</v>
      </c>
      <c r="C38" s="529">
        <v>17</v>
      </c>
      <c r="D38" s="1027" t="s">
        <v>1227</v>
      </c>
      <c r="E38" s="1028" t="s">
        <v>1228</v>
      </c>
      <c r="F38" s="547"/>
      <c r="G38" s="547"/>
      <c r="H38" s="547"/>
      <c r="I38" s="547"/>
      <c r="J38" s="547"/>
      <c r="K38" s="547"/>
      <c r="L38" s="547"/>
      <c r="M38" s="547"/>
      <c r="N38" s="547"/>
      <c r="O38" s="547"/>
      <c r="P38" s="547"/>
      <c r="Q38" s="547"/>
      <c r="R38" s="547"/>
      <c r="S38" s="989">
        <f t="shared" si="3"/>
        <v>0</v>
      </c>
      <c r="T38" s="547">
        <v>0</v>
      </c>
      <c r="U38" s="989">
        <f t="shared" si="0"/>
        <v>0</v>
      </c>
      <c r="V38" s="547">
        <v>0</v>
      </c>
      <c r="W38" s="566"/>
      <c r="X38" s="567"/>
      <c r="Y38" s="989">
        <f t="shared" si="1"/>
        <v>0</v>
      </c>
      <c r="Z38" s="812">
        <f t="shared" si="2"/>
        <v>0</v>
      </c>
    </row>
    <row r="39" spans="1:26" ht="27" hidden="1" customHeight="1">
      <c r="A39" s="531"/>
      <c r="B39" s="531">
        <v>401</v>
      </c>
      <c r="C39" s="529">
        <v>11</v>
      </c>
      <c r="D39" s="1027" t="s">
        <v>1084</v>
      </c>
      <c r="E39" s="1028" t="s">
        <v>1085</v>
      </c>
      <c r="F39" s="547"/>
      <c r="G39" s="547"/>
      <c r="H39" s="547"/>
      <c r="I39" s="547"/>
      <c r="J39" s="547"/>
      <c r="K39" s="547"/>
      <c r="L39" s="547"/>
      <c r="M39" s="547"/>
      <c r="N39" s="547"/>
      <c r="O39" s="547"/>
      <c r="P39" s="547"/>
      <c r="Q39" s="547"/>
      <c r="R39" s="547"/>
      <c r="S39" s="989">
        <f t="shared" si="3"/>
        <v>0</v>
      </c>
      <c r="T39" s="547">
        <v>0</v>
      </c>
      <c r="U39" s="989">
        <f t="shared" si="0"/>
        <v>0</v>
      </c>
      <c r="V39" s="547">
        <v>0</v>
      </c>
      <c r="W39" s="566"/>
      <c r="X39" s="567"/>
      <c r="Y39" s="989">
        <f t="shared" si="1"/>
        <v>0</v>
      </c>
      <c r="Z39" s="812">
        <f t="shared" si="2"/>
        <v>0</v>
      </c>
    </row>
    <row r="40" spans="1:26" ht="27" hidden="1" customHeight="1">
      <c r="A40" s="531"/>
      <c r="B40" s="531">
        <v>1009</v>
      </c>
      <c r="C40" s="529">
        <v>17</v>
      </c>
      <c r="D40" s="1027" t="s">
        <v>84</v>
      </c>
      <c r="E40" s="1028" t="s">
        <v>699</v>
      </c>
      <c r="F40" s="547">
        <v>2260428239</v>
      </c>
      <c r="G40" s="547"/>
      <c r="H40" s="547"/>
      <c r="I40" s="547"/>
      <c r="J40" s="547"/>
      <c r="K40" s="547"/>
      <c r="L40" s="547"/>
      <c r="M40" s="547"/>
      <c r="N40" s="547"/>
      <c r="O40" s="547"/>
      <c r="P40" s="547"/>
      <c r="Q40" s="547"/>
      <c r="R40" s="547"/>
      <c r="S40" s="989">
        <f t="shared" si="3"/>
        <v>2260428239</v>
      </c>
      <c r="T40" s="547">
        <v>3058806363</v>
      </c>
      <c r="U40" s="989">
        <f t="shared" si="0"/>
        <v>2260</v>
      </c>
      <c r="V40" s="547">
        <v>3059</v>
      </c>
      <c r="W40" s="566"/>
      <c r="X40" s="567"/>
      <c r="Y40" s="989">
        <f t="shared" si="1"/>
        <v>2260428239</v>
      </c>
      <c r="Z40" s="812">
        <f t="shared" si="2"/>
        <v>2260</v>
      </c>
    </row>
    <row r="41" spans="1:26" ht="27" hidden="1" customHeight="1">
      <c r="A41" s="531"/>
      <c r="B41" s="531">
        <v>401</v>
      </c>
      <c r="C41" s="529">
        <v>11</v>
      </c>
      <c r="D41" s="1027" t="s">
        <v>873</v>
      </c>
      <c r="E41" s="1028" t="s">
        <v>874</v>
      </c>
      <c r="F41" s="547">
        <v>275301695</v>
      </c>
      <c r="G41" s="547">
        <v>-62143546</v>
      </c>
      <c r="H41" s="547">
        <f>27432480-80674400</f>
        <v>-53241920</v>
      </c>
      <c r="I41" s="547"/>
      <c r="J41" s="547"/>
      <c r="K41" s="547"/>
      <c r="L41" s="547"/>
      <c r="M41" s="547"/>
      <c r="N41" s="547">
        <v>0</v>
      </c>
      <c r="O41" s="547">
        <v>-54864960</v>
      </c>
      <c r="P41" s="547"/>
      <c r="Q41" s="547"/>
      <c r="R41" s="547"/>
      <c r="S41" s="989">
        <f t="shared" si="3"/>
        <v>105051269</v>
      </c>
      <c r="T41" s="547">
        <v>159459775</v>
      </c>
      <c r="U41" s="989">
        <f t="shared" si="0"/>
        <v>105</v>
      </c>
      <c r="V41" s="547">
        <v>160</v>
      </c>
      <c r="W41" s="566"/>
      <c r="X41" s="567"/>
      <c r="Y41" s="989">
        <f t="shared" si="1"/>
        <v>105051269</v>
      </c>
      <c r="Z41" s="812">
        <f t="shared" si="2"/>
        <v>105</v>
      </c>
    </row>
    <row r="42" spans="1:26" ht="27" hidden="1" customHeight="1">
      <c r="A42" s="531"/>
      <c r="B42" s="531">
        <v>1009</v>
      </c>
      <c r="C42" s="529">
        <v>17</v>
      </c>
      <c r="D42" s="1027" t="s">
        <v>86</v>
      </c>
      <c r="E42" s="1028" t="s">
        <v>875</v>
      </c>
      <c r="F42" s="547">
        <v>-230164643</v>
      </c>
      <c r="G42" s="547">
        <v>59004546</v>
      </c>
      <c r="H42" s="547"/>
      <c r="I42" s="547"/>
      <c r="J42" s="547"/>
      <c r="K42" s="547"/>
      <c r="L42" s="547"/>
      <c r="M42" s="547"/>
      <c r="N42" s="547"/>
      <c r="O42" s="547"/>
      <c r="P42" s="547"/>
      <c r="Q42" s="547"/>
      <c r="R42" s="547"/>
      <c r="S42" s="989">
        <f t="shared" si="3"/>
        <v>-171160097</v>
      </c>
      <c r="T42" s="547">
        <v>-121808937</v>
      </c>
      <c r="U42" s="989">
        <f t="shared" si="0"/>
        <v>-171</v>
      </c>
      <c r="V42" s="547">
        <v>-122</v>
      </c>
      <c r="W42" s="566"/>
      <c r="X42" s="567"/>
      <c r="Y42" s="989">
        <f t="shared" si="1"/>
        <v>-171160097</v>
      </c>
      <c r="Z42" s="812">
        <f t="shared" si="2"/>
        <v>-171</v>
      </c>
    </row>
    <row r="43" spans="1:26" ht="27" hidden="1" customHeight="1">
      <c r="A43" s="531"/>
      <c r="B43" s="531">
        <v>401</v>
      </c>
      <c r="C43" s="529">
        <v>11</v>
      </c>
      <c r="D43" s="1027" t="s">
        <v>1171</v>
      </c>
      <c r="E43" s="1028" t="s">
        <v>1172</v>
      </c>
      <c r="F43" s="547">
        <v>434829031</v>
      </c>
      <c r="G43" s="547">
        <v>-122699998</v>
      </c>
      <c r="H43" s="547">
        <v>-210325822</v>
      </c>
      <c r="I43" s="547"/>
      <c r="J43" s="547"/>
      <c r="K43" s="547"/>
      <c r="L43" s="547">
        <v>-101803211</v>
      </c>
      <c r="M43" s="547"/>
      <c r="N43" s="547"/>
      <c r="O43" s="547"/>
      <c r="P43" s="547"/>
      <c r="Q43" s="547"/>
      <c r="R43" s="547"/>
      <c r="S43" s="989">
        <f t="shared" si="3"/>
        <v>0</v>
      </c>
      <c r="T43" s="547">
        <v>0</v>
      </c>
      <c r="U43" s="989">
        <f t="shared" si="0"/>
        <v>0</v>
      </c>
      <c r="V43" s="547">
        <v>0</v>
      </c>
      <c r="W43" s="566"/>
      <c r="X43" s="567"/>
      <c r="Y43" s="989">
        <f t="shared" si="1"/>
        <v>0</v>
      </c>
      <c r="Z43" s="812">
        <f t="shared" si="2"/>
        <v>0</v>
      </c>
    </row>
    <row r="44" spans="1:26" ht="27" hidden="1" customHeight="1">
      <c r="A44" s="531"/>
      <c r="B44" s="531">
        <v>401</v>
      </c>
      <c r="C44" s="529">
        <v>11</v>
      </c>
      <c r="D44" s="1027" t="s">
        <v>1086</v>
      </c>
      <c r="E44" s="1028" t="s">
        <v>1087</v>
      </c>
      <c r="F44" s="547">
        <v>455576</v>
      </c>
      <c r="G44" s="547"/>
      <c r="H44" s="547"/>
      <c r="I44" s="547"/>
      <c r="J44" s="547"/>
      <c r="K44" s="547"/>
      <c r="L44" s="547"/>
      <c r="M44" s="547"/>
      <c r="N44" s="547"/>
      <c r="O44" s="547"/>
      <c r="P44" s="547"/>
      <c r="Q44" s="547"/>
      <c r="R44" s="547"/>
      <c r="S44" s="989">
        <f t="shared" si="3"/>
        <v>455576</v>
      </c>
      <c r="T44" s="547">
        <v>455576</v>
      </c>
      <c r="U44" s="989">
        <f t="shared" si="0"/>
        <v>0</v>
      </c>
      <c r="V44" s="547">
        <v>1</v>
      </c>
      <c r="W44" s="566"/>
      <c r="X44" s="567"/>
      <c r="Y44" s="989">
        <f t="shared" si="1"/>
        <v>455576</v>
      </c>
      <c r="Z44" s="812">
        <f t="shared" si="2"/>
        <v>0</v>
      </c>
    </row>
    <row r="45" spans="1:26" ht="27" hidden="1" customHeight="1">
      <c r="A45" s="531"/>
      <c r="B45" s="531">
        <v>401</v>
      </c>
      <c r="C45" s="529">
        <v>11</v>
      </c>
      <c r="D45" s="1027" t="s">
        <v>1229</v>
      </c>
      <c r="E45" s="1028" t="s">
        <v>1230</v>
      </c>
      <c r="F45" s="547">
        <v>34676000</v>
      </c>
      <c r="G45" s="547"/>
      <c r="H45" s="547">
        <f>967022000-967022000</f>
        <v>0</v>
      </c>
      <c r="I45" s="547"/>
      <c r="J45" s="547"/>
      <c r="K45" s="547"/>
      <c r="L45" s="547"/>
      <c r="M45" s="547"/>
      <c r="N45" s="547"/>
      <c r="O45" s="547"/>
      <c r="P45" s="547"/>
      <c r="Q45" s="547"/>
      <c r="R45" s="547"/>
      <c r="S45" s="989">
        <f t="shared" si="3"/>
        <v>34676000</v>
      </c>
      <c r="T45" s="547">
        <v>56235000</v>
      </c>
      <c r="U45" s="989">
        <f t="shared" si="0"/>
        <v>35</v>
      </c>
      <c r="V45" s="547">
        <v>56</v>
      </c>
      <c r="W45" s="566"/>
      <c r="X45" s="567"/>
      <c r="Y45" s="989">
        <f t="shared" si="1"/>
        <v>34676000</v>
      </c>
      <c r="Z45" s="812">
        <f t="shared" si="2"/>
        <v>35</v>
      </c>
    </row>
    <row r="46" spans="1:26" ht="27" hidden="1" customHeight="1">
      <c r="A46" s="531"/>
      <c r="B46" s="531">
        <v>1009</v>
      </c>
      <c r="C46" s="529">
        <v>17</v>
      </c>
      <c r="D46" s="1027" t="s">
        <v>89</v>
      </c>
      <c r="E46" s="1028" t="s">
        <v>936</v>
      </c>
      <c r="F46" s="547">
        <v>-237167337</v>
      </c>
      <c r="G46" s="547">
        <v>3167360</v>
      </c>
      <c r="H46" s="547">
        <v>19200000</v>
      </c>
      <c r="I46" s="547"/>
      <c r="J46" s="547"/>
      <c r="K46" s="547"/>
      <c r="L46" s="547"/>
      <c r="M46" s="547"/>
      <c r="N46" s="547">
        <v>0</v>
      </c>
      <c r="O46" s="547">
        <v>214799977</v>
      </c>
      <c r="P46" s="547"/>
      <c r="Q46" s="547"/>
      <c r="R46" s="547"/>
      <c r="S46" s="989">
        <f t="shared" si="3"/>
        <v>0</v>
      </c>
      <c r="T46" s="547">
        <v>-128399977</v>
      </c>
      <c r="U46" s="989">
        <f t="shared" si="0"/>
        <v>0</v>
      </c>
      <c r="V46" s="547">
        <v>-128</v>
      </c>
      <c r="W46" s="566"/>
      <c r="X46" s="567"/>
      <c r="Y46" s="989">
        <f t="shared" si="1"/>
        <v>0</v>
      </c>
      <c r="Z46" s="812">
        <f t="shared" si="2"/>
        <v>0</v>
      </c>
    </row>
    <row r="47" spans="1:26" ht="27" hidden="1" customHeight="1">
      <c r="A47" s="531"/>
      <c r="B47" s="531">
        <v>1009</v>
      </c>
      <c r="C47" s="529">
        <v>17</v>
      </c>
      <c r="D47" s="1027" t="s">
        <v>1535</v>
      </c>
      <c r="E47" s="1028" t="s">
        <v>1536</v>
      </c>
      <c r="F47" s="547">
        <v>-71829885</v>
      </c>
      <c r="G47" s="547">
        <v>71829885</v>
      </c>
      <c r="H47" s="547"/>
      <c r="I47" s="547"/>
      <c r="J47" s="547"/>
      <c r="K47" s="547"/>
      <c r="L47" s="547"/>
      <c r="M47" s="547"/>
      <c r="N47" s="547"/>
      <c r="O47" s="547"/>
      <c r="P47" s="547"/>
      <c r="Q47" s="547"/>
      <c r="R47" s="547"/>
      <c r="S47" s="989">
        <f t="shared" si="3"/>
        <v>0</v>
      </c>
      <c r="T47" s="547">
        <v>0</v>
      </c>
      <c r="U47" s="989">
        <f t="shared" si="0"/>
        <v>0</v>
      </c>
      <c r="V47" s="547">
        <v>0</v>
      </c>
      <c r="W47" s="566"/>
      <c r="X47" s="567"/>
      <c r="Y47" s="989">
        <f t="shared" si="1"/>
        <v>0</v>
      </c>
      <c r="Z47" s="812">
        <f t="shared" si="2"/>
        <v>0</v>
      </c>
    </row>
    <row r="48" spans="1:26" ht="27" hidden="1" customHeight="1">
      <c r="A48" s="531"/>
      <c r="B48" s="531">
        <v>401</v>
      </c>
      <c r="C48" s="529">
        <v>11</v>
      </c>
      <c r="D48" s="1027" t="s">
        <v>1088</v>
      </c>
      <c r="E48" s="1028" t="s">
        <v>956</v>
      </c>
      <c r="F48" s="547">
        <v>475756715</v>
      </c>
      <c r="G48" s="547">
        <f>1765307065-1779535277</f>
        <v>-14228212</v>
      </c>
      <c r="H48" s="547">
        <f>1018045661-1355256913</f>
        <v>-337211252</v>
      </c>
      <c r="I48" s="547">
        <f>356119985-475930522</f>
        <v>-119810537</v>
      </c>
      <c r="J48" s="547"/>
      <c r="K48" s="547"/>
      <c r="L48" s="547"/>
      <c r="M48" s="547"/>
      <c r="N48" s="547">
        <v>0</v>
      </c>
      <c r="O48" s="547"/>
      <c r="P48" s="547"/>
      <c r="Q48" s="547"/>
      <c r="R48" s="547"/>
      <c r="S48" s="989">
        <f t="shared" si="3"/>
        <v>4506714</v>
      </c>
      <c r="T48" s="547">
        <v>16258380</v>
      </c>
      <c r="U48" s="989">
        <f t="shared" si="0"/>
        <v>5</v>
      </c>
      <c r="V48" s="547">
        <v>16</v>
      </c>
      <c r="W48" s="566"/>
      <c r="X48" s="567"/>
      <c r="Y48" s="989">
        <f t="shared" si="1"/>
        <v>4506714</v>
      </c>
      <c r="Z48" s="812">
        <f t="shared" si="2"/>
        <v>5</v>
      </c>
    </row>
    <row r="49" spans="1:26" ht="27" hidden="1" customHeight="1">
      <c r="A49" s="531"/>
      <c r="B49" s="531">
        <v>401</v>
      </c>
      <c r="C49" s="529">
        <v>11</v>
      </c>
      <c r="D49" s="1027" t="s">
        <v>1537</v>
      </c>
      <c r="E49" s="1028" t="s">
        <v>956</v>
      </c>
      <c r="F49" s="547">
        <v>-7</v>
      </c>
      <c r="G49" s="547"/>
      <c r="H49" s="547"/>
      <c r="I49" s="547"/>
      <c r="J49" s="547"/>
      <c r="K49" s="547"/>
      <c r="L49" s="547"/>
      <c r="M49" s="547"/>
      <c r="N49" s="547"/>
      <c r="O49" s="547"/>
      <c r="P49" s="547"/>
      <c r="Q49" s="547"/>
      <c r="R49" s="547"/>
      <c r="S49" s="989">
        <f t="shared" si="3"/>
        <v>-7</v>
      </c>
      <c r="T49" s="547">
        <v>-7</v>
      </c>
      <c r="U49" s="989">
        <f t="shared" si="0"/>
        <v>0</v>
      </c>
      <c r="V49" s="547">
        <v>0</v>
      </c>
      <c r="W49" s="566"/>
      <c r="X49" s="567"/>
      <c r="Y49" s="989">
        <f t="shared" si="1"/>
        <v>-7</v>
      </c>
      <c r="Z49" s="812">
        <f t="shared" si="2"/>
        <v>0</v>
      </c>
    </row>
    <row r="50" spans="1:26" ht="27" hidden="1" customHeight="1">
      <c r="A50" s="531"/>
      <c r="B50" s="531">
        <v>1009</v>
      </c>
      <c r="C50" s="529">
        <v>17</v>
      </c>
      <c r="D50" s="1027" t="s">
        <v>1327</v>
      </c>
      <c r="E50" s="1361" t="s">
        <v>1326</v>
      </c>
      <c r="F50" s="547">
        <v>3500000</v>
      </c>
      <c r="G50" s="547"/>
      <c r="H50" s="547"/>
      <c r="I50" s="547"/>
      <c r="J50" s="547">
        <f>6000000-27375000</f>
        <v>-21375000</v>
      </c>
      <c r="K50" s="547"/>
      <c r="L50" s="547"/>
      <c r="M50" s="547"/>
      <c r="N50" s="547"/>
      <c r="O50" s="547"/>
      <c r="P50" s="547"/>
      <c r="Q50" s="547"/>
      <c r="R50" s="547"/>
      <c r="S50" s="989">
        <f t="shared" si="3"/>
        <v>-17875000</v>
      </c>
      <c r="T50" s="547">
        <v>0</v>
      </c>
      <c r="U50" s="989">
        <f t="shared" si="0"/>
        <v>-18</v>
      </c>
      <c r="V50" s="547">
        <v>0</v>
      </c>
      <c r="W50" s="566"/>
      <c r="X50" s="567"/>
      <c r="Y50" s="989">
        <f t="shared" si="1"/>
        <v>-17875000</v>
      </c>
      <c r="Z50" s="812">
        <f t="shared" si="2"/>
        <v>-18</v>
      </c>
    </row>
    <row r="51" spans="1:26" ht="27" hidden="1" customHeight="1">
      <c r="A51" s="531"/>
      <c r="B51" s="531">
        <v>401</v>
      </c>
      <c r="C51" s="529">
        <v>11</v>
      </c>
      <c r="D51" s="530" t="s">
        <v>92</v>
      </c>
      <c r="E51" s="1028" t="s">
        <v>1758</v>
      </c>
      <c r="F51" s="547">
        <v>45833040</v>
      </c>
      <c r="G51" s="547"/>
      <c r="H51" s="547"/>
      <c r="I51" s="547"/>
      <c r="J51" s="547"/>
      <c r="K51" s="547"/>
      <c r="L51" s="547"/>
      <c r="M51" s="547"/>
      <c r="N51" s="547"/>
      <c r="O51" s="547"/>
      <c r="P51" s="547"/>
      <c r="Q51" s="547"/>
      <c r="R51" s="547"/>
      <c r="S51" s="989">
        <f t="shared" si="3"/>
        <v>45833040</v>
      </c>
      <c r="T51" s="547">
        <v>70832880</v>
      </c>
      <c r="U51" s="989">
        <f t="shared" si="0"/>
        <v>46</v>
      </c>
      <c r="V51" s="547">
        <v>71</v>
      </c>
      <c r="W51" s="566"/>
      <c r="X51" s="567"/>
      <c r="Y51" s="989">
        <f t="shared" si="1"/>
        <v>45833040</v>
      </c>
      <c r="Z51" s="812">
        <f t="shared" si="2"/>
        <v>46</v>
      </c>
    </row>
    <row r="52" spans="1:26" ht="27" hidden="1" customHeight="1">
      <c r="A52" s="531"/>
      <c r="B52" s="531">
        <v>401</v>
      </c>
      <c r="C52" s="529">
        <v>11</v>
      </c>
      <c r="D52" s="1027" t="s">
        <v>216</v>
      </c>
      <c r="E52" s="1028" t="s">
        <v>706</v>
      </c>
      <c r="F52" s="547"/>
      <c r="G52" s="547"/>
      <c r="H52" s="547"/>
      <c r="I52" s="547"/>
      <c r="J52" s="547"/>
      <c r="K52" s="547"/>
      <c r="L52" s="547"/>
      <c r="M52" s="547"/>
      <c r="N52" s="547"/>
      <c r="O52" s="547"/>
      <c r="P52" s="547"/>
      <c r="Q52" s="547"/>
      <c r="R52" s="547"/>
      <c r="S52" s="989">
        <f t="shared" si="3"/>
        <v>0</v>
      </c>
      <c r="T52" s="547">
        <v>0</v>
      </c>
      <c r="U52" s="989">
        <f t="shared" si="0"/>
        <v>0</v>
      </c>
      <c r="V52" s="547">
        <v>0</v>
      </c>
      <c r="W52" s="566"/>
      <c r="X52" s="567"/>
      <c r="Y52" s="989">
        <f t="shared" si="1"/>
        <v>0</v>
      </c>
      <c r="Z52" s="812">
        <f t="shared" si="2"/>
        <v>0</v>
      </c>
    </row>
    <row r="53" spans="1:26" ht="27" hidden="1" customHeight="1">
      <c r="A53" s="531"/>
      <c r="B53" s="531">
        <v>1009</v>
      </c>
      <c r="C53" s="529">
        <v>17</v>
      </c>
      <c r="D53" s="1027" t="s">
        <v>562</v>
      </c>
      <c r="E53" s="1028" t="s">
        <v>705</v>
      </c>
      <c r="F53" s="547"/>
      <c r="G53" s="547"/>
      <c r="H53" s="547"/>
      <c r="I53" s="547"/>
      <c r="J53" s="547"/>
      <c r="K53" s="547"/>
      <c r="L53" s="547"/>
      <c r="M53" s="547"/>
      <c r="N53" s="547"/>
      <c r="O53" s="547"/>
      <c r="P53" s="547"/>
      <c r="Q53" s="547"/>
      <c r="R53" s="547"/>
      <c r="S53" s="989">
        <f t="shared" si="3"/>
        <v>0</v>
      </c>
      <c r="T53" s="547">
        <v>0</v>
      </c>
      <c r="U53" s="989">
        <f t="shared" si="0"/>
        <v>0</v>
      </c>
      <c r="V53" s="547">
        <v>0</v>
      </c>
      <c r="W53" s="566"/>
      <c r="X53" s="567"/>
      <c r="Y53" s="989">
        <f t="shared" si="1"/>
        <v>0</v>
      </c>
      <c r="Z53" s="812">
        <f t="shared" si="2"/>
        <v>0</v>
      </c>
    </row>
    <row r="54" spans="1:26" ht="27" hidden="1" customHeight="1">
      <c r="A54" s="531"/>
      <c r="B54" s="531">
        <v>401</v>
      </c>
      <c r="C54" s="529">
        <v>11</v>
      </c>
      <c r="D54" s="1027" t="s">
        <v>564</v>
      </c>
      <c r="E54" s="1028" t="s">
        <v>704</v>
      </c>
      <c r="F54" s="547">
        <v>58502000</v>
      </c>
      <c r="G54" s="547"/>
      <c r="H54" s="547"/>
      <c r="I54" s="547"/>
      <c r="J54" s="547"/>
      <c r="K54" s="547"/>
      <c r="L54" s="547"/>
      <c r="M54" s="547"/>
      <c r="N54" s="547"/>
      <c r="O54" s="547"/>
      <c r="P54" s="547"/>
      <c r="Q54" s="547"/>
      <c r="R54" s="547"/>
      <c r="S54" s="989">
        <f t="shared" si="3"/>
        <v>58502000</v>
      </c>
      <c r="T54" s="547">
        <v>58502000</v>
      </c>
      <c r="U54" s="989">
        <f t="shared" si="0"/>
        <v>59</v>
      </c>
      <c r="V54" s="547">
        <v>59</v>
      </c>
      <c r="W54" s="566"/>
      <c r="X54" s="567"/>
      <c r="Y54" s="989">
        <f t="shared" si="1"/>
        <v>58502000</v>
      </c>
      <c r="Z54" s="812">
        <f t="shared" si="2"/>
        <v>59</v>
      </c>
    </row>
    <row r="55" spans="1:26" ht="27" hidden="1" customHeight="1">
      <c r="A55" s="531"/>
      <c r="B55" s="531">
        <v>401</v>
      </c>
      <c r="C55" s="529">
        <v>11</v>
      </c>
      <c r="D55" s="1027" t="s">
        <v>184</v>
      </c>
      <c r="E55" s="1028" t="s">
        <v>831</v>
      </c>
      <c r="F55" s="547"/>
      <c r="G55" s="547"/>
      <c r="H55" s="547"/>
      <c r="I55" s="547"/>
      <c r="J55" s="547"/>
      <c r="K55" s="547"/>
      <c r="L55" s="547"/>
      <c r="M55" s="547"/>
      <c r="N55" s="547"/>
      <c r="O55" s="547"/>
      <c r="P55" s="547"/>
      <c r="Q55" s="547"/>
      <c r="R55" s="547"/>
      <c r="S55" s="989">
        <f t="shared" si="3"/>
        <v>0</v>
      </c>
      <c r="T55" s="547">
        <v>0</v>
      </c>
      <c r="U55" s="989">
        <f t="shared" si="0"/>
        <v>0</v>
      </c>
      <c r="V55" s="547">
        <v>0</v>
      </c>
      <c r="W55" s="566"/>
      <c r="X55" s="567"/>
      <c r="Y55" s="989">
        <f t="shared" si="1"/>
        <v>0</v>
      </c>
      <c r="Z55" s="812">
        <f t="shared" si="2"/>
        <v>0</v>
      </c>
    </row>
    <row r="56" spans="1:26" ht="27" hidden="1" customHeight="1">
      <c r="A56" s="531"/>
      <c r="B56" s="531">
        <v>401</v>
      </c>
      <c r="C56" s="529">
        <v>11</v>
      </c>
      <c r="D56" s="1027" t="s">
        <v>479</v>
      </c>
      <c r="E56" s="1028" t="s">
        <v>701</v>
      </c>
      <c r="F56" s="547">
        <v>120876976</v>
      </c>
      <c r="G56" s="547"/>
      <c r="H56" s="547"/>
      <c r="I56" s="547"/>
      <c r="J56" s="547"/>
      <c r="K56" s="547"/>
      <c r="L56" s="547"/>
      <c r="M56" s="547"/>
      <c r="N56" s="547"/>
      <c r="O56" s="547"/>
      <c r="P56" s="547"/>
      <c r="Q56" s="547"/>
      <c r="R56" s="547"/>
      <c r="S56" s="989">
        <f t="shared" si="3"/>
        <v>120876976</v>
      </c>
      <c r="T56" s="547">
        <v>218236941</v>
      </c>
      <c r="U56" s="989">
        <f t="shared" si="0"/>
        <v>121</v>
      </c>
      <c r="V56" s="547">
        <v>218</v>
      </c>
      <c r="W56" s="566"/>
      <c r="X56" s="567"/>
      <c r="Y56" s="989">
        <f t="shared" si="1"/>
        <v>120876976</v>
      </c>
      <c r="Z56" s="812">
        <f t="shared" si="2"/>
        <v>121</v>
      </c>
    </row>
    <row r="57" spans="1:26" ht="27" hidden="1" customHeight="1">
      <c r="A57" s="531"/>
      <c r="B57" s="531">
        <v>401</v>
      </c>
      <c r="C57" s="529">
        <v>11</v>
      </c>
      <c r="D57" s="1027" t="s">
        <v>480</v>
      </c>
      <c r="E57" s="1028" t="s">
        <v>702</v>
      </c>
      <c r="F57" s="547"/>
      <c r="G57" s="547"/>
      <c r="H57" s="547"/>
      <c r="I57" s="547"/>
      <c r="J57" s="547"/>
      <c r="K57" s="547"/>
      <c r="L57" s="547"/>
      <c r="M57" s="547"/>
      <c r="N57" s="547"/>
      <c r="O57" s="547"/>
      <c r="P57" s="547"/>
      <c r="Q57" s="547"/>
      <c r="R57" s="547"/>
      <c r="S57" s="989">
        <f t="shared" si="3"/>
        <v>0</v>
      </c>
      <c r="T57" s="547">
        <v>0</v>
      </c>
      <c r="U57" s="989">
        <f t="shared" si="0"/>
        <v>0</v>
      </c>
      <c r="V57" s="547">
        <v>0</v>
      </c>
      <c r="W57" s="566"/>
      <c r="X57" s="567"/>
      <c r="Y57" s="989">
        <f t="shared" si="1"/>
        <v>0</v>
      </c>
      <c r="Z57" s="812">
        <f t="shared" si="2"/>
        <v>0</v>
      </c>
    </row>
    <row r="58" spans="1:26" ht="27" hidden="1" customHeight="1">
      <c r="A58" s="531"/>
      <c r="B58" s="531">
        <v>1009</v>
      </c>
      <c r="C58" s="529">
        <v>17</v>
      </c>
      <c r="D58" s="1027" t="s">
        <v>481</v>
      </c>
      <c r="E58" s="1028" t="s">
        <v>1328</v>
      </c>
      <c r="F58" s="547"/>
      <c r="G58" s="547"/>
      <c r="H58" s="547"/>
      <c r="I58" s="547"/>
      <c r="J58" s="547">
        <v>21375000</v>
      </c>
      <c r="K58" s="547"/>
      <c r="L58" s="547"/>
      <c r="M58" s="547"/>
      <c r="N58" s="547"/>
      <c r="O58" s="547"/>
      <c r="P58" s="547"/>
      <c r="Q58" s="547"/>
      <c r="R58" s="547"/>
      <c r="S58" s="989">
        <f t="shared" si="3"/>
        <v>21375000</v>
      </c>
      <c r="T58" s="547">
        <v>0</v>
      </c>
      <c r="U58" s="989">
        <f t="shared" si="0"/>
        <v>21</v>
      </c>
      <c r="V58" s="547">
        <v>0</v>
      </c>
      <c r="W58" s="566"/>
      <c r="X58" s="567"/>
      <c r="Y58" s="989">
        <f t="shared" si="1"/>
        <v>21375000</v>
      </c>
      <c r="Z58" s="812">
        <f t="shared" si="2"/>
        <v>21</v>
      </c>
    </row>
    <row r="59" spans="1:26" ht="27" hidden="1" customHeight="1">
      <c r="A59" s="531"/>
      <c r="B59" s="531">
        <v>401</v>
      </c>
      <c r="C59" s="529">
        <v>11</v>
      </c>
      <c r="D59" s="1027" t="s">
        <v>220</v>
      </c>
      <c r="E59" s="1028" t="s">
        <v>703</v>
      </c>
      <c r="F59" s="547"/>
      <c r="G59" s="547"/>
      <c r="H59" s="547"/>
      <c r="I59" s="547"/>
      <c r="J59" s="547"/>
      <c r="K59" s="547"/>
      <c r="L59" s="547"/>
      <c r="M59" s="547"/>
      <c r="N59" s="547"/>
      <c r="O59" s="547"/>
      <c r="P59" s="547"/>
      <c r="Q59" s="547"/>
      <c r="R59" s="547"/>
      <c r="S59" s="989">
        <f t="shared" si="3"/>
        <v>0</v>
      </c>
      <c r="T59" s="547">
        <v>0</v>
      </c>
      <c r="U59" s="989">
        <f t="shared" si="0"/>
        <v>0</v>
      </c>
      <c r="V59" s="547">
        <v>0</v>
      </c>
      <c r="W59" s="566"/>
      <c r="X59" s="567"/>
      <c r="Y59" s="989">
        <f t="shared" si="1"/>
        <v>0</v>
      </c>
      <c r="Z59" s="812">
        <f t="shared" si="2"/>
        <v>0</v>
      </c>
    </row>
    <row r="60" spans="1:26" ht="27" hidden="1" customHeight="1">
      <c r="A60" s="531"/>
      <c r="B60" s="531">
        <v>420</v>
      </c>
      <c r="C60" s="529">
        <v>11</v>
      </c>
      <c r="D60" s="1027" t="s">
        <v>483</v>
      </c>
      <c r="E60" s="1028" t="s">
        <v>1056</v>
      </c>
      <c r="F60" s="547">
        <v>37043450081</v>
      </c>
      <c r="G60" s="547">
        <f>400000000-984999884</f>
        <v>-584999884</v>
      </c>
      <c r="H60" s="547">
        <v>-520000000</v>
      </c>
      <c r="I60" s="547"/>
      <c r="J60" s="547"/>
      <c r="K60" s="547"/>
      <c r="L60" s="547"/>
      <c r="M60" s="547"/>
      <c r="N60" s="547"/>
      <c r="O60" s="547"/>
      <c r="P60" s="547"/>
      <c r="Q60" s="547"/>
      <c r="R60" s="547"/>
      <c r="S60" s="989">
        <f t="shared" si="3"/>
        <v>35938450197</v>
      </c>
      <c r="T60" s="547">
        <v>46697288477</v>
      </c>
      <c r="U60" s="989">
        <f>ROUND((S60/1000000),0)+1</f>
        <v>35939</v>
      </c>
      <c r="V60" s="547">
        <v>46697</v>
      </c>
      <c r="W60" s="566"/>
      <c r="X60" s="567"/>
      <c r="Y60" s="989">
        <f t="shared" si="1"/>
        <v>35938450197</v>
      </c>
      <c r="Z60" s="812">
        <f t="shared" si="2"/>
        <v>35938</v>
      </c>
    </row>
    <row r="61" spans="1:26" ht="27" hidden="1" customHeight="1">
      <c r="A61" s="531"/>
      <c r="B61" s="531">
        <v>401</v>
      </c>
      <c r="C61" s="529">
        <v>11</v>
      </c>
      <c r="D61" s="1027" t="s">
        <v>483</v>
      </c>
      <c r="E61" s="1028" t="s">
        <v>1158</v>
      </c>
      <c r="F61" s="547"/>
      <c r="G61" s="547"/>
      <c r="H61" s="547"/>
      <c r="I61" s="547"/>
      <c r="J61" s="547"/>
      <c r="K61" s="547"/>
      <c r="L61" s="547"/>
      <c r="M61" s="547"/>
      <c r="N61" s="547"/>
      <c r="O61" s="547"/>
      <c r="P61" s="547"/>
      <c r="Q61" s="547"/>
      <c r="R61" s="547"/>
      <c r="S61" s="989">
        <f t="shared" si="3"/>
        <v>0</v>
      </c>
      <c r="T61" s="547">
        <v>0</v>
      </c>
      <c r="U61" s="989">
        <f t="shared" si="0"/>
        <v>0</v>
      </c>
      <c r="V61" s="547">
        <v>0</v>
      </c>
      <c r="W61" s="566"/>
      <c r="X61" s="567"/>
      <c r="Y61" s="989">
        <f t="shared" si="1"/>
        <v>0</v>
      </c>
      <c r="Z61" s="812">
        <f t="shared" si="2"/>
        <v>0</v>
      </c>
    </row>
    <row r="62" spans="1:26" ht="27" hidden="1" customHeight="1">
      <c r="A62" s="531"/>
      <c r="B62" s="531">
        <v>401</v>
      </c>
      <c r="C62" s="529">
        <v>11</v>
      </c>
      <c r="D62" s="1027" t="s">
        <v>0</v>
      </c>
      <c r="E62" s="1028" t="s">
        <v>1089</v>
      </c>
      <c r="F62" s="547">
        <v>6135000</v>
      </c>
      <c r="G62" s="547"/>
      <c r="H62" s="547"/>
      <c r="I62" s="547">
        <f>1000000-7135000</f>
        <v>-6135000</v>
      </c>
      <c r="J62" s="547"/>
      <c r="K62" s="547"/>
      <c r="L62" s="547"/>
      <c r="M62" s="547"/>
      <c r="N62" s="547"/>
      <c r="O62" s="547"/>
      <c r="P62" s="547"/>
      <c r="Q62" s="547"/>
      <c r="R62" s="547"/>
      <c r="S62" s="989">
        <f t="shared" si="3"/>
        <v>0</v>
      </c>
      <c r="T62" s="547">
        <v>0</v>
      </c>
      <c r="U62" s="989">
        <f t="shared" si="0"/>
        <v>0</v>
      </c>
      <c r="V62" s="547">
        <v>0</v>
      </c>
      <c r="W62" s="566"/>
      <c r="X62" s="567"/>
      <c r="Y62" s="989">
        <f t="shared" si="1"/>
        <v>0</v>
      </c>
      <c r="Z62" s="812">
        <f t="shared" si="2"/>
        <v>0</v>
      </c>
    </row>
    <row r="63" spans="1:26" ht="27" hidden="1" customHeight="1">
      <c r="A63" s="531"/>
      <c r="B63" s="531">
        <v>401</v>
      </c>
      <c r="C63" s="529">
        <v>11</v>
      </c>
      <c r="D63" s="1027" t="s">
        <v>224</v>
      </c>
      <c r="E63" s="1028" t="s">
        <v>474</v>
      </c>
      <c r="F63" s="547">
        <v>-409160829</v>
      </c>
      <c r="G63" s="547">
        <v>-3943610</v>
      </c>
      <c r="H63" s="547"/>
      <c r="I63" s="547"/>
      <c r="J63" s="547">
        <v>-3943610</v>
      </c>
      <c r="K63" s="547"/>
      <c r="L63" s="547"/>
      <c r="M63" s="547"/>
      <c r="N63" s="547"/>
      <c r="O63" s="547"/>
      <c r="P63" s="547"/>
      <c r="Q63" s="547"/>
      <c r="R63" s="547"/>
      <c r="S63" s="989">
        <f t="shared" si="3"/>
        <v>-417048049</v>
      </c>
      <c r="T63" s="547">
        <v>-310802770</v>
      </c>
      <c r="U63" s="989">
        <f t="shared" si="0"/>
        <v>-417</v>
      </c>
      <c r="V63" s="547">
        <v>-311</v>
      </c>
      <c r="W63" s="566"/>
      <c r="X63" s="567"/>
      <c r="Y63" s="989">
        <f t="shared" si="1"/>
        <v>-417048049</v>
      </c>
      <c r="Z63" s="812">
        <f t="shared" si="2"/>
        <v>-417</v>
      </c>
    </row>
    <row r="64" spans="1:26" ht="27" hidden="1" customHeight="1">
      <c r="A64" s="531"/>
      <c r="B64" s="531">
        <v>401</v>
      </c>
      <c r="C64" s="529">
        <v>11</v>
      </c>
      <c r="D64" s="1027" t="s">
        <v>1231</v>
      </c>
      <c r="E64" s="1028" t="s">
        <v>1232</v>
      </c>
      <c r="F64" s="547">
        <v>13850000000</v>
      </c>
      <c r="G64" s="547"/>
      <c r="H64" s="547"/>
      <c r="I64" s="547"/>
      <c r="J64" s="547"/>
      <c r="K64" s="547"/>
      <c r="L64" s="547"/>
      <c r="M64" s="547"/>
      <c r="N64" s="547"/>
      <c r="O64" s="547"/>
      <c r="P64" s="547"/>
      <c r="Q64" s="547"/>
      <c r="R64" s="547"/>
      <c r="S64" s="989">
        <f t="shared" si="3"/>
        <v>13850000000</v>
      </c>
      <c r="T64" s="547">
        <v>14250000000</v>
      </c>
      <c r="U64" s="989">
        <f t="shared" si="0"/>
        <v>13850</v>
      </c>
      <c r="V64" s="547">
        <v>14250</v>
      </c>
      <c r="W64" s="566"/>
      <c r="X64" s="567"/>
      <c r="Y64" s="989">
        <f t="shared" si="1"/>
        <v>13850000000</v>
      </c>
      <c r="Z64" s="812">
        <f t="shared" si="2"/>
        <v>13850</v>
      </c>
    </row>
    <row r="65" spans="1:26" ht="27" hidden="1" customHeight="1">
      <c r="A65" s="531"/>
      <c r="B65" s="531">
        <v>401</v>
      </c>
      <c r="C65" s="529">
        <v>11</v>
      </c>
      <c r="D65" s="1027" t="s">
        <v>1565</v>
      </c>
      <c r="E65" s="1028" t="s">
        <v>1566</v>
      </c>
      <c r="F65" s="547"/>
      <c r="G65" s="547"/>
      <c r="H65" s="547"/>
      <c r="I65" s="547"/>
      <c r="J65" s="547"/>
      <c r="K65" s="547"/>
      <c r="L65" s="547"/>
      <c r="M65" s="547"/>
      <c r="N65" s="547"/>
      <c r="O65" s="547"/>
      <c r="P65" s="547"/>
      <c r="Q65" s="547"/>
      <c r="R65" s="547"/>
      <c r="S65" s="989">
        <f t="shared" si="3"/>
        <v>0</v>
      </c>
      <c r="T65" s="547">
        <v>0</v>
      </c>
      <c r="U65" s="989">
        <f t="shared" si="0"/>
        <v>0</v>
      </c>
      <c r="V65" s="547">
        <v>0</v>
      </c>
      <c r="W65" s="566"/>
      <c r="X65" s="567"/>
      <c r="Y65" s="989">
        <f t="shared" si="1"/>
        <v>0</v>
      </c>
      <c r="Z65" s="812">
        <f t="shared" si="2"/>
        <v>0</v>
      </c>
    </row>
    <row r="66" spans="1:26" ht="27" hidden="1" customHeight="1">
      <c r="A66" s="531"/>
      <c r="B66" s="531">
        <v>401</v>
      </c>
      <c r="C66" s="529">
        <v>11</v>
      </c>
      <c r="D66" s="1027" t="s">
        <v>2</v>
      </c>
      <c r="E66" s="1028" t="s">
        <v>876</v>
      </c>
      <c r="F66" s="547">
        <v>15309548212</v>
      </c>
      <c r="G66" s="547">
        <f>790555458-55555574</f>
        <v>734999884</v>
      </c>
      <c r="H66" s="547">
        <v>520000000</v>
      </c>
      <c r="I66" s="547"/>
      <c r="J66" s="547"/>
      <c r="K66" s="547"/>
      <c r="L66" s="547"/>
      <c r="M66" s="547"/>
      <c r="N66" s="547"/>
      <c r="O66" s="547"/>
      <c r="P66" s="547"/>
      <c r="Q66" s="547"/>
      <c r="R66" s="547"/>
      <c r="S66" s="989">
        <f t="shared" si="3"/>
        <v>16564548096</v>
      </c>
      <c r="T66" s="547">
        <v>20207917878</v>
      </c>
      <c r="U66" s="989">
        <f t="shared" si="0"/>
        <v>16565</v>
      </c>
      <c r="V66" s="547">
        <v>20208</v>
      </c>
      <c r="W66" s="566"/>
      <c r="X66" s="567"/>
      <c r="Y66" s="989">
        <f t="shared" si="1"/>
        <v>16564548096</v>
      </c>
      <c r="Z66" s="812">
        <f t="shared" si="2"/>
        <v>16565</v>
      </c>
    </row>
    <row r="67" spans="1:26" ht="27" hidden="1" customHeight="1">
      <c r="A67" s="531"/>
      <c r="B67" s="531">
        <v>406</v>
      </c>
      <c r="C67" s="529">
        <v>11</v>
      </c>
      <c r="D67" s="1027" t="s">
        <v>476</v>
      </c>
      <c r="E67" s="1361" t="s">
        <v>1173</v>
      </c>
      <c r="F67" s="547">
        <v>-6000000</v>
      </c>
      <c r="G67" s="547"/>
      <c r="H67" s="547"/>
      <c r="I67" s="547"/>
      <c r="J67" s="547"/>
      <c r="K67" s="547"/>
      <c r="L67" s="547"/>
      <c r="M67" s="547"/>
      <c r="N67" s="547"/>
      <c r="O67" s="547"/>
      <c r="P67" s="547"/>
      <c r="Q67" s="547"/>
      <c r="R67" s="547"/>
      <c r="S67" s="989">
        <f t="shared" si="3"/>
        <v>-6000000</v>
      </c>
      <c r="T67" s="547">
        <v>-6000000</v>
      </c>
      <c r="U67" s="989">
        <f t="shared" si="0"/>
        <v>-6</v>
      </c>
      <c r="V67" s="547">
        <v>-6</v>
      </c>
      <c r="W67" s="566"/>
      <c r="X67" s="567"/>
      <c r="Y67" s="989">
        <f t="shared" si="1"/>
        <v>-6000000</v>
      </c>
      <c r="Z67" s="812">
        <f t="shared" si="2"/>
        <v>-6</v>
      </c>
    </row>
    <row r="68" spans="1:26" ht="27" hidden="1" customHeight="1">
      <c r="A68" s="531"/>
      <c r="B68" s="531">
        <v>1009</v>
      </c>
      <c r="C68" s="529">
        <v>17</v>
      </c>
      <c r="D68" s="1027" t="s">
        <v>3</v>
      </c>
      <c r="E68" s="1028" t="s">
        <v>937</v>
      </c>
      <c r="F68" s="547"/>
      <c r="G68" s="547"/>
      <c r="H68" s="547"/>
      <c r="I68" s="547"/>
      <c r="J68" s="547"/>
      <c r="K68" s="547"/>
      <c r="L68" s="547"/>
      <c r="M68" s="547"/>
      <c r="N68" s="547"/>
      <c r="O68" s="547"/>
      <c r="P68" s="547"/>
      <c r="Q68" s="547"/>
      <c r="R68" s="547"/>
      <c r="S68" s="989">
        <f t="shared" ref="S68:S131" si="4">SUM(F68:R68)</f>
        <v>0</v>
      </c>
      <c r="T68" s="547">
        <v>0</v>
      </c>
      <c r="U68" s="989">
        <f t="shared" ref="U68:U131" si="5">ROUND((S68/1000000),0)</f>
        <v>0</v>
      </c>
      <c r="V68" s="547">
        <v>0</v>
      </c>
      <c r="W68" s="566"/>
      <c r="X68" s="567"/>
      <c r="Y68" s="989">
        <f t="shared" si="1"/>
        <v>0</v>
      </c>
      <c r="Z68" s="812">
        <f t="shared" si="2"/>
        <v>0</v>
      </c>
    </row>
    <row r="69" spans="1:26" ht="27" hidden="1" customHeight="1">
      <c r="A69" s="531"/>
      <c r="B69" s="531">
        <v>1009</v>
      </c>
      <c r="C69" s="529">
        <v>17</v>
      </c>
      <c r="D69" s="1027" t="s">
        <v>4</v>
      </c>
      <c r="E69" s="1028" t="s">
        <v>440</v>
      </c>
      <c r="F69" s="547">
        <v>-530556168224</v>
      </c>
      <c r="G69" s="547"/>
      <c r="H69" s="547"/>
      <c r="I69" s="547"/>
      <c r="J69" s="547"/>
      <c r="K69" s="547"/>
      <c r="L69" s="547"/>
      <c r="M69" s="547"/>
      <c r="N69" s="547"/>
      <c r="O69" s="547"/>
      <c r="P69" s="547"/>
      <c r="Q69" s="547"/>
      <c r="R69" s="547"/>
      <c r="S69" s="989">
        <f t="shared" si="4"/>
        <v>-530556168224</v>
      </c>
      <c r="T69" s="547">
        <v>-366770496455</v>
      </c>
      <c r="U69" s="989">
        <f t="shared" si="5"/>
        <v>-530556</v>
      </c>
      <c r="V69" s="547">
        <v>-366770</v>
      </c>
      <c r="W69" s="566"/>
      <c r="X69" s="567"/>
      <c r="Y69" s="989">
        <f t="shared" ref="Y69:Y133" si="6">S69+X69-W69</f>
        <v>-530556168224</v>
      </c>
      <c r="Z69" s="812">
        <f t="shared" ref="Z69:Z133" si="7">ROUND((Y69/1000000),0)</f>
        <v>-530556</v>
      </c>
    </row>
    <row r="70" spans="1:26" ht="27" hidden="1" customHeight="1">
      <c r="A70" s="531"/>
      <c r="B70" s="531">
        <v>401</v>
      </c>
      <c r="C70" s="529">
        <v>11</v>
      </c>
      <c r="D70" s="1027" t="s">
        <v>441</v>
      </c>
      <c r="E70" s="1028" t="s">
        <v>442</v>
      </c>
      <c r="F70" s="547">
        <v>4722293</v>
      </c>
      <c r="G70" s="547"/>
      <c r="H70" s="547"/>
      <c r="I70" s="547"/>
      <c r="J70" s="547"/>
      <c r="K70" s="547"/>
      <c r="L70" s="547"/>
      <c r="M70" s="547"/>
      <c r="N70" s="547"/>
      <c r="O70" s="547"/>
      <c r="P70" s="547"/>
      <c r="Q70" s="547"/>
      <c r="R70" s="547"/>
      <c r="S70" s="989">
        <f t="shared" si="4"/>
        <v>4722293</v>
      </c>
      <c r="T70" s="547">
        <v>19722279</v>
      </c>
      <c r="U70" s="989">
        <f t="shared" si="5"/>
        <v>5</v>
      </c>
      <c r="V70" s="547">
        <v>20</v>
      </c>
      <c r="W70" s="566"/>
      <c r="X70" s="567"/>
      <c r="Y70" s="989">
        <f t="shared" si="6"/>
        <v>4722293</v>
      </c>
      <c r="Z70" s="812">
        <f t="shared" si="7"/>
        <v>5</v>
      </c>
    </row>
    <row r="71" spans="1:26" ht="27" hidden="1" customHeight="1">
      <c r="A71" s="531"/>
      <c r="B71" s="531">
        <v>1009</v>
      </c>
      <c r="C71" s="529">
        <v>17</v>
      </c>
      <c r="D71" s="1027" t="s">
        <v>5</v>
      </c>
      <c r="E71" s="1028" t="s">
        <v>827</v>
      </c>
      <c r="F71" s="547"/>
      <c r="G71" s="547"/>
      <c r="H71" s="547"/>
      <c r="I71" s="547"/>
      <c r="J71" s="547"/>
      <c r="K71" s="547"/>
      <c r="L71" s="547"/>
      <c r="M71" s="547"/>
      <c r="N71" s="547"/>
      <c r="O71" s="547"/>
      <c r="P71" s="547"/>
      <c r="Q71" s="547"/>
      <c r="R71" s="547"/>
      <c r="S71" s="989">
        <f t="shared" si="4"/>
        <v>0</v>
      </c>
      <c r="T71" s="547">
        <v>0</v>
      </c>
      <c r="U71" s="989">
        <f t="shared" si="5"/>
        <v>0</v>
      </c>
      <c r="V71" s="547">
        <v>0</v>
      </c>
      <c r="W71" s="566"/>
      <c r="X71" s="567"/>
      <c r="Y71" s="989">
        <f t="shared" si="6"/>
        <v>0</v>
      </c>
      <c r="Z71" s="812">
        <f t="shared" si="7"/>
        <v>0</v>
      </c>
    </row>
    <row r="72" spans="1:26" ht="27" hidden="1" customHeight="1">
      <c r="A72" s="531"/>
      <c r="B72" s="531">
        <v>406</v>
      </c>
      <c r="C72" s="529">
        <v>11</v>
      </c>
      <c r="D72" s="1027" t="s">
        <v>1329</v>
      </c>
      <c r="E72" s="1028" t="s">
        <v>1570</v>
      </c>
      <c r="F72" s="547">
        <v>586136766846</v>
      </c>
      <c r="G72" s="547"/>
      <c r="H72" s="547"/>
      <c r="I72" s="547"/>
      <c r="J72" s="547"/>
      <c r="K72" s="547"/>
      <c r="L72" s="547"/>
      <c r="M72" s="547"/>
      <c r="N72" s="547"/>
      <c r="O72" s="547"/>
      <c r="P72" s="547"/>
      <c r="Q72" s="547"/>
      <c r="R72" s="547"/>
      <c r="S72" s="989">
        <f t="shared" si="4"/>
        <v>586136766846</v>
      </c>
      <c r="T72" s="547">
        <v>367726274500</v>
      </c>
      <c r="U72" s="989">
        <f t="shared" si="5"/>
        <v>586137</v>
      </c>
      <c r="V72" s="547">
        <v>367726</v>
      </c>
      <c r="W72" s="566"/>
      <c r="X72" s="567"/>
      <c r="Y72" s="989">
        <f t="shared" si="6"/>
        <v>586136766846</v>
      </c>
      <c r="Z72" s="812">
        <f t="shared" si="7"/>
        <v>586137</v>
      </c>
    </row>
    <row r="73" spans="1:26" ht="27" hidden="1" customHeight="1">
      <c r="A73" s="531"/>
      <c r="B73" s="531">
        <v>1009</v>
      </c>
      <c r="C73" s="529">
        <v>17</v>
      </c>
      <c r="D73" s="1027" t="s">
        <v>877</v>
      </c>
      <c r="E73" s="1028" t="s">
        <v>878</v>
      </c>
      <c r="F73" s="547">
        <v>-742500</v>
      </c>
      <c r="G73" s="547"/>
      <c r="H73" s="547">
        <f>3300000-3300000</f>
        <v>0</v>
      </c>
      <c r="I73" s="547">
        <f>2172500-1430000</f>
        <v>742500</v>
      </c>
      <c r="J73" s="547"/>
      <c r="K73" s="547"/>
      <c r="L73" s="547"/>
      <c r="M73" s="547"/>
      <c r="N73" s="547"/>
      <c r="O73" s="547"/>
      <c r="P73" s="547"/>
      <c r="Q73" s="547"/>
      <c r="R73" s="547"/>
      <c r="S73" s="989">
        <f t="shared" si="4"/>
        <v>0</v>
      </c>
      <c r="T73" s="547">
        <v>0</v>
      </c>
      <c r="U73" s="989">
        <f t="shared" si="5"/>
        <v>0</v>
      </c>
      <c r="V73" s="547">
        <v>0</v>
      </c>
      <c r="W73" s="566"/>
      <c r="X73" s="567"/>
      <c r="Y73" s="989">
        <f t="shared" si="6"/>
        <v>0</v>
      </c>
      <c r="Z73" s="812">
        <f t="shared" si="7"/>
        <v>0</v>
      </c>
    </row>
    <row r="74" spans="1:26" s="1267" customFormat="1" ht="27" hidden="1" customHeight="1">
      <c r="A74" s="1262"/>
      <c r="B74" s="1262">
        <v>1009</v>
      </c>
      <c r="C74" s="529">
        <v>17</v>
      </c>
      <c r="D74" s="1118" t="s">
        <v>1233</v>
      </c>
      <c r="E74" s="1263" t="s">
        <v>1234</v>
      </c>
      <c r="F74" s="547">
        <v>81055320</v>
      </c>
      <c r="G74" s="547"/>
      <c r="H74" s="547">
        <v>-13460000</v>
      </c>
      <c r="I74" s="547"/>
      <c r="J74" s="547"/>
      <c r="K74" s="547"/>
      <c r="L74" s="547"/>
      <c r="M74" s="1264"/>
      <c r="N74" s="547"/>
      <c r="O74" s="547"/>
      <c r="P74" s="547"/>
      <c r="Q74" s="547"/>
      <c r="R74" s="547"/>
      <c r="S74" s="989">
        <f t="shared" si="4"/>
        <v>67595320</v>
      </c>
      <c r="T74" s="1264">
        <v>-49630000</v>
      </c>
      <c r="U74" s="989">
        <f t="shared" si="5"/>
        <v>68</v>
      </c>
      <c r="V74" s="1264">
        <v>-50</v>
      </c>
      <c r="W74" s="1265"/>
      <c r="X74" s="1266"/>
      <c r="Y74" s="989">
        <f t="shared" si="6"/>
        <v>67595320</v>
      </c>
      <c r="Z74" s="812">
        <f t="shared" si="7"/>
        <v>68</v>
      </c>
    </row>
    <row r="75" spans="1:26" ht="27" hidden="1" customHeight="1">
      <c r="A75" s="531"/>
      <c r="B75" s="531">
        <v>401</v>
      </c>
      <c r="C75" s="529">
        <v>11</v>
      </c>
      <c r="D75" s="1027" t="s">
        <v>1174</v>
      </c>
      <c r="E75" s="1028" t="s">
        <v>1167</v>
      </c>
      <c r="F75" s="547">
        <v>-31337519</v>
      </c>
      <c r="G75" s="547"/>
      <c r="H75" s="547">
        <f>137187614-137187614</f>
        <v>0</v>
      </c>
      <c r="I75" s="547"/>
      <c r="J75" s="547"/>
      <c r="K75" s="547"/>
      <c r="L75" s="547"/>
      <c r="M75" s="547"/>
      <c r="N75" s="547"/>
      <c r="O75" s="547"/>
      <c r="P75" s="547"/>
      <c r="Q75" s="547"/>
      <c r="R75" s="547"/>
      <c r="S75" s="989">
        <f t="shared" si="4"/>
        <v>-31337519</v>
      </c>
      <c r="T75" s="547">
        <v>-71968369</v>
      </c>
      <c r="U75" s="989">
        <f t="shared" si="5"/>
        <v>-31</v>
      </c>
      <c r="V75" s="547">
        <v>-72</v>
      </c>
      <c r="W75" s="566"/>
      <c r="X75" s="567"/>
      <c r="Y75" s="989">
        <f t="shared" si="6"/>
        <v>-31337519</v>
      </c>
      <c r="Z75" s="812">
        <f t="shared" si="7"/>
        <v>-31</v>
      </c>
    </row>
    <row r="76" spans="1:26" ht="27" hidden="1" customHeight="1">
      <c r="A76" s="531"/>
      <c r="B76" s="531">
        <v>1009</v>
      </c>
      <c r="C76" s="529">
        <v>17</v>
      </c>
      <c r="D76" s="1027" t="s">
        <v>832</v>
      </c>
      <c r="E76" s="1028" t="s">
        <v>833</v>
      </c>
      <c r="F76" s="547"/>
      <c r="G76" s="547"/>
      <c r="H76" s="547"/>
      <c r="I76" s="547"/>
      <c r="J76" s="547"/>
      <c r="K76" s="547"/>
      <c r="L76" s="547"/>
      <c r="M76" s="547"/>
      <c r="N76" s="547"/>
      <c r="O76" s="547"/>
      <c r="P76" s="547"/>
      <c r="Q76" s="547"/>
      <c r="R76" s="547"/>
      <c r="S76" s="989">
        <f t="shared" si="4"/>
        <v>0</v>
      </c>
      <c r="T76" s="547">
        <v>0</v>
      </c>
      <c r="U76" s="989">
        <f t="shared" si="5"/>
        <v>0</v>
      </c>
      <c r="V76" s="547">
        <v>0</v>
      </c>
      <c r="W76" s="566"/>
      <c r="X76" s="567"/>
      <c r="Y76" s="989">
        <f t="shared" si="6"/>
        <v>0</v>
      </c>
      <c r="Z76" s="812">
        <f t="shared" si="7"/>
        <v>0</v>
      </c>
    </row>
    <row r="77" spans="1:26" ht="27" hidden="1" customHeight="1">
      <c r="A77" s="531"/>
      <c r="B77" s="531">
        <v>401</v>
      </c>
      <c r="C77" s="529">
        <v>11</v>
      </c>
      <c r="D77" s="1027" t="s">
        <v>834</v>
      </c>
      <c r="E77" s="1028" t="s">
        <v>835</v>
      </c>
      <c r="F77" s="547">
        <v>39083515085</v>
      </c>
      <c r="G77" s="547"/>
      <c r="H77" s="547"/>
      <c r="I77" s="547"/>
      <c r="J77" s="547">
        <v>-40000000</v>
      </c>
      <c r="K77" s="547"/>
      <c r="L77" s="547"/>
      <c r="M77" s="547"/>
      <c r="N77" s="547"/>
      <c r="O77" s="547"/>
      <c r="P77" s="547"/>
      <c r="Q77" s="547"/>
      <c r="R77" s="547"/>
      <c r="S77" s="989">
        <f t="shared" si="4"/>
        <v>39043515085</v>
      </c>
      <c r="T77" s="547">
        <v>31546200629</v>
      </c>
      <c r="U77" s="989">
        <f t="shared" si="5"/>
        <v>39044</v>
      </c>
      <c r="V77" s="547">
        <v>31546</v>
      </c>
      <c r="W77" s="566"/>
      <c r="X77" s="567"/>
      <c r="Y77" s="989">
        <f t="shared" si="6"/>
        <v>39043515085</v>
      </c>
      <c r="Z77" s="812">
        <f t="shared" si="7"/>
        <v>39044</v>
      </c>
    </row>
    <row r="78" spans="1:26" ht="27" hidden="1" customHeight="1">
      <c r="A78" s="531"/>
      <c r="B78" s="531">
        <v>401</v>
      </c>
      <c r="C78" s="529">
        <v>11</v>
      </c>
      <c r="D78" s="1027" t="s">
        <v>6</v>
      </c>
      <c r="E78" s="1028" t="s">
        <v>204</v>
      </c>
      <c r="F78" s="547">
        <v>1699222337</v>
      </c>
      <c r="G78" s="547">
        <f>513000000-628513191</f>
        <v>-115513191</v>
      </c>
      <c r="H78" s="547">
        <f>2113343242-896000000</f>
        <v>1217343242</v>
      </c>
      <c r="I78" s="547"/>
      <c r="J78" s="547">
        <f>740000001-941165036</f>
        <v>-201165035</v>
      </c>
      <c r="K78" s="547">
        <f>622277796-490038270</f>
        <v>132239526</v>
      </c>
      <c r="L78" s="547"/>
      <c r="M78" s="547"/>
      <c r="N78" s="547"/>
      <c r="O78" s="547"/>
      <c r="P78" s="547"/>
      <c r="Q78" s="547"/>
      <c r="R78" s="547"/>
      <c r="S78" s="989">
        <f t="shared" si="4"/>
        <v>2732126879</v>
      </c>
      <c r="T78" s="547">
        <v>11964468776</v>
      </c>
      <c r="U78" s="1366">
        <f>ROUND((S78/1000000),0)</f>
        <v>2732</v>
      </c>
      <c r="V78" s="547">
        <v>11965</v>
      </c>
      <c r="W78" s="566"/>
      <c r="X78" s="567"/>
      <c r="Y78" s="989">
        <f t="shared" si="6"/>
        <v>2732126879</v>
      </c>
      <c r="Z78" s="812">
        <f t="shared" si="7"/>
        <v>2732</v>
      </c>
    </row>
    <row r="79" spans="1:26" s="1290" customFormat="1" ht="27" hidden="1" customHeight="1">
      <c r="A79" s="1284"/>
      <c r="B79" s="1284">
        <v>401</v>
      </c>
      <c r="C79" s="529">
        <v>11</v>
      </c>
      <c r="D79" s="1285">
        <v>6605610</v>
      </c>
      <c r="E79" s="1286" t="s">
        <v>1790</v>
      </c>
      <c r="F79" s="1287">
        <v>616211</v>
      </c>
      <c r="G79" s="1287"/>
      <c r="H79" s="1287"/>
      <c r="I79" s="1287"/>
      <c r="J79" s="1287"/>
      <c r="K79" s="1287"/>
      <c r="L79" s="1287"/>
      <c r="M79" s="1287"/>
      <c r="N79" s="1287"/>
      <c r="O79" s="1287"/>
      <c r="P79" s="1287"/>
      <c r="Q79" s="1287"/>
      <c r="R79" s="1287"/>
      <c r="S79" s="989">
        <f t="shared" si="4"/>
        <v>616211</v>
      </c>
      <c r="T79" s="1287"/>
      <c r="U79" s="989">
        <f t="shared" si="5"/>
        <v>1</v>
      </c>
      <c r="V79" s="1287"/>
      <c r="W79" s="1288"/>
      <c r="X79" s="1289"/>
      <c r="Y79" s="1287"/>
      <c r="Z79" s="1287"/>
    </row>
    <row r="80" spans="1:26" ht="27" hidden="1" customHeight="1">
      <c r="A80" s="531"/>
      <c r="B80" s="531">
        <v>1002</v>
      </c>
      <c r="C80" s="529">
        <v>17</v>
      </c>
      <c r="D80" s="1027" t="s">
        <v>938</v>
      </c>
      <c r="E80" s="1028" t="s">
        <v>939</v>
      </c>
      <c r="F80" s="547">
        <v>26766485525</v>
      </c>
      <c r="G80" s="547">
        <v>-8498199562</v>
      </c>
      <c r="H80" s="547">
        <v>-13669260648</v>
      </c>
      <c r="I80" s="547"/>
      <c r="J80" s="547"/>
      <c r="K80" s="547"/>
      <c r="L80" s="547">
        <f>165117531-4764142846</f>
        <v>-4599025315</v>
      </c>
      <c r="M80" s="547"/>
      <c r="N80" s="547"/>
      <c r="O80" s="547"/>
      <c r="P80" s="547"/>
      <c r="Q80" s="547"/>
      <c r="R80" s="547"/>
      <c r="S80" s="989">
        <f>SUM(F80:R80)</f>
        <v>0</v>
      </c>
      <c r="T80" s="547">
        <v>0</v>
      </c>
      <c r="U80" s="989">
        <f t="shared" si="5"/>
        <v>0</v>
      </c>
      <c r="V80" s="547">
        <v>0</v>
      </c>
      <c r="W80" s="566"/>
      <c r="X80" s="567"/>
      <c r="Y80" s="989">
        <f t="shared" si="6"/>
        <v>0</v>
      </c>
      <c r="Z80" s="812">
        <f t="shared" si="7"/>
        <v>0</v>
      </c>
    </row>
    <row r="81" spans="1:26" ht="27" hidden="1" customHeight="1">
      <c r="A81" s="531"/>
      <c r="B81" s="531">
        <v>1002</v>
      </c>
      <c r="C81" s="529">
        <v>17</v>
      </c>
      <c r="D81" s="530" t="s">
        <v>7</v>
      </c>
      <c r="E81" s="1028" t="s">
        <v>1759</v>
      </c>
      <c r="F81" s="547">
        <v>6080321</v>
      </c>
      <c r="G81" s="547">
        <v>-2848228</v>
      </c>
      <c r="H81" s="547">
        <v>-2599316</v>
      </c>
      <c r="I81" s="547"/>
      <c r="J81" s="547"/>
      <c r="K81" s="547"/>
      <c r="L81" s="547">
        <v>-632777</v>
      </c>
      <c r="M81" s="547"/>
      <c r="N81" s="547"/>
      <c r="O81" s="547"/>
      <c r="P81" s="547"/>
      <c r="Q81" s="547"/>
      <c r="R81" s="547"/>
      <c r="S81" s="989">
        <f t="shared" si="4"/>
        <v>0</v>
      </c>
      <c r="T81" s="547">
        <v>0</v>
      </c>
      <c r="U81" s="989">
        <f t="shared" si="5"/>
        <v>0</v>
      </c>
      <c r="V81" s="547">
        <v>0</v>
      </c>
      <c r="W81" s="566"/>
      <c r="X81" s="567"/>
      <c r="Y81" s="989">
        <f t="shared" si="6"/>
        <v>0</v>
      </c>
      <c r="Z81" s="812">
        <f t="shared" si="7"/>
        <v>0</v>
      </c>
    </row>
    <row r="82" spans="1:26" ht="27" hidden="1" customHeight="1">
      <c r="A82" s="531"/>
      <c r="B82" s="1020">
        <v>1009</v>
      </c>
      <c r="C82" s="529">
        <v>17</v>
      </c>
      <c r="D82" s="1027" t="s">
        <v>8</v>
      </c>
      <c r="E82" s="1028" t="s">
        <v>203</v>
      </c>
      <c r="F82" s="547">
        <v>-2431677461</v>
      </c>
      <c r="G82" s="547">
        <f>115512191-2877954</f>
        <v>112634237</v>
      </c>
      <c r="H82" s="547">
        <v>-1210974802</v>
      </c>
      <c r="I82" s="547"/>
      <c r="J82" s="547">
        <f>241165036-2877954</f>
        <v>238287082</v>
      </c>
      <c r="K82" s="547"/>
      <c r="L82" s="547"/>
      <c r="M82" s="547"/>
      <c r="N82" s="547"/>
      <c r="O82" s="547"/>
      <c r="P82" s="547"/>
      <c r="Q82" s="547"/>
      <c r="R82" s="547"/>
      <c r="S82" s="989">
        <f t="shared" si="4"/>
        <v>-3291730944</v>
      </c>
      <c r="T82" s="547">
        <v>-10546087573</v>
      </c>
      <c r="U82" s="989">
        <f>ROUND((S82/1000000),0)+1</f>
        <v>-3291</v>
      </c>
      <c r="V82" s="547">
        <v>-10546</v>
      </c>
      <c r="W82" s="566"/>
      <c r="X82" s="567"/>
      <c r="Y82" s="989">
        <f t="shared" si="6"/>
        <v>-3291730944</v>
      </c>
      <c r="Z82" s="812">
        <f t="shared" si="7"/>
        <v>-3292</v>
      </c>
    </row>
    <row r="83" spans="1:26" ht="27" hidden="1" customHeight="1">
      <c r="A83" s="531"/>
      <c r="B83" s="531">
        <v>401</v>
      </c>
      <c r="C83" s="529">
        <v>11</v>
      </c>
      <c r="D83" s="1027" t="s">
        <v>1235</v>
      </c>
      <c r="E83" s="1028" t="s">
        <v>1236</v>
      </c>
      <c r="F83" s="547">
        <v>15453169</v>
      </c>
      <c r="G83" s="547"/>
      <c r="H83" s="547"/>
      <c r="I83" s="547"/>
      <c r="J83" s="547"/>
      <c r="K83" s="547"/>
      <c r="L83" s="547"/>
      <c r="M83" s="547"/>
      <c r="N83" s="547"/>
      <c r="O83" s="547"/>
      <c r="P83" s="547"/>
      <c r="Q83" s="547"/>
      <c r="R83" s="547"/>
      <c r="S83" s="989">
        <f t="shared" si="4"/>
        <v>15453169</v>
      </c>
      <c r="T83" s="547">
        <v>83806650</v>
      </c>
      <c r="U83" s="989">
        <f t="shared" si="5"/>
        <v>15</v>
      </c>
      <c r="V83" s="547">
        <v>84</v>
      </c>
      <c r="W83" s="566"/>
      <c r="X83" s="567"/>
      <c r="Y83" s="989">
        <f t="shared" si="6"/>
        <v>15453169</v>
      </c>
      <c r="Z83" s="812">
        <f t="shared" si="7"/>
        <v>15</v>
      </c>
    </row>
    <row r="84" spans="1:26" ht="27" hidden="1" customHeight="1">
      <c r="A84" s="531"/>
      <c r="B84" s="531">
        <v>1009</v>
      </c>
      <c r="C84" s="529">
        <v>17</v>
      </c>
      <c r="D84" s="1027" t="s">
        <v>549</v>
      </c>
      <c r="E84" s="1361" t="s">
        <v>550</v>
      </c>
      <c r="F84" s="547">
        <v>-448752336</v>
      </c>
      <c r="G84" s="547">
        <f>1076495400-1061619600</f>
        <v>14875800</v>
      </c>
      <c r="H84" s="547">
        <f>38559300-32183900</f>
        <v>6375400</v>
      </c>
      <c r="I84" s="547"/>
      <c r="J84" s="547">
        <v>310477100</v>
      </c>
      <c r="K84" s="547"/>
      <c r="L84" s="547"/>
      <c r="M84" s="547"/>
      <c r="N84" s="547"/>
      <c r="O84" s="547">
        <v>66300800</v>
      </c>
      <c r="P84" s="547"/>
      <c r="Q84" s="547"/>
      <c r="R84" s="547"/>
      <c r="S84" s="989">
        <f t="shared" si="4"/>
        <v>-50723236</v>
      </c>
      <c r="T84" s="547">
        <v>31977600</v>
      </c>
      <c r="U84" s="989">
        <f t="shared" si="5"/>
        <v>-51</v>
      </c>
      <c r="V84" s="547">
        <v>32</v>
      </c>
      <c r="W84" s="566"/>
      <c r="X84" s="567"/>
      <c r="Y84" s="989">
        <f t="shared" si="6"/>
        <v>-50723236</v>
      </c>
      <c r="Z84" s="812">
        <f t="shared" si="7"/>
        <v>-51</v>
      </c>
    </row>
    <row r="85" spans="1:26" ht="27" hidden="1" customHeight="1">
      <c r="A85" s="531"/>
      <c r="B85" s="531">
        <v>1301</v>
      </c>
      <c r="C85" s="529">
        <v>18</v>
      </c>
      <c r="D85" s="1027" t="s">
        <v>9</v>
      </c>
      <c r="E85" s="1028" t="s">
        <v>590</v>
      </c>
      <c r="F85" s="547">
        <v>-5210623858260</v>
      </c>
      <c r="G85" s="547">
        <f>77553772617-78174166688</f>
        <v>-620394071</v>
      </c>
      <c r="H85" s="547">
        <f>32228220075-48965697623</f>
        <v>-16737477548</v>
      </c>
      <c r="I85" s="547"/>
      <c r="J85" s="547"/>
      <c r="K85" s="547">
        <v>-132239518</v>
      </c>
      <c r="L85" s="547">
        <v>5586217938</v>
      </c>
      <c r="M85" s="547"/>
      <c r="N85" s="547"/>
      <c r="O85" s="547"/>
      <c r="P85" s="547"/>
      <c r="Q85" s="547"/>
      <c r="R85" s="547"/>
      <c r="S85" s="989">
        <f t="shared" si="4"/>
        <v>-5222527751459</v>
      </c>
      <c r="T85" s="547">
        <v>-4028896113727</v>
      </c>
      <c r="U85" s="989">
        <f t="shared" si="5"/>
        <v>-5222528</v>
      </c>
      <c r="V85" s="547">
        <v>-4028896</v>
      </c>
      <c r="W85" s="566"/>
      <c r="X85" s="567"/>
      <c r="Y85" s="989">
        <f t="shared" si="6"/>
        <v>-5222527751459</v>
      </c>
      <c r="Z85" s="812">
        <f t="shared" si="7"/>
        <v>-5222528</v>
      </c>
    </row>
    <row r="86" spans="1:26" ht="27" hidden="1" customHeight="1">
      <c r="A86" s="531"/>
      <c r="B86" s="531">
        <v>1009</v>
      </c>
      <c r="C86" s="529">
        <v>17</v>
      </c>
      <c r="D86" s="1027" t="s">
        <v>11</v>
      </c>
      <c r="E86" s="1028" t="s">
        <v>551</v>
      </c>
      <c r="F86" s="547">
        <v>-90970827</v>
      </c>
      <c r="G86" s="547"/>
      <c r="H86" s="547"/>
      <c r="I86" s="547"/>
      <c r="J86" s="547"/>
      <c r="K86" s="547"/>
      <c r="L86" s="547"/>
      <c r="M86" s="547"/>
      <c r="N86" s="547"/>
      <c r="O86" s="547"/>
      <c r="P86" s="547"/>
      <c r="Q86" s="547"/>
      <c r="R86" s="547"/>
      <c r="S86" s="989">
        <f t="shared" si="4"/>
        <v>-90970827</v>
      </c>
      <c r="T86" s="547">
        <v>-116110949</v>
      </c>
      <c r="U86" s="989">
        <f t="shared" si="5"/>
        <v>-91</v>
      </c>
      <c r="V86" s="547">
        <v>-116</v>
      </c>
      <c r="W86" s="566"/>
      <c r="X86" s="567"/>
      <c r="Y86" s="989">
        <f t="shared" si="6"/>
        <v>-90970827</v>
      </c>
      <c r="Z86" s="812">
        <f t="shared" si="7"/>
        <v>-91</v>
      </c>
    </row>
    <row r="87" spans="1:26" ht="26.25" hidden="1" customHeight="1">
      <c r="A87" s="531"/>
      <c r="B87" s="531">
        <v>1009</v>
      </c>
      <c r="C87" s="529">
        <v>17</v>
      </c>
      <c r="D87" s="1027" t="s">
        <v>12</v>
      </c>
      <c r="E87" s="1028" t="s">
        <v>13</v>
      </c>
      <c r="F87" s="547">
        <v>-108634912</v>
      </c>
      <c r="G87" s="547"/>
      <c r="H87" s="547"/>
      <c r="I87" s="547"/>
      <c r="J87" s="547">
        <v>-580000</v>
      </c>
      <c r="K87" s="547"/>
      <c r="L87" s="547"/>
      <c r="M87" s="547"/>
      <c r="N87" s="547"/>
      <c r="O87" s="547"/>
      <c r="P87" s="547"/>
      <c r="Q87" s="547"/>
      <c r="R87" s="547"/>
      <c r="S87" s="989">
        <f t="shared" si="4"/>
        <v>-109214912</v>
      </c>
      <c r="T87" s="547">
        <v>-104912943</v>
      </c>
      <c r="U87" s="989">
        <f t="shared" si="5"/>
        <v>-109</v>
      </c>
      <c r="V87" s="547">
        <v>-105</v>
      </c>
      <c r="W87" s="566"/>
      <c r="X87" s="567"/>
      <c r="Y87" s="989">
        <f t="shared" si="6"/>
        <v>-109214912</v>
      </c>
      <c r="Z87" s="812">
        <f t="shared" si="7"/>
        <v>-109</v>
      </c>
    </row>
    <row r="88" spans="1:26" ht="27" hidden="1" customHeight="1">
      <c r="A88" s="531"/>
      <c r="B88" s="531">
        <v>1009</v>
      </c>
      <c r="C88" s="529">
        <v>17</v>
      </c>
      <c r="D88" s="1027" t="s">
        <v>1090</v>
      </c>
      <c r="E88" s="1028" t="s">
        <v>1091</v>
      </c>
      <c r="F88" s="547"/>
      <c r="G88" s="547"/>
      <c r="H88" s="547"/>
      <c r="I88" s="547"/>
      <c r="J88" s="547"/>
      <c r="K88" s="547"/>
      <c r="L88" s="547"/>
      <c r="M88" s="547"/>
      <c r="N88" s="547"/>
      <c r="O88" s="547"/>
      <c r="P88" s="547"/>
      <c r="Q88" s="547"/>
      <c r="R88" s="547"/>
      <c r="S88" s="989">
        <f t="shared" si="4"/>
        <v>0</v>
      </c>
      <c r="T88" s="547">
        <v>0</v>
      </c>
      <c r="U88" s="989">
        <f t="shared" si="5"/>
        <v>0</v>
      </c>
      <c r="V88" s="547">
        <v>0</v>
      </c>
      <c r="W88" s="566"/>
      <c r="X88" s="567"/>
      <c r="Y88" s="989">
        <f t="shared" si="6"/>
        <v>0</v>
      </c>
      <c r="Z88" s="812">
        <f t="shared" si="7"/>
        <v>0</v>
      </c>
    </row>
    <row r="89" spans="1:26" ht="27" hidden="1" customHeight="1">
      <c r="A89" s="531"/>
      <c r="B89" s="531">
        <v>1009</v>
      </c>
      <c r="C89" s="529">
        <v>17</v>
      </c>
      <c r="D89" s="1027" t="s">
        <v>14</v>
      </c>
      <c r="E89" s="1028" t="s">
        <v>363</v>
      </c>
      <c r="F89" s="547">
        <v>-24949778244</v>
      </c>
      <c r="G89" s="547"/>
      <c r="H89" s="547"/>
      <c r="I89" s="547"/>
      <c r="J89" s="547"/>
      <c r="K89" s="547"/>
      <c r="L89" s="547">
        <f>24026925973-24026925973</f>
        <v>0</v>
      </c>
      <c r="M89" s="547"/>
      <c r="N89" s="547"/>
      <c r="O89" s="547"/>
      <c r="P89" s="547"/>
      <c r="Q89" s="547"/>
      <c r="R89" s="547"/>
      <c r="S89" s="989">
        <f t="shared" si="4"/>
        <v>-24949778244</v>
      </c>
      <c r="T89" s="547">
        <v>-6692893843</v>
      </c>
      <c r="U89" s="989">
        <f t="shared" si="5"/>
        <v>-24950</v>
      </c>
      <c r="V89" s="547">
        <v>-6693</v>
      </c>
      <c r="W89" s="566"/>
      <c r="X89" s="567"/>
      <c r="Y89" s="989">
        <f t="shared" si="6"/>
        <v>-24949778244</v>
      </c>
      <c r="Z89" s="812">
        <f t="shared" si="7"/>
        <v>-24950</v>
      </c>
    </row>
    <row r="90" spans="1:26" ht="27" hidden="1" customHeight="1">
      <c r="A90" s="531"/>
      <c r="B90" s="531">
        <v>1009</v>
      </c>
      <c r="C90" s="529">
        <v>17</v>
      </c>
      <c r="D90" s="1027" t="s">
        <v>15</v>
      </c>
      <c r="E90" s="1028" t="s">
        <v>552</v>
      </c>
      <c r="F90" s="547">
        <v>-6645000</v>
      </c>
      <c r="G90" s="547"/>
      <c r="H90" s="547"/>
      <c r="I90" s="547"/>
      <c r="J90" s="547"/>
      <c r="K90" s="547"/>
      <c r="L90" s="547"/>
      <c r="M90" s="547"/>
      <c r="N90" s="547"/>
      <c r="O90" s="547"/>
      <c r="P90" s="547"/>
      <c r="Q90" s="547"/>
      <c r="R90" s="547"/>
      <c r="S90" s="989">
        <f t="shared" si="4"/>
        <v>-6645000</v>
      </c>
      <c r="T90" s="547">
        <v>0</v>
      </c>
      <c r="U90" s="989">
        <f>ROUND((S90/1000000),0)+1</f>
        <v>-6</v>
      </c>
      <c r="V90" s="547">
        <v>0</v>
      </c>
      <c r="W90" s="566"/>
      <c r="X90" s="567"/>
      <c r="Y90" s="989">
        <f t="shared" si="6"/>
        <v>-6645000</v>
      </c>
      <c r="Z90" s="812">
        <f t="shared" si="7"/>
        <v>-7</v>
      </c>
    </row>
    <row r="91" spans="1:26" ht="27" hidden="1" customHeight="1">
      <c r="A91" s="531"/>
      <c r="B91" s="531">
        <v>1009</v>
      </c>
      <c r="C91" s="529">
        <v>17</v>
      </c>
      <c r="D91" s="1027" t="s">
        <v>743</v>
      </c>
      <c r="E91" s="1028" t="s">
        <v>1092</v>
      </c>
      <c r="F91" s="547">
        <v>-707098541</v>
      </c>
      <c r="G91" s="547">
        <v>670565868</v>
      </c>
      <c r="H91" s="547">
        <v>36532673</v>
      </c>
      <c r="I91" s="547"/>
      <c r="J91" s="547"/>
      <c r="K91" s="547"/>
      <c r="L91" s="547"/>
      <c r="M91" s="547"/>
      <c r="N91" s="547"/>
      <c r="O91" s="547"/>
      <c r="P91" s="547"/>
      <c r="Q91" s="547"/>
      <c r="R91" s="547"/>
      <c r="S91" s="989">
        <f t="shared" si="4"/>
        <v>0</v>
      </c>
      <c r="T91" s="547">
        <v>0</v>
      </c>
      <c r="U91" s="989">
        <f t="shared" si="5"/>
        <v>0</v>
      </c>
      <c r="V91" s="547">
        <v>0</v>
      </c>
      <c r="W91" s="566"/>
      <c r="X91" s="567"/>
      <c r="Y91" s="989">
        <f t="shared" si="6"/>
        <v>0</v>
      </c>
      <c r="Z91" s="812">
        <f t="shared" si="7"/>
        <v>0</v>
      </c>
    </row>
    <row r="92" spans="1:26" ht="27" hidden="1" customHeight="1">
      <c r="A92" s="531"/>
      <c r="B92" s="531">
        <v>1002</v>
      </c>
      <c r="C92" s="529">
        <v>17</v>
      </c>
      <c r="D92" s="1027" t="s">
        <v>39</v>
      </c>
      <c r="E92" s="1028" t="s">
        <v>181</v>
      </c>
      <c r="F92" s="547">
        <v>-79078513229</v>
      </c>
      <c r="G92" s="547">
        <v>8501047790</v>
      </c>
      <c r="H92" s="547">
        <f>13671859964-21235306</f>
        <v>13650624658</v>
      </c>
      <c r="I92" s="547"/>
      <c r="J92" s="547"/>
      <c r="K92" s="547"/>
      <c r="L92" s="547">
        <v>4599658092</v>
      </c>
      <c r="M92" s="547"/>
      <c r="N92" s="547"/>
      <c r="O92" s="547"/>
      <c r="P92" s="547"/>
      <c r="Q92" s="547"/>
      <c r="R92" s="547"/>
      <c r="S92" s="989">
        <f t="shared" si="4"/>
        <v>-52327182689</v>
      </c>
      <c r="T92" s="547">
        <v>-78132768970</v>
      </c>
      <c r="U92" s="989">
        <f t="shared" si="5"/>
        <v>-52327</v>
      </c>
      <c r="V92" s="547">
        <v>-78133</v>
      </c>
      <c r="W92" s="566"/>
      <c r="X92" s="567"/>
      <c r="Y92" s="989">
        <f t="shared" si="6"/>
        <v>-52327182689</v>
      </c>
      <c r="Z92" s="812">
        <f t="shared" si="7"/>
        <v>-52327</v>
      </c>
    </row>
    <row r="93" spans="1:26" ht="27" hidden="1" customHeight="1">
      <c r="A93" s="531"/>
      <c r="B93" s="531">
        <v>1009</v>
      </c>
      <c r="C93" s="529">
        <v>17</v>
      </c>
      <c r="D93" s="1027" t="s">
        <v>940</v>
      </c>
      <c r="E93" s="1028" t="s">
        <v>941</v>
      </c>
      <c r="F93" s="547"/>
      <c r="G93" s="547"/>
      <c r="H93" s="547"/>
      <c r="I93" s="547"/>
      <c r="J93" s="547"/>
      <c r="K93" s="547"/>
      <c r="L93" s="547"/>
      <c r="M93" s="547"/>
      <c r="N93" s="547"/>
      <c r="O93" s="547"/>
      <c r="P93" s="547"/>
      <c r="Q93" s="547"/>
      <c r="R93" s="547"/>
      <c r="S93" s="989">
        <f t="shared" si="4"/>
        <v>0</v>
      </c>
      <c r="T93" s="547">
        <v>0</v>
      </c>
      <c r="U93" s="989">
        <f t="shared" si="5"/>
        <v>0</v>
      </c>
      <c r="V93" s="547">
        <v>0</v>
      </c>
      <c r="W93" s="566"/>
      <c r="X93" s="567"/>
      <c r="Y93" s="989">
        <f t="shared" si="6"/>
        <v>0</v>
      </c>
      <c r="Z93" s="812">
        <f t="shared" si="7"/>
        <v>0</v>
      </c>
    </row>
    <row r="94" spans="1:26" ht="27" hidden="1" customHeight="1">
      <c r="A94" s="531"/>
      <c r="B94" s="531">
        <v>1009</v>
      </c>
      <c r="C94" s="529">
        <v>17</v>
      </c>
      <c r="D94" s="1027" t="s">
        <v>40</v>
      </c>
      <c r="E94" s="1028" t="s">
        <v>41</v>
      </c>
      <c r="F94" s="547"/>
      <c r="G94" s="547"/>
      <c r="H94" s="547"/>
      <c r="I94" s="547"/>
      <c r="J94" s="547"/>
      <c r="K94" s="547"/>
      <c r="L94" s="547"/>
      <c r="M94" s="547"/>
      <c r="N94" s="547"/>
      <c r="O94" s="547"/>
      <c r="P94" s="547"/>
      <c r="Q94" s="547"/>
      <c r="R94" s="547"/>
      <c r="S94" s="989">
        <f t="shared" si="4"/>
        <v>0</v>
      </c>
      <c r="T94" s="547">
        <v>0</v>
      </c>
      <c r="U94" s="989">
        <f t="shared" si="5"/>
        <v>0</v>
      </c>
      <c r="V94" s="547">
        <v>0</v>
      </c>
      <c r="W94" s="566"/>
      <c r="X94" s="567"/>
      <c r="Y94" s="989">
        <f t="shared" si="6"/>
        <v>0</v>
      </c>
      <c r="Z94" s="812">
        <f t="shared" si="7"/>
        <v>0</v>
      </c>
    </row>
    <row r="95" spans="1:26" ht="27" hidden="1" customHeight="1">
      <c r="A95" s="531"/>
      <c r="B95" s="531">
        <v>1009</v>
      </c>
      <c r="C95" s="529">
        <v>17</v>
      </c>
      <c r="D95" s="1027" t="s">
        <v>1093</v>
      </c>
      <c r="E95" s="1028" t="s">
        <v>1094</v>
      </c>
      <c r="F95" s="547">
        <v>-325471013</v>
      </c>
      <c r="G95" s="547">
        <f>309774225-1935324</f>
        <v>307838901</v>
      </c>
      <c r="H95" s="547">
        <v>17632112</v>
      </c>
      <c r="I95" s="547"/>
      <c r="J95" s="547"/>
      <c r="K95" s="547"/>
      <c r="L95" s="547"/>
      <c r="M95" s="547"/>
      <c r="N95" s="547"/>
      <c r="O95" s="547"/>
      <c r="P95" s="547"/>
      <c r="Q95" s="547"/>
      <c r="R95" s="547"/>
      <c r="S95" s="989">
        <f t="shared" si="4"/>
        <v>0</v>
      </c>
      <c r="T95" s="547">
        <v>0</v>
      </c>
      <c r="U95" s="989">
        <f t="shared" si="5"/>
        <v>0</v>
      </c>
      <c r="V95" s="547">
        <v>0</v>
      </c>
      <c r="W95" s="566"/>
      <c r="X95" s="567"/>
      <c r="Y95" s="989">
        <f t="shared" si="6"/>
        <v>0</v>
      </c>
      <c r="Z95" s="812">
        <f t="shared" si="7"/>
        <v>0</v>
      </c>
    </row>
    <row r="96" spans="1:26" ht="27" hidden="1" customHeight="1">
      <c r="A96" s="531"/>
      <c r="B96" s="531">
        <v>1009</v>
      </c>
      <c r="C96" s="529">
        <v>17</v>
      </c>
      <c r="D96" s="1027" t="s">
        <v>1095</v>
      </c>
      <c r="E96" s="1028" t="s">
        <v>1096</v>
      </c>
      <c r="F96" s="547">
        <v>-240000</v>
      </c>
      <c r="G96" s="547"/>
      <c r="H96" s="547"/>
      <c r="I96" s="547"/>
      <c r="J96" s="547"/>
      <c r="K96" s="547"/>
      <c r="L96" s="547">
        <v>240000</v>
      </c>
      <c r="M96" s="547"/>
      <c r="N96" s="547"/>
      <c r="O96" s="547"/>
      <c r="P96" s="547"/>
      <c r="Q96" s="547"/>
      <c r="R96" s="547"/>
      <c r="S96" s="989">
        <f t="shared" si="4"/>
        <v>0</v>
      </c>
      <c r="T96" s="547">
        <v>0</v>
      </c>
      <c r="U96" s="989">
        <f t="shared" si="5"/>
        <v>0</v>
      </c>
      <c r="V96" s="547">
        <v>0</v>
      </c>
      <c r="W96" s="566"/>
      <c r="X96" s="567"/>
      <c r="Y96" s="989">
        <f t="shared" si="6"/>
        <v>0</v>
      </c>
      <c r="Z96" s="812">
        <f t="shared" si="7"/>
        <v>0</v>
      </c>
    </row>
    <row r="97" spans="1:26" ht="27" hidden="1" customHeight="1">
      <c r="A97" s="531"/>
      <c r="B97" s="531">
        <v>1009</v>
      </c>
      <c r="C97" s="529">
        <v>17</v>
      </c>
      <c r="D97" s="1027" t="s">
        <v>853</v>
      </c>
      <c r="E97" s="1028" t="s">
        <v>1097</v>
      </c>
      <c r="F97" s="547">
        <v>-44800366</v>
      </c>
      <c r="G97" s="547">
        <v>31017799</v>
      </c>
      <c r="H97" s="547">
        <v>13782567</v>
      </c>
      <c r="I97" s="547"/>
      <c r="J97" s="547"/>
      <c r="K97" s="547"/>
      <c r="L97" s="547"/>
      <c r="M97" s="547"/>
      <c r="N97" s="547"/>
      <c r="O97" s="547"/>
      <c r="P97" s="547"/>
      <c r="Q97" s="547"/>
      <c r="R97" s="547"/>
      <c r="S97" s="989">
        <f t="shared" si="4"/>
        <v>0</v>
      </c>
      <c r="T97" s="547">
        <v>0</v>
      </c>
      <c r="U97" s="989">
        <f t="shared" si="5"/>
        <v>0</v>
      </c>
      <c r="V97" s="547">
        <v>0</v>
      </c>
      <c r="W97" s="566"/>
      <c r="X97" s="567"/>
      <c r="Y97" s="989">
        <f t="shared" si="6"/>
        <v>0</v>
      </c>
      <c r="Z97" s="812">
        <f t="shared" si="7"/>
        <v>0</v>
      </c>
    </row>
    <row r="98" spans="1:26" ht="27" hidden="1" customHeight="1">
      <c r="A98" s="531"/>
      <c r="B98" s="531">
        <v>401</v>
      </c>
      <c r="C98" s="529">
        <v>11</v>
      </c>
      <c r="D98" s="1027" t="s">
        <v>42</v>
      </c>
      <c r="E98" s="1028" t="s">
        <v>942</v>
      </c>
      <c r="F98" s="547">
        <v>-32316000</v>
      </c>
      <c r="G98" s="547"/>
      <c r="H98" s="547"/>
      <c r="I98" s="547"/>
      <c r="J98" s="547"/>
      <c r="K98" s="547"/>
      <c r="L98" s="547">
        <v>32316000</v>
      </c>
      <c r="M98" s="547"/>
      <c r="N98" s="547"/>
      <c r="O98" s="547"/>
      <c r="P98" s="547"/>
      <c r="Q98" s="547"/>
      <c r="R98" s="547"/>
      <c r="S98" s="989">
        <f t="shared" si="4"/>
        <v>0</v>
      </c>
      <c r="T98" s="547">
        <v>0</v>
      </c>
      <c r="U98" s="989">
        <f t="shared" si="5"/>
        <v>0</v>
      </c>
      <c r="V98" s="547">
        <v>0</v>
      </c>
      <c r="W98" s="566"/>
      <c r="X98" s="567"/>
      <c r="Y98" s="989">
        <f t="shared" si="6"/>
        <v>0</v>
      </c>
      <c r="Z98" s="812">
        <f t="shared" si="7"/>
        <v>0</v>
      </c>
    </row>
    <row r="99" spans="1:26" ht="27" hidden="1" customHeight="1">
      <c r="A99" s="531"/>
      <c r="B99" s="531">
        <v>1009</v>
      </c>
      <c r="C99" s="529">
        <v>17</v>
      </c>
      <c r="D99" s="1027" t="s">
        <v>1098</v>
      </c>
      <c r="E99" s="1028" t="s">
        <v>1083</v>
      </c>
      <c r="F99" s="547">
        <v>-115760827</v>
      </c>
      <c r="G99" s="547"/>
      <c r="H99" s="547"/>
      <c r="I99" s="547"/>
      <c r="J99" s="547"/>
      <c r="K99" s="547"/>
      <c r="L99" s="547"/>
      <c r="M99" s="547"/>
      <c r="N99" s="547"/>
      <c r="O99" s="547"/>
      <c r="P99" s="547"/>
      <c r="Q99" s="547"/>
      <c r="R99" s="547"/>
      <c r="S99" s="989">
        <f t="shared" si="4"/>
        <v>-115760827</v>
      </c>
      <c r="T99" s="547">
        <v>-85494888</v>
      </c>
      <c r="U99" s="989">
        <f t="shared" si="5"/>
        <v>-116</v>
      </c>
      <c r="V99" s="547">
        <v>-85</v>
      </c>
      <c r="W99" s="566"/>
      <c r="X99" s="567"/>
      <c r="Y99" s="989">
        <f t="shared" si="6"/>
        <v>-115760827</v>
      </c>
      <c r="Z99" s="812">
        <f t="shared" si="7"/>
        <v>-116</v>
      </c>
    </row>
    <row r="100" spans="1:26" ht="27" hidden="1" customHeight="1">
      <c r="A100" s="531"/>
      <c r="B100" s="531">
        <v>401</v>
      </c>
      <c r="C100" s="529">
        <v>11</v>
      </c>
      <c r="D100" s="1027" t="s">
        <v>1099</v>
      </c>
      <c r="E100" s="1028" t="s">
        <v>1101</v>
      </c>
      <c r="F100" s="547"/>
      <c r="G100" s="547"/>
      <c r="H100" s="547"/>
      <c r="I100" s="547"/>
      <c r="J100" s="547"/>
      <c r="K100" s="547"/>
      <c r="L100" s="547"/>
      <c r="M100" s="547"/>
      <c r="N100" s="547"/>
      <c r="O100" s="547"/>
      <c r="P100" s="547"/>
      <c r="Q100" s="547"/>
      <c r="R100" s="547"/>
      <c r="S100" s="989">
        <f t="shared" si="4"/>
        <v>0</v>
      </c>
      <c r="T100" s="547">
        <v>0</v>
      </c>
      <c r="U100" s="989">
        <f t="shared" si="5"/>
        <v>0</v>
      </c>
      <c r="V100" s="547">
        <v>0</v>
      </c>
      <c r="W100" s="566"/>
      <c r="X100" s="567"/>
      <c r="Y100" s="989">
        <f t="shared" si="6"/>
        <v>0</v>
      </c>
      <c r="Z100" s="812">
        <f t="shared" si="7"/>
        <v>0</v>
      </c>
    </row>
    <row r="101" spans="1:26" ht="27" hidden="1" customHeight="1">
      <c r="A101" s="531"/>
      <c r="B101" s="531">
        <v>1009</v>
      </c>
      <c r="C101" s="529">
        <v>17</v>
      </c>
      <c r="D101" s="1027" t="s">
        <v>1100</v>
      </c>
      <c r="E101" s="1028" t="s">
        <v>1102</v>
      </c>
      <c r="F101" s="547">
        <v>-222058432</v>
      </c>
      <c r="G101" s="547">
        <v>222058432</v>
      </c>
      <c r="H101" s="547"/>
      <c r="I101" s="547"/>
      <c r="J101" s="547"/>
      <c r="K101" s="547"/>
      <c r="L101" s="547"/>
      <c r="M101" s="547"/>
      <c r="N101" s="547"/>
      <c r="O101" s="547"/>
      <c r="P101" s="547"/>
      <c r="Q101" s="547"/>
      <c r="R101" s="547"/>
      <c r="S101" s="989">
        <f t="shared" si="4"/>
        <v>0</v>
      </c>
      <c r="T101" s="547">
        <v>0</v>
      </c>
      <c r="U101" s="989">
        <f t="shared" si="5"/>
        <v>0</v>
      </c>
      <c r="V101" s="547">
        <v>0</v>
      </c>
      <c r="W101" s="566"/>
      <c r="X101" s="567"/>
      <c r="Y101" s="989">
        <f t="shared" si="6"/>
        <v>0</v>
      </c>
      <c r="Z101" s="812">
        <f t="shared" si="7"/>
        <v>0</v>
      </c>
    </row>
    <row r="102" spans="1:26" ht="27" hidden="1" customHeight="1">
      <c r="A102" s="531"/>
      <c r="B102" s="531">
        <v>406</v>
      </c>
      <c r="C102" s="529">
        <v>11</v>
      </c>
      <c r="D102" s="1027" t="s">
        <v>43</v>
      </c>
      <c r="E102" s="1028" t="s">
        <v>1001</v>
      </c>
      <c r="F102" s="547">
        <v>-163999043</v>
      </c>
      <c r="G102" s="547"/>
      <c r="H102" s="547">
        <v>120000</v>
      </c>
      <c r="I102" s="547"/>
      <c r="J102" s="547"/>
      <c r="K102" s="547"/>
      <c r="L102" s="547"/>
      <c r="M102" s="547"/>
      <c r="N102" s="547"/>
      <c r="O102" s="547"/>
      <c r="P102" s="547"/>
      <c r="Q102" s="547"/>
      <c r="R102" s="547"/>
      <c r="S102" s="989">
        <f>SUM(F102:R102)</f>
        <v>-163879043</v>
      </c>
      <c r="T102" s="547">
        <v>-216527043</v>
      </c>
      <c r="U102" s="989">
        <f t="shared" si="5"/>
        <v>-164</v>
      </c>
      <c r="V102" s="547">
        <v>-217</v>
      </c>
      <c r="W102" s="566"/>
      <c r="X102" s="567"/>
      <c r="Y102" s="989">
        <f t="shared" si="6"/>
        <v>-163879043</v>
      </c>
      <c r="Z102" s="812">
        <f t="shared" si="7"/>
        <v>-164</v>
      </c>
    </row>
    <row r="103" spans="1:26" ht="27" hidden="1" customHeight="1">
      <c r="A103" s="531"/>
      <c r="B103" s="531">
        <v>406</v>
      </c>
      <c r="C103" s="529">
        <v>11</v>
      </c>
      <c r="D103" s="530" t="s">
        <v>1769</v>
      </c>
      <c r="E103" s="1028" t="s">
        <v>1760</v>
      </c>
      <c r="F103" s="547"/>
      <c r="G103" s="547"/>
      <c r="H103" s="547"/>
      <c r="I103" s="547"/>
      <c r="J103" s="547"/>
      <c r="K103" s="547"/>
      <c r="L103" s="547"/>
      <c r="M103" s="547"/>
      <c r="N103" s="547"/>
      <c r="O103" s="547"/>
      <c r="P103" s="547"/>
      <c r="Q103" s="547"/>
      <c r="R103" s="547"/>
      <c r="S103" s="989">
        <f t="shared" si="4"/>
        <v>0</v>
      </c>
      <c r="T103" s="547">
        <v>0</v>
      </c>
      <c r="U103" s="989">
        <f t="shared" si="5"/>
        <v>0</v>
      </c>
      <c r="V103" s="547">
        <v>0</v>
      </c>
      <c r="W103" s="566"/>
      <c r="X103" s="567"/>
      <c r="Y103" s="989">
        <f t="shared" si="6"/>
        <v>0</v>
      </c>
      <c r="Z103" s="812">
        <f t="shared" si="7"/>
        <v>0</v>
      </c>
    </row>
    <row r="104" spans="1:26" ht="27" hidden="1" customHeight="1">
      <c r="A104" s="531"/>
      <c r="B104" s="531">
        <v>401</v>
      </c>
      <c r="C104" s="529">
        <v>11</v>
      </c>
      <c r="D104" s="1027" t="s">
        <v>1175</v>
      </c>
      <c r="E104" s="1028" t="s">
        <v>1170</v>
      </c>
      <c r="F104" s="547">
        <v>304785439</v>
      </c>
      <c r="G104" s="547"/>
      <c r="H104" s="547"/>
      <c r="I104" s="547"/>
      <c r="J104" s="547"/>
      <c r="K104" s="547"/>
      <c r="L104" s="547"/>
      <c r="M104" s="547"/>
      <c r="N104" s="547"/>
      <c r="O104" s="547"/>
      <c r="P104" s="547"/>
      <c r="Q104" s="547"/>
      <c r="R104" s="547"/>
      <c r="S104" s="989">
        <f t="shared" si="4"/>
        <v>304785439</v>
      </c>
      <c r="T104" s="547">
        <v>339627640</v>
      </c>
      <c r="U104" s="989">
        <f t="shared" si="5"/>
        <v>305</v>
      </c>
      <c r="V104" s="547">
        <v>340</v>
      </c>
      <c r="W104" s="566"/>
      <c r="X104" s="567"/>
      <c r="Y104" s="989">
        <f t="shared" si="6"/>
        <v>304785439</v>
      </c>
      <c r="Z104" s="812">
        <f t="shared" si="7"/>
        <v>305</v>
      </c>
    </row>
    <row r="105" spans="1:26" ht="27" hidden="1" customHeight="1">
      <c r="A105" s="531"/>
      <c r="B105" s="531">
        <v>1009</v>
      </c>
      <c r="C105" s="529">
        <v>17</v>
      </c>
      <c r="D105" s="1027" t="s">
        <v>44</v>
      </c>
      <c r="E105" s="1028" t="s">
        <v>897</v>
      </c>
      <c r="F105" s="547"/>
      <c r="G105" s="547"/>
      <c r="H105" s="547"/>
      <c r="I105" s="547"/>
      <c r="J105" s="547"/>
      <c r="K105" s="547"/>
      <c r="L105" s="547"/>
      <c r="M105" s="547"/>
      <c r="N105" s="547"/>
      <c r="O105" s="547"/>
      <c r="P105" s="547"/>
      <c r="Q105" s="547"/>
      <c r="R105" s="547"/>
      <c r="S105" s="989">
        <f t="shared" si="4"/>
        <v>0</v>
      </c>
      <c r="T105" s="547">
        <v>0</v>
      </c>
      <c r="U105" s="989">
        <f t="shared" si="5"/>
        <v>0</v>
      </c>
      <c r="V105" s="547">
        <v>0</v>
      </c>
      <c r="W105" s="566"/>
      <c r="X105" s="567"/>
      <c r="Y105" s="989">
        <f t="shared" si="6"/>
        <v>0</v>
      </c>
      <c r="Z105" s="812">
        <f t="shared" si="7"/>
        <v>0</v>
      </c>
    </row>
    <row r="106" spans="1:26" ht="27" hidden="1" customHeight="1">
      <c r="A106" s="531"/>
      <c r="B106" s="531">
        <v>401</v>
      </c>
      <c r="C106" s="529">
        <v>11</v>
      </c>
      <c r="D106" s="1027" t="s">
        <v>943</v>
      </c>
      <c r="E106" s="1028" t="s">
        <v>944</v>
      </c>
      <c r="F106" s="547">
        <v>6723687775962</v>
      </c>
      <c r="G106" s="547">
        <f>351506166-901887649933</f>
        <v>-901536143767</v>
      </c>
      <c r="H106" s="547"/>
      <c r="I106" s="547"/>
      <c r="J106" s="547">
        <v>580000</v>
      </c>
      <c r="K106" s="547"/>
      <c r="L106" s="547"/>
      <c r="M106" s="547"/>
      <c r="N106" s="547">
        <v>-5822152212195</v>
      </c>
      <c r="O106" s="547"/>
      <c r="P106" s="547"/>
      <c r="Q106" s="547"/>
      <c r="R106" s="547"/>
      <c r="S106" s="989">
        <f t="shared" si="4"/>
        <v>0</v>
      </c>
      <c r="T106" s="547">
        <v>0</v>
      </c>
      <c r="U106" s="989">
        <f t="shared" si="5"/>
        <v>0</v>
      </c>
      <c r="V106" s="547">
        <v>0</v>
      </c>
      <c r="W106" s="566"/>
      <c r="X106" s="567"/>
      <c r="Y106" s="989">
        <f t="shared" si="6"/>
        <v>0</v>
      </c>
      <c r="Z106" s="812">
        <f t="shared" si="7"/>
        <v>0</v>
      </c>
    </row>
    <row r="107" spans="1:26" ht="27" hidden="1" customHeight="1">
      <c r="A107" s="531"/>
      <c r="B107" s="531">
        <v>401</v>
      </c>
      <c r="C107" s="529">
        <v>11</v>
      </c>
      <c r="D107" s="1027" t="s">
        <v>945</v>
      </c>
      <c r="E107" s="1028" t="s">
        <v>946</v>
      </c>
      <c r="F107" s="547">
        <v>27566498486</v>
      </c>
      <c r="G107" s="547">
        <v>-1932617982</v>
      </c>
      <c r="H107" s="547"/>
      <c r="I107" s="547"/>
      <c r="J107" s="547"/>
      <c r="K107" s="547"/>
      <c r="L107" s="547"/>
      <c r="M107" s="547"/>
      <c r="N107" s="547">
        <v>-25633880504</v>
      </c>
      <c r="O107" s="547"/>
      <c r="P107" s="547"/>
      <c r="Q107" s="547"/>
      <c r="R107" s="547"/>
      <c r="S107" s="989">
        <f t="shared" si="4"/>
        <v>0</v>
      </c>
      <c r="T107" s="547">
        <v>0</v>
      </c>
      <c r="U107" s="989">
        <f t="shared" si="5"/>
        <v>0</v>
      </c>
      <c r="V107" s="547">
        <v>0</v>
      </c>
      <c r="W107" s="566"/>
      <c r="X107" s="567"/>
      <c r="Y107" s="989">
        <f t="shared" si="6"/>
        <v>0</v>
      </c>
      <c r="Z107" s="812">
        <f t="shared" si="7"/>
        <v>0</v>
      </c>
    </row>
    <row r="108" spans="1:26" ht="27" hidden="1" customHeight="1">
      <c r="A108" s="531"/>
      <c r="B108" s="531">
        <v>401</v>
      </c>
      <c r="C108" s="529">
        <v>11</v>
      </c>
      <c r="D108" s="1027" t="s">
        <v>947</v>
      </c>
      <c r="E108" s="1028" t="s">
        <v>948</v>
      </c>
      <c r="F108" s="547">
        <v>159412905</v>
      </c>
      <c r="G108" s="547"/>
      <c r="H108" s="547"/>
      <c r="I108" s="547"/>
      <c r="J108" s="547"/>
      <c r="K108" s="547"/>
      <c r="L108" s="547"/>
      <c r="M108" s="547"/>
      <c r="N108" s="547">
        <v>-159412905</v>
      </c>
      <c r="O108" s="547"/>
      <c r="P108" s="547"/>
      <c r="Q108" s="547"/>
      <c r="R108" s="547"/>
      <c r="S108" s="989">
        <f t="shared" si="4"/>
        <v>0</v>
      </c>
      <c r="T108" s="547">
        <v>0</v>
      </c>
      <c r="U108" s="989">
        <f t="shared" si="5"/>
        <v>0</v>
      </c>
      <c r="V108" s="547">
        <v>0</v>
      </c>
      <c r="W108" s="566"/>
      <c r="X108" s="567"/>
      <c r="Y108" s="989">
        <f t="shared" si="6"/>
        <v>0</v>
      </c>
      <c r="Z108" s="812">
        <f t="shared" si="7"/>
        <v>0</v>
      </c>
    </row>
    <row r="109" spans="1:26" ht="27" hidden="1" customHeight="1">
      <c r="A109" s="531"/>
      <c r="B109" s="531">
        <v>1009</v>
      </c>
      <c r="C109" s="529">
        <v>17</v>
      </c>
      <c r="D109" s="1027" t="s">
        <v>949</v>
      </c>
      <c r="E109" s="1028" t="s">
        <v>950</v>
      </c>
      <c r="F109" s="547">
        <v>-6749326761187</v>
      </c>
      <c r="G109" s="547">
        <v>903468761749</v>
      </c>
      <c r="H109" s="547"/>
      <c r="I109" s="547"/>
      <c r="J109" s="547"/>
      <c r="K109" s="547"/>
      <c r="L109" s="547"/>
      <c r="M109" s="547"/>
      <c r="N109" s="547">
        <f>5845957913272-99913834</f>
        <v>5845857999438</v>
      </c>
      <c r="O109" s="547"/>
      <c r="P109" s="547"/>
      <c r="Q109" s="547"/>
      <c r="R109" s="547"/>
      <c r="S109" s="989">
        <f t="shared" si="4"/>
        <v>0</v>
      </c>
      <c r="T109" s="547">
        <v>0</v>
      </c>
      <c r="U109" s="989">
        <f t="shared" si="5"/>
        <v>0</v>
      </c>
      <c r="V109" s="547">
        <v>0</v>
      </c>
      <c r="W109" s="566"/>
      <c r="X109" s="567"/>
      <c r="Y109" s="989">
        <f t="shared" si="6"/>
        <v>0</v>
      </c>
      <c r="Z109" s="812">
        <f t="shared" si="7"/>
        <v>0</v>
      </c>
    </row>
    <row r="110" spans="1:26" ht="27" hidden="1" customHeight="1">
      <c r="A110" s="531"/>
      <c r="B110" s="531">
        <v>401</v>
      </c>
      <c r="C110" s="529">
        <v>11</v>
      </c>
      <c r="D110" s="1027" t="s">
        <v>45</v>
      </c>
      <c r="E110" s="1028" t="s">
        <v>46</v>
      </c>
      <c r="F110" s="547">
        <v>1598822045</v>
      </c>
      <c r="G110" s="547">
        <f>150454125-30113400</f>
        <v>120340725</v>
      </c>
      <c r="H110" s="547">
        <f>817738737-2797448661</f>
        <v>-1979709924</v>
      </c>
      <c r="I110" s="547"/>
      <c r="J110" s="547">
        <f>241478402-365366931</f>
        <v>-123888529</v>
      </c>
      <c r="K110" s="547"/>
      <c r="L110" s="547">
        <f>14611093-441740338</f>
        <v>-427129245</v>
      </c>
      <c r="M110" s="547"/>
      <c r="N110" s="547">
        <f>18360000-2609258291</f>
        <v>-2590898291</v>
      </c>
      <c r="O110" s="547"/>
      <c r="P110" s="547">
        <f>-73400191-155510285</f>
        <v>-228910476</v>
      </c>
      <c r="Q110" s="547"/>
      <c r="R110" s="547"/>
      <c r="S110" s="989">
        <f>SUM(F110:R110)</f>
        <v>-3631373695</v>
      </c>
      <c r="T110" s="547">
        <v>587873694</v>
      </c>
      <c r="U110" s="989">
        <f t="shared" si="5"/>
        <v>-3631</v>
      </c>
      <c r="V110" s="547">
        <v>588</v>
      </c>
      <c r="W110" s="566"/>
      <c r="X110" s="567"/>
      <c r="Y110" s="989">
        <f t="shared" si="6"/>
        <v>-3631373695</v>
      </c>
      <c r="Z110" s="812">
        <f t="shared" si="7"/>
        <v>-3631</v>
      </c>
    </row>
    <row r="111" spans="1:26" ht="27" hidden="1" customHeight="1">
      <c r="A111" s="1120" t="s">
        <v>1709</v>
      </c>
      <c r="B111" s="531">
        <v>401</v>
      </c>
      <c r="C111" s="529">
        <v>11</v>
      </c>
      <c r="D111" s="1027" t="s">
        <v>47</v>
      </c>
      <c r="E111" s="1028" t="s">
        <v>1469</v>
      </c>
      <c r="F111" s="547">
        <v>-3894580777</v>
      </c>
      <c r="G111" s="547"/>
      <c r="H111" s="547"/>
      <c r="I111" s="547"/>
      <c r="J111" s="547"/>
      <c r="K111" s="547"/>
      <c r="L111" s="547"/>
      <c r="M111" s="547"/>
      <c r="N111" s="547">
        <v>2000000000</v>
      </c>
      <c r="O111" s="547"/>
      <c r="P111" s="547"/>
      <c r="Q111" s="547"/>
      <c r="R111" s="547"/>
      <c r="S111" s="989">
        <f t="shared" si="4"/>
        <v>-1894580777</v>
      </c>
      <c r="T111" s="547">
        <v>-5972159520</v>
      </c>
      <c r="U111" s="989">
        <f t="shared" si="5"/>
        <v>-1895</v>
      </c>
      <c r="V111" s="547">
        <v>-5972</v>
      </c>
      <c r="W111" s="566"/>
      <c r="X111" s="567"/>
      <c r="Y111" s="989">
        <f t="shared" si="6"/>
        <v>-1894580777</v>
      </c>
      <c r="Z111" s="812">
        <f t="shared" si="7"/>
        <v>-1895</v>
      </c>
    </row>
    <row r="112" spans="1:26" ht="27" hidden="1" customHeight="1">
      <c r="A112" s="1120"/>
      <c r="B112" s="531">
        <v>1009</v>
      </c>
      <c r="C112" s="529">
        <v>17</v>
      </c>
      <c r="D112" s="1027" t="s">
        <v>47</v>
      </c>
      <c r="E112" s="1028" t="s">
        <v>555</v>
      </c>
      <c r="F112" s="547"/>
      <c r="G112" s="547"/>
      <c r="H112" s="547"/>
      <c r="I112" s="547"/>
      <c r="J112" s="547"/>
      <c r="K112" s="547"/>
      <c r="L112" s="547"/>
      <c r="M112" s="547"/>
      <c r="N112" s="547"/>
      <c r="O112" s="547"/>
      <c r="P112" s="547"/>
      <c r="Q112" s="547"/>
      <c r="R112" s="547"/>
      <c r="S112" s="989">
        <f t="shared" si="4"/>
        <v>0</v>
      </c>
      <c r="T112" s="547">
        <v>0</v>
      </c>
      <c r="U112" s="989">
        <f t="shared" si="5"/>
        <v>0</v>
      </c>
      <c r="V112" s="547">
        <v>0</v>
      </c>
      <c r="W112" s="566"/>
      <c r="X112" s="567"/>
      <c r="Y112" s="989">
        <f t="shared" si="6"/>
        <v>0</v>
      </c>
      <c r="Z112" s="812">
        <f t="shared" si="7"/>
        <v>0</v>
      </c>
    </row>
    <row r="113" spans="1:26" ht="27" hidden="1" customHeight="1">
      <c r="A113" s="531"/>
      <c r="B113" s="531">
        <v>401</v>
      </c>
      <c r="C113" s="529">
        <v>11</v>
      </c>
      <c r="D113" s="1027" t="s">
        <v>951</v>
      </c>
      <c r="E113" s="1028" t="s">
        <v>952</v>
      </c>
      <c r="F113" s="547"/>
      <c r="G113" s="547"/>
      <c r="H113" s="547"/>
      <c r="I113" s="547"/>
      <c r="J113" s="547"/>
      <c r="K113" s="547"/>
      <c r="L113" s="547"/>
      <c r="M113" s="547"/>
      <c r="N113" s="547"/>
      <c r="O113" s="547"/>
      <c r="P113" s="547"/>
      <c r="Q113" s="547"/>
      <c r="R113" s="547"/>
      <c r="S113" s="989">
        <f t="shared" si="4"/>
        <v>0</v>
      </c>
      <c r="T113" s="547">
        <v>0</v>
      </c>
      <c r="U113" s="989">
        <f t="shared" si="5"/>
        <v>0</v>
      </c>
      <c r="V113" s="547">
        <v>0</v>
      </c>
      <c r="W113" s="566"/>
      <c r="X113" s="567"/>
      <c r="Y113" s="989">
        <f t="shared" si="6"/>
        <v>0</v>
      </c>
      <c r="Z113" s="812">
        <f t="shared" si="7"/>
        <v>0</v>
      </c>
    </row>
    <row r="114" spans="1:26" ht="27" hidden="1" customHeight="1">
      <c r="A114" s="531"/>
      <c r="B114" s="531">
        <v>401</v>
      </c>
      <c r="C114" s="529">
        <v>11</v>
      </c>
      <c r="D114" s="1027" t="s">
        <v>836</v>
      </c>
      <c r="E114" s="1028" t="s">
        <v>953</v>
      </c>
      <c r="F114" s="547">
        <v>546237546</v>
      </c>
      <c r="G114" s="547">
        <v>-126559736</v>
      </c>
      <c r="H114" s="547">
        <v>-106602475</v>
      </c>
      <c r="I114" s="547"/>
      <c r="J114" s="547"/>
      <c r="K114" s="547"/>
      <c r="L114" s="547">
        <v>-313075335</v>
      </c>
      <c r="M114" s="547"/>
      <c r="N114" s="547"/>
      <c r="O114" s="547"/>
      <c r="P114" s="547"/>
      <c r="Q114" s="547"/>
      <c r="R114" s="547"/>
      <c r="S114" s="989">
        <f t="shared" si="4"/>
        <v>0</v>
      </c>
      <c r="T114" s="547">
        <v>0</v>
      </c>
      <c r="U114" s="989">
        <f t="shared" si="5"/>
        <v>0</v>
      </c>
      <c r="V114" s="547">
        <v>0</v>
      </c>
      <c r="W114" s="566"/>
      <c r="X114" s="567"/>
      <c r="Y114" s="989">
        <f t="shared" si="6"/>
        <v>0</v>
      </c>
      <c r="Z114" s="812">
        <f t="shared" si="7"/>
        <v>0</v>
      </c>
    </row>
    <row r="115" spans="1:26" ht="27" hidden="1" customHeight="1">
      <c r="A115" s="531"/>
      <c r="B115" s="531">
        <v>1009</v>
      </c>
      <c r="C115" s="529">
        <v>17</v>
      </c>
      <c r="D115" s="1027" t="s">
        <v>954</v>
      </c>
      <c r="E115" s="1028" t="s">
        <v>955</v>
      </c>
      <c r="F115" s="547">
        <v>-8687819377</v>
      </c>
      <c r="G115" s="547">
        <v>6191889165</v>
      </c>
      <c r="H115" s="547">
        <v>2223282274</v>
      </c>
      <c r="I115" s="547"/>
      <c r="J115" s="547"/>
      <c r="K115" s="547"/>
      <c r="L115" s="547">
        <f>346380709-73732771</f>
        <v>272647938</v>
      </c>
      <c r="M115" s="547"/>
      <c r="N115" s="547"/>
      <c r="O115" s="547"/>
      <c r="P115" s="547"/>
      <c r="Q115" s="547"/>
      <c r="R115" s="547"/>
      <c r="S115" s="989">
        <f>SUM(F115:R115)</f>
        <v>0</v>
      </c>
      <c r="T115" s="547">
        <v>0</v>
      </c>
      <c r="U115" s="989">
        <f t="shared" si="5"/>
        <v>0</v>
      </c>
      <c r="V115" s="547">
        <v>0</v>
      </c>
      <c r="W115" s="566"/>
      <c r="X115" s="567"/>
      <c r="Y115" s="989">
        <f t="shared" si="6"/>
        <v>0</v>
      </c>
      <c r="Z115" s="812">
        <f t="shared" si="7"/>
        <v>0</v>
      </c>
    </row>
    <row r="116" spans="1:26" ht="27" hidden="1" customHeight="1">
      <c r="A116" s="531"/>
      <c r="B116" s="531">
        <v>1009</v>
      </c>
      <c r="C116" s="529">
        <v>17</v>
      </c>
      <c r="D116" s="1027" t="s">
        <v>1103</v>
      </c>
      <c r="E116" s="1028" t="s">
        <v>1104</v>
      </c>
      <c r="F116" s="547">
        <v>-1235652</v>
      </c>
      <c r="G116" s="547">
        <v>1235652</v>
      </c>
      <c r="H116" s="547"/>
      <c r="I116" s="547"/>
      <c r="J116" s="547"/>
      <c r="K116" s="547"/>
      <c r="L116" s="547"/>
      <c r="M116" s="547"/>
      <c r="N116" s="547"/>
      <c r="O116" s="547"/>
      <c r="P116" s="547"/>
      <c r="Q116" s="547"/>
      <c r="R116" s="547"/>
      <c r="S116" s="989">
        <f t="shared" si="4"/>
        <v>0</v>
      </c>
      <c r="T116" s="547">
        <v>0</v>
      </c>
      <c r="U116" s="989">
        <f t="shared" si="5"/>
        <v>0</v>
      </c>
      <c r="V116" s="547">
        <v>0</v>
      </c>
      <c r="W116" s="566"/>
      <c r="X116" s="567"/>
      <c r="Y116" s="989">
        <f t="shared" si="6"/>
        <v>0</v>
      </c>
      <c r="Z116" s="812">
        <f t="shared" si="7"/>
        <v>0</v>
      </c>
    </row>
    <row r="117" spans="1:26" ht="27" hidden="1" customHeight="1">
      <c r="A117" s="531"/>
      <c r="B117" s="531">
        <v>401</v>
      </c>
      <c r="C117" s="529">
        <v>11</v>
      </c>
      <c r="D117" s="1027" t="s">
        <v>880</v>
      </c>
      <c r="E117" s="1028" t="s">
        <v>879</v>
      </c>
      <c r="F117" s="547">
        <v>12056986582</v>
      </c>
      <c r="G117" s="547">
        <f>5298126716-7422317505</f>
        <v>-2124190789</v>
      </c>
      <c r="H117" s="547">
        <f>8372201654-10125252953</f>
        <v>-1753051299</v>
      </c>
      <c r="I117" s="547"/>
      <c r="J117" s="547">
        <v>-2696327436</v>
      </c>
      <c r="K117" s="547"/>
      <c r="L117" s="547">
        <f>4093090983-3949490983</f>
        <v>143600000</v>
      </c>
      <c r="M117" s="547"/>
      <c r="N117" s="547">
        <v>0</v>
      </c>
      <c r="O117" s="547">
        <v>-5627017058</v>
      </c>
      <c r="P117" s="547"/>
      <c r="Q117" s="547"/>
      <c r="R117" s="547"/>
      <c r="S117" s="989">
        <f>SUM(F117:R117)</f>
        <v>0</v>
      </c>
      <c r="T117" s="547">
        <v>5733208787</v>
      </c>
      <c r="U117" s="989">
        <f t="shared" si="5"/>
        <v>0</v>
      </c>
      <c r="V117" s="547">
        <v>5733</v>
      </c>
      <c r="W117" s="566"/>
      <c r="X117" s="567"/>
      <c r="Y117" s="989">
        <f t="shared" si="6"/>
        <v>0</v>
      </c>
      <c r="Z117" s="812">
        <f t="shared" si="7"/>
        <v>0</v>
      </c>
    </row>
    <row r="118" spans="1:26" ht="27" hidden="1" customHeight="1">
      <c r="A118" s="531"/>
      <c r="B118" s="531">
        <v>401</v>
      </c>
      <c r="C118" s="529">
        <v>11</v>
      </c>
      <c r="D118" s="1027" t="s">
        <v>556</v>
      </c>
      <c r="E118" s="1028" t="s">
        <v>956</v>
      </c>
      <c r="F118" s="547">
        <v>5056033380</v>
      </c>
      <c r="G118" s="547">
        <f>8306184204-11402721193</f>
        <v>-3096536989</v>
      </c>
      <c r="H118" s="547">
        <f>2179367179-4117121370</f>
        <v>-1937754191</v>
      </c>
      <c r="I118" s="547">
        <f>179992200-195734400</f>
        <v>-15742200</v>
      </c>
      <c r="J118" s="547"/>
      <c r="K118" s="547"/>
      <c r="L118" s="547"/>
      <c r="M118" s="547"/>
      <c r="N118" s="547"/>
      <c r="O118" s="547"/>
      <c r="P118" s="547"/>
      <c r="Q118" s="547"/>
      <c r="R118" s="547"/>
      <c r="S118" s="989">
        <f>SUM(F118:R118)</f>
        <v>6000000</v>
      </c>
      <c r="T118" s="547">
        <v>7510600</v>
      </c>
      <c r="U118" s="989">
        <f t="shared" si="5"/>
        <v>6</v>
      </c>
      <c r="V118" s="547">
        <v>8</v>
      </c>
      <c r="W118" s="566"/>
      <c r="X118" s="567"/>
      <c r="Y118" s="989">
        <f t="shared" si="6"/>
        <v>6000000</v>
      </c>
      <c r="Z118" s="812">
        <f t="shared" si="7"/>
        <v>6</v>
      </c>
    </row>
    <row r="119" spans="1:26" ht="27" hidden="1" customHeight="1">
      <c r="A119" s="531"/>
      <c r="B119" s="531">
        <v>402</v>
      </c>
      <c r="C119" s="529">
        <v>11</v>
      </c>
      <c r="D119" s="1027" t="s">
        <v>48</v>
      </c>
      <c r="E119" s="1028" t="s">
        <v>49</v>
      </c>
      <c r="F119" s="547">
        <v>10608448586</v>
      </c>
      <c r="G119" s="547"/>
      <c r="H119" s="547"/>
      <c r="I119" s="547"/>
      <c r="J119" s="547"/>
      <c r="K119" s="547"/>
      <c r="L119" s="547"/>
      <c r="M119" s="547"/>
      <c r="N119" s="547"/>
      <c r="O119" s="547"/>
      <c r="P119" s="547"/>
      <c r="Q119" s="547"/>
      <c r="R119" s="547"/>
      <c r="S119" s="989">
        <f>SUM(F119:R119)</f>
        <v>10608448586</v>
      </c>
      <c r="T119" s="547">
        <v>10608448586</v>
      </c>
      <c r="U119" s="989">
        <f t="shared" si="5"/>
        <v>10608</v>
      </c>
      <c r="V119" s="547">
        <v>10608</v>
      </c>
      <c r="W119" s="566"/>
      <c r="X119" s="567"/>
      <c r="Y119" s="989">
        <f t="shared" si="6"/>
        <v>10608448586</v>
      </c>
      <c r="Z119" s="812">
        <f t="shared" si="7"/>
        <v>10608</v>
      </c>
    </row>
    <row r="120" spans="1:26" ht="27" hidden="1" customHeight="1">
      <c r="A120" s="531"/>
      <c r="B120" s="531">
        <v>1024</v>
      </c>
      <c r="C120" s="529">
        <v>11</v>
      </c>
      <c r="D120" s="1027" t="s">
        <v>50</v>
      </c>
      <c r="E120" s="1028" t="s">
        <v>205</v>
      </c>
      <c r="F120" s="547">
        <v>2382180552</v>
      </c>
      <c r="G120" s="547">
        <f>54377585-1429564066</f>
        <v>-1375186481</v>
      </c>
      <c r="H120" s="547">
        <f>43645051084-697857000</f>
        <v>42947194084</v>
      </c>
      <c r="I120" s="547"/>
      <c r="J120" s="547">
        <v>-4023014087</v>
      </c>
      <c r="K120" s="547">
        <f>19268181258-27064185788</f>
        <v>-7796004530</v>
      </c>
      <c r="L120" s="547">
        <v>-468703336</v>
      </c>
      <c r="M120" s="547"/>
      <c r="N120" s="547">
        <f>2609258291-1945498700</f>
        <v>663759591</v>
      </c>
      <c r="O120" s="547">
        <f>985465796-202384421</f>
        <v>783081375</v>
      </c>
      <c r="P120" s="547"/>
      <c r="Q120" s="547"/>
      <c r="R120" s="547"/>
      <c r="S120" s="989">
        <f t="shared" si="4"/>
        <v>33113307168</v>
      </c>
      <c r="T120" s="547">
        <v>-12569272683</v>
      </c>
      <c r="U120" s="989">
        <f t="shared" si="5"/>
        <v>33113</v>
      </c>
      <c r="V120" s="547">
        <v>-12569</v>
      </c>
      <c r="W120" s="566"/>
      <c r="X120" s="567"/>
      <c r="Y120" s="989">
        <f t="shared" si="6"/>
        <v>33113307168</v>
      </c>
      <c r="Z120" s="812">
        <f t="shared" si="7"/>
        <v>33113</v>
      </c>
    </row>
    <row r="121" spans="1:26" ht="27" hidden="1" customHeight="1">
      <c r="A121" s="531"/>
      <c r="B121" s="531">
        <v>404</v>
      </c>
      <c r="C121" s="529">
        <v>11</v>
      </c>
      <c r="D121" s="1027" t="s">
        <v>51</v>
      </c>
      <c r="E121" s="1028" t="s">
        <v>155</v>
      </c>
      <c r="F121" s="547">
        <v>27093161651</v>
      </c>
      <c r="G121" s="547">
        <f>2124190789-908196130</f>
        <v>1215994659</v>
      </c>
      <c r="H121" s="547">
        <f>7134669597-1881111650</f>
        <v>5253557947</v>
      </c>
      <c r="I121" s="547">
        <v>-742500</v>
      </c>
      <c r="J121" s="547">
        <f>2748663676-82323868</f>
        <v>2666339808</v>
      </c>
      <c r="K121" s="547">
        <f>766400-28308333</f>
        <v>-27541933</v>
      </c>
      <c r="L121" s="547">
        <v>-143600000</v>
      </c>
      <c r="M121" s="547"/>
      <c r="N121" s="547">
        <f>12296056-53811716</f>
        <v>-41515660</v>
      </c>
      <c r="O121" s="547">
        <f>5627017058-75972914-3543160-45318000</f>
        <v>5502182984</v>
      </c>
      <c r="P121" s="547"/>
      <c r="Q121" s="547"/>
      <c r="R121" s="547"/>
      <c r="S121" s="989">
        <f t="shared" si="4"/>
        <v>41517836956</v>
      </c>
      <c r="T121" s="547">
        <v>42717346873</v>
      </c>
      <c r="U121" s="989">
        <f t="shared" si="5"/>
        <v>41518</v>
      </c>
      <c r="V121" s="547">
        <v>42717</v>
      </c>
      <c r="W121" s="566"/>
      <c r="X121" s="567"/>
      <c r="Y121" s="989">
        <f t="shared" si="6"/>
        <v>41517836956</v>
      </c>
      <c r="Z121" s="812">
        <f t="shared" si="7"/>
        <v>41518</v>
      </c>
    </row>
    <row r="122" spans="1:26" ht="27" hidden="1" customHeight="1">
      <c r="A122" s="531"/>
      <c r="B122" s="531">
        <v>406</v>
      </c>
      <c r="C122" s="529">
        <v>11</v>
      </c>
      <c r="D122" s="1027" t="s">
        <v>52</v>
      </c>
      <c r="E122" s="1028" t="s">
        <v>206</v>
      </c>
      <c r="F122" s="547">
        <v>1018616252</v>
      </c>
      <c r="G122" s="547"/>
      <c r="H122" s="547">
        <v>203782035</v>
      </c>
      <c r="I122" s="547"/>
      <c r="J122" s="547"/>
      <c r="K122" s="547"/>
      <c r="L122" s="547"/>
      <c r="M122" s="547"/>
      <c r="N122" s="547"/>
      <c r="O122" s="547"/>
      <c r="P122" s="547"/>
      <c r="Q122" s="547"/>
      <c r="R122" s="547"/>
      <c r="S122" s="989">
        <f t="shared" si="4"/>
        <v>1222398287</v>
      </c>
      <c r="T122" s="547">
        <v>6246847503</v>
      </c>
      <c r="U122" s="989">
        <f t="shared" si="5"/>
        <v>1222</v>
      </c>
      <c r="V122" s="547">
        <v>6247</v>
      </c>
      <c r="W122" s="566"/>
      <c r="X122" s="567"/>
      <c r="Y122" s="989">
        <f t="shared" si="6"/>
        <v>1222398287</v>
      </c>
      <c r="Z122" s="812">
        <f t="shared" si="7"/>
        <v>1222</v>
      </c>
    </row>
    <row r="123" spans="1:26" ht="27" hidden="1" customHeight="1">
      <c r="A123" s="531"/>
      <c r="B123" s="531">
        <v>403</v>
      </c>
      <c r="C123" s="529">
        <v>11</v>
      </c>
      <c r="D123" s="1027" t="s">
        <v>53</v>
      </c>
      <c r="E123" s="1028" t="s">
        <v>756</v>
      </c>
      <c r="F123" s="547"/>
      <c r="G123" s="547"/>
      <c r="H123" s="547"/>
      <c r="I123" s="547"/>
      <c r="J123" s="547"/>
      <c r="K123" s="547"/>
      <c r="L123" s="547"/>
      <c r="M123" s="547"/>
      <c r="N123" s="547"/>
      <c r="O123" s="547"/>
      <c r="P123" s="547"/>
      <c r="Q123" s="547"/>
      <c r="R123" s="547"/>
      <c r="S123" s="989">
        <f t="shared" si="4"/>
        <v>0</v>
      </c>
      <c r="T123" s="547">
        <v>6</v>
      </c>
      <c r="U123" s="989">
        <f t="shared" si="5"/>
        <v>0</v>
      </c>
      <c r="V123" s="547">
        <v>0</v>
      </c>
      <c r="W123" s="566"/>
      <c r="X123" s="567"/>
      <c r="Y123" s="989">
        <f t="shared" si="6"/>
        <v>0</v>
      </c>
      <c r="Z123" s="812">
        <f t="shared" si="7"/>
        <v>0</v>
      </c>
    </row>
    <row r="124" spans="1:26" ht="27" hidden="1" customHeight="1">
      <c r="A124" s="531"/>
      <c r="B124" s="531">
        <v>1001</v>
      </c>
      <c r="C124" s="529">
        <v>17</v>
      </c>
      <c r="D124" s="1027" t="s">
        <v>55</v>
      </c>
      <c r="E124" s="1028" t="s">
        <v>547</v>
      </c>
      <c r="F124" s="547">
        <v>76202996</v>
      </c>
      <c r="G124" s="547"/>
      <c r="H124" s="547"/>
      <c r="I124" s="547"/>
      <c r="J124" s="547"/>
      <c r="K124" s="547"/>
      <c r="L124" s="547"/>
      <c r="M124" s="547"/>
      <c r="N124" s="547"/>
      <c r="O124" s="547">
        <v>-76202996</v>
      </c>
      <c r="P124" s="547"/>
      <c r="Q124" s="547"/>
      <c r="R124" s="547"/>
      <c r="S124" s="989">
        <f t="shared" si="4"/>
        <v>0</v>
      </c>
      <c r="T124" s="547">
        <v>-329620260</v>
      </c>
      <c r="U124" s="989">
        <f t="shared" si="5"/>
        <v>0</v>
      </c>
      <c r="V124" s="547">
        <v>-330</v>
      </c>
      <c r="W124" s="566"/>
      <c r="X124" s="567"/>
      <c r="Y124" s="989">
        <f t="shared" si="6"/>
        <v>0</v>
      </c>
      <c r="Z124" s="812">
        <f t="shared" si="7"/>
        <v>0</v>
      </c>
    </row>
    <row r="125" spans="1:26" ht="27" hidden="1" customHeight="1">
      <c r="A125" s="531"/>
      <c r="B125" s="531">
        <v>1009</v>
      </c>
      <c r="C125" s="529">
        <v>17</v>
      </c>
      <c r="D125" s="1027" t="s">
        <v>56</v>
      </c>
      <c r="E125" s="1028" t="s">
        <v>597</v>
      </c>
      <c r="F125" s="547"/>
      <c r="G125" s="547"/>
      <c r="H125" s="547"/>
      <c r="I125" s="547"/>
      <c r="J125" s="547"/>
      <c r="K125" s="547"/>
      <c r="L125" s="547"/>
      <c r="M125" s="547"/>
      <c r="N125" s="547"/>
      <c r="O125" s="547"/>
      <c r="P125" s="547"/>
      <c r="Q125" s="547"/>
      <c r="R125" s="547"/>
      <c r="S125" s="989">
        <f t="shared" si="4"/>
        <v>0</v>
      </c>
      <c r="T125" s="547">
        <v>0</v>
      </c>
      <c r="U125" s="989">
        <f t="shared" si="5"/>
        <v>0</v>
      </c>
      <c r="V125" s="547">
        <v>0</v>
      </c>
      <c r="W125" s="566"/>
      <c r="X125" s="567"/>
      <c r="Y125" s="989">
        <f t="shared" si="6"/>
        <v>0</v>
      </c>
      <c r="Z125" s="812">
        <f t="shared" si="7"/>
        <v>0</v>
      </c>
    </row>
    <row r="126" spans="1:26" ht="27" hidden="1" customHeight="1">
      <c r="A126" s="531"/>
      <c r="B126" s="1025">
        <v>406</v>
      </c>
      <c r="C126" s="529">
        <v>11</v>
      </c>
      <c r="D126" s="1027" t="s">
        <v>714</v>
      </c>
      <c r="E126" s="1028" t="s">
        <v>715</v>
      </c>
      <c r="F126" s="547">
        <v>538527385</v>
      </c>
      <c r="G126" s="547">
        <v>14771617</v>
      </c>
      <c r="H126" s="547">
        <v>-4018000</v>
      </c>
      <c r="I126" s="547"/>
      <c r="J126" s="547"/>
      <c r="K126" s="547"/>
      <c r="L126" s="547"/>
      <c r="M126" s="547"/>
      <c r="N126" s="547"/>
      <c r="O126" s="547"/>
      <c r="P126" s="547"/>
      <c r="Q126" s="547"/>
      <c r="R126" s="547"/>
      <c r="S126" s="989">
        <f t="shared" si="4"/>
        <v>549281002</v>
      </c>
      <c r="T126" s="547">
        <v>587814560</v>
      </c>
      <c r="U126" s="989">
        <f t="shared" si="5"/>
        <v>549</v>
      </c>
      <c r="V126" s="547">
        <v>588</v>
      </c>
      <c r="W126" s="566"/>
      <c r="X126" s="567"/>
      <c r="Y126" s="989">
        <f t="shared" si="6"/>
        <v>549281002</v>
      </c>
      <c r="Z126" s="812">
        <f t="shared" si="7"/>
        <v>549</v>
      </c>
    </row>
    <row r="127" spans="1:26" ht="27" hidden="1" customHeight="1">
      <c r="A127" s="531"/>
      <c r="B127" s="531">
        <v>406</v>
      </c>
      <c r="C127" s="529">
        <v>11</v>
      </c>
      <c r="D127" s="1027" t="s">
        <v>412</v>
      </c>
      <c r="E127" s="1028" t="s">
        <v>17</v>
      </c>
      <c r="F127" s="547">
        <v>38801600</v>
      </c>
      <c r="G127" s="547"/>
      <c r="H127" s="547">
        <v>2760000</v>
      </c>
      <c r="I127" s="547"/>
      <c r="J127" s="547"/>
      <c r="K127" s="547"/>
      <c r="L127" s="547"/>
      <c r="M127" s="547"/>
      <c r="N127" s="547"/>
      <c r="O127" s="547"/>
      <c r="P127" s="547"/>
      <c r="Q127" s="547"/>
      <c r="R127" s="547"/>
      <c r="S127" s="989">
        <f t="shared" si="4"/>
        <v>41561600</v>
      </c>
      <c r="T127" s="547">
        <v>17004000</v>
      </c>
      <c r="U127" s="989">
        <f t="shared" si="5"/>
        <v>42</v>
      </c>
      <c r="V127" s="547">
        <v>17</v>
      </c>
      <c r="W127" s="566"/>
      <c r="X127" s="567"/>
      <c r="Y127" s="989">
        <f t="shared" si="6"/>
        <v>41561600</v>
      </c>
      <c r="Z127" s="812">
        <f t="shared" si="7"/>
        <v>42</v>
      </c>
    </row>
    <row r="128" spans="1:26" ht="27" hidden="1" customHeight="1">
      <c r="A128" s="531"/>
      <c r="B128" s="531">
        <v>1025</v>
      </c>
      <c r="C128" s="529">
        <v>17</v>
      </c>
      <c r="D128" s="1027" t="s">
        <v>57</v>
      </c>
      <c r="E128" s="1028" t="s">
        <v>137</v>
      </c>
      <c r="F128" s="547">
        <v>-21978299327</v>
      </c>
      <c r="G128" s="547">
        <v>-36689400</v>
      </c>
      <c r="H128" s="547"/>
      <c r="I128" s="547"/>
      <c r="J128" s="547"/>
      <c r="K128" s="547"/>
      <c r="L128" s="547"/>
      <c r="M128" s="547"/>
      <c r="N128" s="547"/>
      <c r="O128" s="547"/>
      <c r="P128" s="547"/>
      <c r="Q128" s="547"/>
      <c r="R128" s="547"/>
      <c r="S128" s="989">
        <f t="shared" si="4"/>
        <v>-22014988727</v>
      </c>
      <c r="T128" s="547">
        <v>-18425045607</v>
      </c>
      <c r="U128" s="989">
        <f t="shared" si="5"/>
        <v>-22015</v>
      </c>
      <c r="V128" s="547">
        <v>-18425</v>
      </c>
      <c r="W128" s="566"/>
      <c r="X128" s="567"/>
      <c r="Y128" s="989">
        <f t="shared" si="6"/>
        <v>-22014988727</v>
      </c>
      <c r="Z128" s="812">
        <f t="shared" si="7"/>
        <v>-22015</v>
      </c>
    </row>
    <row r="129" spans="1:26" ht="27" hidden="1" customHeight="1">
      <c r="A129" s="531"/>
      <c r="B129" s="531">
        <v>407</v>
      </c>
      <c r="C129" s="529">
        <v>11</v>
      </c>
      <c r="D129" s="1027" t="s">
        <v>58</v>
      </c>
      <c r="E129" s="1028" t="s">
        <v>139</v>
      </c>
      <c r="F129" s="547">
        <v>-839454598236</v>
      </c>
      <c r="G129" s="547"/>
      <c r="H129" s="547"/>
      <c r="I129" s="547">
        <v>839454598236</v>
      </c>
      <c r="J129" s="547"/>
      <c r="K129" s="547"/>
      <c r="L129" s="547"/>
      <c r="M129" s="547"/>
      <c r="N129" s="547"/>
      <c r="O129" s="547"/>
      <c r="P129" s="547"/>
      <c r="Q129" s="547"/>
      <c r="R129" s="547"/>
      <c r="S129" s="989">
        <f t="shared" si="4"/>
        <v>0</v>
      </c>
      <c r="T129" s="547">
        <v>0</v>
      </c>
      <c r="U129" s="989">
        <f t="shared" si="5"/>
        <v>0</v>
      </c>
      <c r="V129" s="547">
        <v>0</v>
      </c>
      <c r="W129" s="566"/>
      <c r="X129" s="567"/>
      <c r="Y129" s="989">
        <f t="shared" si="6"/>
        <v>0</v>
      </c>
      <c r="Z129" s="812">
        <f t="shared" si="7"/>
        <v>0</v>
      </c>
    </row>
    <row r="130" spans="1:26" ht="27" hidden="1" customHeight="1">
      <c r="A130" s="531"/>
      <c r="B130" s="531">
        <v>407</v>
      </c>
      <c r="C130" s="529">
        <v>11</v>
      </c>
      <c r="D130" s="1027" t="s">
        <v>1364</v>
      </c>
      <c r="E130" s="1028" t="s">
        <v>1365</v>
      </c>
      <c r="F130" s="547">
        <v>823527395744</v>
      </c>
      <c r="G130" s="547"/>
      <c r="H130" s="547">
        <f>71504493668-3885190</f>
        <v>71500608478</v>
      </c>
      <c r="I130" s="547">
        <v>-839454598236</v>
      </c>
      <c r="J130" s="547">
        <f>1580822-49393122</f>
        <v>-47812300</v>
      </c>
      <c r="K130" s="547"/>
      <c r="L130" s="547"/>
      <c r="M130" s="547"/>
      <c r="N130" s="547">
        <v>2947200000</v>
      </c>
      <c r="O130" s="547">
        <f>2831998-1509511</f>
        <v>1322487</v>
      </c>
      <c r="P130" s="547">
        <f>155510285+73400191</f>
        <v>228910476</v>
      </c>
      <c r="Q130" s="547"/>
      <c r="R130" s="547"/>
      <c r="S130" s="989">
        <f t="shared" si="4"/>
        <v>58703026649</v>
      </c>
      <c r="T130" s="547">
        <v>42738371375</v>
      </c>
      <c r="U130" s="989">
        <f t="shared" si="5"/>
        <v>58703</v>
      </c>
      <c r="V130" s="547">
        <v>42738</v>
      </c>
      <c r="W130" s="566"/>
      <c r="X130" s="567"/>
      <c r="Y130" s="989">
        <f t="shared" si="6"/>
        <v>58703026649</v>
      </c>
      <c r="Z130" s="812">
        <f t="shared" si="7"/>
        <v>58703</v>
      </c>
    </row>
    <row r="131" spans="1:26" ht="27" hidden="1" customHeight="1">
      <c r="A131" s="531">
        <v>1</v>
      </c>
      <c r="B131" s="531">
        <v>10040</v>
      </c>
      <c r="C131" s="529">
        <v>11</v>
      </c>
      <c r="D131" s="1027" t="s">
        <v>59</v>
      </c>
      <c r="E131" s="1028" t="s">
        <v>342</v>
      </c>
      <c r="F131" s="547">
        <v>488241766624</v>
      </c>
      <c r="G131" s="547">
        <f>368420-41689053</f>
        <v>-41320633</v>
      </c>
      <c r="H131" s="547">
        <f>10430237144-2478920879340</f>
        <v>-2468490642196</v>
      </c>
      <c r="I131" s="547">
        <v>2477807488685</v>
      </c>
      <c r="J131" s="547">
        <v>-22284423</v>
      </c>
      <c r="K131" s="547"/>
      <c r="L131" s="547">
        <f>4200000-14611093</f>
        <v>-10411093</v>
      </c>
      <c r="M131" s="547"/>
      <c r="N131" s="547"/>
      <c r="O131" s="547">
        <v>-61854350</v>
      </c>
      <c r="P131" s="547">
        <v>16800000</v>
      </c>
      <c r="Q131" s="547"/>
      <c r="R131" s="547"/>
      <c r="S131" s="989">
        <f t="shared" si="4"/>
        <v>497439542614</v>
      </c>
      <c r="T131" s="547">
        <v>1853653460347</v>
      </c>
      <c r="U131" s="989">
        <f t="shared" si="5"/>
        <v>497440</v>
      </c>
      <c r="V131" s="547">
        <v>1853653</v>
      </c>
      <c r="W131" s="566"/>
      <c r="X131" s="567"/>
      <c r="Y131" s="989">
        <f t="shared" si="6"/>
        <v>497439542614</v>
      </c>
      <c r="Z131" s="812">
        <f t="shared" si="7"/>
        <v>497440</v>
      </c>
    </row>
    <row r="132" spans="1:26" ht="27" customHeight="1">
      <c r="A132" s="531">
        <v>3214</v>
      </c>
      <c r="B132" s="531">
        <v>10040</v>
      </c>
      <c r="C132" s="529">
        <v>11</v>
      </c>
      <c r="D132" s="1027" t="s">
        <v>59</v>
      </c>
      <c r="E132" s="1028" t="s">
        <v>342</v>
      </c>
      <c r="F132" s="547"/>
      <c r="G132" s="547"/>
      <c r="H132" s="547"/>
      <c r="I132" s="547"/>
      <c r="J132" s="547"/>
      <c r="K132" s="547"/>
      <c r="L132" s="547"/>
      <c r="M132" s="547"/>
      <c r="N132" s="547"/>
      <c r="O132" s="547">
        <f>61854350-249976512873</f>
        <v>-249914658523</v>
      </c>
      <c r="P132" s="547"/>
      <c r="Q132" s="547"/>
      <c r="R132" s="547"/>
      <c r="S132" s="989">
        <f t="shared" ref="S132:S195" si="8">SUM(F132:R132)</f>
        <v>-249914658523</v>
      </c>
      <c r="T132" s="547">
        <v>209949536735</v>
      </c>
      <c r="U132" s="989">
        <f t="shared" ref="U132:U195" si="9">ROUND((S132/1000000),0)</f>
        <v>-249915</v>
      </c>
      <c r="V132" s="547">
        <v>209950</v>
      </c>
      <c r="W132" s="566"/>
      <c r="X132" s="567"/>
      <c r="Y132" s="989">
        <f t="shared" si="6"/>
        <v>-249914658523</v>
      </c>
      <c r="Z132" s="812">
        <f t="shared" si="7"/>
        <v>-249915</v>
      </c>
    </row>
    <row r="133" spans="1:26" ht="27" hidden="1" customHeight="1">
      <c r="A133" s="531"/>
      <c r="B133" s="531">
        <v>10040</v>
      </c>
      <c r="C133" s="529">
        <v>11</v>
      </c>
      <c r="D133" s="1027" t="s">
        <v>59</v>
      </c>
      <c r="E133" s="1028" t="s">
        <v>922</v>
      </c>
      <c r="F133" s="547"/>
      <c r="G133" s="547"/>
      <c r="H133" s="547"/>
      <c r="I133" s="547"/>
      <c r="J133" s="547"/>
      <c r="K133" s="547"/>
      <c r="L133" s="547"/>
      <c r="M133" s="547"/>
      <c r="N133" s="547"/>
      <c r="O133" s="547"/>
      <c r="P133" s="547"/>
      <c r="Q133" s="547"/>
      <c r="R133" s="547"/>
      <c r="S133" s="989">
        <f t="shared" si="8"/>
        <v>0</v>
      </c>
      <c r="T133" s="547">
        <v>0</v>
      </c>
      <c r="U133" s="989">
        <f t="shared" si="9"/>
        <v>0</v>
      </c>
      <c r="V133" s="547">
        <v>0</v>
      </c>
      <c r="W133" s="566"/>
      <c r="X133" s="567"/>
      <c r="Y133" s="989">
        <f t="shared" si="6"/>
        <v>0</v>
      </c>
      <c r="Z133" s="812">
        <f t="shared" si="7"/>
        <v>0</v>
      </c>
    </row>
    <row r="134" spans="1:26" ht="27" hidden="1" customHeight="1">
      <c r="A134" s="531"/>
      <c r="B134" s="531">
        <v>406</v>
      </c>
      <c r="C134" s="529">
        <v>11</v>
      </c>
      <c r="D134" s="1027" t="s">
        <v>378</v>
      </c>
      <c r="E134" s="1028" t="s">
        <v>957</v>
      </c>
      <c r="F134" s="547">
        <v>4400000</v>
      </c>
      <c r="G134" s="547"/>
      <c r="H134" s="547"/>
      <c r="I134" s="547"/>
      <c r="J134" s="547"/>
      <c r="K134" s="547"/>
      <c r="L134" s="547"/>
      <c r="M134" s="547"/>
      <c r="N134" s="547"/>
      <c r="O134" s="547"/>
      <c r="P134" s="547"/>
      <c r="Q134" s="547"/>
      <c r="R134" s="547"/>
      <c r="S134" s="989">
        <f t="shared" si="8"/>
        <v>4400000</v>
      </c>
      <c r="T134" s="547">
        <v>456440382</v>
      </c>
      <c r="U134" s="989">
        <f t="shared" si="9"/>
        <v>4</v>
      </c>
      <c r="V134" s="547">
        <v>457</v>
      </c>
      <c r="W134" s="566"/>
      <c r="X134" s="567"/>
      <c r="Y134" s="989">
        <f t="shared" ref="Y134:Y197" si="10">S134+X134-W134</f>
        <v>4400000</v>
      </c>
      <c r="Z134" s="812">
        <f t="shared" ref="Z134:Z197" si="11">ROUND((Y134/1000000),0)</f>
        <v>4</v>
      </c>
    </row>
    <row r="135" spans="1:26" ht="27" hidden="1" customHeight="1">
      <c r="A135" s="531">
        <v>1</v>
      </c>
      <c r="B135" s="531">
        <v>1022</v>
      </c>
      <c r="C135" s="529">
        <v>17</v>
      </c>
      <c r="D135" s="1027" t="s">
        <v>60</v>
      </c>
      <c r="E135" s="1028" t="s">
        <v>1366</v>
      </c>
      <c r="F135" s="547">
        <v>-65132643941</v>
      </c>
      <c r="G135" s="547">
        <v>-6157190721</v>
      </c>
      <c r="H135" s="547">
        <f>6967021846-61472751969</f>
        <v>-54505730123</v>
      </c>
      <c r="I135" s="547">
        <v>-116723858</v>
      </c>
      <c r="J135" s="545">
        <v>41050000</v>
      </c>
      <c r="K135" s="547"/>
      <c r="L135" s="547">
        <f>11097971606-129860605</f>
        <v>10968111001</v>
      </c>
      <c r="M135" s="547"/>
      <c r="N135" s="547">
        <f>236521204000-123191590375</f>
        <v>113329613625</v>
      </c>
      <c r="O135" s="547">
        <v>1676513375</v>
      </c>
      <c r="P135" s="547"/>
      <c r="Q135" s="547"/>
      <c r="R135" s="547"/>
      <c r="S135" s="989">
        <f>SUM(F135:R135)</f>
        <v>102999358</v>
      </c>
      <c r="T135" s="547">
        <v>-2611459362</v>
      </c>
      <c r="U135" s="989">
        <f t="shared" si="9"/>
        <v>103</v>
      </c>
      <c r="V135" s="547">
        <v>-2612</v>
      </c>
      <c r="W135" s="566"/>
      <c r="X135" s="567"/>
      <c r="Y135" s="989">
        <f t="shared" si="10"/>
        <v>102999358</v>
      </c>
      <c r="Z135" s="812">
        <f t="shared" si="11"/>
        <v>103</v>
      </c>
    </row>
    <row r="136" spans="1:26" ht="27" hidden="1" customHeight="1">
      <c r="A136" s="531">
        <v>7</v>
      </c>
      <c r="B136" s="531">
        <v>1022</v>
      </c>
      <c r="C136" s="529">
        <v>17</v>
      </c>
      <c r="D136" s="1027" t="s">
        <v>1322</v>
      </c>
      <c r="E136" s="1028" t="s">
        <v>777</v>
      </c>
      <c r="F136" s="547">
        <v>6455482946934</v>
      </c>
      <c r="G136" s="547">
        <v>464579144646</v>
      </c>
      <c r="H136" s="547">
        <v>55453014597</v>
      </c>
      <c r="I136" s="547"/>
      <c r="J136" s="547">
        <f>2192497811657-60098580</f>
        <v>2192437713077</v>
      </c>
      <c r="K136" s="547"/>
      <c r="L136" s="547">
        <v>-9167952819254</v>
      </c>
      <c r="M136" s="547"/>
      <c r="N136" s="547"/>
      <c r="O136" s="547">
        <f>-922000000000+320000000000</f>
        <v>-602000000000</v>
      </c>
      <c r="P136" s="547">
        <v>-320000000000</v>
      </c>
      <c r="Q136" s="547"/>
      <c r="R136" s="547"/>
      <c r="S136" s="989">
        <f t="shared" si="8"/>
        <v>-922000000000</v>
      </c>
      <c r="T136" s="547">
        <v>375871257309</v>
      </c>
      <c r="U136" s="989">
        <f t="shared" si="9"/>
        <v>-922000</v>
      </c>
      <c r="V136" s="547">
        <v>375871</v>
      </c>
      <c r="W136" s="566"/>
      <c r="X136" s="567"/>
      <c r="Y136" s="989">
        <f t="shared" si="10"/>
        <v>-922000000000</v>
      </c>
      <c r="Z136" s="812">
        <f t="shared" si="11"/>
        <v>-922000</v>
      </c>
    </row>
    <row r="137" spans="1:26" ht="27" hidden="1" customHeight="1">
      <c r="A137" s="531"/>
      <c r="B137" s="531">
        <v>406</v>
      </c>
      <c r="C137" s="529">
        <v>11</v>
      </c>
      <c r="D137" s="1027" t="s">
        <v>565</v>
      </c>
      <c r="E137" s="1028" t="s">
        <v>566</v>
      </c>
      <c r="F137" s="547">
        <v>1710835540</v>
      </c>
      <c r="G137" s="547"/>
      <c r="H137" s="547"/>
      <c r="I137" s="547"/>
      <c r="J137" s="547"/>
      <c r="K137" s="547"/>
      <c r="L137" s="547"/>
      <c r="M137" s="547"/>
      <c r="N137" s="547"/>
      <c r="O137" s="547"/>
      <c r="P137" s="547"/>
      <c r="Q137" s="547"/>
      <c r="R137" s="547"/>
      <c r="S137" s="989">
        <f t="shared" si="8"/>
        <v>1710835540</v>
      </c>
      <c r="T137" s="547">
        <v>1889867140</v>
      </c>
      <c r="U137" s="989">
        <f t="shared" si="9"/>
        <v>1711</v>
      </c>
      <c r="V137" s="547">
        <v>1890</v>
      </c>
      <c r="W137" s="566"/>
      <c r="X137" s="567"/>
      <c r="Y137" s="989">
        <f t="shared" si="10"/>
        <v>1710835540</v>
      </c>
      <c r="Z137" s="812">
        <f t="shared" si="11"/>
        <v>1711</v>
      </c>
    </row>
    <row r="138" spans="1:26" ht="27" hidden="1" customHeight="1">
      <c r="A138" s="531"/>
      <c r="B138" s="1051">
        <v>406</v>
      </c>
      <c r="C138" s="529">
        <v>11</v>
      </c>
      <c r="D138" s="1027" t="s">
        <v>567</v>
      </c>
      <c r="E138" s="1028" t="s">
        <v>776</v>
      </c>
      <c r="F138" s="547">
        <v>3509451248</v>
      </c>
      <c r="G138" s="547"/>
      <c r="H138" s="547">
        <f>101281679-228861143</f>
        <v>-127579464</v>
      </c>
      <c r="I138" s="547"/>
      <c r="J138" s="547"/>
      <c r="K138" s="547"/>
      <c r="L138" s="547"/>
      <c r="M138" s="547"/>
      <c r="N138" s="547"/>
      <c r="O138" s="547"/>
      <c r="P138" s="547"/>
      <c r="Q138" s="547"/>
      <c r="R138" s="547"/>
      <c r="S138" s="989">
        <f t="shared" si="8"/>
        <v>3381871784</v>
      </c>
      <c r="T138" s="547">
        <v>6362393479</v>
      </c>
      <c r="U138" s="989">
        <f t="shared" si="9"/>
        <v>3382</v>
      </c>
      <c r="V138" s="547">
        <v>6362</v>
      </c>
      <c r="W138" s="566"/>
      <c r="X138" s="567"/>
      <c r="Y138" s="989">
        <f t="shared" si="10"/>
        <v>3381871784</v>
      </c>
      <c r="Z138" s="812">
        <f t="shared" si="11"/>
        <v>3382</v>
      </c>
    </row>
    <row r="139" spans="1:26" ht="27" hidden="1" customHeight="1">
      <c r="A139" s="531"/>
      <c r="B139" s="531">
        <v>406</v>
      </c>
      <c r="C139" s="529">
        <v>11</v>
      </c>
      <c r="D139" s="1027" t="s">
        <v>361</v>
      </c>
      <c r="E139" s="1028" t="s">
        <v>253</v>
      </c>
      <c r="F139" s="547"/>
      <c r="G139" s="547"/>
      <c r="H139" s="547"/>
      <c r="I139" s="547"/>
      <c r="J139" s="547"/>
      <c r="K139" s="547"/>
      <c r="L139" s="547"/>
      <c r="M139" s="547"/>
      <c r="N139" s="547"/>
      <c r="O139" s="547"/>
      <c r="P139" s="547"/>
      <c r="Q139" s="547"/>
      <c r="R139" s="547"/>
      <c r="S139" s="989">
        <f t="shared" si="8"/>
        <v>0</v>
      </c>
      <c r="T139" s="547">
        <v>6746905</v>
      </c>
      <c r="U139" s="989">
        <f t="shared" si="9"/>
        <v>0</v>
      </c>
      <c r="V139" s="547">
        <v>7</v>
      </c>
      <c r="W139" s="566"/>
      <c r="X139" s="567"/>
      <c r="Y139" s="989">
        <f t="shared" si="10"/>
        <v>0</v>
      </c>
      <c r="Z139" s="812">
        <f t="shared" si="11"/>
        <v>0</v>
      </c>
    </row>
    <row r="140" spans="1:26" ht="27" hidden="1" customHeight="1">
      <c r="A140" s="531">
        <v>3215</v>
      </c>
      <c r="B140" s="531">
        <v>1028</v>
      </c>
      <c r="C140" s="529">
        <v>17</v>
      </c>
      <c r="D140" s="1027" t="s">
        <v>568</v>
      </c>
      <c r="E140" s="1028" t="s">
        <v>153</v>
      </c>
      <c r="F140" s="547">
        <v>-38702627720</v>
      </c>
      <c r="G140" s="547">
        <v>-4041261746</v>
      </c>
      <c r="H140" s="547">
        <f>7392218388-14354188</f>
        <v>7377864200</v>
      </c>
      <c r="I140" s="547"/>
      <c r="J140" s="547">
        <v>-14150169</v>
      </c>
      <c r="K140" s="547"/>
      <c r="L140" s="547">
        <f>441740338-267144625</f>
        <v>174595713</v>
      </c>
      <c r="M140" s="547"/>
      <c r="N140" s="547">
        <v>-67067095</v>
      </c>
      <c r="O140" s="547">
        <f>521252416-239106613</f>
        <v>282145803</v>
      </c>
      <c r="P140" s="547"/>
      <c r="Q140" s="547"/>
      <c r="R140" s="547"/>
      <c r="S140" s="989">
        <f t="shared" si="8"/>
        <v>-34990501014</v>
      </c>
      <c r="T140" s="547">
        <v>-69870775766</v>
      </c>
      <c r="U140" s="989">
        <f t="shared" si="9"/>
        <v>-34991</v>
      </c>
      <c r="V140" s="547">
        <v>-69871</v>
      </c>
      <c r="W140" s="566"/>
      <c r="X140" s="567"/>
      <c r="Y140" s="989">
        <f t="shared" si="10"/>
        <v>-34990501014</v>
      </c>
      <c r="Z140" s="812">
        <f t="shared" si="11"/>
        <v>-34991</v>
      </c>
    </row>
    <row r="141" spans="1:26" ht="27" hidden="1" customHeight="1">
      <c r="A141" s="531"/>
      <c r="B141" s="531">
        <v>406</v>
      </c>
      <c r="C141" s="529">
        <v>11</v>
      </c>
      <c r="D141" s="1027" t="s">
        <v>254</v>
      </c>
      <c r="E141" s="1028" t="s">
        <v>958</v>
      </c>
      <c r="F141" s="547">
        <v>1137206024</v>
      </c>
      <c r="G141" s="547"/>
      <c r="H141" s="547">
        <v>2776436086</v>
      </c>
      <c r="I141" s="547"/>
      <c r="J141" s="547"/>
      <c r="K141" s="547"/>
      <c r="L141" s="547"/>
      <c r="M141" s="547"/>
      <c r="N141" s="547"/>
      <c r="O141" s="547"/>
      <c r="P141" s="547"/>
      <c r="Q141" s="547"/>
      <c r="R141" s="547"/>
      <c r="S141" s="989">
        <f t="shared" si="8"/>
        <v>3913642110</v>
      </c>
      <c r="T141" s="547">
        <v>19041951664</v>
      </c>
      <c r="U141" s="989">
        <f t="shared" si="9"/>
        <v>3914</v>
      </c>
      <c r="V141" s="547">
        <v>19042</v>
      </c>
      <c r="W141" s="566"/>
      <c r="X141" s="567"/>
      <c r="Y141" s="989">
        <f t="shared" si="10"/>
        <v>3913642110</v>
      </c>
      <c r="Z141" s="812">
        <f t="shared" si="11"/>
        <v>3914</v>
      </c>
    </row>
    <row r="142" spans="1:26" ht="27" hidden="1" customHeight="1">
      <c r="A142" s="531"/>
      <c r="B142" s="531">
        <v>1001</v>
      </c>
      <c r="C142" s="529">
        <v>17</v>
      </c>
      <c r="D142" s="1027" t="s">
        <v>569</v>
      </c>
      <c r="E142" s="1028" t="s">
        <v>960</v>
      </c>
      <c r="F142" s="547">
        <v>-5358416308</v>
      </c>
      <c r="G142" s="547"/>
      <c r="H142" s="547"/>
      <c r="I142" s="547"/>
      <c r="J142" s="547"/>
      <c r="K142" s="547"/>
      <c r="L142" s="547"/>
      <c r="M142" s="547"/>
      <c r="N142" s="547"/>
      <c r="O142" s="547"/>
      <c r="P142" s="547"/>
      <c r="Q142" s="547"/>
      <c r="R142" s="547"/>
      <c r="S142" s="989">
        <f t="shared" si="8"/>
        <v>-5358416308</v>
      </c>
      <c r="T142" s="547">
        <v>-3912259473</v>
      </c>
      <c r="U142" s="989">
        <f t="shared" si="9"/>
        <v>-5358</v>
      </c>
      <c r="V142" s="547">
        <v>-3912</v>
      </c>
      <c r="W142" s="566"/>
      <c r="X142" s="567"/>
      <c r="Y142" s="989">
        <f t="shared" si="10"/>
        <v>-5358416308</v>
      </c>
      <c r="Z142" s="812">
        <f t="shared" si="11"/>
        <v>-5358</v>
      </c>
    </row>
    <row r="143" spans="1:26" ht="27" hidden="1" customHeight="1">
      <c r="A143" s="531"/>
      <c r="B143" s="531">
        <v>406</v>
      </c>
      <c r="C143" s="529">
        <v>11</v>
      </c>
      <c r="D143" s="1027" t="s">
        <v>959</v>
      </c>
      <c r="E143" s="1028" t="s">
        <v>961</v>
      </c>
      <c r="F143" s="547">
        <v>375893040</v>
      </c>
      <c r="G143" s="547"/>
      <c r="H143" s="547"/>
      <c r="I143" s="547"/>
      <c r="J143" s="547"/>
      <c r="K143" s="547"/>
      <c r="L143" s="547"/>
      <c r="M143" s="547"/>
      <c r="N143" s="547"/>
      <c r="O143" s="547"/>
      <c r="P143" s="547"/>
      <c r="Q143" s="547"/>
      <c r="R143" s="547"/>
      <c r="S143" s="989">
        <f t="shared" si="8"/>
        <v>375893040</v>
      </c>
      <c r="T143" s="547">
        <v>983332600</v>
      </c>
      <c r="U143" s="989">
        <f t="shared" si="9"/>
        <v>376</v>
      </c>
      <c r="V143" s="547">
        <v>983</v>
      </c>
      <c r="W143" s="566"/>
      <c r="X143" s="567"/>
      <c r="Y143" s="989">
        <f t="shared" si="10"/>
        <v>375893040</v>
      </c>
      <c r="Z143" s="812">
        <f t="shared" si="11"/>
        <v>376</v>
      </c>
    </row>
    <row r="144" spans="1:26" ht="27" hidden="1" customHeight="1">
      <c r="A144" s="531"/>
      <c r="B144" s="531">
        <v>406</v>
      </c>
      <c r="C144" s="529">
        <v>11</v>
      </c>
      <c r="D144" s="1027" t="s">
        <v>732</v>
      </c>
      <c r="E144" s="1028" t="s">
        <v>962</v>
      </c>
      <c r="F144" s="547"/>
      <c r="G144" s="547"/>
      <c r="H144" s="547"/>
      <c r="I144" s="547"/>
      <c r="J144" s="547"/>
      <c r="K144" s="547"/>
      <c r="L144" s="547"/>
      <c r="M144" s="547"/>
      <c r="N144" s="547"/>
      <c r="O144" s="547"/>
      <c r="P144" s="547"/>
      <c r="Q144" s="547"/>
      <c r="R144" s="547"/>
      <c r="S144" s="989">
        <f t="shared" si="8"/>
        <v>0</v>
      </c>
      <c r="T144" s="547">
        <v>0</v>
      </c>
      <c r="U144" s="989">
        <f t="shared" si="9"/>
        <v>0</v>
      </c>
      <c r="V144" s="547">
        <v>0</v>
      </c>
      <c r="W144" s="566"/>
      <c r="X144" s="567"/>
      <c r="Y144" s="989">
        <f t="shared" si="10"/>
        <v>0</v>
      </c>
      <c r="Z144" s="812">
        <f t="shared" si="11"/>
        <v>0</v>
      </c>
    </row>
    <row r="145" spans="1:26" ht="27" hidden="1" customHeight="1">
      <c r="A145" s="531"/>
      <c r="B145" s="531">
        <v>406</v>
      </c>
      <c r="C145" s="529">
        <v>11</v>
      </c>
      <c r="D145" s="1027" t="s">
        <v>570</v>
      </c>
      <c r="E145" s="1028" t="s">
        <v>257</v>
      </c>
      <c r="F145" s="547">
        <v>478789792</v>
      </c>
      <c r="G145" s="547"/>
      <c r="H145" s="547">
        <v>-161830000</v>
      </c>
      <c r="I145" s="547"/>
      <c r="J145" s="547"/>
      <c r="K145" s="547"/>
      <c r="L145" s="547"/>
      <c r="M145" s="547"/>
      <c r="N145" s="547"/>
      <c r="O145" s="547"/>
      <c r="P145" s="547"/>
      <c r="Q145" s="547"/>
      <c r="R145" s="547"/>
      <c r="S145" s="989">
        <f t="shared" si="8"/>
        <v>316959792</v>
      </c>
      <c r="T145" s="547">
        <v>313769896</v>
      </c>
      <c r="U145" s="989">
        <f t="shared" si="9"/>
        <v>317</v>
      </c>
      <c r="V145" s="547">
        <v>314</v>
      </c>
      <c r="W145" s="566"/>
      <c r="X145" s="567"/>
      <c r="Y145" s="989">
        <f t="shared" si="10"/>
        <v>316959792</v>
      </c>
      <c r="Z145" s="812">
        <f t="shared" si="11"/>
        <v>317</v>
      </c>
    </row>
    <row r="146" spans="1:26" ht="27" hidden="1" customHeight="1">
      <c r="A146" s="531"/>
      <c r="B146" s="531">
        <v>406</v>
      </c>
      <c r="C146" s="529">
        <v>11</v>
      </c>
      <c r="D146" s="1027" t="s">
        <v>256</v>
      </c>
      <c r="E146" s="1028" t="s">
        <v>258</v>
      </c>
      <c r="F146" s="547"/>
      <c r="G146" s="547"/>
      <c r="H146" s="547"/>
      <c r="I146" s="547"/>
      <c r="J146" s="547"/>
      <c r="K146" s="547"/>
      <c r="L146" s="547"/>
      <c r="M146" s="547"/>
      <c r="N146" s="547"/>
      <c r="O146" s="547"/>
      <c r="P146" s="547"/>
      <c r="Q146" s="547"/>
      <c r="R146" s="547"/>
      <c r="S146" s="989">
        <f t="shared" si="8"/>
        <v>0</v>
      </c>
      <c r="T146" s="547">
        <v>0</v>
      </c>
      <c r="U146" s="989">
        <f t="shared" si="9"/>
        <v>0</v>
      </c>
      <c r="V146" s="547">
        <v>0</v>
      </c>
      <c r="W146" s="566"/>
      <c r="X146" s="567"/>
      <c r="Y146" s="989">
        <f t="shared" si="10"/>
        <v>0</v>
      </c>
      <c r="Z146" s="812">
        <f t="shared" si="11"/>
        <v>0</v>
      </c>
    </row>
    <row r="147" spans="1:26" ht="27" hidden="1" customHeight="1">
      <c r="A147" s="531"/>
      <c r="B147" s="531">
        <v>406</v>
      </c>
      <c r="C147" s="529">
        <v>11</v>
      </c>
      <c r="D147" s="1027" t="s">
        <v>571</v>
      </c>
      <c r="E147" s="1028" t="s">
        <v>259</v>
      </c>
      <c r="F147" s="547">
        <v>178760000</v>
      </c>
      <c r="G147" s="547"/>
      <c r="H147" s="547"/>
      <c r="I147" s="547"/>
      <c r="J147" s="547"/>
      <c r="K147" s="547"/>
      <c r="L147" s="547"/>
      <c r="M147" s="547"/>
      <c r="N147" s="547"/>
      <c r="O147" s="547"/>
      <c r="P147" s="547"/>
      <c r="Q147" s="547"/>
      <c r="R147" s="547"/>
      <c r="S147" s="989">
        <f t="shared" si="8"/>
        <v>178760000</v>
      </c>
      <c r="T147" s="547">
        <v>178760000</v>
      </c>
      <c r="U147" s="989">
        <f t="shared" si="9"/>
        <v>179</v>
      </c>
      <c r="V147" s="547">
        <v>179</v>
      </c>
      <c r="W147" s="566"/>
      <c r="X147" s="567"/>
      <c r="Y147" s="989">
        <f t="shared" si="10"/>
        <v>178760000</v>
      </c>
      <c r="Z147" s="812">
        <f t="shared" si="11"/>
        <v>179</v>
      </c>
    </row>
    <row r="148" spans="1:26" ht="27" hidden="1" customHeight="1">
      <c r="A148" s="531"/>
      <c r="B148" s="531">
        <v>406</v>
      </c>
      <c r="C148" s="529">
        <v>11</v>
      </c>
      <c r="D148" s="1027" t="s">
        <v>963</v>
      </c>
      <c r="E148" s="1028" t="s">
        <v>964</v>
      </c>
      <c r="F148" s="547">
        <v>294663600</v>
      </c>
      <c r="G148" s="547"/>
      <c r="H148" s="547"/>
      <c r="I148" s="547"/>
      <c r="J148" s="547"/>
      <c r="K148" s="547"/>
      <c r="L148" s="547"/>
      <c r="M148" s="547"/>
      <c r="N148" s="547"/>
      <c r="O148" s="547"/>
      <c r="P148" s="547"/>
      <c r="Q148" s="547"/>
      <c r="R148" s="547"/>
      <c r="S148" s="989">
        <f t="shared" si="8"/>
        <v>294663600</v>
      </c>
      <c r="T148" s="547">
        <v>234234000</v>
      </c>
      <c r="U148" s="989">
        <f t="shared" si="9"/>
        <v>295</v>
      </c>
      <c r="V148" s="547">
        <v>234</v>
      </c>
      <c r="W148" s="566"/>
      <c r="X148" s="567"/>
      <c r="Y148" s="989">
        <f t="shared" si="10"/>
        <v>294663600</v>
      </c>
      <c r="Z148" s="812">
        <f t="shared" si="11"/>
        <v>295</v>
      </c>
    </row>
    <row r="149" spans="1:26" ht="27" hidden="1" customHeight="1">
      <c r="A149" s="531"/>
      <c r="B149" s="531">
        <v>406</v>
      </c>
      <c r="C149" s="529">
        <v>11</v>
      </c>
      <c r="D149" s="1027" t="s">
        <v>643</v>
      </c>
      <c r="E149" s="1028" t="s">
        <v>642</v>
      </c>
      <c r="F149" s="547">
        <v>28416546240</v>
      </c>
      <c r="G149" s="547">
        <v>5279960000</v>
      </c>
      <c r="H149" s="547">
        <v>-4700843000</v>
      </c>
      <c r="I149" s="547"/>
      <c r="J149" s="547"/>
      <c r="K149" s="547"/>
      <c r="L149" s="547"/>
      <c r="M149" s="547"/>
      <c r="N149" s="547"/>
      <c r="O149" s="547"/>
      <c r="P149" s="547"/>
      <c r="Q149" s="547"/>
      <c r="R149" s="547"/>
      <c r="S149" s="989">
        <f t="shared" si="8"/>
        <v>28995663240</v>
      </c>
      <c r="T149" s="547">
        <v>209992760</v>
      </c>
      <c r="U149" s="989">
        <f t="shared" si="9"/>
        <v>28996</v>
      </c>
      <c r="V149" s="547">
        <v>210</v>
      </c>
      <c r="W149" s="566"/>
      <c r="X149" s="567"/>
      <c r="Y149" s="989">
        <f t="shared" si="10"/>
        <v>28995663240</v>
      </c>
      <c r="Z149" s="812">
        <f t="shared" si="11"/>
        <v>28996</v>
      </c>
    </row>
    <row r="150" spans="1:26" ht="27" hidden="1" customHeight="1">
      <c r="A150" s="531"/>
      <c r="B150" s="531">
        <v>406</v>
      </c>
      <c r="C150" s="529">
        <v>11</v>
      </c>
      <c r="D150" s="1027" t="s">
        <v>572</v>
      </c>
      <c r="E150" s="1028" t="s">
        <v>168</v>
      </c>
      <c r="F150" s="547">
        <v>820481845</v>
      </c>
      <c r="G150" s="547"/>
      <c r="H150" s="547">
        <v>45284897</v>
      </c>
      <c r="I150" s="547"/>
      <c r="J150" s="547"/>
      <c r="K150" s="547"/>
      <c r="L150" s="547"/>
      <c r="M150" s="547"/>
      <c r="N150" s="547"/>
      <c r="O150" s="547"/>
      <c r="P150" s="547"/>
      <c r="Q150" s="547"/>
      <c r="R150" s="547"/>
      <c r="S150" s="989">
        <f t="shared" si="8"/>
        <v>865766742</v>
      </c>
      <c r="T150" s="547">
        <v>611395285</v>
      </c>
      <c r="U150" s="989">
        <f t="shared" si="9"/>
        <v>866</v>
      </c>
      <c r="V150" s="547">
        <v>611</v>
      </c>
      <c r="W150" s="566"/>
      <c r="X150" s="567"/>
      <c r="Y150" s="989">
        <f t="shared" si="10"/>
        <v>865766742</v>
      </c>
      <c r="Z150" s="812">
        <f t="shared" si="11"/>
        <v>866</v>
      </c>
    </row>
    <row r="151" spans="1:26" ht="27" hidden="1" customHeight="1">
      <c r="A151" s="531"/>
      <c r="B151" s="531">
        <v>406</v>
      </c>
      <c r="C151" s="529">
        <v>11</v>
      </c>
      <c r="D151" s="1027" t="s">
        <v>573</v>
      </c>
      <c r="E151" s="1028" t="s">
        <v>965</v>
      </c>
      <c r="F151" s="547">
        <v>61587347</v>
      </c>
      <c r="G151" s="547">
        <f>142589489-270602572</f>
        <v>-128013083</v>
      </c>
      <c r="H151" s="547">
        <v>6574308203</v>
      </c>
      <c r="I151" s="547"/>
      <c r="J151" s="547">
        <v>-128663180</v>
      </c>
      <c r="K151" s="547"/>
      <c r="L151" s="547"/>
      <c r="M151" s="547"/>
      <c r="N151" s="547"/>
      <c r="O151" s="547"/>
      <c r="P151" s="547"/>
      <c r="Q151" s="547"/>
      <c r="R151" s="547"/>
      <c r="S151" s="989">
        <f t="shared" si="8"/>
        <v>6379219287</v>
      </c>
      <c r="T151" s="547">
        <v>45448127</v>
      </c>
      <c r="U151" s="989">
        <f t="shared" si="9"/>
        <v>6379</v>
      </c>
      <c r="V151" s="547">
        <v>46</v>
      </c>
      <c r="W151" s="566"/>
      <c r="X151" s="567"/>
      <c r="Y151" s="989">
        <f t="shared" si="10"/>
        <v>6379219287</v>
      </c>
      <c r="Z151" s="812">
        <f t="shared" si="11"/>
        <v>6379</v>
      </c>
    </row>
    <row r="152" spans="1:26" ht="27" hidden="1" customHeight="1">
      <c r="A152" s="531"/>
      <c r="B152" s="531">
        <v>1001</v>
      </c>
      <c r="C152" s="529">
        <v>17</v>
      </c>
      <c r="D152" s="1027" t="s">
        <v>575</v>
      </c>
      <c r="E152" s="1028" t="s">
        <v>1567</v>
      </c>
      <c r="F152" s="547">
        <v>-3641360</v>
      </c>
      <c r="G152" s="547"/>
      <c r="H152" s="547"/>
      <c r="I152" s="547"/>
      <c r="J152" s="547"/>
      <c r="K152" s="547"/>
      <c r="L152" s="547"/>
      <c r="M152" s="547"/>
      <c r="N152" s="547"/>
      <c r="O152" s="547"/>
      <c r="P152" s="547"/>
      <c r="Q152" s="547"/>
      <c r="R152" s="547"/>
      <c r="S152" s="989">
        <f t="shared" si="8"/>
        <v>-3641360</v>
      </c>
      <c r="T152" s="547">
        <v>-3641360</v>
      </c>
      <c r="U152" s="989">
        <f t="shared" si="9"/>
        <v>-4</v>
      </c>
      <c r="V152" s="547">
        <v>-4</v>
      </c>
      <c r="W152" s="566"/>
      <c r="X152" s="567"/>
      <c r="Y152" s="989">
        <f t="shared" si="10"/>
        <v>-3641360</v>
      </c>
      <c r="Z152" s="812">
        <f t="shared" si="11"/>
        <v>-4</v>
      </c>
    </row>
    <row r="153" spans="1:26" ht="27" hidden="1" customHeight="1">
      <c r="A153" s="531"/>
      <c r="B153" s="531">
        <v>1018</v>
      </c>
      <c r="C153" s="529">
        <v>17</v>
      </c>
      <c r="D153" s="1027" t="s">
        <v>577</v>
      </c>
      <c r="E153" s="1028" t="s">
        <v>578</v>
      </c>
      <c r="F153" s="547">
        <v>-7701962913</v>
      </c>
      <c r="G153" s="547">
        <v>-519499879</v>
      </c>
      <c r="H153" s="547">
        <f>71832538-609497961</f>
        <v>-537665423</v>
      </c>
      <c r="I153" s="547">
        <v>-2381432</v>
      </c>
      <c r="J153" s="547"/>
      <c r="K153" s="547"/>
      <c r="L153" s="547"/>
      <c r="M153" s="547"/>
      <c r="N153" s="547">
        <v>-2381432</v>
      </c>
      <c r="O153" s="547"/>
      <c r="P153" s="547"/>
      <c r="Q153" s="547"/>
      <c r="R153" s="547"/>
      <c r="S153" s="989">
        <f t="shared" si="8"/>
        <v>-8763891079</v>
      </c>
      <c r="T153" s="547">
        <v>-6972891322</v>
      </c>
      <c r="U153" s="989">
        <f t="shared" si="9"/>
        <v>-8764</v>
      </c>
      <c r="V153" s="547">
        <v>-6973</v>
      </c>
      <c r="W153" s="566"/>
      <c r="X153" s="567"/>
      <c r="Y153" s="989">
        <f t="shared" si="10"/>
        <v>-8763891079</v>
      </c>
      <c r="Z153" s="812">
        <f t="shared" si="11"/>
        <v>-8764</v>
      </c>
    </row>
    <row r="154" spans="1:26" ht="27" hidden="1" customHeight="1">
      <c r="A154" s="531"/>
      <c r="B154" s="531">
        <v>1001</v>
      </c>
      <c r="C154" s="529">
        <v>17</v>
      </c>
      <c r="D154" s="1027" t="s">
        <v>1176</v>
      </c>
      <c r="E154" s="1028" t="s">
        <v>1177</v>
      </c>
      <c r="F154" s="547">
        <v>-1809554588</v>
      </c>
      <c r="G154" s="547"/>
      <c r="H154" s="547"/>
      <c r="I154" s="547"/>
      <c r="J154" s="547"/>
      <c r="K154" s="547"/>
      <c r="L154" s="547"/>
      <c r="M154" s="547"/>
      <c r="N154" s="547"/>
      <c r="O154" s="547"/>
      <c r="P154" s="547"/>
      <c r="Q154" s="547"/>
      <c r="R154" s="547"/>
      <c r="S154" s="989">
        <f t="shared" si="8"/>
        <v>-1809554588</v>
      </c>
      <c r="T154" s="547">
        <v>-1842908588</v>
      </c>
      <c r="U154" s="989">
        <f t="shared" si="9"/>
        <v>-1810</v>
      </c>
      <c r="V154" s="547">
        <v>-1843</v>
      </c>
      <c r="W154" s="566"/>
      <c r="X154" s="567"/>
      <c r="Y154" s="989">
        <f t="shared" si="10"/>
        <v>-1809554588</v>
      </c>
      <c r="Z154" s="812">
        <f t="shared" si="11"/>
        <v>-1810</v>
      </c>
    </row>
    <row r="155" spans="1:26" ht="27" hidden="1" customHeight="1">
      <c r="A155" s="531"/>
      <c r="B155" s="531">
        <v>406</v>
      </c>
      <c r="C155" s="529">
        <v>11</v>
      </c>
      <c r="D155" s="530" t="s">
        <v>1770</v>
      </c>
      <c r="E155" s="1028" t="s">
        <v>1764</v>
      </c>
      <c r="F155" s="547">
        <v>52320000</v>
      </c>
      <c r="G155" s="547"/>
      <c r="H155" s="547"/>
      <c r="I155" s="547"/>
      <c r="J155" s="547"/>
      <c r="K155" s="547"/>
      <c r="L155" s="547"/>
      <c r="M155" s="547"/>
      <c r="N155" s="547"/>
      <c r="O155" s="547"/>
      <c r="P155" s="547"/>
      <c r="Q155" s="547"/>
      <c r="R155" s="547"/>
      <c r="S155" s="989">
        <f t="shared" si="8"/>
        <v>52320000</v>
      </c>
      <c r="T155" s="547">
        <v>69760000</v>
      </c>
      <c r="U155" s="989">
        <f t="shared" si="9"/>
        <v>52</v>
      </c>
      <c r="V155" s="547">
        <v>70</v>
      </c>
      <c r="W155" s="566"/>
      <c r="X155" s="567"/>
      <c r="Y155" s="989">
        <f t="shared" si="10"/>
        <v>52320000</v>
      </c>
      <c r="Z155" s="812">
        <f t="shared" si="11"/>
        <v>52</v>
      </c>
    </row>
    <row r="156" spans="1:26" ht="27" hidden="1" customHeight="1">
      <c r="A156" s="531"/>
      <c r="B156" s="531">
        <v>406</v>
      </c>
      <c r="C156" s="529">
        <v>11</v>
      </c>
      <c r="D156" s="1027" t="s">
        <v>579</v>
      </c>
      <c r="E156" s="1028" t="s">
        <v>580</v>
      </c>
      <c r="F156" s="547">
        <v>2481362670</v>
      </c>
      <c r="G156" s="547"/>
      <c r="H156" s="547">
        <v>-2481362671</v>
      </c>
      <c r="I156" s="547"/>
      <c r="J156" s="547"/>
      <c r="K156" s="547"/>
      <c r="L156" s="547"/>
      <c r="M156" s="547"/>
      <c r="N156" s="547"/>
      <c r="O156" s="547"/>
      <c r="P156" s="547"/>
      <c r="Q156" s="547"/>
      <c r="R156" s="547"/>
      <c r="S156" s="989">
        <f t="shared" si="8"/>
        <v>-1</v>
      </c>
      <c r="T156" s="547">
        <v>2531362670</v>
      </c>
      <c r="U156" s="989">
        <f t="shared" si="9"/>
        <v>0</v>
      </c>
      <c r="V156" s="547">
        <v>2532</v>
      </c>
      <c r="W156" s="566"/>
      <c r="X156" s="567"/>
      <c r="Y156" s="989">
        <f t="shared" si="10"/>
        <v>-1</v>
      </c>
      <c r="Z156" s="812">
        <f t="shared" si="11"/>
        <v>0</v>
      </c>
    </row>
    <row r="157" spans="1:26" ht="27" hidden="1" customHeight="1">
      <c r="A157" s="531"/>
      <c r="B157" s="531">
        <v>406</v>
      </c>
      <c r="C157" s="529">
        <v>11</v>
      </c>
      <c r="D157" s="1027" t="s">
        <v>581</v>
      </c>
      <c r="E157" s="1028" t="s">
        <v>755</v>
      </c>
      <c r="F157" s="547">
        <v>48708761238</v>
      </c>
      <c r="G157" s="547">
        <f>57197760617-326058770</f>
        <v>56871701847</v>
      </c>
      <c r="H157" s="547">
        <f>4479937237-10679082846</f>
        <v>-6199145609</v>
      </c>
      <c r="I157" s="547"/>
      <c r="J157" s="547">
        <f>38306946962-39252354680</f>
        <v>-945407718</v>
      </c>
      <c r="K157" s="547"/>
      <c r="L157" s="547"/>
      <c r="M157" s="547"/>
      <c r="N157" s="547"/>
      <c r="O157" s="547"/>
      <c r="P157" s="547"/>
      <c r="Q157" s="547"/>
      <c r="R157" s="547"/>
      <c r="S157" s="989">
        <f t="shared" si="8"/>
        <v>98435909758</v>
      </c>
      <c r="T157" s="547">
        <v>41350047280</v>
      </c>
      <c r="U157" s="989">
        <f t="shared" si="9"/>
        <v>98436</v>
      </c>
      <c r="V157" s="547">
        <v>41350</v>
      </c>
      <c r="W157" s="566"/>
      <c r="X157" s="567"/>
      <c r="Y157" s="989">
        <f t="shared" si="10"/>
        <v>98435909758</v>
      </c>
      <c r="Z157" s="812">
        <f t="shared" si="11"/>
        <v>98436</v>
      </c>
    </row>
    <row r="158" spans="1:26" ht="27" hidden="1" customHeight="1">
      <c r="A158" s="531"/>
      <c r="B158" s="531">
        <v>406</v>
      </c>
      <c r="C158" s="529">
        <v>11</v>
      </c>
      <c r="D158" s="1027" t="s">
        <v>881</v>
      </c>
      <c r="E158" s="1028" t="s">
        <v>882</v>
      </c>
      <c r="F158" s="547"/>
      <c r="G158" s="547"/>
      <c r="H158" s="547"/>
      <c r="I158" s="547"/>
      <c r="J158" s="547"/>
      <c r="K158" s="547"/>
      <c r="L158" s="547"/>
      <c r="M158" s="547"/>
      <c r="N158" s="547"/>
      <c r="O158" s="547"/>
      <c r="P158" s="547"/>
      <c r="Q158" s="547"/>
      <c r="R158" s="547"/>
      <c r="S158" s="989">
        <f t="shared" si="8"/>
        <v>0</v>
      </c>
      <c r="T158" s="547">
        <v>0</v>
      </c>
      <c r="U158" s="989">
        <f t="shared" si="9"/>
        <v>0</v>
      </c>
      <c r="V158" s="547">
        <v>0</v>
      </c>
      <c r="W158" s="566"/>
      <c r="X158" s="567"/>
      <c r="Y158" s="989">
        <f t="shared" si="10"/>
        <v>0</v>
      </c>
      <c r="Z158" s="812">
        <f t="shared" si="11"/>
        <v>0</v>
      </c>
    </row>
    <row r="159" spans="1:26" ht="27" hidden="1" customHeight="1">
      <c r="A159" s="531"/>
      <c r="B159" s="531">
        <v>1001</v>
      </c>
      <c r="C159" s="529">
        <v>17</v>
      </c>
      <c r="D159" s="1027" t="s">
        <v>582</v>
      </c>
      <c r="E159" s="1028" t="s">
        <v>583</v>
      </c>
      <c r="F159" s="547">
        <v>-5483259663</v>
      </c>
      <c r="G159" s="547"/>
      <c r="H159" s="547">
        <v>-937485</v>
      </c>
      <c r="I159" s="547"/>
      <c r="J159" s="547"/>
      <c r="K159" s="547"/>
      <c r="L159" s="547"/>
      <c r="M159" s="547"/>
      <c r="N159" s="547"/>
      <c r="O159" s="547"/>
      <c r="P159" s="547"/>
      <c r="Q159" s="547"/>
      <c r="R159" s="547"/>
      <c r="S159" s="989">
        <f t="shared" si="8"/>
        <v>-5484197148</v>
      </c>
      <c r="T159" s="547">
        <v>-3687548614</v>
      </c>
      <c r="U159" s="989">
        <f t="shared" si="9"/>
        <v>-5484</v>
      </c>
      <c r="V159" s="547">
        <v>-3688</v>
      </c>
      <c r="W159" s="566"/>
      <c r="X159" s="567"/>
      <c r="Y159" s="989">
        <f t="shared" si="10"/>
        <v>-5484197148</v>
      </c>
      <c r="Z159" s="812">
        <f t="shared" si="11"/>
        <v>-5484</v>
      </c>
    </row>
    <row r="160" spans="1:26" ht="27" hidden="1" customHeight="1">
      <c r="A160" s="531"/>
      <c r="B160" s="531">
        <v>406</v>
      </c>
      <c r="C160" s="529">
        <v>11</v>
      </c>
      <c r="D160" s="1027" t="s">
        <v>260</v>
      </c>
      <c r="E160" s="1028" t="s">
        <v>261</v>
      </c>
      <c r="F160" s="547">
        <v>158431500</v>
      </c>
      <c r="G160" s="547"/>
      <c r="H160" s="547"/>
      <c r="I160" s="547"/>
      <c r="J160" s="547"/>
      <c r="K160" s="547"/>
      <c r="L160" s="547"/>
      <c r="M160" s="547"/>
      <c r="N160" s="547"/>
      <c r="O160" s="547"/>
      <c r="P160" s="547"/>
      <c r="Q160" s="547"/>
      <c r="R160" s="547"/>
      <c r="S160" s="989">
        <f t="shared" si="8"/>
        <v>158431500</v>
      </c>
      <c r="T160" s="547">
        <v>125077500</v>
      </c>
      <c r="U160" s="989">
        <f t="shared" si="9"/>
        <v>158</v>
      </c>
      <c r="V160" s="547">
        <v>125</v>
      </c>
      <c r="W160" s="566"/>
      <c r="X160" s="567"/>
      <c r="Y160" s="989">
        <f t="shared" si="10"/>
        <v>158431500</v>
      </c>
      <c r="Z160" s="812">
        <f t="shared" si="11"/>
        <v>158</v>
      </c>
    </row>
    <row r="161" spans="1:26" ht="27" hidden="1" customHeight="1">
      <c r="A161" s="531"/>
      <c r="B161" s="531">
        <v>1001</v>
      </c>
      <c r="C161" s="529">
        <v>17</v>
      </c>
      <c r="D161" s="1027" t="s">
        <v>262</v>
      </c>
      <c r="E161" s="1028" t="s">
        <v>263</v>
      </c>
      <c r="F161" s="547">
        <v>-730745728</v>
      </c>
      <c r="G161" s="547">
        <v>-278464973</v>
      </c>
      <c r="H161" s="547">
        <v>-219218162</v>
      </c>
      <c r="I161" s="547"/>
      <c r="J161" s="547"/>
      <c r="K161" s="547"/>
      <c r="L161" s="547"/>
      <c r="M161" s="547"/>
      <c r="N161" s="547"/>
      <c r="O161" s="547"/>
      <c r="P161" s="547"/>
      <c r="Q161" s="547"/>
      <c r="R161" s="547"/>
      <c r="S161" s="989">
        <f t="shared" si="8"/>
        <v>-1228428863</v>
      </c>
      <c r="T161" s="547">
        <v>-1000396362</v>
      </c>
      <c r="U161" s="989">
        <f t="shared" si="9"/>
        <v>-1228</v>
      </c>
      <c r="V161" s="547">
        <v>-1000</v>
      </c>
      <c r="W161" s="566"/>
      <c r="X161" s="567"/>
      <c r="Y161" s="989">
        <f t="shared" si="10"/>
        <v>-1228428863</v>
      </c>
      <c r="Z161" s="812">
        <f t="shared" si="11"/>
        <v>-1228</v>
      </c>
    </row>
    <row r="162" spans="1:26" ht="27" hidden="1" customHeight="1">
      <c r="A162" s="531"/>
      <c r="B162" s="1051">
        <v>1001</v>
      </c>
      <c r="C162" s="529">
        <v>17</v>
      </c>
      <c r="D162" s="1027" t="s">
        <v>584</v>
      </c>
      <c r="E162" s="1028" t="s">
        <v>645</v>
      </c>
      <c r="F162" s="547">
        <v>-129613660</v>
      </c>
      <c r="G162" s="547"/>
      <c r="H162" s="547"/>
      <c r="I162" s="547"/>
      <c r="J162" s="547"/>
      <c r="K162" s="547"/>
      <c r="L162" s="547"/>
      <c r="M162" s="547"/>
      <c r="N162" s="547"/>
      <c r="O162" s="547"/>
      <c r="P162" s="547"/>
      <c r="Q162" s="547"/>
      <c r="R162" s="547"/>
      <c r="S162" s="989">
        <f t="shared" si="8"/>
        <v>-129613660</v>
      </c>
      <c r="T162" s="547">
        <v>-234253660</v>
      </c>
      <c r="U162" s="989">
        <f t="shared" si="9"/>
        <v>-130</v>
      </c>
      <c r="V162" s="547">
        <v>-234</v>
      </c>
      <c r="W162" s="566"/>
      <c r="X162" s="567"/>
      <c r="Y162" s="989">
        <f t="shared" si="10"/>
        <v>-129613660</v>
      </c>
      <c r="Z162" s="812">
        <f t="shared" si="11"/>
        <v>-130</v>
      </c>
    </row>
    <row r="163" spans="1:26" ht="27" hidden="1" customHeight="1">
      <c r="A163" s="531"/>
      <c r="B163" s="531">
        <v>1001</v>
      </c>
      <c r="C163" s="529">
        <v>17</v>
      </c>
      <c r="D163" s="1027" t="s">
        <v>546</v>
      </c>
      <c r="E163" s="1028" t="s">
        <v>170</v>
      </c>
      <c r="F163" s="547">
        <v>-7940758585</v>
      </c>
      <c r="G163" s="547">
        <v>-681776161</v>
      </c>
      <c r="H163" s="547">
        <v>-1185753937</v>
      </c>
      <c r="I163" s="547">
        <v>-5271111</v>
      </c>
      <c r="J163" s="547"/>
      <c r="K163" s="547"/>
      <c r="L163" s="547"/>
      <c r="M163" s="547"/>
      <c r="N163" s="547"/>
      <c r="O163" s="547">
        <v>-68497780</v>
      </c>
      <c r="P163" s="547"/>
      <c r="Q163" s="547"/>
      <c r="R163" s="547"/>
      <c r="S163" s="989">
        <f t="shared" si="8"/>
        <v>-9882057574</v>
      </c>
      <c r="T163" s="547">
        <v>-13627117422</v>
      </c>
      <c r="U163" s="989">
        <f t="shared" si="9"/>
        <v>-9882</v>
      </c>
      <c r="V163" s="547">
        <v>-13627</v>
      </c>
      <c r="W163" s="566"/>
      <c r="X163" s="567"/>
      <c r="Y163" s="989">
        <f t="shared" si="10"/>
        <v>-9882057574</v>
      </c>
      <c r="Z163" s="812">
        <f t="shared" si="11"/>
        <v>-9882</v>
      </c>
    </row>
    <row r="164" spans="1:26" ht="27" hidden="1" customHeight="1">
      <c r="A164" s="531"/>
      <c r="B164" s="531">
        <v>406</v>
      </c>
      <c r="C164" s="529">
        <v>11</v>
      </c>
      <c r="D164" s="530" t="s">
        <v>1771</v>
      </c>
      <c r="E164" s="1028" t="s">
        <v>1765</v>
      </c>
      <c r="F164" s="547">
        <v>65400000</v>
      </c>
      <c r="G164" s="547"/>
      <c r="H164" s="547"/>
      <c r="I164" s="547"/>
      <c r="J164" s="547"/>
      <c r="K164" s="547"/>
      <c r="L164" s="547"/>
      <c r="M164" s="547"/>
      <c r="N164" s="547"/>
      <c r="O164" s="547"/>
      <c r="P164" s="547"/>
      <c r="Q164" s="547"/>
      <c r="R164" s="547"/>
      <c r="S164" s="989">
        <f t="shared" si="8"/>
        <v>65400000</v>
      </c>
      <c r="T164" s="547">
        <v>13080000</v>
      </c>
      <c r="U164" s="989">
        <f t="shared" si="9"/>
        <v>65</v>
      </c>
      <c r="V164" s="547">
        <v>13</v>
      </c>
      <c r="W164" s="566"/>
      <c r="X164" s="567"/>
      <c r="Y164" s="989">
        <f t="shared" si="10"/>
        <v>65400000</v>
      </c>
      <c r="Z164" s="812">
        <f t="shared" si="11"/>
        <v>65</v>
      </c>
    </row>
    <row r="165" spans="1:26" ht="27" hidden="1" customHeight="1">
      <c r="A165" s="531"/>
      <c r="B165" s="531">
        <v>406</v>
      </c>
      <c r="C165" s="529">
        <v>11</v>
      </c>
      <c r="D165" s="1027" t="s">
        <v>162</v>
      </c>
      <c r="E165" s="1028" t="s">
        <v>171</v>
      </c>
      <c r="F165" s="547">
        <v>1367352442</v>
      </c>
      <c r="G165" s="547"/>
      <c r="H165" s="547">
        <v>62842000</v>
      </c>
      <c r="I165" s="547"/>
      <c r="J165" s="547"/>
      <c r="K165" s="547"/>
      <c r="L165" s="547"/>
      <c r="M165" s="547"/>
      <c r="N165" s="547"/>
      <c r="O165" s="547"/>
      <c r="P165" s="547"/>
      <c r="Q165" s="547"/>
      <c r="R165" s="547"/>
      <c r="S165" s="989">
        <f t="shared" si="8"/>
        <v>1430194442</v>
      </c>
      <c r="T165" s="547">
        <v>310363129</v>
      </c>
      <c r="U165" s="989">
        <f t="shared" si="9"/>
        <v>1430</v>
      </c>
      <c r="V165" s="547">
        <v>310</v>
      </c>
      <c r="W165" s="566"/>
      <c r="X165" s="567"/>
      <c r="Y165" s="989">
        <f t="shared" si="10"/>
        <v>1430194442</v>
      </c>
      <c r="Z165" s="812">
        <f t="shared" si="11"/>
        <v>1430</v>
      </c>
    </row>
    <row r="166" spans="1:26" ht="27" hidden="1" customHeight="1">
      <c r="A166" s="531"/>
      <c r="B166" s="531">
        <v>406</v>
      </c>
      <c r="C166" s="529">
        <v>11</v>
      </c>
      <c r="D166" s="1027" t="s">
        <v>299</v>
      </c>
      <c r="E166" s="1028" t="s">
        <v>644</v>
      </c>
      <c r="F166" s="547"/>
      <c r="G166" s="547"/>
      <c r="H166" s="547"/>
      <c r="I166" s="547"/>
      <c r="J166" s="547"/>
      <c r="K166" s="547"/>
      <c r="L166" s="547"/>
      <c r="M166" s="547"/>
      <c r="N166" s="547"/>
      <c r="O166" s="547"/>
      <c r="P166" s="547"/>
      <c r="Q166" s="547"/>
      <c r="R166" s="547"/>
      <c r="S166" s="989">
        <f t="shared" si="8"/>
        <v>0</v>
      </c>
      <c r="T166" s="547">
        <v>0</v>
      </c>
      <c r="U166" s="989">
        <f t="shared" si="9"/>
        <v>0</v>
      </c>
      <c r="V166" s="547">
        <v>0</v>
      </c>
      <c r="W166" s="566"/>
      <c r="X166" s="567"/>
      <c r="Y166" s="989">
        <f t="shared" si="10"/>
        <v>0</v>
      </c>
      <c r="Z166" s="812">
        <f t="shared" si="11"/>
        <v>0</v>
      </c>
    </row>
    <row r="167" spans="1:26" ht="27" hidden="1" customHeight="1">
      <c r="A167" s="531"/>
      <c r="B167" s="531">
        <v>406</v>
      </c>
      <c r="C167" s="529">
        <v>11</v>
      </c>
      <c r="D167" s="1027" t="s">
        <v>838</v>
      </c>
      <c r="E167" s="1028" t="s">
        <v>837</v>
      </c>
      <c r="F167" s="547"/>
      <c r="G167" s="547"/>
      <c r="H167" s="547"/>
      <c r="I167" s="547"/>
      <c r="J167" s="547"/>
      <c r="K167" s="547"/>
      <c r="L167" s="547"/>
      <c r="M167" s="547"/>
      <c r="N167" s="547"/>
      <c r="O167" s="547"/>
      <c r="P167" s="547"/>
      <c r="Q167" s="547"/>
      <c r="R167" s="547"/>
      <c r="S167" s="989">
        <f t="shared" si="8"/>
        <v>0</v>
      </c>
      <c r="T167" s="547">
        <v>77820342</v>
      </c>
      <c r="U167" s="989">
        <f t="shared" si="9"/>
        <v>0</v>
      </c>
      <c r="V167" s="547">
        <v>78</v>
      </c>
      <c r="W167" s="566"/>
      <c r="X167" s="567"/>
      <c r="Y167" s="989">
        <f t="shared" si="10"/>
        <v>0</v>
      </c>
      <c r="Z167" s="812">
        <f t="shared" si="11"/>
        <v>0</v>
      </c>
    </row>
    <row r="168" spans="1:26" ht="27" hidden="1" customHeight="1">
      <c r="A168" s="531"/>
      <c r="B168" s="531">
        <v>406</v>
      </c>
      <c r="C168" s="529">
        <v>11</v>
      </c>
      <c r="D168" s="1027" t="s">
        <v>883</v>
      </c>
      <c r="E168" s="1028" t="s">
        <v>884</v>
      </c>
      <c r="F168" s="547">
        <v>16677000</v>
      </c>
      <c r="G168" s="547"/>
      <c r="H168" s="547"/>
      <c r="I168" s="547"/>
      <c r="J168" s="547"/>
      <c r="K168" s="547"/>
      <c r="L168" s="547"/>
      <c r="M168" s="547"/>
      <c r="N168" s="547"/>
      <c r="O168" s="547"/>
      <c r="P168" s="547"/>
      <c r="Q168" s="547"/>
      <c r="R168" s="547"/>
      <c r="S168" s="989">
        <f t="shared" si="8"/>
        <v>16677000</v>
      </c>
      <c r="T168" s="547">
        <v>78118066</v>
      </c>
      <c r="U168" s="989">
        <f t="shared" si="9"/>
        <v>17</v>
      </c>
      <c r="V168" s="547">
        <v>78</v>
      </c>
      <c r="W168" s="566"/>
      <c r="X168" s="567"/>
      <c r="Y168" s="989">
        <f t="shared" si="10"/>
        <v>16677000</v>
      </c>
      <c r="Z168" s="812">
        <f t="shared" si="11"/>
        <v>17</v>
      </c>
    </row>
    <row r="169" spans="1:26" ht="27" hidden="1" customHeight="1">
      <c r="A169" s="531"/>
      <c r="B169" s="531">
        <v>1001</v>
      </c>
      <c r="C169" s="529">
        <v>17</v>
      </c>
      <c r="D169" s="1027" t="s">
        <v>301</v>
      </c>
      <c r="E169" s="1028" t="s">
        <v>885</v>
      </c>
      <c r="F169" s="547"/>
      <c r="G169" s="547"/>
      <c r="H169" s="547"/>
      <c r="I169" s="547"/>
      <c r="J169" s="547"/>
      <c r="K169" s="547"/>
      <c r="L169" s="547"/>
      <c r="M169" s="547"/>
      <c r="N169" s="547"/>
      <c r="O169" s="547"/>
      <c r="P169" s="547"/>
      <c r="Q169" s="547"/>
      <c r="R169" s="547"/>
      <c r="S169" s="989">
        <f t="shared" si="8"/>
        <v>0</v>
      </c>
      <c r="T169" s="547">
        <v>0</v>
      </c>
      <c r="U169" s="989">
        <f t="shared" si="9"/>
        <v>0</v>
      </c>
      <c r="V169" s="547">
        <v>0</v>
      </c>
      <c r="W169" s="566"/>
      <c r="X169" s="567"/>
      <c r="Y169" s="989">
        <f t="shared" si="10"/>
        <v>0</v>
      </c>
      <c r="Z169" s="812">
        <f t="shared" si="11"/>
        <v>0</v>
      </c>
    </row>
    <row r="170" spans="1:26" ht="27" hidden="1" customHeight="1">
      <c r="A170" s="531"/>
      <c r="B170" s="531">
        <v>406</v>
      </c>
      <c r="C170" s="529">
        <v>11</v>
      </c>
      <c r="D170" s="1027" t="s">
        <v>264</v>
      </c>
      <c r="E170" s="1028" t="s">
        <v>265</v>
      </c>
      <c r="F170" s="547"/>
      <c r="G170" s="547"/>
      <c r="H170" s="547"/>
      <c r="I170" s="547"/>
      <c r="J170" s="547"/>
      <c r="K170" s="547"/>
      <c r="L170" s="547"/>
      <c r="M170" s="547"/>
      <c r="N170" s="547"/>
      <c r="O170" s="547"/>
      <c r="P170" s="547"/>
      <c r="Q170" s="547"/>
      <c r="R170" s="547"/>
      <c r="S170" s="989">
        <f t="shared" si="8"/>
        <v>0</v>
      </c>
      <c r="T170" s="547">
        <v>0</v>
      </c>
      <c r="U170" s="989">
        <f t="shared" si="9"/>
        <v>0</v>
      </c>
      <c r="V170" s="547">
        <v>0</v>
      </c>
      <c r="W170" s="566"/>
      <c r="X170" s="567"/>
      <c r="Y170" s="989">
        <f t="shared" si="10"/>
        <v>0</v>
      </c>
      <c r="Z170" s="812">
        <f t="shared" si="11"/>
        <v>0</v>
      </c>
    </row>
    <row r="171" spans="1:26" ht="27" hidden="1" customHeight="1">
      <c r="A171" s="531"/>
      <c r="B171" s="531">
        <v>406</v>
      </c>
      <c r="C171" s="529">
        <v>11</v>
      </c>
      <c r="D171" s="1027" t="s">
        <v>647</v>
      </c>
      <c r="E171" s="1028" t="s">
        <v>646</v>
      </c>
      <c r="F171" s="547"/>
      <c r="G171" s="547"/>
      <c r="H171" s="547"/>
      <c r="I171" s="547"/>
      <c r="J171" s="547"/>
      <c r="K171" s="547"/>
      <c r="L171" s="547"/>
      <c r="M171" s="547"/>
      <c r="N171" s="547"/>
      <c r="O171" s="547"/>
      <c r="P171" s="547"/>
      <c r="Q171" s="547"/>
      <c r="R171" s="547"/>
      <c r="S171" s="989">
        <f t="shared" si="8"/>
        <v>0</v>
      </c>
      <c r="T171" s="547">
        <v>0</v>
      </c>
      <c r="U171" s="989">
        <f t="shared" si="9"/>
        <v>0</v>
      </c>
      <c r="V171" s="547">
        <v>0</v>
      </c>
      <c r="W171" s="566"/>
      <c r="X171" s="567"/>
      <c r="Y171" s="989">
        <f t="shared" si="10"/>
        <v>0</v>
      </c>
      <c r="Z171" s="812">
        <f t="shared" si="11"/>
        <v>0</v>
      </c>
    </row>
    <row r="172" spans="1:26" ht="27" hidden="1" customHeight="1">
      <c r="A172" s="531"/>
      <c r="B172" s="531">
        <v>1026</v>
      </c>
      <c r="C172" s="529">
        <v>17</v>
      </c>
      <c r="D172" s="1027" t="s">
        <v>305</v>
      </c>
      <c r="E172" s="1028" t="s">
        <v>172</v>
      </c>
      <c r="F172" s="547">
        <v>-7162590352</v>
      </c>
      <c r="G172" s="547">
        <f>362185200-606438940</f>
        <v>-244253740</v>
      </c>
      <c r="H172" s="547">
        <f>2594529111-77068450</f>
        <v>2517460661</v>
      </c>
      <c r="I172" s="547"/>
      <c r="J172" s="547">
        <v>-1062750</v>
      </c>
      <c r="K172" s="547"/>
      <c r="L172" s="547"/>
      <c r="M172" s="547"/>
      <c r="N172" s="547">
        <f>362185200-362185200</f>
        <v>0</v>
      </c>
      <c r="O172" s="547">
        <v>-362185200</v>
      </c>
      <c r="P172" s="547"/>
      <c r="Q172" s="547"/>
      <c r="R172" s="547"/>
      <c r="S172" s="989">
        <f t="shared" si="8"/>
        <v>-5252631381</v>
      </c>
      <c r="T172" s="547">
        <v>-9179827714</v>
      </c>
      <c r="U172" s="989">
        <f t="shared" si="9"/>
        <v>-5253</v>
      </c>
      <c r="V172" s="547">
        <v>-9180</v>
      </c>
      <c r="W172" s="566"/>
      <c r="X172" s="567"/>
      <c r="Y172" s="989">
        <f t="shared" si="10"/>
        <v>-5252631381</v>
      </c>
      <c r="Z172" s="812">
        <f t="shared" si="11"/>
        <v>-5253</v>
      </c>
    </row>
    <row r="173" spans="1:26" ht="27" hidden="1" customHeight="1">
      <c r="A173" s="531"/>
      <c r="B173" s="531">
        <v>406</v>
      </c>
      <c r="C173" s="529">
        <v>11</v>
      </c>
      <c r="D173" s="1027" t="s">
        <v>306</v>
      </c>
      <c r="E173" s="1028" t="s">
        <v>307</v>
      </c>
      <c r="F173" s="547">
        <v>2262850316</v>
      </c>
      <c r="G173" s="547">
        <v>-60704280</v>
      </c>
      <c r="H173" s="547">
        <v>321511925</v>
      </c>
      <c r="I173" s="547"/>
      <c r="J173" s="547">
        <v>-1412230</v>
      </c>
      <c r="K173" s="547"/>
      <c r="L173" s="547"/>
      <c r="M173" s="547"/>
      <c r="N173" s="547"/>
      <c r="O173" s="547"/>
      <c r="P173" s="547"/>
      <c r="Q173" s="547"/>
      <c r="R173" s="547"/>
      <c r="S173" s="989">
        <f t="shared" si="8"/>
        <v>2522245731</v>
      </c>
      <c r="T173" s="547">
        <v>18812298</v>
      </c>
      <c r="U173" s="989">
        <f t="shared" si="9"/>
        <v>2522</v>
      </c>
      <c r="V173" s="547">
        <v>19</v>
      </c>
      <c r="W173" s="566"/>
      <c r="X173" s="567"/>
      <c r="Y173" s="989">
        <f t="shared" si="10"/>
        <v>2522245731</v>
      </c>
      <c r="Z173" s="812">
        <f t="shared" si="11"/>
        <v>2522</v>
      </c>
    </row>
    <row r="174" spans="1:26" ht="27" hidden="1" customHeight="1">
      <c r="A174" s="531"/>
      <c r="B174" s="531">
        <v>1027</v>
      </c>
      <c r="C174" s="529">
        <v>17</v>
      </c>
      <c r="D174" s="1027" t="s">
        <v>308</v>
      </c>
      <c r="E174" s="1028" t="s">
        <v>309</v>
      </c>
      <c r="F174" s="547">
        <v>-712528911865</v>
      </c>
      <c r="G174" s="547"/>
      <c r="H174" s="547">
        <f>1930468-662221</f>
        <v>1268247</v>
      </c>
      <c r="I174" s="547">
        <f>834861443-1294189722</f>
        <v>-459328279</v>
      </c>
      <c r="J174" s="547"/>
      <c r="K174" s="547"/>
      <c r="L174" s="547"/>
      <c r="M174" s="547"/>
      <c r="N174" s="547"/>
      <c r="O174" s="547">
        <f>16154276237-15603342178</f>
        <v>550934059</v>
      </c>
      <c r="P174" s="547"/>
      <c r="Q174" s="547"/>
      <c r="R174" s="547"/>
      <c r="S174" s="989">
        <f t="shared" si="8"/>
        <v>-712436037838</v>
      </c>
      <c r="T174" s="547">
        <v>-442284349431</v>
      </c>
      <c r="U174" s="989">
        <f t="shared" si="9"/>
        <v>-712436</v>
      </c>
      <c r="V174" s="547">
        <v>-442284</v>
      </c>
      <c r="W174" s="566"/>
      <c r="X174" s="567"/>
      <c r="Y174" s="989">
        <f t="shared" si="10"/>
        <v>-712436037838</v>
      </c>
      <c r="Z174" s="812">
        <f t="shared" si="11"/>
        <v>-712436</v>
      </c>
    </row>
    <row r="175" spans="1:26" ht="27" hidden="1" customHeight="1">
      <c r="A175" s="531"/>
      <c r="B175" s="1051">
        <v>1018</v>
      </c>
      <c r="C175" s="529">
        <v>17</v>
      </c>
      <c r="D175" s="1027" t="s">
        <v>310</v>
      </c>
      <c r="E175" s="1028" t="s">
        <v>966</v>
      </c>
      <c r="F175" s="547">
        <v>14771617</v>
      </c>
      <c r="G175" s="547">
        <v>-14771617</v>
      </c>
      <c r="H175" s="547"/>
      <c r="I175" s="547"/>
      <c r="J175" s="547"/>
      <c r="K175" s="547"/>
      <c r="L175" s="547"/>
      <c r="M175" s="547"/>
      <c r="N175" s="547"/>
      <c r="O175" s="547"/>
      <c r="P175" s="547"/>
      <c r="Q175" s="547"/>
      <c r="R175" s="547"/>
      <c r="S175" s="989">
        <f>SUM(F175:R175)</f>
        <v>0</v>
      </c>
      <c r="T175" s="547">
        <v>-21262514</v>
      </c>
      <c r="U175" s="989">
        <f t="shared" si="9"/>
        <v>0</v>
      </c>
      <c r="V175" s="547">
        <v>-21</v>
      </c>
      <c r="W175" s="566"/>
      <c r="X175" s="567"/>
      <c r="Y175" s="989">
        <f t="shared" si="10"/>
        <v>0</v>
      </c>
      <c r="Z175" s="812">
        <f t="shared" si="11"/>
        <v>0</v>
      </c>
    </row>
    <row r="176" spans="1:26" ht="27" hidden="1" customHeight="1">
      <c r="A176" s="531"/>
      <c r="B176" s="531">
        <v>406</v>
      </c>
      <c r="C176" s="529">
        <v>11</v>
      </c>
      <c r="D176" s="1027" t="s">
        <v>1058</v>
      </c>
      <c r="E176" s="1028" t="s">
        <v>1057</v>
      </c>
      <c r="F176" s="547">
        <v>2272373744</v>
      </c>
      <c r="G176" s="547"/>
      <c r="H176" s="547"/>
      <c r="I176" s="547"/>
      <c r="J176" s="547"/>
      <c r="K176" s="547"/>
      <c r="L176" s="547"/>
      <c r="M176" s="547"/>
      <c r="N176" s="547"/>
      <c r="O176" s="547"/>
      <c r="P176" s="547"/>
      <c r="Q176" s="547"/>
      <c r="R176" s="547"/>
      <c r="S176" s="989">
        <f t="shared" si="8"/>
        <v>2272373744</v>
      </c>
      <c r="T176" s="547">
        <v>0</v>
      </c>
      <c r="U176" s="989">
        <f t="shared" si="9"/>
        <v>2272</v>
      </c>
      <c r="V176" s="547">
        <v>0</v>
      </c>
      <c r="W176" s="566"/>
      <c r="X176" s="567"/>
      <c r="Y176" s="989">
        <f t="shared" si="10"/>
        <v>2272373744</v>
      </c>
      <c r="Z176" s="812">
        <f t="shared" si="11"/>
        <v>2272</v>
      </c>
    </row>
    <row r="177" spans="1:26" ht="27" hidden="1" customHeight="1">
      <c r="A177" s="531"/>
      <c r="B177" s="531">
        <v>406</v>
      </c>
      <c r="C177" s="529">
        <v>11</v>
      </c>
      <c r="D177" s="1027" t="s">
        <v>109</v>
      </c>
      <c r="E177" s="1028" t="s">
        <v>839</v>
      </c>
      <c r="F177" s="547">
        <v>2861659179</v>
      </c>
      <c r="G177" s="547"/>
      <c r="H177" s="547"/>
      <c r="I177" s="547"/>
      <c r="J177" s="547"/>
      <c r="K177" s="547"/>
      <c r="L177" s="547"/>
      <c r="M177" s="547"/>
      <c r="N177" s="547"/>
      <c r="O177" s="547"/>
      <c r="P177" s="547"/>
      <c r="Q177" s="547"/>
      <c r="R177" s="547"/>
      <c r="S177" s="989">
        <f t="shared" si="8"/>
        <v>2861659179</v>
      </c>
      <c r="T177" s="547">
        <v>1090758538</v>
      </c>
      <c r="U177" s="989">
        <f t="shared" si="9"/>
        <v>2862</v>
      </c>
      <c r="V177" s="547">
        <v>1091</v>
      </c>
      <c r="W177" s="566"/>
      <c r="X177" s="567"/>
      <c r="Y177" s="989">
        <f t="shared" si="10"/>
        <v>2861659179</v>
      </c>
      <c r="Z177" s="812">
        <f t="shared" si="11"/>
        <v>2862</v>
      </c>
    </row>
    <row r="178" spans="1:26" ht="27" hidden="1" customHeight="1">
      <c r="A178" s="531"/>
      <c r="B178" s="531">
        <v>406</v>
      </c>
      <c r="C178" s="529">
        <v>11</v>
      </c>
      <c r="D178" s="1027" t="s">
        <v>110</v>
      </c>
      <c r="E178" s="1028" t="s">
        <v>174</v>
      </c>
      <c r="F178" s="547">
        <v>2985090512</v>
      </c>
      <c r="G178" s="547"/>
      <c r="H178" s="547"/>
      <c r="I178" s="547"/>
      <c r="J178" s="547"/>
      <c r="K178" s="547"/>
      <c r="L178" s="547"/>
      <c r="M178" s="547"/>
      <c r="N178" s="547"/>
      <c r="O178" s="547"/>
      <c r="P178" s="547"/>
      <c r="Q178" s="547"/>
      <c r="R178" s="547"/>
      <c r="S178" s="989">
        <f t="shared" si="8"/>
        <v>2985090512</v>
      </c>
      <c r="T178" s="547">
        <v>1665750720</v>
      </c>
      <c r="U178" s="989">
        <f t="shared" si="9"/>
        <v>2985</v>
      </c>
      <c r="V178" s="547">
        <v>1666</v>
      </c>
      <c r="W178" s="566"/>
      <c r="X178" s="567"/>
      <c r="Y178" s="989">
        <f t="shared" si="10"/>
        <v>2985090512</v>
      </c>
      <c r="Z178" s="812">
        <f t="shared" si="11"/>
        <v>2985</v>
      </c>
    </row>
    <row r="179" spans="1:26" ht="27" hidden="1" customHeight="1">
      <c r="A179" s="531"/>
      <c r="B179" s="531">
        <v>1001</v>
      </c>
      <c r="C179" s="529">
        <v>17</v>
      </c>
      <c r="D179" s="1027" t="s">
        <v>335</v>
      </c>
      <c r="E179" s="1028" t="s">
        <v>762</v>
      </c>
      <c r="F179" s="547"/>
      <c r="G179" s="547"/>
      <c r="H179" s="547"/>
      <c r="I179" s="547"/>
      <c r="J179" s="547"/>
      <c r="K179" s="547"/>
      <c r="L179" s="547"/>
      <c r="M179" s="547"/>
      <c r="N179" s="547"/>
      <c r="O179" s="547"/>
      <c r="P179" s="547"/>
      <c r="Q179" s="547"/>
      <c r="R179" s="547"/>
      <c r="S179" s="989">
        <f t="shared" si="8"/>
        <v>0</v>
      </c>
      <c r="T179" s="547">
        <v>0</v>
      </c>
      <c r="U179" s="989">
        <f t="shared" si="9"/>
        <v>0</v>
      </c>
      <c r="V179" s="547">
        <v>0</v>
      </c>
      <c r="W179" s="566"/>
      <c r="X179" s="567"/>
      <c r="Y179" s="989">
        <f t="shared" si="10"/>
        <v>0</v>
      </c>
      <c r="Z179" s="812">
        <f t="shared" si="11"/>
        <v>0</v>
      </c>
    </row>
    <row r="180" spans="1:26" ht="27" hidden="1" customHeight="1">
      <c r="A180" s="531"/>
      <c r="B180" s="531">
        <v>406</v>
      </c>
      <c r="C180" s="529">
        <v>11</v>
      </c>
      <c r="D180" s="1027" t="s">
        <v>336</v>
      </c>
      <c r="E180" s="1028" t="s">
        <v>656</v>
      </c>
      <c r="F180" s="547">
        <v>6029856640</v>
      </c>
      <c r="G180" s="547">
        <v>53680000</v>
      </c>
      <c r="H180" s="547">
        <v>169582000</v>
      </c>
      <c r="I180" s="547"/>
      <c r="J180" s="547">
        <v>-169852200</v>
      </c>
      <c r="K180" s="547"/>
      <c r="L180" s="547"/>
      <c r="M180" s="547"/>
      <c r="N180" s="547"/>
      <c r="O180" s="547"/>
      <c r="P180" s="547"/>
      <c r="Q180" s="547"/>
      <c r="R180" s="547"/>
      <c r="S180" s="989">
        <f t="shared" si="8"/>
        <v>6083266440</v>
      </c>
      <c r="T180" s="547">
        <v>7901394560</v>
      </c>
      <c r="U180" s="989">
        <f t="shared" si="9"/>
        <v>6083</v>
      </c>
      <c r="V180" s="547">
        <v>7901</v>
      </c>
      <c r="W180" s="566"/>
      <c r="X180" s="567"/>
      <c r="Y180" s="989">
        <f t="shared" si="10"/>
        <v>6083266440</v>
      </c>
      <c r="Z180" s="812">
        <f t="shared" si="11"/>
        <v>6083</v>
      </c>
    </row>
    <row r="181" spans="1:26" ht="27" hidden="1" customHeight="1">
      <c r="A181" s="531"/>
      <c r="B181" s="531">
        <v>409</v>
      </c>
      <c r="C181" s="529">
        <v>11</v>
      </c>
      <c r="D181" s="1027" t="s">
        <v>336</v>
      </c>
      <c r="E181" s="1028" t="s">
        <v>655</v>
      </c>
      <c r="F181" s="547"/>
      <c r="G181" s="547"/>
      <c r="H181" s="547"/>
      <c r="I181" s="547"/>
      <c r="J181" s="547"/>
      <c r="K181" s="547"/>
      <c r="L181" s="547"/>
      <c r="M181" s="547"/>
      <c r="N181" s="547"/>
      <c r="O181" s="547"/>
      <c r="P181" s="547"/>
      <c r="Q181" s="547"/>
      <c r="R181" s="547"/>
      <c r="S181" s="989">
        <f t="shared" si="8"/>
        <v>0</v>
      </c>
      <c r="T181" s="547">
        <v>0</v>
      </c>
      <c r="U181" s="989">
        <f t="shared" si="9"/>
        <v>0</v>
      </c>
      <c r="V181" s="547">
        <v>0</v>
      </c>
      <c r="W181" s="566"/>
      <c r="X181" s="567"/>
      <c r="Y181" s="989">
        <f t="shared" si="10"/>
        <v>0</v>
      </c>
      <c r="Z181" s="812">
        <f t="shared" si="11"/>
        <v>0</v>
      </c>
    </row>
    <row r="182" spans="1:26" ht="27" hidden="1" customHeight="1">
      <c r="A182" s="531">
        <v>1</v>
      </c>
      <c r="B182" s="531">
        <v>414</v>
      </c>
      <c r="C182" s="529">
        <v>17</v>
      </c>
      <c r="D182" s="1027" t="s">
        <v>338</v>
      </c>
      <c r="E182" s="1028" t="s">
        <v>152</v>
      </c>
      <c r="F182" s="547">
        <v>-20767094557</v>
      </c>
      <c r="G182" s="547">
        <v>-852972404</v>
      </c>
      <c r="H182" s="547">
        <f>5677612860-485771751</f>
        <v>5191841109</v>
      </c>
      <c r="I182" s="547"/>
      <c r="J182" s="547">
        <v>-31590500689</v>
      </c>
      <c r="K182" s="547"/>
      <c r="L182" s="547">
        <v>48018726541</v>
      </c>
      <c r="M182" s="547"/>
      <c r="N182" s="547">
        <v>-14745139391</v>
      </c>
      <c r="O182" s="547"/>
      <c r="P182" s="547"/>
      <c r="Q182" s="547"/>
      <c r="R182" s="547"/>
      <c r="S182" s="989">
        <f t="shared" si="8"/>
        <v>-14745139391</v>
      </c>
      <c r="T182" s="547">
        <v>-20682116095</v>
      </c>
      <c r="U182" s="989">
        <f t="shared" si="9"/>
        <v>-14745</v>
      </c>
      <c r="V182" s="547">
        <v>-20682</v>
      </c>
      <c r="W182" s="566"/>
      <c r="X182" s="567"/>
      <c r="Y182" s="989">
        <f t="shared" si="10"/>
        <v>-14745139391</v>
      </c>
      <c r="Z182" s="812">
        <f t="shared" si="11"/>
        <v>-14745</v>
      </c>
    </row>
    <row r="183" spans="1:26" ht="27" hidden="1" customHeight="1">
      <c r="A183" s="531">
        <v>7</v>
      </c>
      <c r="B183" s="531">
        <v>414</v>
      </c>
      <c r="C183" s="529">
        <v>17</v>
      </c>
      <c r="D183" s="1027" t="s">
        <v>1367</v>
      </c>
      <c r="E183" s="1028" t="s">
        <v>1368</v>
      </c>
      <c r="F183" s="547">
        <v>1753667425746</v>
      </c>
      <c r="G183" s="547">
        <v>110673053452</v>
      </c>
      <c r="H183" s="547"/>
      <c r="I183" s="547"/>
      <c r="J183" s="547">
        <v>437836138935</v>
      </c>
      <c r="K183" s="547"/>
      <c r="L183" s="547">
        <v>-2302176618133</v>
      </c>
      <c r="M183" s="547"/>
      <c r="N183" s="547"/>
      <c r="O183" s="547"/>
      <c r="P183" s="547"/>
      <c r="Q183" s="547"/>
      <c r="R183" s="547"/>
      <c r="S183" s="989">
        <f t="shared" si="8"/>
        <v>0</v>
      </c>
      <c r="T183" s="547">
        <v>537360181191</v>
      </c>
      <c r="U183" s="989">
        <f t="shared" si="9"/>
        <v>0</v>
      </c>
      <c r="V183" s="547">
        <v>537360</v>
      </c>
      <c r="W183" s="566"/>
      <c r="X183" s="567"/>
      <c r="Y183" s="989">
        <f t="shared" si="10"/>
        <v>0</v>
      </c>
      <c r="Z183" s="812">
        <f t="shared" si="11"/>
        <v>0</v>
      </c>
    </row>
    <row r="184" spans="1:26" ht="27" hidden="1" customHeight="1">
      <c r="A184" s="531">
        <v>1</v>
      </c>
      <c r="B184" s="531">
        <v>1005</v>
      </c>
      <c r="C184" s="529">
        <v>17</v>
      </c>
      <c r="D184" s="1027" t="s">
        <v>527</v>
      </c>
      <c r="E184" s="1028" t="s">
        <v>528</v>
      </c>
      <c r="F184" s="547">
        <v>608437608</v>
      </c>
      <c r="G184" s="547">
        <v>-5213005428</v>
      </c>
      <c r="H184" s="547">
        <v>-1336480309</v>
      </c>
      <c r="I184" s="547">
        <v>-1597166814</v>
      </c>
      <c r="J184" s="547">
        <v>-113258000</v>
      </c>
      <c r="K184" s="547"/>
      <c r="L184" s="547">
        <v>7651472943</v>
      </c>
      <c r="M184" s="547"/>
      <c r="N184" s="547">
        <v>-27685729</v>
      </c>
      <c r="O184" s="547"/>
      <c r="P184" s="547"/>
      <c r="Q184" s="547"/>
      <c r="R184" s="547"/>
      <c r="S184" s="989">
        <f t="shared" si="8"/>
        <v>-27685729</v>
      </c>
      <c r="T184" s="547">
        <v>0</v>
      </c>
      <c r="U184" s="989">
        <f t="shared" si="9"/>
        <v>-28</v>
      </c>
      <c r="V184" s="547">
        <v>0</v>
      </c>
      <c r="W184" s="566"/>
      <c r="X184" s="567"/>
      <c r="Y184" s="989">
        <f t="shared" si="10"/>
        <v>-27685729</v>
      </c>
      <c r="Z184" s="812">
        <f t="shared" si="11"/>
        <v>-28</v>
      </c>
    </row>
    <row r="185" spans="1:26" ht="27" hidden="1" customHeight="1">
      <c r="A185" s="531">
        <v>7</v>
      </c>
      <c r="B185" s="531">
        <v>1005</v>
      </c>
      <c r="C185" s="529">
        <v>17</v>
      </c>
      <c r="D185" s="1027" t="s">
        <v>1369</v>
      </c>
      <c r="E185" s="1028" t="s">
        <v>1370</v>
      </c>
      <c r="F185" s="547">
        <v>264203503679</v>
      </c>
      <c r="G185" s="547">
        <v>24498799141</v>
      </c>
      <c r="H185" s="547"/>
      <c r="I185" s="547"/>
      <c r="J185" s="547">
        <v>103531318833</v>
      </c>
      <c r="K185" s="547"/>
      <c r="L185" s="547">
        <v>-392233621653</v>
      </c>
      <c r="M185" s="547"/>
      <c r="N185" s="547"/>
      <c r="O185" s="547"/>
      <c r="P185" s="547"/>
      <c r="Q185" s="547"/>
      <c r="R185" s="547"/>
      <c r="S185" s="989">
        <f t="shared" si="8"/>
        <v>0</v>
      </c>
      <c r="T185" s="547">
        <v>-25077232278</v>
      </c>
      <c r="U185" s="989">
        <f t="shared" si="9"/>
        <v>0</v>
      </c>
      <c r="V185" s="547">
        <v>-25077</v>
      </c>
      <c r="W185" s="566"/>
      <c r="X185" s="567"/>
      <c r="Y185" s="989">
        <f t="shared" si="10"/>
        <v>0</v>
      </c>
      <c r="Z185" s="812">
        <f t="shared" si="11"/>
        <v>0</v>
      </c>
    </row>
    <row r="186" spans="1:26" ht="27" hidden="1" customHeight="1">
      <c r="A186" s="531">
        <v>1</v>
      </c>
      <c r="B186" s="531">
        <v>1006</v>
      </c>
      <c r="C186" s="529">
        <v>17</v>
      </c>
      <c r="D186" s="1027" t="s">
        <v>529</v>
      </c>
      <c r="E186" s="1028" t="s">
        <v>156</v>
      </c>
      <c r="F186" s="547">
        <v>-28070186506</v>
      </c>
      <c r="G186" s="547">
        <v>-63533845149</v>
      </c>
      <c r="H186" s="547">
        <v>-11406328872</v>
      </c>
      <c r="I186" s="547">
        <f>6948060778-8533813519</f>
        <v>-1585752741</v>
      </c>
      <c r="J186" s="547">
        <v>-30546560778</v>
      </c>
      <c r="K186" s="547"/>
      <c r="L186" s="547">
        <f>135142674046-1280000</f>
        <v>135141394046</v>
      </c>
      <c r="M186" s="547"/>
      <c r="N186" s="547">
        <v>-1172985729</v>
      </c>
      <c r="O186" s="547">
        <v>1280000</v>
      </c>
      <c r="P186" s="547"/>
      <c r="Q186" s="547"/>
      <c r="R186" s="547"/>
      <c r="S186" s="989">
        <f t="shared" si="8"/>
        <v>-1172985729</v>
      </c>
      <c r="T186" s="547">
        <v>-112800000</v>
      </c>
      <c r="U186" s="989">
        <f t="shared" si="9"/>
        <v>-1173</v>
      </c>
      <c r="V186" s="547">
        <v>-113</v>
      </c>
      <c r="W186" s="566"/>
      <c r="X186" s="567"/>
      <c r="Y186" s="989">
        <f t="shared" si="10"/>
        <v>-1172985729</v>
      </c>
      <c r="Z186" s="812">
        <f t="shared" si="11"/>
        <v>-1173</v>
      </c>
    </row>
    <row r="187" spans="1:26" ht="27" hidden="1" customHeight="1">
      <c r="A187" s="531">
        <v>7</v>
      </c>
      <c r="B187" s="531">
        <v>1006</v>
      </c>
      <c r="C187" s="529">
        <v>17</v>
      </c>
      <c r="D187" s="1027" t="s">
        <v>1372</v>
      </c>
      <c r="E187" s="1028" t="s">
        <v>1371</v>
      </c>
      <c r="F187" s="547">
        <v>2401347674902</v>
      </c>
      <c r="G187" s="547">
        <v>177694157600</v>
      </c>
      <c r="H187" s="547"/>
      <c r="I187" s="547"/>
      <c r="J187" s="547">
        <v>672627195500</v>
      </c>
      <c r="K187" s="547"/>
      <c r="L187" s="547">
        <v>-3251669028002</v>
      </c>
      <c r="M187" s="547"/>
      <c r="N187" s="547"/>
      <c r="O187" s="547"/>
      <c r="P187" s="547"/>
      <c r="Q187" s="547"/>
      <c r="R187" s="547"/>
      <c r="S187" s="989">
        <f t="shared" si="8"/>
        <v>0</v>
      </c>
      <c r="T187" s="547">
        <v>540464024602</v>
      </c>
      <c r="U187" s="989">
        <f t="shared" si="9"/>
        <v>0</v>
      </c>
      <c r="V187" s="547">
        <v>540464</v>
      </c>
      <c r="W187" s="566"/>
      <c r="X187" s="567"/>
      <c r="Y187" s="989">
        <f t="shared" si="10"/>
        <v>0</v>
      </c>
      <c r="Z187" s="812">
        <f t="shared" si="11"/>
        <v>0</v>
      </c>
    </row>
    <row r="188" spans="1:26" ht="27" hidden="1" customHeight="1">
      <c r="A188" s="531">
        <v>1</v>
      </c>
      <c r="B188" s="531">
        <v>415</v>
      </c>
      <c r="C188" s="529">
        <v>17</v>
      </c>
      <c r="D188" s="1027" t="s">
        <v>157</v>
      </c>
      <c r="E188" s="1028" t="s">
        <v>558</v>
      </c>
      <c r="F188" s="547">
        <v>-6744375177</v>
      </c>
      <c r="G188" s="547"/>
      <c r="H188" s="547">
        <v>18000000</v>
      </c>
      <c r="I188" s="547"/>
      <c r="J188" s="547">
        <f>55590000-204000000</f>
        <v>-148410000</v>
      </c>
      <c r="K188" s="547">
        <f>16000000-3370401502</f>
        <v>-3354401502</v>
      </c>
      <c r="L188" s="547">
        <v>6874785177</v>
      </c>
      <c r="M188" s="547"/>
      <c r="N188" s="547">
        <f>97375477-130343185</f>
        <v>-32967708</v>
      </c>
      <c r="O188" s="547">
        <v>-1692513375</v>
      </c>
      <c r="P188" s="547"/>
      <c r="Q188" s="547"/>
      <c r="R188" s="547"/>
      <c r="S188" s="989">
        <f t="shared" si="8"/>
        <v>-5079882585</v>
      </c>
      <c r="T188" s="547">
        <v>-1570705303</v>
      </c>
      <c r="U188" s="989">
        <f t="shared" si="9"/>
        <v>-5080</v>
      </c>
      <c r="V188" s="547">
        <v>-1571</v>
      </c>
      <c r="W188" s="566"/>
      <c r="X188" s="567"/>
      <c r="Y188" s="989">
        <f t="shared" si="10"/>
        <v>-5079882585</v>
      </c>
      <c r="Z188" s="812">
        <f t="shared" si="11"/>
        <v>-5080</v>
      </c>
    </row>
    <row r="189" spans="1:26" ht="27" hidden="1" customHeight="1">
      <c r="A189" s="531">
        <v>7</v>
      </c>
      <c r="B189" s="531">
        <v>415</v>
      </c>
      <c r="C189" s="529">
        <v>17</v>
      </c>
      <c r="D189" s="1027" t="s">
        <v>1323</v>
      </c>
      <c r="E189" s="1028" t="s">
        <v>558</v>
      </c>
      <c r="F189" s="547">
        <v>478927383345</v>
      </c>
      <c r="G189" s="547">
        <v>51431621734</v>
      </c>
      <c r="H189" s="547"/>
      <c r="I189" s="547"/>
      <c r="J189" s="547">
        <v>192955776878</v>
      </c>
      <c r="K189" s="547">
        <v>-56143</v>
      </c>
      <c r="L189" s="547">
        <v>-723314781957</v>
      </c>
      <c r="N189" s="547"/>
      <c r="O189" s="547">
        <f>750489148-750433005</f>
        <v>56143</v>
      </c>
      <c r="P189" s="547"/>
      <c r="Q189" s="547"/>
      <c r="R189" s="547"/>
      <c r="S189" s="989">
        <f t="shared" si="8"/>
        <v>0</v>
      </c>
      <c r="T189" s="547">
        <v>-54445426384</v>
      </c>
      <c r="U189" s="989">
        <f t="shared" si="9"/>
        <v>0</v>
      </c>
      <c r="V189" s="547">
        <v>-54445</v>
      </c>
      <c r="W189" s="566"/>
      <c r="X189" s="567"/>
      <c r="Y189" s="989">
        <f t="shared" si="10"/>
        <v>0</v>
      </c>
      <c r="Z189" s="812">
        <f t="shared" si="11"/>
        <v>0</v>
      </c>
    </row>
    <row r="190" spans="1:26" ht="27" hidden="1" customHeight="1">
      <c r="A190" s="531">
        <v>1</v>
      </c>
      <c r="B190" s="531">
        <v>1019</v>
      </c>
      <c r="C190" s="529">
        <v>17</v>
      </c>
      <c r="D190" s="1027" t="s">
        <v>158</v>
      </c>
      <c r="E190" s="1028" t="s">
        <v>159</v>
      </c>
      <c r="F190" s="547">
        <v>3929483316</v>
      </c>
      <c r="G190" s="547"/>
      <c r="H190" s="547">
        <f>34089833-7482365785</f>
        <v>-7448275952</v>
      </c>
      <c r="I190" s="547"/>
      <c r="J190" s="547"/>
      <c r="K190" s="547"/>
      <c r="L190" s="547">
        <f>3518792636-1356356488</f>
        <v>2162436148</v>
      </c>
      <c r="M190" s="547"/>
      <c r="N190" s="547"/>
      <c r="O190" s="547"/>
      <c r="P190" s="547"/>
      <c r="Q190" s="547"/>
      <c r="R190" s="547"/>
      <c r="S190" s="989">
        <f t="shared" si="8"/>
        <v>-1356356488</v>
      </c>
      <c r="T190" s="547">
        <v>0</v>
      </c>
      <c r="U190" s="989">
        <f t="shared" si="9"/>
        <v>-1356</v>
      </c>
      <c r="V190" s="547">
        <v>0</v>
      </c>
      <c r="W190" s="566"/>
      <c r="X190" s="567"/>
      <c r="Y190" s="989">
        <f t="shared" si="10"/>
        <v>-1356356488</v>
      </c>
      <c r="Z190" s="812">
        <f t="shared" si="11"/>
        <v>-1356</v>
      </c>
    </row>
    <row r="191" spans="1:26" ht="27" hidden="1" customHeight="1">
      <c r="A191" s="531">
        <v>7</v>
      </c>
      <c r="B191" s="531">
        <v>1019</v>
      </c>
      <c r="C191" s="529">
        <v>17</v>
      </c>
      <c r="D191" s="1027" t="s">
        <v>1529</v>
      </c>
      <c r="E191" s="1028" t="s">
        <v>159</v>
      </c>
      <c r="F191" s="547">
        <v>102045251927</v>
      </c>
      <c r="G191" s="547">
        <v>7382218332</v>
      </c>
      <c r="H191" s="547"/>
      <c r="I191" s="547"/>
      <c r="J191" s="547">
        <v>37340721178</v>
      </c>
      <c r="K191" s="547"/>
      <c r="L191" s="547">
        <f>1733251049-148501442486</f>
        <v>-146768191437</v>
      </c>
      <c r="M191" s="547"/>
      <c r="N191" s="547"/>
      <c r="O191" s="547"/>
      <c r="P191" s="547"/>
      <c r="Q191" s="547"/>
      <c r="R191" s="547"/>
      <c r="S191" s="989">
        <f t="shared" si="8"/>
        <v>0</v>
      </c>
      <c r="T191" s="547">
        <v>-3743638544</v>
      </c>
      <c r="U191" s="989">
        <f t="shared" si="9"/>
        <v>0</v>
      </c>
      <c r="V191" s="547">
        <v>-3744</v>
      </c>
      <c r="W191" s="566"/>
      <c r="X191" s="567"/>
      <c r="Y191" s="989">
        <f t="shared" si="10"/>
        <v>0</v>
      </c>
      <c r="Z191" s="812">
        <f t="shared" si="11"/>
        <v>0</v>
      </c>
    </row>
    <row r="192" spans="1:26" ht="27" hidden="1" customHeight="1">
      <c r="A192" s="531">
        <v>1</v>
      </c>
      <c r="B192" s="531">
        <v>1023</v>
      </c>
      <c r="C192" s="529">
        <v>11</v>
      </c>
      <c r="D192" s="1027" t="s">
        <v>521</v>
      </c>
      <c r="E192" s="1028" t="s">
        <v>207</v>
      </c>
      <c r="F192" s="547">
        <v>-8779314634</v>
      </c>
      <c r="G192" s="547">
        <f>383113061-2918088571</f>
        <v>-2534975510</v>
      </c>
      <c r="H192" s="547">
        <f>446266406-6843856545</f>
        <v>-6397590139</v>
      </c>
      <c r="I192" s="547">
        <f>-4081375399</f>
        <v>-4081375399</v>
      </c>
      <c r="J192" s="547">
        <v>-2774739239</v>
      </c>
      <c r="K192" s="547">
        <v>16723330</v>
      </c>
      <c r="L192" s="547">
        <v>24567994921</v>
      </c>
      <c r="M192" s="547"/>
      <c r="N192" s="547"/>
      <c r="O192" s="547">
        <v>3276670</v>
      </c>
      <c r="P192" s="547"/>
      <c r="Q192" s="547"/>
      <c r="R192" s="547"/>
      <c r="S192" s="989">
        <f t="shared" si="8"/>
        <v>20000000</v>
      </c>
      <c r="T192" s="547">
        <v>-1209512856</v>
      </c>
      <c r="U192" s="989">
        <f t="shared" si="9"/>
        <v>20</v>
      </c>
      <c r="V192" s="547">
        <v>-1210</v>
      </c>
      <c r="W192" s="566"/>
      <c r="X192" s="567"/>
      <c r="Y192" s="989">
        <f t="shared" si="10"/>
        <v>20000000</v>
      </c>
      <c r="Z192" s="812">
        <f t="shared" si="11"/>
        <v>20</v>
      </c>
    </row>
    <row r="193" spans="1:26" ht="27" hidden="1" customHeight="1">
      <c r="A193" s="531">
        <v>7</v>
      </c>
      <c r="B193" s="531">
        <v>1023</v>
      </c>
      <c r="C193" s="529">
        <v>11</v>
      </c>
      <c r="D193" s="1027" t="s">
        <v>1324</v>
      </c>
      <c r="E193" s="1028" t="s">
        <v>207</v>
      </c>
      <c r="F193" s="547">
        <v>2067654624219</v>
      </c>
      <c r="G193" s="547">
        <v>69023941120</v>
      </c>
      <c r="H193" s="547">
        <v>204312506100</v>
      </c>
      <c r="I193" s="547"/>
      <c r="J193" s="547">
        <f>769898686132-522900000</f>
        <v>769375786132</v>
      </c>
      <c r="K193" s="547"/>
      <c r="L193" s="547">
        <v>-3110366857571</v>
      </c>
      <c r="M193" s="547"/>
      <c r="N193" s="547"/>
      <c r="O193" s="547"/>
      <c r="P193" s="547"/>
      <c r="Q193" s="547"/>
      <c r="R193" s="547"/>
      <c r="S193" s="989">
        <f t="shared" si="8"/>
        <v>0</v>
      </c>
      <c r="T193" s="547">
        <v>16445123122</v>
      </c>
      <c r="U193" s="989">
        <f t="shared" si="9"/>
        <v>0</v>
      </c>
      <c r="V193" s="547">
        <v>16445</v>
      </c>
      <c r="W193" s="566"/>
      <c r="X193" s="567"/>
      <c r="Y193" s="989">
        <f t="shared" si="10"/>
        <v>0</v>
      </c>
      <c r="Z193" s="812">
        <f t="shared" si="11"/>
        <v>0</v>
      </c>
    </row>
    <row r="194" spans="1:26" ht="27" hidden="1" customHeight="1">
      <c r="A194" s="531">
        <v>1</v>
      </c>
      <c r="B194" s="531">
        <v>1003</v>
      </c>
      <c r="C194" s="529">
        <v>17</v>
      </c>
      <c r="D194" s="1027" t="s">
        <v>208</v>
      </c>
      <c r="E194" s="1028" t="s">
        <v>209</v>
      </c>
      <c r="F194" s="547">
        <v>2473045318</v>
      </c>
      <c r="G194" s="547">
        <v>-84224300</v>
      </c>
      <c r="H194" s="547">
        <f>452484985-217776106</f>
        <v>234708879</v>
      </c>
      <c r="I194" s="547">
        <v>-377074600</v>
      </c>
      <c r="J194" s="547">
        <v>-4527314845</v>
      </c>
      <c r="K194" s="547">
        <v>-391301</v>
      </c>
      <c r="L194" s="547">
        <f>2280859548-38746258</f>
        <v>2242113290</v>
      </c>
      <c r="M194" s="547"/>
      <c r="N194" s="547"/>
      <c r="O194" s="547">
        <v>1160303</v>
      </c>
      <c r="P194" s="547"/>
      <c r="Q194" s="547"/>
      <c r="R194" s="547"/>
      <c r="S194" s="989">
        <f t="shared" si="8"/>
        <v>-37977256</v>
      </c>
      <c r="T194" s="547">
        <v>-20829876</v>
      </c>
      <c r="U194" s="989">
        <f t="shared" si="9"/>
        <v>-38</v>
      </c>
      <c r="V194" s="547">
        <v>-21</v>
      </c>
      <c r="W194" s="566"/>
      <c r="X194" s="567"/>
      <c r="Y194" s="989">
        <f t="shared" si="10"/>
        <v>-37977256</v>
      </c>
      <c r="Z194" s="812">
        <f t="shared" si="11"/>
        <v>-38</v>
      </c>
    </row>
    <row r="195" spans="1:26" ht="27" hidden="1" customHeight="1">
      <c r="A195" s="531">
        <v>7</v>
      </c>
      <c r="B195" s="531">
        <v>1003</v>
      </c>
      <c r="C195" s="529">
        <v>17</v>
      </c>
      <c r="D195" s="1027" t="s">
        <v>1325</v>
      </c>
      <c r="E195" s="1028" t="s">
        <v>209</v>
      </c>
      <c r="F195" s="547">
        <v>1211767056103</v>
      </c>
      <c r="G195" s="547">
        <v>123122969620</v>
      </c>
      <c r="H195" s="547"/>
      <c r="I195" s="547"/>
      <c r="J195" s="547">
        <f>539707755365-61048302340</f>
        <v>478659453025</v>
      </c>
      <c r="K195" s="547"/>
      <c r="L195" s="547">
        <v>-1813549478748</v>
      </c>
      <c r="M195" s="547"/>
      <c r="N195" s="547"/>
      <c r="O195" s="547"/>
      <c r="P195" s="547"/>
      <c r="Q195" s="547"/>
      <c r="R195" s="547"/>
      <c r="S195" s="989">
        <f t="shared" si="8"/>
        <v>0</v>
      </c>
      <c r="T195" s="547">
        <v>-115816316526</v>
      </c>
      <c r="U195" s="989">
        <f t="shared" si="9"/>
        <v>0</v>
      </c>
      <c r="V195" s="547">
        <v>-115816</v>
      </c>
      <c r="W195" s="566"/>
      <c r="X195" s="567"/>
      <c r="Y195" s="989">
        <f t="shared" si="10"/>
        <v>0</v>
      </c>
      <c r="Z195" s="812">
        <f t="shared" si="11"/>
        <v>0</v>
      </c>
    </row>
    <row r="196" spans="1:26" ht="27" hidden="1" customHeight="1">
      <c r="A196" s="531">
        <v>1</v>
      </c>
      <c r="B196" s="531">
        <v>1021</v>
      </c>
      <c r="C196" s="529">
        <v>17</v>
      </c>
      <c r="D196" s="1027" t="s">
        <v>343</v>
      </c>
      <c r="E196" s="1028" t="s">
        <v>344</v>
      </c>
      <c r="F196" s="547">
        <v>-54069821777</v>
      </c>
      <c r="G196" s="547">
        <f>32201093310-34198849366</f>
        <v>-1997756056</v>
      </c>
      <c r="H196" s="547"/>
      <c r="I196" s="547"/>
      <c r="J196" s="547"/>
      <c r="K196" s="547">
        <f>3063144699-282581018</f>
        <v>2780563681</v>
      </c>
      <c r="L196" s="547"/>
      <c r="M196" s="547"/>
      <c r="N196" s="547">
        <f>13200000-66801352602</f>
        <v>-66788152602</v>
      </c>
      <c r="O196" s="547">
        <f>1373502058-2585043852+199773989-1580100153</f>
        <v>-2591867958</v>
      </c>
      <c r="P196" s="547"/>
      <c r="Q196" s="547"/>
      <c r="R196" s="547"/>
      <c r="S196" s="989">
        <f t="shared" ref="S196:S259" si="12">SUM(F196:R196)</f>
        <v>-122667034712</v>
      </c>
      <c r="T196" s="547">
        <v>-33263585099</v>
      </c>
      <c r="U196" s="989">
        <f t="shared" ref="U196:U259" si="13">ROUND((S196/1000000),0)</f>
        <v>-122667</v>
      </c>
      <c r="V196" s="547">
        <v>-33264</v>
      </c>
      <c r="W196" s="566"/>
      <c r="X196" s="567"/>
      <c r="Y196" s="989">
        <f t="shared" si="10"/>
        <v>-122667034712</v>
      </c>
      <c r="Z196" s="812">
        <f t="shared" si="11"/>
        <v>-122667</v>
      </c>
    </row>
    <row r="197" spans="1:26" ht="27" hidden="1" customHeight="1">
      <c r="A197" s="531"/>
      <c r="B197" s="531">
        <v>1018</v>
      </c>
      <c r="C197" s="529">
        <v>17</v>
      </c>
      <c r="D197" s="1027" t="s">
        <v>266</v>
      </c>
      <c r="E197" s="1028" t="s">
        <v>267</v>
      </c>
      <c r="F197" s="547">
        <v>79010032888</v>
      </c>
      <c r="G197" s="547"/>
      <c r="H197" s="547">
        <v>-79833780000</v>
      </c>
      <c r="I197" s="547"/>
      <c r="J197" s="547"/>
      <c r="K197" s="547"/>
      <c r="L197" s="547"/>
      <c r="M197" s="547"/>
      <c r="N197" s="547"/>
      <c r="O197" s="547"/>
      <c r="P197" s="547"/>
      <c r="Q197" s="547"/>
      <c r="R197" s="547"/>
      <c r="S197" s="989">
        <f t="shared" si="12"/>
        <v>-823747112</v>
      </c>
      <c r="T197" s="547">
        <v>-1387928631</v>
      </c>
      <c r="U197" s="989">
        <f t="shared" si="13"/>
        <v>-824</v>
      </c>
      <c r="V197" s="547">
        <v>-1388</v>
      </c>
      <c r="W197" s="566"/>
      <c r="X197" s="567"/>
      <c r="Y197" s="989">
        <f t="shared" si="10"/>
        <v>-823747112</v>
      </c>
      <c r="Z197" s="812">
        <f t="shared" si="11"/>
        <v>-824</v>
      </c>
    </row>
    <row r="198" spans="1:26" ht="27" hidden="1" customHeight="1">
      <c r="A198" s="531"/>
      <c r="B198" s="531">
        <v>1001</v>
      </c>
      <c r="C198" s="529">
        <v>17</v>
      </c>
      <c r="D198" s="1027" t="s">
        <v>393</v>
      </c>
      <c r="E198" s="1028" t="s">
        <v>394</v>
      </c>
      <c r="F198" s="547"/>
      <c r="G198" s="547"/>
      <c r="H198" s="547"/>
      <c r="I198" s="547"/>
      <c r="J198" s="547"/>
      <c r="K198" s="547"/>
      <c r="L198" s="547"/>
      <c r="M198" s="547"/>
      <c r="N198" s="547"/>
      <c r="O198" s="547"/>
      <c r="P198" s="547"/>
      <c r="Q198" s="547"/>
      <c r="R198" s="547"/>
      <c r="S198" s="989">
        <f t="shared" si="12"/>
        <v>0</v>
      </c>
      <c r="T198" s="547">
        <v>0</v>
      </c>
      <c r="U198" s="989">
        <f t="shared" si="13"/>
        <v>0</v>
      </c>
      <c r="V198" s="547">
        <v>0</v>
      </c>
      <c r="W198" s="566"/>
      <c r="X198" s="567"/>
      <c r="Y198" s="989">
        <f t="shared" ref="Y198:Y261" si="14">S198+X198-W198</f>
        <v>0</v>
      </c>
      <c r="Z198" s="812">
        <f t="shared" ref="Z198:Z261" si="15">ROUND((Y198/1000000),0)</f>
        <v>0</v>
      </c>
    </row>
    <row r="199" spans="1:26" ht="27" hidden="1" customHeight="1">
      <c r="A199" s="531"/>
      <c r="B199" s="531">
        <v>406</v>
      </c>
      <c r="C199" s="529">
        <v>11</v>
      </c>
      <c r="D199" s="1027" t="s">
        <v>345</v>
      </c>
      <c r="E199" s="1028" t="s">
        <v>1331</v>
      </c>
      <c r="F199" s="547">
        <v>33354000</v>
      </c>
      <c r="G199" s="547"/>
      <c r="H199" s="547"/>
      <c r="I199" s="547"/>
      <c r="J199" s="547"/>
      <c r="K199" s="547"/>
      <c r="L199" s="547"/>
      <c r="M199" s="547"/>
      <c r="N199" s="547"/>
      <c r="O199" s="547"/>
      <c r="P199" s="547"/>
      <c r="Q199" s="547"/>
      <c r="R199" s="547"/>
      <c r="S199" s="989">
        <f t="shared" si="12"/>
        <v>33354000</v>
      </c>
      <c r="T199" s="547">
        <v>133416000</v>
      </c>
      <c r="U199" s="989">
        <f t="shared" si="13"/>
        <v>33</v>
      </c>
      <c r="V199" s="547">
        <v>134</v>
      </c>
      <c r="W199" s="566"/>
      <c r="X199" s="567"/>
      <c r="Y199" s="989">
        <f t="shared" si="14"/>
        <v>33354000</v>
      </c>
      <c r="Z199" s="812">
        <f t="shared" si="15"/>
        <v>33</v>
      </c>
    </row>
    <row r="200" spans="1:26" ht="27" hidden="1" customHeight="1">
      <c r="A200" s="531"/>
      <c r="B200" s="1025">
        <v>1001</v>
      </c>
      <c r="C200" s="529">
        <v>17</v>
      </c>
      <c r="D200" s="1027" t="s">
        <v>269</v>
      </c>
      <c r="E200" s="1028" t="s">
        <v>268</v>
      </c>
      <c r="F200" s="547">
        <v>64787029</v>
      </c>
      <c r="G200" s="547"/>
      <c r="H200" s="547"/>
      <c r="I200" s="547"/>
      <c r="J200" s="547">
        <v>-26792000</v>
      </c>
      <c r="K200" s="547"/>
      <c r="L200" s="547"/>
      <c r="M200" s="547"/>
      <c r="N200" s="547"/>
      <c r="O200" s="547"/>
      <c r="P200" s="547"/>
      <c r="Q200" s="547"/>
      <c r="R200" s="547"/>
      <c r="S200" s="989">
        <f t="shared" si="12"/>
        <v>37995029</v>
      </c>
      <c r="T200" s="547">
        <v>-202844971</v>
      </c>
      <c r="U200" s="989">
        <f t="shared" si="13"/>
        <v>38</v>
      </c>
      <c r="V200" s="547">
        <v>-203</v>
      </c>
      <c r="W200" s="566"/>
      <c r="X200" s="567"/>
      <c r="Y200" s="989">
        <f t="shared" si="14"/>
        <v>37995029</v>
      </c>
      <c r="Z200" s="812">
        <f t="shared" si="15"/>
        <v>38</v>
      </c>
    </row>
    <row r="201" spans="1:26" ht="27" hidden="1" customHeight="1">
      <c r="A201" s="531"/>
      <c r="B201" s="1025">
        <v>406</v>
      </c>
      <c r="C201" s="529">
        <v>11</v>
      </c>
      <c r="D201" s="1027" t="s">
        <v>535</v>
      </c>
      <c r="E201" s="1028" t="s">
        <v>64</v>
      </c>
      <c r="F201" s="547">
        <v>183447000</v>
      </c>
      <c r="G201" s="547"/>
      <c r="H201" s="547"/>
      <c r="I201" s="547"/>
      <c r="J201" s="547"/>
      <c r="K201" s="547"/>
      <c r="L201" s="547"/>
      <c r="M201" s="547"/>
      <c r="N201" s="547"/>
      <c r="O201" s="547"/>
      <c r="P201" s="547"/>
      <c r="Q201" s="547"/>
      <c r="R201" s="547"/>
      <c r="S201" s="989">
        <f t="shared" si="12"/>
        <v>183447000</v>
      </c>
      <c r="T201" s="547">
        <v>116739000</v>
      </c>
      <c r="U201" s="989">
        <f t="shared" si="13"/>
        <v>183</v>
      </c>
      <c r="V201" s="547">
        <v>117</v>
      </c>
      <c r="W201" s="566"/>
      <c r="X201" s="567"/>
      <c r="Y201" s="989">
        <f t="shared" si="14"/>
        <v>183447000</v>
      </c>
      <c r="Z201" s="812">
        <f t="shared" si="15"/>
        <v>183</v>
      </c>
    </row>
    <row r="202" spans="1:26" ht="27" hidden="1" customHeight="1">
      <c r="A202" s="531"/>
      <c r="B202" s="531">
        <v>406</v>
      </c>
      <c r="C202" s="529">
        <v>11</v>
      </c>
      <c r="D202" s="1027" t="s">
        <v>347</v>
      </c>
      <c r="E202" s="1028" t="s">
        <v>1059</v>
      </c>
      <c r="F202" s="547"/>
      <c r="G202" s="547"/>
      <c r="H202" s="547"/>
      <c r="I202" s="547"/>
      <c r="J202" s="547"/>
      <c r="K202" s="547"/>
      <c r="L202" s="547"/>
      <c r="M202" s="547"/>
      <c r="N202" s="547"/>
      <c r="O202" s="547"/>
      <c r="P202" s="547"/>
      <c r="Q202" s="547"/>
      <c r="R202" s="547"/>
      <c r="S202" s="989">
        <f t="shared" si="12"/>
        <v>0</v>
      </c>
      <c r="T202" s="547">
        <v>0</v>
      </c>
      <c r="U202" s="989">
        <f t="shared" si="13"/>
        <v>0</v>
      </c>
      <c r="V202" s="547">
        <v>0</v>
      </c>
      <c r="W202" s="566"/>
      <c r="X202" s="567"/>
      <c r="Y202" s="989">
        <f t="shared" si="14"/>
        <v>0</v>
      </c>
      <c r="Z202" s="812">
        <f t="shared" si="15"/>
        <v>0</v>
      </c>
    </row>
    <row r="203" spans="1:26" ht="27" hidden="1" customHeight="1">
      <c r="A203" s="531"/>
      <c r="B203" s="531">
        <v>406</v>
      </c>
      <c r="C203" s="529">
        <v>11</v>
      </c>
      <c r="D203" s="1027" t="s">
        <v>270</v>
      </c>
      <c r="E203" s="1028" t="s">
        <v>271</v>
      </c>
      <c r="F203" s="547"/>
      <c r="G203" s="547"/>
      <c r="H203" s="547"/>
      <c r="I203" s="547"/>
      <c r="J203" s="547"/>
      <c r="K203" s="547"/>
      <c r="L203" s="547"/>
      <c r="M203" s="547"/>
      <c r="N203" s="547"/>
      <c r="O203" s="547"/>
      <c r="P203" s="547"/>
      <c r="Q203" s="547"/>
      <c r="R203" s="547"/>
      <c r="S203" s="989">
        <f t="shared" si="12"/>
        <v>0</v>
      </c>
      <c r="T203" s="547">
        <v>0</v>
      </c>
      <c r="U203" s="989">
        <f t="shared" si="13"/>
        <v>0</v>
      </c>
      <c r="V203" s="547">
        <v>0</v>
      </c>
      <c r="W203" s="566"/>
      <c r="X203" s="567"/>
      <c r="Y203" s="989">
        <f t="shared" si="14"/>
        <v>0</v>
      </c>
      <c r="Z203" s="812">
        <f t="shared" si="15"/>
        <v>0</v>
      </c>
    </row>
    <row r="204" spans="1:26" ht="27" hidden="1" customHeight="1">
      <c r="A204" s="531"/>
      <c r="B204" s="531">
        <v>1001</v>
      </c>
      <c r="C204" s="529">
        <v>17</v>
      </c>
      <c r="D204" s="1027" t="s">
        <v>967</v>
      </c>
      <c r="E204" s="1028" t="s">
        <v>968</v>
      </c>
      <c r="F204" s="547"/>
      <c r="G204" s="547"/>
      <c r="H204" s="547"/>
      <c r="I204" s="547"/>
      <c r="J204" s="547"/>
      <c r="K204" s="547"/>
      <c r="L204" s="547"/>
      <c r="M204" s="547"/>
      <c r="N204" s="547"/>
      <c r="O204" s="547"/>
      <c r="P204" s="547"/>
      <c r="Q204" s="547"/>
      <c r="R204" s="547"/>
      <c r="S204" s="989">
        <f t="shared" si="12"/>
        <v>0</v>
      </c>
      <c r="T204" s="547">
        <v>0</v>
      </c>
      <c r="U204" s="989">
        <f t="shared" si="13"/>
        <v>0</v>
      </c>
      <c r="V204" s="547">
        <v>0</v>
      </c>
      <c r="W204" s="566"/>
      <c r="X204" s="567"/>
      <c r="Y204" s="989">
        <f t="shared" si="14"/>
        <v>0</v>
      </c>
      <c r="Z204" s="812">
        <f t="shared" si="15"/>
        <v>0</v>
      </c>
    </row>
    <row r="205" spans="1:26" ht="27" hidden="1" customHeight="1">
      <c r="A205" s="531"/>
      <c r="B205" s="531">
        <v>1001</v>
      </c>
      <c r="C205" s="529">
        <v>17</v>
      </c>
      <c r="D205" s="1027" t="s">
        <v>349</v>
      </c>
      <c r="E205" s="1028" t="s">
        <v>285</v>
      </c>
      <c r="F205" s="547"/>
      <c r="G205" s="547"/>
      <c r="H205" s="547"/>
      <c r="I205" s="547"/>
      <c r="J205" s="547"/>
      <c r="K205" s="547"/>
      <c r="L205" s="547"/>
      <c r="M205" s="547"/>
      <c r="N205" s="547"/>
      <c r="O205" s="547"/>
      <c r="P205" s="547"/>
      <c r="Q205" s="547"/>
      <c r="R205" s="547"/>
      <c r="S205" s="989">
        <f t="shared" si="12"/>
        <v>0</v>
      </c>
      <c r="T205" s="547">
        <v>0</v>
      </c>
      <c r="U205" s="989">
        <f t="shared" si="13"/>
        <v>0</v>
      </c>
      <c r="V205" s="547">
        <v>0</v>
      </c>
      <c r="W205" s="566"/>
      <c r="X205" s="567"/>
      <c r="Y205" s="989">
        <f t="shared" si="14"/>
        <v>0</v>
      </c>
      <c r="Z205" s="812">
        <f t="shared" si="15"/>
        <v>0</v>
      </c>
    </row>
    <row r="206" spans="1:26" ht="27" hidden="1" customHeight="1">
      <c r="A206" s="531"/>
      <c r="B206" s="531">
        <v>1001</v>
      </c>
      <c r="C206" s="529">
        <v>17</v>
      </c>
      <c r="D206" s="1027" t="s">
        <v>1063</v>
      </c>
      <c r="E206" s="1028" t="s">
        <v>1237</v>
      </c>
      <c r="F206" s="547"/>
      <c r="G206" s="547"/>
      <c r="H206" s="547"/>
      <c r="I206" s="547"/>
      <c r="J206" s="547"/>
      <c r="K206" s="547"/>
      <c r="L206" s="547"/>
      <c r="M206" s="547"/>
      <c r="N206" s="547"/>
      <c r="O206" s="547"/>
      <c r="P206" s="547"/>
      <c r="Q206" s="547"/>
      <c r="R206" s="547"/>
      <c r="S206" s="989">
        <f t="shared" si="12"/>
        <v>0</v>
      </c>
      <c r="T206" s="547">
        <v>0</v>
      </c>
      <c r="U206" s="989">
        <f t="shared" si="13"/>
        <v>0</v>
      </c>
      <c r="V206" s="547">
        <v>0</v>
      </c>
      <c r="W206" s="566"/>
      <c r="X206" s="567"/>
      <c r="Y206" s="989">
        <f t="shared" si="14"/>
        <v>0</v>
      </c>
      <c r="Z206" s="812">
        <f t="shared" si="15"/>
        <v>0</v>
      </c>
    </row>
    <row r="207" spans="1:26" ht="27" hidden="1" customHeight="1">
      <c r="A207" s="531"/>
      <c r="B207" s="531">
        <v>406</v>
      </c>
      <c r="C207" s="529">
        <v>11</v>
      </c>
      <c r="D207" s="1027" t="s">
        <v>1060</v>
      </c>
      <c r="E207" s="1028" t="s">
        <v>1061</v>
      </c>
      <c r="F207" s="547"/>
      <c r="G207" s="547"/>
      <c r="H207" s="547"/>
      <c r="I207" s="547"/>
      <c r="J207" s="547"/>
      <c r="K207" s="547"/>
      <c r="L207" s="547"/>
      <c r="M207" s="547"/>
      <c r="N207" s="547"/>
      <c r="O207" s="547"/>
      <c r="P207" s="547"/>
      <c r="Q207" s="547"/>
      <c r="R207" s="547"/>
      <c r="S207" s="989">
        <f t="shared" si="12"/>
        <v>0</v>
      </c>
      <c r="T207" s="547">
        <v>0</v>
      </c>
      <c r="U207" s="989">
        <f t="shared" si="13"/>
        <v>0</v>
      </c>
      <c r="V207" s="547">
        <v>0</v>
      </c>
      <c r="W207" s="566"/>
      <c r="X207" s="567"/>
      <c r="Y207" s="989">
        <f t="shared" si="14"/>
        <v>0</v>
      </c>
      <c r="Z207" s="812">
        <f t="shared" si="15"/>
        <v>0</v>
      </c>
    </row>
    <row r="208" spans="1:26" ht="27" hidden="1" customHeight="1">
      <c r="A208" s="531"/>
      <c r="B208" s="531">
        <v>1001</v>
      </c>
      <c r="C208" s="529">
        <v>17</v>
      </c>
      <c r="D208" s="1027" t="s">
        <v>657</v>
      </c>
      <c r="E208" s="1028" t="s">
        <v>658</v>
      </c>
      <c r="F208" s="547"/>
      <c r="G208" s="547"/>
      <c r="H208" s="547"/>
      <c r="I208" s="547"/>
      <c r="J208" s="547"/>
      <c r="K208" s="547"/>
      <c r="L208" s="547"/>
      <c r="M208" s="547"/>
      <c r="N208" s="547"/>
      <c r="O208" s="547"/>
      <c r="P208" s="547"/>
      <c r="Q208" s="547"/>
      <c r="R208" s="547"/>
      <c r="S208" s="989">
        <f t="shared" si="12"/>
        <v>0</v>
      </c>
      <c r="T208" s="547">
        <v>0</v>
      </c>
      <c r="U208" s="989">
        <f t="shared" si="13"/>
        <v>0</v>
      </c>
      <c r="V208" s="547">
        <v>0</v>
      </c>
      <c r="W208" s="566"/>
      <c r="X208" s="567"/>
      <c r="Y208" s="989">
        <f t="shared" si="14"/>
        <v>0</v>
      </c>
      <c r="Z208" s="812">
        <f t="shared" si="15"/>
        <v>0</v>
      </c>
    </row>
    <row r="209" spans="1:26" ht="27" hidden="1" customHeight="1">
      <c r="A209" s="531"/>
      <c r="B209" s="531">
        <v>406</v>
      </c>
      <c r="C209" s="529">
        <v>11</v>
      </c>
      <c r="D209" s="1027" t="s">
        <v>272</v>
      </c>
      <c r="E209" s="1028" t="s">
        <v>969</v>
      </c>
      <c r="F209" s="547"/>
      <c r="G209" s="547"/>
      <c r="H209" s="547"/>
      <c r="I209" s="547"/>
      <c r="J209" s="547"/>
      <c r="K209" s="547"/>
      <c r="L209" s="547"/>
      <c r="M209" s="547"/>
      <c r="N209" s="547"/>
      <c r="O209" s="547"/>
      <c r="P209" s="547"/>
      <c r="Q209" s="547"/>
      <c r="R209" s="547"/>
      <c r="S209" s="989">
        <f t="shared" si="12"/>
        <v>0</v>
      </c>
      <c r="T209" s="547">
        <v>0</v>
      </c>
      <c r="U209" s="989">
        <f t="shared" si="13"/>
        <v>0</v>
      </c>
      <c r="V209" s="547">
        <v>0</v>
      </c>
      <c r="W209" s="566"/>
      <c r="X209" s="567"/>
      <c r="Y209" s="989">
        <f t="shared" si="14"/>
        <v>0</v>
      </c>
      <c r="Z209" s="812">
        <f t="shared" si="15"/>
        <v>0</v>
      </c>
    </row>
    <row r="210" spans="1:26" ht="27" hidden="1" customHeight="1">
      <c r="A210" s="531"/>
      <c r="B210" s="531">
        <v>406</v>
      </c>
      <c r="C210" s="529">
        <v>11</v>
      </c>
      <c r="D210" s="1027" t="s">
        <v>235</v>
      </c>
      <c r="E210" s="1028" t="s">
        <v>1062</v>
      </c>
      <c r="F210" s="547"/>
      <c r="G210" s="547"/>
      <c r="H210" s="547"/>
      <c r="I210" s="547"/>
      <c r="J210" s="547"/>
      <c r="K210" s="547"/>
      <c r="L210" s="547"/>
      <c r="M210" s="547"/>
      <c r="N210" s="547"/>
      <c r="O210" s="547"/>
      <c r="P210" s="547"/>
      <c r="Q210" s="547"/>
      <c r="R210" s="547"/>
      <c r="S210" s="989">
        <f t="shared" si="12"/>
        <v>0</v>
      </c>
      <c r="T210" s="547">
        <v>0</v>
      </c>
      <c r="U210" s="989">
        <f t="shared" si="13"/>
        <v>0</v>
      </c>
      <c r="V210" s="547">
        <v>0</v>
      </c>
      <c r="W210" s="566"/>
      <c r="X210" s="567"/>
      <c r="Y210" s="989">
        <f t="shared" si="14"/>
        <v>0</v>
      </c>
      <c r="Z210" s="812">
        <f t="shared" si="15"/>
        <v>0</v>
      </c>
    </row>
    <row r="211" spans="1:26" ht="27" hidden="1" customHeight="1">
      <c r="A211" s="531"/>
      <c r="B211" s="531">
        <v>1001</v>
      </c>
      <c r="C211" s="529">
        <v>17</v>
      </c>
      <c r="D211" s="1027" t="s">
        <v>237</v>
      </c>
      <c r="E211" s="1028" t="s">
        <v>1002</v>
      </c>
      <c r="F211" s="547"/>
      <c r="G211" s="547"/>
      <c r="H211" s="547"/>
      <c r="I211" s="547"/>
      <c r="J211" s="547"/>
      <c r="K211" s="547"/>
      <c r="L211" s="547"/>
      <c r="M211" s="547"/>
      <c r="N211" s="547"/>
      <c r="O211" s="547"/>
      <c r="P211" s="547"/>
      <c r="Q211" s="547"/>
      <c r="R211" s="547"/>
      <c r="S211" s="989">
        <f t="shared" si="12"/>
        <v>0</v>
      </c>
      <c r="T211" s="547">
        <v>0</v>
      </c>
      <c r="U211" s="989">
        <f t="shared" si="13"/>
        <v>0</v>
      </c>
      <c r="V211" s="547">
        <v>0</v>
      </c>
      <c r="W211" s="566"/>
      <c r="X211" s="567"/>
      <c r="Y211" s="989">
        <f t="shared" si="14"/>
        <v>0</v>
      </c>
      <c r="Z211" s="812">
        <f t="shared" si="15"/>
        <v>0</v>
      </c>
    </row>
    <row r="212" spans="1:26" ht="27" hidden="1" customHeight="1">
      <c r="A212" s="531"/>
      <c r="B212" s="531">
        <v>406</v>
      </c>
      <c r="C212" s="529">
        <v>11</v>
      </c>
      <c r="D212" s="1027" t="s">
        <v>970</v>
      </c>
      <c r="E212" s="1028" t="s">
        <v>971</v>
      </c>
      <c r="F212" s="547">
        <v>1195504593</v>
      </c>
      <c r="G212" s="547"/>
      <c r="H212" s="547"/>
      <c r="I212" s="547"/>
      <c r="J212" s="547"/>
      <c r="K212" s="547"/>
      <c r="L212" s="547"/>
      <c r="M212" s="547"/>
      <c r="N212" s="547"/>
      <c r="O212" s="547"/>
      <c r="P212" s="547"/>
      <c r="Q212" s="547"/>
      <c r="R212" s="547"/>
      <c r="S212" s="989">
        <f t="shared" si="12"/>
        <v>1195504593</v>
      </c>
      <c r="T212" s="547">
        <v>1005452193</v>
      </c>
      <c r="U212" s="989">
        <f t="shared" si="13"/>
        <v>1196</v>
      </c>
      <c r="V212" s="547">
        <v>1005</v>
      </c>
      <c r="W212" s="566"/>
      <c r="X212" s="567"/>
      <c r="Y212" s="989">
        <f t="shared" si="14"/>
        <v>1195504593</v>
      </c>
      <c r="Z212" s="812">
        <f t="shared" si="15"/>
        <v>1196</v>
      </c>
    </row>
    <row r="213" spans="1:26" ht="27" hidden="1" customHeight="1">
      <c r="A213" s="531"/>
      <c r="B213" s="531">
        <v>406</v>
      </c>
      <c r="C213" s="529">
        <v>11</v>
      </c>
      <c r="D213" s="1027" t="s">
        <v>1264</v>
      </c>
      <c r="E213" s="1028" t="s">
        <v>1064</v>
      </c>
      <c r="G213" s="547"/>
      <c r="H213" s="547"/>
      <c r="I213" s="547"/>
      <c r="J213" s="547"/>
      <c r="K213" s="547"/>
      <c r="L213" s="547"/>
      <c r="M213" s="547"/>
      <c r="N213" s="547"/>
      <c r="O213" s="547"/>
      <c r="P213" s="547"/>
      <c r="Q213" s="547"/>
      <c r="R213" s="547"/>
      <c r="S213" s="989">
        <f t="shared" si="12"/>
        <v>0</v>
      </c>
      <c r="T213" s="547">
        <v>0</v>
      </c>
      <c r="U213" s="989">
        <f t="shared" si="13"/>
        <v>0</v>
      </c>
      <c r="V213" s="547">
        <v>0</v>
      </c>
      <c r="W213" s="566"/>
      <c r="X213" s="567"/>
      <c r="Y213" s="989">
        <f t="shared" si="14"/>
        <v>0</v>
      </c>
      <c r="Z213" s="812">
        <f t="shared" si="15"/>
        <v>0</v>
      </c>
    </row>
    <row r="214" spans="1:26" ht="27" hidden="1" customHeight="1">
      <c r="A214" s="531"/>
      <c r="B214" s="531">
        <v>406</v>
      </c>
      <c r="C214" s="529">
        <v>11</v>
      </c>
      <c r="D214" s="1027" t="s">
        <v>210</v>
      </c>
      <c r="E214" s="1028" t="s">
        <v>211</v>
      </c>
      <c r="F214" s="547">
        <v>139247486</v>
      </c>
      <c r="G214" s="547"/>
      <c r="H214" s="547"/>
      <c r="I214" s="547"/>
      <c r="J214" s="547"/>
      <c r="K214" s="547"/>
      <c r="L214" s="547"/>
      <c r="M214" s="547"/>
      <c r="N214" s="547"/>
      <c r="O214" s="547"/>
      <c r="P214" s="547"/>
      <c r="Q214" s="547"/>
      <c r="R214" s="547"/>
      <c r="S214" s="989">
        <f t="shared" si="12"/>
        <v>139247486</v>
      </c>
      <c r="T214" s="547">
        <v>105893486</v>
      </c>
      <c r="U214" s="989">
        <f t="shared" si="13"/>
        <v>139</v>
      </c>
      <c r="V214" s="547">
        <v>106</v>
      </c>
      <c r="W214" s="566"/>
      <c r="X214" s="567"/>
      <c r="Y214" s="989">
        <f t="shared" si="14"/>
        <v>139247486</v>
      </c>
      <c r="Z214" s="812">
        <f t="shared" si="15"/>
        <v>139</v>
      </c>
    </row>
    <row r="215" spans="1:26" ht="27" hidden="1" customHeight="1">
      <c r="A215" s="531"/>
      <c r="B215" s="531">
        <v>406</v>
      </c>
      <c r="C215" s="529">
        <v>11</v>
      </c>
      <c r="D215" s="1027" t="s">
        <v>274</v>
      </c>
      <c r="E215" s="1028" t="s">
        <v>276</v>
      </c>
      <c r="F215" s="547"/>
      <c r="G215" s="547"/>
      <c r="H215" s="547"/>
      <c r="I215" s="547"/>
      <c r="J215" s="547"/>
      <c r="K215" s="547"/>
      <c r="L215" s="547"/>
      <c r="M215" s="547"/>
      <c r="N215" s="547"/>
      <c r="O215" s="547"/>
      <c r="P215" s="547"/>
      <c r="Q215" s="547"/>
      <c r="R215" s="547"/>
      <c r="S215" s="989">
        <f t="shared" si="12"/>
        <v>0</v>
      </c>
      <c r="T215" s="547">
        <v>0</v>
      </c>
      <c r="U215" s="989">
        <f t="shared" si="13"/>
        <v>0</v>
      </c>
      <c r="V215" s="547">
        <v>0</v>
      </c>
      <c r="W215" s="566"/>
      <c r="X215" s="567"/>
      <c r="Y215" s="989">
        <f t="shared" si="14"/>
        <v>0</v>
      </c>
      <c r="Z215" s="812">
        <f t="shared" si="15"/>
        <v>0</v>
      </c>
    </row>
    <row r="216" spans="1:26" ht="27" hidden="1" customHeight="1">
      <c r="A216" s="531"/>
      <c r="B216" s="531">
        <v>406</v>
      </c>
      <c r="C216" s="529">
        <v>11</v>
      </c>
      <c r="D216" s="1027" t="s">
        <v>1030</v>
      </c>
      <c r="E216" s="1028" t="s">
        <v>1031</v>
      </c>
      <c r="F216" s="547"/>
      <c r="G216" s="547"/>
      <c r="H216" s="547"/>
      <c r="I216" s="547"/>
      <c r="J216" s="547"/>
      <c r="K216" s="547"/>
      <c r="L216" s="547"/>
      <c r="M216" s="547"/>
      <c r="N216" s="547"/>
      <c r="O216" s="547"/>
      <c r="P216" s="547"/>
      <c r="Q216" s="547"/>
      <c r="R216" s="547"/>
      <c r="S216" s="989">
        <f t="shared" si="12"/>
        <v>0</v>
      </c>
      <c r="T216" s="547">
        <v>0</v>
      </c>
      <c r="U216" s="989">
        <f t="shared" si="13"/>
        <v>0</v>
      </c>
      <c r="V216" s="547">
        <v>0</v>
      </c>
      <c r="W216" s="566"/>
      <c r="X216" s="567"/>
      <c r="Y216" s="989">
        <f t="shared" si="14"/>
        <v>0</v>
      </c>
      <c r="Z216" s="812">
        <f t="shared" si="15"/>
        <v>0</v>
      </c>
    </row>
    <row r="217" spans="1:26" ht="27" hidden="1" customHeight="1">
      <c r="A217" s="531"/>
      <c r="B217" s="531">
        <v>406</v>
      </c>
      <c r="C217" s="529">
        <v>11</v>
      </c>
      <c r="D217" s="1027" t="s">
        <v>1004</v>
      </c>
      <c r="E217" s="1028" t="s">
        <v>840</v>
      </c>
      <c r="F217" s="547"/>
      <c r="G217" s="547"/>
      <c r="H217" s="547"/>
      <c r="I217" s="547"/>
      <c r="J217" s="547"/>
      <c r="K217" s="547"/>
      <c r="L217" s="547"/>
      <c r="M217" s="547"/>
      <c r="N217" s="547"/>
      <c r="O217" s="547"/>
      <c r="P217" s="547"/>
      <c r="Q217" s="547"/>
      <c r="R217" s="547"/>
      <c r="S217" s="989">
        <f t="shared" si="12"/>
        <v>0</v>
      </c>
      <c r="T217" s="547">
        <v>0</v>
      </c>
      <c r="U217" s="989">
        <f t="shared" si="13"/>
        <v>0</v>
      </c>
      <c r="V217" s="547">
        <v>0</v>
      </c>
      <c r="W217" s="566"/>
      <c r="X217" s="567"/>
      <c r="Y217" s="989">
        <f t="shared" si="14"/>
        <v>0</v>
      </c>
      <c r="Z217" s="812">
        <f t="shared" si="15"/>
        <v>0</v>
      </c>
    </row>
    <row r="218" spans="1:26" ht="27" hidden="1" customHeight="1">
      <c r="A218" s="531"/>
      <c r="B218" s="531">
        <v>1001</v>
      </c>
      <c r="C218" s="529">
        <v>17</v>
      </c>
      <c r="D218" s="1027" t="s">
        <v>65</v>
      </c>
      <c r="E218" s="1028" t="s">
        <v>1332</v>
      </c>
      <c r="F218" s="547"/>
      <c r="G218" s="547"/>
      <c r="H218" s="547"/>
      <c r="I218" s="547"/>
      <c r="J218" s="547"/>
      <c r="K218" s="547"/>
      <c r="L218" s="547"/>
      <c r="M218" s="547"/>
      <c r="N218" s="547"/>
      <c r="O218" s="547"/>
      <c r="P218" s="547"/>
      <c r="Q218" s="547"/>
      <c r="R218" s="547"/>
      <c r="S218" s="989">
        <f t="shared" si="12"/>
        <v>0</v>
      </c>
      <c r="T218" s="547">
        <v>0</v>
      </c>
      <c r="U218" s="989">
        <f t="shared" si="13"/>
        <v>0</v>
      </c>
      <c r="V218" s="547">
        <v>0</v>
      </c>
      <c r="W218" s="566"/>
      <c r="X218" s="567"/>
      <c r="Y218" s="989">
        <f t="shared" si="14"/>
        <v>0</v>
      </c>
      <c r="Z218" s="812">
        <f t="shared" si="15"/>
        <v>0</v>
      </c>
    </row>
    <row r="219" spans="1:26" ht="27" hidden="1" customHeight="1">
      <c r="A219" s="531"/>
      <c r="B219" s="531">
        <v>1001</v>
      </c>
      <c r="C219" s="529">
        <v>17</v>
      </c>
      <c r="D219" s="1027" t="s">
        <v>1065</v>
      </c>
      <c r="E219" s="1028" t="s">
        <v>1066</v>
      </c>
      <c r="F219" s="547"/>
      <c r="G219" s="547"/>
      <c r="H219" s="547"/>
      <c r="I219" s="547"/>
      <c r="J219" s="547"/>
      <c r="K219" s="547"/>
      <c r="L219" s="547"/>
      <c r="M219" s="547"/>
      <c r="N219" s="547"/>
      <c r="O219" s="547"/>
      <c r="P219" s="547"/>
      <c r="Q219" s="547"/>
      <c r="R219" s="547"/>
      <c r="S219" s="989">
        <f t="shared" si="12"/>
        <v>0</v>
      </c>
      <c r="T219" s="547">
        <v>0</v>
      </c>
      <c r="U219" s="989">
        <f t="shared" si="13"/>
        <v>0</v>
      </c>
      <c r="V219" s="547">
        <v>0</v>
      </c>
      <c r="W219" s="566"/>
      <c r="X219" s="567"/>
      <c r="Y219" s="989">
        <f t="shared" si="14"/>
        <v>0</v>
      </c>
      <c r="Z219" s="812">
        <f t="shared" si="15"/>
        <v>0</v>
      </c>
    </row>
    <row r="220" spans="1:26" ht="27" hidden="1" customHeight="1">
      <c r="A220" s="531"/>
      <c r="B220" s="531">
        <v>406</v>
      </c>
      <c r="C220" s="529">
        <v>11</v>
      </c>
      <c r="D220" s="1027" t="s">
        <v>1067</v>
      </c>
      <c r="E220" s="1028" t="s">
        <v>1068</v>
      </c>
      <c r="F220" s="547"/>
      <c r="G220" s="547"/>
      <c r="H220" s="547"/>
      <c r="I220" s="547"/>
      <c r="J220" s="547"/>
      <c r="K220" s="547"/>
      <c r="L220" s="547"/>
      <c r="M220" s="547"/>
      <c r="N220" s="547"/>
      <c r="O220" s="547"/>
      <c r="P220" s="547"/>
      <c r="Q220" s="547"/>
      <c r="R220" s="547"/>
      <c r="S220" s="989">
        <f t="shared" si="12"/>
        <v>0</v>
      </c>
      <c r="T220" s="547">
        <v>0</v>
      </c>
      <c r="U220" s="989">
        <f t="shared" si="13"/>
        <v>0</v>
      </c>
      <c r="V220" s="547">
        <v>0</v>
      </c>
      <c r="W220" s="566"/>
      <c r="X220" s="567"/>
      <c r="Y220" s="989">
        <f t="shared" si="14"/>
        <v>0</v>
      </c>
      <c r="Z220" s="812">
        <f t="shared" si="15"/>
        <v>0</v>
      </c>
    </row>
    <row r="221" spans="1:26" ht="27" hidden="1" customHeight="1">
      <c r="A221" s="531"/>
      <c r="B221" s="531">
        <v>406</v>
      </c>
      <c r="C221" s="529">
        <v>11</v>
      </c>
      <c r="D221" s="1027" t="s">
        <v>1069</v>
      </c>
      <c r="E221" s="1028" t="s">
        <v>1070</v>
      </c>
      <c r="F221" s="547">
        <v>364560780</v>
      </c>
      <c r="G221" s="547"/>
      <c r="H221" s="547"/>
      <c r="I221" s="547"/>
      <c r="J221" s="547"/>
      <c r="K221" s="547"/>
      <c r="L221" s="547"/>
      <c r="M221" s="547"/>
      <c r="N221" s="547"/>
      <c r="O221" s="547"/>
      <c r="P221" s="547"/>
      <c r="Q221" s="547"/>
      <c r="R221" s="547"/>
      <c r="S221" s="989">
        <f t="shared" si="12"/>
        <v>364560780</v>
      </c>
      <c r="T221" s="547">
        <v>336857340</v>
      </c>
      <c r="U221" s="989">
        <f t="shared" si="13"/>
        <v>365</v>
      </c>
      <c r="V221" s="547">
        <v>337</v>
      </c>
      <c r="W221" s="566"/>
      <c r="X221" s="567"/>
      <c r="Y221" s="989">
        <f t="shared" si="14"/>
        <v>364560780</v>
      </c>
      <c r="Z221" s="812">
        <f t="shared" si="15"/>
        <v>365</v>
      </c>
    </row>
    <row r="222" spans="1:26" ht="27" hidden="1" customHeight="1">
      <c r="A222" s="531"/>
      <c r="B222" s="531">
        <v>1001</v>
      </c>
      <c r="C222" s="529">
        <v>17</v>
      </c>
      <c r="D222" s="1027" t="s">
        <v>1072</v>
      </c>
      <c r="E222" s="1028" t="s">
        <v>1071</v>
      </c>
      <c r="F222" s="547">
        <v>-550934059</v>
      </c>
      <c r="G222" s="547"/>
      <c r="H222" s="547"/>
      <c r="I222" s="547">
        <v>550934059</v>
      </c>
      <c r="J222" s="547"/>
      <c r="K222" s="547"/>
      <c r="L222" s="547"/>
      <c r="M222" s="547"/>
      <c r="N222" s="547"/>
      <c r="O222" s="547">
        <v>-550934059</v>
      </c>
      <c r="P222" s="547"/>
      <c r="Q222" s="547"/>
      <c r="R222" s="547"/>
      <c r="S222" s="989">
        <f t="shared" si="12"/>
        <v>-550934059</v>
      </c>
      <c r="T222" s="547">
        <v>-550934059</v>
      </c>
      <c r="U222" s="989">
        <f t="shared" si="13"/>
        <v>-551</v>
      </c>
      <c r="V222" s="547">
        <v>-551</v>
      </c>
      <c r="W222" s="566"/>
      <c r="X222" s="567"/>
      <c r="Y222" s="989">
        <f t="shared" si="14"/>
        <v>-550934059</v>
      </c>
      <c r="Z222" s="812">
        <f t="shared" si="15"/>
        <v>-551</v>
      </c>
    </row>
    <row r="223" spans="1:26" ht="27" hidden="1" customHeight="1">
      <c r="A223" s="531"/>
      <c r="B223" s="531">
        <v>1001</v>
      </c>
      <c r="C223" s="529">
        <v>17</v>
      </c>
      <c r="D223" s="1027" t="s">
        <v>1680</v>
      </c>
      <c r="E223" s="1028" t="s">
        <v>1681</v>
      </c>
      <c r="F223" s="547"/>
      <c r="G223" s="547"/>
      <c r="H223" s="547"/>
      <c r="I223" s="547"/>
      <c r="J223" s="547"/>
      <c r="K223" s="547"/>
      <c r="L223" s="547"/>
      <c r="M223" s="547"/>
      <c r="N223" s="547"/>
      <c r="O223" s="547"/>
      <c r="P223" s="547"/>
      <c r="Q223" s="547"/>
      <c r="R223" s="547"/>
      <c r="S223" s="989">
        <f t="shared" si="12"/>
        <v>0</v>
      </c>
      <c r="T223" s="547">
        <v>0</v>
      </c>
      <c r="U223" s="989">
        <f t="shared" si="13"/>
        <v>0</v>
      </c>
      <c r="V223" s="547">
        <v>0</v>
      </c>
      <c r="W223" s="566"/>
      <c r="X223" s="567"/>
      <c r="Y223" s="989">
        <f t="shared" si="14"/>
        <v>0</v>
      </c>
      <c r="Z223" s="812">
        <f t="shared" si="15"/>
        <v>0</v>
      </c>
    </row>
    <row r="224" spans="1:26" ht="27" hidden="1" customHeight="1">
      <c r="A224" s="531"/>
      <c r="B224" s="531">
        <v>406</v>
      </c>
      <c r="C224" s="529">
        <v>11</v>
      </c>
      <c r="D224" s="1027" t="s">
        <v>974</v>
      </c>
      <c r="E224" s="1028" t="s">
        <v>975</v>
      </c>
      <c r="F224" s="547">
        <v>-781151649</v>
      </c>
      <c r="G224" s="547"/>
      <c r="H224" s="547"/>
      <c r="I224" s="547"/>
      <c r="J224" s="547"/>
      <c r="K224" s="547"/>
      <c r="L224" s="547"/>
      <c r="M224" s="547"/>
      <c r="N224" s="547"/>
      <c r="O224" s="547"/>
      <c r="P224" s="547"/>
      <c r="Q224" s="547"/>
      <c r="R224" s="547"/>
      <c r="S224" s="989">
        <f t="shared" si="12"/>
        <v>-781151649</v>
      </c>
      <c r="T224" s="547">
        <v>389918367</v>
      </c>
      <c r="U224" s="989">
        <f t="shared" si="13"/>
        <v>-781</v>
      </c>
      <c r="V224" s="547">
        <v>390</v>
      </c>
      <c r="W224" s="566"/>
      <c r="X224" s="567"/>
      <c r="Y224" s="989">
        <f t="shared" si="14"/>
        <v>-781151649</v>
      </c>
      <c r="Z224" s="812">
        <f t="shared" si="15"/>
        <v>-781</v>
      </c>
    </row>
    <row r="225" spans="1:26" ht="27" hidden="1" customHeight="1">
      <c r="A225" s="531"/>
      <c r="B225" s="531">
        <v>406</v>
      </c>
      <c r="C225" s="529">
        <v>11</v>
      </c>
      <c r="D225" s="1027" t="s">
        <v>976</v>
      </c>
      <c r="E225" s="1028" t="s">
        <v>977</v>
      </c>
      <c r="F225" s="547"/>
      <c r="G225" s="547"/>
      <c r="H225" s="547"/>
      <c r="I225" s="547"/>
      <c r="J225" s="547"/>
      <c r="K225" s="547"/>
      <c r="L225" s="547"/>
      <c r="M225" s="547"/>
      <c r="N225" s="547"/>
      <c r="O225" s="547"/>
      <c r="P225" s="547"/>
      <c r="Q225" s="547"/>
      <c r="R225" s="547"/>
      <c r="S225" s="989">
        <f t="shared" si="12"/>
        <v>0</v>
      </c>
      <c r="T225" s="547">
        <v>294469793</v>
      </c>
      <c r="U225" s="989">
        <f t="shared" si="13"/>
        <v>0</v>
      </c>
      <c r="V225" s="547">
        <v>295</v>
      </c>
      <c r="W225" s="566"/>
      <c r="X225" s="567"/>
      <c r="Y225" s="989">
        <f t="shared" si="14"/>
        <v>0</v>
      </c>
      <c r="Z225" s="812">
        <f t="shared" si="15"/>
        <v>0</v>
      </c>
    </row>
    <row r="226" spans="1:26" ht="27" hidden="1" customHeight="1">
      <c r="A226" s="531"/>
      <c r="B226" s="531">
        <v>1001</v>
      </c>
      <c r="C226" s="529">
        <v>17</v>
      </c>
      <c r="D226" s="1027" t="s">
        <v>745</v>
      </c>
      <c r="E226" s="1028" t="s">
        <v>744</v>
      </c>
      <c r="F226" s="547"/>
      <c r="G226" s="547"/>
      <c r="H226" s="547">
        <v>-120000000</v>
      </c>
      <c r="I226" s="547"/>
      <c r="J226" s="547"/>
      <c r="K226" s="547"/>
      <c r="L226" s="547"/>
      <c r="M226" s="547"/>
      <c r="N226" s="547"/>
      <c r="O226" s="547"/>
      <c r="P226" s="547"/>
      <c r="Q226" s="547"/>
      <c r="R226" s="547"/>
      <c r="S226" s="989">
        <f t="shared" si="12"/>
        <v>-120000000</v>
      </c>
      <c r="T226" s="547">
        <v>0</v>
      </c>
      <c r="U226" s="989">
        <f t="shared" si="13"/>
        <v>-120</v>
      </c>
      <c r="V226" s="547">
        <v>0</v>
      </c>
      <c r="W226" s="566"/>
      <c r="X226" s="567"/>
      <c r="Y226" s="989">
        <f t="shared" si="14"/>
        <v>-120000000</v>
      </c>
      <c r="Z226" s="812">
        <f t="shared" si="15"/>
        <v>-120</v>
      </c>
    </row>
    <row r="227" spans="1:26" ht="27" hidden="1" customHeight="1">
      <c r="A227" s="531"/>
      <c r="B227" s="531">
        <v>1001</v>
      </c>
      <c r="C227" s="529">
        <v>17</v>
      </c>
      <c r="D227" s="1027" t="s">
        <v>1682</v>
      </c>
      <c r="E227" s="1028" t="s">
        <v>1683</v>
      </c>
      <c r="F227" s="547">
        <v>-415000000</v>
      </c>
      <c r="G227" s="547"/>
      <c r="H227" s="547"/>
      <c r="I227" s="547"/>
      <c r="J227" s="547"/>
      <c r="K227" s="547"/>
      <c r="L227" s="547"/>
      <c r="M227" s="547"/>
      <c r="N227" s="547"/>
      <c r="O227" s="547"/>
      <c r="P227" s="547"/>
      <c r="Q227" s="547"/>
      <c r="R227" s="547"/>
      <c r="S227" s="989">
        <f t="shared" si="12"/>
        <v>-415000000</v>
      </c>
      <c r="T227" s="547">
        <v>-115601478</v>
      </c>
      <c r="U227" s="989">
        <f t="shared" si="13"/>
        <v>-415</v>
      </c>
      <c r="V227" s="547">
        <v>-116</v>
      </c>
      <c r="W227" s="566"/>
      <c r="X227" s="567"/>
      <c r="Y227" s="989">
        <f t="shared" si="14"/>
        <v>-415000000</v>
      </c>
      <c r="Z227" s="812">
        <f t="shared" si="15"/>
        <v>-415</v>
      </c>
    </row>
    <row r="228" spans="1:26" ht="27" hidden="1" customHeight="1">
      <c r="A228" s="531"/>
      <c r="B228" s="531">
        <v>1001</v>
      </c>
      <c r="C228" s="529">
        <v>17</v>
      </c>
      <c r="D228" s="1027" t="s">
        <v>978</v>
      </c>
      <c r="E228" s="1028" t="s">
        <v>979</v>
      </c>
      <c r="F228" s="547"/>
      <c r="G228" s="547"/>
      <c r="H228" s="547"/>
      <c r="I228" s="547"/>
      <c r="J228" s="547"/>
      <c r="K228" s="547"/>
      <c r="L228" s="547"/>
      <c r="M228" s="547"/>
      <c r="N228" s="547"/>
      <c r="O228" s="547"/>
      <c r="P228" s="547"/>
      <c r="Q228" s="547"/>
      <c r="R228" s="547"/>
      <c r="S228" s="989">
        <f t="shared" si="12"/>
        <v>0</v>
      </c>
      <c r="T228" s="547">
        <v>0</v>
      </c>
      <c r="U228" s="989">
        <f t="shared" si="13"/>
        <v>0</v>
      </c>
      <c r="V228" s="547">
        <v>0</v>
      </c>
      <c r="W228" s="566"/>
      <c r="X228" s="567"/>
      <c r="Y228" s="989">
        <f t="shared" si="14"/>
        <v>0</v>
      </c>
      <c r="Z228" s="812">
        <f t="shared" si="15"/>
        <v>0</v>
      </c>
    </row>
    <row r="229" spans="1:26" ht="27" hidden="1" customHeight="1">
      <c r="A229" s="531"/>
      <c r="B229" s="531">
        <v>1001</v>
      </c>
      <c r="C229" s="529">
        <v>17</v>
      </c>
      <c r="D229" s="1027" t="s">
        <v>275</v>
      </c>
      <c r="E229" s="1028" t="s">
        <v>843</v>
      </c>
      <c r="F229" s="547"/>
      <c r="G229" s="547"/>
      <c r="H229" s="547"/>
      <c r="I229" s="547"/>
      <c r="J229" s="547"/>
      <c r="K229" s="547"/>
      <c r="L229" s="547"/>
      <c r="M229" s="547"/>
      <c r="N229" s="547"/>
      <c r="O229" s="547"/>
      <c r="P229" s="547"/>
      <c r="Q229" s="547"/>
      <c r="R229" s="547"/>
      <c r="S229" s="989">
        <f t="shared" si="12"/>
        <v>0</v>
      </c>
      <c r="T229" s="547">
        <v>-1016814710</v>
      </c>
      <c r="U229" s="989">
        <f t="shared" si="13"/>
        <v>0</v>
      </c>
      <c r="V229" s="547">
        <v>-1017</v>
      </c>
      <c r="W229" s="566"/>
      <c r="X229" s="567"/>
      <c r="Y229" s="989">
        <f t="shared" si="14"/>
        <v>0</v>
      </c>
      <c r="Z229" s="812">
        <f t="shared" si="15"/>
        <v>0</v>
      </c>
    </row>
    <row r="230" spans="1:26" ht="27" hidden="1" customHeight="1">
      <c r="A230" s="531"/>
      <c r="B230" s="531">
        <v>406</v>
      </c>
      <c r="C230" s="529">
        <v>11</v>
      </c>
      <c r="D230" s="1027" t="s">
        <v>980</v>
      </c>
      <c r="E230" s="1028" t="s">
        <v>981</v>
      </c>
      <c r="F230" s="547"/>
      <c r="G230" s="547"/>
      <c r="H230" s="547"/>
      <c r="I230" s="547"/>
      <c r="J230" s="547">
        <v>309776931</v>
      </c>
      <c r="K230" s="547"/>
      <c r="L230" s="547"/>
      <c r="M230" s="547"/>
      <c r="N230" s="547"/>
      <c r="O230" s="547"/>
      <c r="P230" s="547"/>
      <c r="Q230" s="547"/>
      <c r="R230" s="547"/>
      <c r="S230" s="989">
        <f t="shared" si="12"/>
        <v>309776931</v>
      </c>
      <c r="T230" s="547">
        <v>0</v>
      </c>
      <c r="U230" s="989">
        <f t="shared" si="13"/>
        <v>310</v>
      </c>
      <c r="V230" s="547">
        <v>0</v>
      </c>
      <c r="W230" s="566"/>
      <c r="X230" s="567"/>
      <c r="Y230" s="989">
        <f t="shared" si="14"/>
        <v>309776931</v>
      </c>
      <c r="Z230" s="812">
        <f t="shared" si="15"/>
        <v>310</v>
      </c>
    </row>
    <row r="231" spans="1:26" ht="27" hidden="1" customHeight="1">
      <c r="A231" s="531"/>
      <c r="B231" s="531">
        <v>406</v>
      </c>
      <c r="C231" s="529">
        <v>11</v>
      </c>
      <c r="D231" s="1027" t="s">
        <v>982</v>
      </c>
      <c r="E231" s="1028" t="s">
        <v>983</v>
      </c>
      <c r="F231" s="547"/>
      <c r="G231" s="547"/>
      <c r="H231" s="547"/>
      <c r="I231" s="547"/>
      <c r="J231" s="547"/>
      <c r="K231" s="547"/>
      <c r="L231" s="547"/>
      <c r="M231" s="547"/>
      <c r="N231" s="547"/>
      <c r="O231" s="547"/>
      <c r="P231" s="547"/>
      <c r="Q231" s="547"/>
      <c r="R231" s="547"/>
      <c r="S231" s="989">
        <f t="shared" si="12"/>
        <v>0</v>
      </c>
      <c r="T231" s="547">
        <v>0</v>
      </c>
      <c r="U231" s="989">
        <f t="shared" si="13"/>
        <v>0</v>
      </c>
      <c r="V231" s="547">
        <v>0</v>
      </c>
      <c r="W231" s="566"/>
      <c r="X231" s="567"/>
      <c r="Y231" s="989">
        <f t="shared" si="14"/>
        <v>0</v>
      </c>
      <c r="Z231" s="812">
        <f t="shared" si="15"/>
        <v>0</v>
      </c>
    </row>
    <row r="232" spans="1:26" ht="27" hidden="1" customHeight="1">
      <c r="A232" s="531"/>
      <c r="B232" s="531">
        <v>406</v>
      </c>
      <c r="C232" s="529">
        <v>11</v>
      </c>
      <c r="D232" s="1027" t="s">
        <v>1333</v>
      </c>
      <c r="E232" s="1028" t="s">
        <v>1334</v>
      </c>
      <c r="F232" s="547"/>
      <c r="G232" s="547"/>
      <c r="H232" s="547"/>
      <c r="I232" s="547"/>
      <c r="J232" s="547"/>
      <c r="K232" s="547"/>
      <c r="L232" s="547"/>
      <c r="M232" s="547"/>
      <c r="N232" s="547"/>
      <c r="O232" s="547"/>
      <c r="P232" s="547"/>
      <c r="Q232" s="547"/>
      <c r="R232" s="547"/>
      <c r="S232" s="989">
        <f t="shared" si="12"/>
        <v>0</v>
      </c>
      <c r="T232" s="547">
        <v>3994000</v>
      </c>
      <c r="U232" s="989">
        <f t="shared" si="13"/>
        <v>0</v>
      </c>
      <c r="V232" s="547">
        <v>4</v>
      </c>
      <c r="W232" s="566"/>
      <c r="X232" s="567"/>
      <c r="Y232" s="989">
        <f t="shared" si="14"/>
        <v>0</v>
      </c>
      <c r="Z232" s="812">
        <f t="shared" si="15"/>
        <v>0</v>
      </c>
    </row>
    <row r="233" spans="1:26" ht="27" hidden="1" customHeight="1">
      <c r="A233" s="531"/>
      <c r="B233" s="531">
        <v>1001</v>
      </c>
      <c r="C233" s="529">
        <v>17</v>
      </c>
      <c r="D233" s="1027" t="s">
        <v>1684</v>
      </c>
      <c r="E233" s="1028" t="s">
        <v>1685</v>
      </c>
      <c r="F233" s="547"/>
      <c r="G233" s="547"/>
      <c r="H233" s="547"/>
      <c r="I233" s="547"/>
      <c r="J233" s="547"/>
      <c r="K233" s="547"/>
      <c r="L233" s="547"/>
      <c r="M233" s="547"/>
      <c r="N233" s="547"/>
      <c r="O233" s="547"/>
      <c r="P233" s="547"/>
      <c r="Q233" s="547"/>
      <c r="R233" s="547"/>
      <c r="S233" s="989">
        <f t="shared" si="12"/>
        <v>0</v>
      </c>
      <c r="T233" s="547">
        <v>0</v>
      </c>
      <c r="U233" s="989">
        <f t="shared" si="13"/>
        <v>0</v>
      </c>
      <c r="V233" s="547">
        <v>0</v>
      </c>
      <c r="W233" s="566"/>
      <c r="X233" s="567"/>
      <c r="Y233" s="989">
        <f t="shared" si="14"/>
        <v>0</v>
      </c>
      <c r="Z233" s="812">
        <f t="shared" si="15"/>
        <v>0</v>
      </c>
    </row>
    <row r="234" spans="1:26" ht="27" hidden="1" customHeight="1">
      <c r="A234" s="531"/>
      <c r="B234" s="531">
        <v>406</v>
      </c>
      <c r="C234" s="529">
        <v>11</v>
      </c>
      <c r="D234" s="1027" t="s">
        <v>984</v>
      </c>
      <c r="E234" s="1028" t="s">
        <v>985</v>
      </c>
      <c r="F234" s="547"/>
      <c r="G234" s="547"/>
      <c r="H234" s="547"/>
      <c r="I234" s="547"/>
      <c r="J234" s="547"/>
      <c r="K234" s="547"/>
      <c r="L234" s="547"/>
      <c r="M234" s="547"/>
      <c r="N234" s="547"/>
      <c r="O234" s="547"/>
      <c r="P234" s="547"/>
      <c r="Q234" s="547"/>
      <c r="R234" s="547"/>
      <c r="S234" s="989">
        <f t="shared" si="12"/>
        <v>0</v>
      </c>
      <c r="T234" s="547">
        <v>65907182</v>
      </c>
      <c r="U234" s="989">
        <f t="shared" si="13"/>
        <v>0</v>
      </c>
      <c r="V234" s="547">
        <v>66</v>
      </c>
      <c r="W234" s="566"/>
      <c r="X234" s="567"/>
      <c r="Y234" s="989">
        <f t="shared" si="14"/>
        <v>0</v>
      </c>
      <c r="Z234" s="812">
        <f t="shared" si="15"/>
        <v>0</v>
      </c>
    </row>
    <row r="235" spans="1:26" ht="27" hidden="1" customHeight="1">
      <c r="A235" s="531"/>
      <c r="B235" s="531">
        <v>1001</v>
      </c>
      <c r="C235" s="529">
        <v>17</v>
      </c>
      <c r="D235" s="1027" t="s">
        <v>1073</v>
      </c>
      <c r="E235" s="1028" t="s">
        <v>1074</v>
      </c>
      <c r="F235" s="547"/>
      <c r="G235" s="547"/>
      <c r="H235" s="547">
        <v>5095890</v>
      </c>
      <c r="I235" s="547"/>
      <c r="J235" s="547"/>
      <c r="K235" s="547"/>
      <c r="L235" s="547"/>
      <c r="M235" s="547"/>
      <c r="N235" s="547"/>
      <c r="O235" s="547"/>
      <c r="P235" s="547"/>
      <c r="Q235" s="547"/>
      <c r="R235" s="547"/>
      <c r="S235" s="989">
        <f t="shared" si="12"/>
        <v>5095890</v>
      </c>
      <c r="T235" s="547">
        <v>0</v>
      </c>
      <c r="U235" s="989">
        <f t="shared" si="13"/>
        <v>5</v>
      </c>
      <c r="V235" s="547">
        <v>0</v>
      </c>
      <c r="W235" s="566"/>
      <c r="X235" s="567"/>
      <c r="Y235" s="989">
        <f t="shared" si="14"/>
        <v>5095890</v>
      </c>
      <c r="Z235" s="812">
        <f t="shared" si="15"/>
        <v>5</v>
      </c>
    </row>
    <row r="236" spans="1:26" ht="27" hidden="1" customHeight="1">
      <c r="A236" s="531"/>
      <c r="B236" s="531">
        <v>1001</v>
      </c>
      <c r="C236" s="529">
        <v>17</v>
      </c>
      <c r="D236" s="1027" t="s">
        <v>1238</v>
      </c>
      <c r="E236" s="1028" t="s">
        <v>1239</v>
      </c>
      <c r="F236" s="547"/>
      <c r="G236" s="547"/>
      <c r="H236" s="547"/>
      <c r="I236" s="547"/>
      <c r="J236" s="547"/>
      <c r="K236" s="547"/>
      <c r="L236" s="547"/>
      <c r="M236" s="547"/>
      <c r="N236" s="547"/>
      <c r="O236" s="547"/>
      <c r="P236" s="547"/>
      <c r="Q236" s="547"/>
      <c r="R236" s="547"/>
      <c r="S236" s="989">
        <f t="shared" si="12"/>
        <v>0</v>
      </c>
      <c r="T236" s="547">
        <v>0</v>
      </c>
      <c r="U236" s="989">
        <f t="shared" si="13"/>
        <v>0</v>
      </c>
      <c r="V236" s="547">
        <v>0</v>
      </c>
      <c r="W236" s="566"/>
      <c r="X236" s="567"/>
      <c r="Y236" s="989">
        <f t="shared" si="14"/>
        <v>0</v>
      </c>
      <c r="Z236" s="812">
        <f t="shared" si="15"/>
        <v>0</v>
      </c>
    </row>
    <row r="237" spans="1:26" ht="27" hidden="1" customHeight="1">
      <c r="A237" s="531"/>
      <c r="B237" s="531">
        <v>406</v>
      </c>
      <c r="C237" s="529">
        <v>11</v>
      </c>
      <c r="D237" s="1027" t="s">
        <v>986</v>
      </c>
      <c r="E237" s="1028" t="s">
        <v>987</v>
      </c>
      <c r="F237" s="547"/>
      <c r="G237" s="547"/>
      <c r="H237" s="547"/>
      <c r="I237" s="547"/>
      <c r="J237" s="547"/>
      <c r="K237" s="547"/>
      <c r="L237" s="547"/>
      <c r="M237" s="547"/>
      <c r="N237" s="547"/>
      <c r="O237" s="547"/>
      <c r="P237" s="547"/>
      <c r="Q237" s="547"/>
      <c r="R237" s="547"/>
      <c r="S237" s="989">
        <f t="shared" si="12"/>
        <v>0</v>
      </c>
      <c r="T237" s="547">
        <v>0</v>
      </c>
      <c r="U237" s="989">
        <f t="shared" si="13"/>
        <v>0</v>
      </c>
      <c r="V237" s="547">
        <v>0</v>
      </c>
      <c r="W237" s="566"/>
      <c r="X237" s="567"/>
      <c r="Y237" s="989">
        <f t="shared" si="14"/>
        <v>0</v>
      </c>
      <c r="Z237" s="812">
        <f t="shared" si="15"/>
        <v>0</v>
      </c>
    </row>
    <row r="238" spans="1:26" ht="27" hidden="1" customHeight="1">
      <c r="A238" s="531"/>
      <c r="B238" s="531">
        <v>1001</v>
      </c>
      <c r="C238" s="529">
        <v>17</v>
      </c>
      <c r="D238" s="1027" t="s">
        <v>1075</v>
      </c>
      <c r="E238" s="1028" t="s">
        <v>1076</v>
      </c>
      <c r="F238" s="547"/>
      <c r="G238" s="547"/>
      <c r="H238" s="547"/>
      <c r="I238" s="547"/>
      <c r="J238" s="547"/>
      <c r="K238" s="547"/>
      <c r="L238" s="547"/>
      <c r="M238" s="547"/>
      <c r="N238" s="547"/>
      <c r="O238" s="547"/>
      <c r="P238" s="547"/>
      <c r="Q238" s="547"/>
      <c r="R238" s="547"/>
      <c r="S238" s="989">
        <f t="shared" si="12"/>
        <v>0</v>
      </c>
      <c r="T238" s="547">
        <v>-2128838886</v>
      </c>
      <c r="U238" s="989">
        <f t="shared" si="13"/>
        <v>0</v>
      </c>
      <c r="V238" s="547">
        <v>-2129</v>
      </c>
      <c r="W238" s="566"/>
      <c r="X238" s="567"/>
      <c r="Y238" s="989">
        <f t="shared" si="14"/>
        <v>0</v>
      </c>
      <c r="Z238" s="812">
        <f t="shared" si="15"/>
        <v>0</v>
      </c>
    </row>
    <row r="239" spans="1:26" ht="27" hidden="1" customHeight="1">
      <c r="A239" s="531"/>
      <c r="B239" s="531">
        <v>1001</v>
      </c>
      <c r="C239" s="529">
        <v>17</v>
      </c>
      <c r="D239" s="1027" t="s">
        <v>239</v>
      </c>
      <c r="E239" s="1028" t="s">
        <v>1601</v>
      </c>
      <c r="F239" s="547"/>
      <c r="G239" s="547"/>
      <c r="H239" s="547"/>
      <c r="I239" s="547">
        <v>-91605780</v>
      </c>
      <c r="J239" s="547">
        <v>91605780</v>
      </c>
      <c r="K239" s="547"/>
      <c r="L239" s="547"/>
      <c r="M239" s="547"/>
      <c r="N239" s="547"/>
      <c r="O239" s="547"/>
      <c r="P239" s="547"/>
      <c r="Q239" s="547"/>
      <c r="R239" s="547"/>
      <c r="S239" s="989">
        <f t="shared" si="12"/>
        <v>0</v>
      </c>
      <c r="T239" s="547">
        <v>-1268247</v>
      </c>
      <c r="U239" s="989">
        <f t="shared" si="13"/>
        <v>0</v>
      </c>
      <c r="V239" s="547">
        <v>-1</v>
      </c>
      <c r="W239" s="566"/>
      <c r="X239" s="567"/>
      <c r="Y239" s="989">
        <f t="shared" si="14"/>
        <v>0</v>
      </c>
      <c r="Z239" s="812">
        <f t="shared" si="15"/>
        <v>0</v>
      </c>
    </row>
    <row r="240" spans="1:26" ht="27" hidden="1" customHeight="1">
      <c r="A240" s="531"/>
      <c r="B240" s="531">
        <v>1001</v>
      </c>
      <c r="C240" s="529">
        <v>17</v>
      </c>
      <c r="D240" s="1027" t="s">
        <v>1568</v>
      </c>
      <c r="E240" s="1028" t="s">
        <v>1569</v>
      </c>
      <c r="F240" s="547"/>
      <c r="G240" s="547"/>
      <c r="H240" s="547"/>
      <c r="I240" s="547"/>
      <c r="J240" s="547"/>
      <c r="K240" s="547"/>
      <c r="L240" s="547"/>
      <c r="M240" s="547"/>
      <c r="N240" s="547"/>
      <c r="O240" s="547"/>
      <c r="P240" s="547"/>
      <c r="Q240" s="547"/>
      <c r="R240" s="547"/>
      <c r="S240" s="989">
        <f t="shared" si="12"/>
        <v>0</v>
      </c>
      <c r="T240" s="547">
        <v>-67705290</v>
      </c>
      <c r="U240" s="989">
        <f t="shared" si="13"/>
        <v>0</v>
      </c>
      <c r="V240" s="547">
        <v>-68</v>
      </c>
      <c r="W240" s="566"/>
      <c r="X240" s="567"/>
      <c r="Y240" s="989">
        <f t="shared" si="14"/>
        <v>0</v>
      </c>
      <c r="Z240" s="812">
        <f t="shared" si="15"/>
        <v>0</v>
      </c>
    </row>
    <row r="241" spans="1:26" ht="27" hidden="1" customHeight="1">
      <c r="A241" s="531"/>
      <c r="B241" s="531">
        <v>1001</v>
      </c>
      <c r="C241" s="529">
        <v>17</v>
      </c>
      <c r="D241" s="1027" t="s">
        <v>1240</v>
      </c>
      <c r="E241" s="1028" t="s">
        <v>1241</v>
      </c>
      <c r="F241" s="547"/>
      <c r="G241" s="547"/>
      <c r="H241" s="547"/>
      <c r="I241" s="547"/>
      <c r="J241" s="547"/>
      <c r="K241" s="547"/>
      <c r="L241" s="547"/>
      <c r="M241" s="547"/>
      <c r="N241" s="547"/>
      <c r="O241" s="547"/>
      <c r="P241" s="547"/>
      <c r="Q241" s="547"/>
      <c r="R241" s="547"/>
      <c r="S241" s="989">
        <f t="shared" si="12"/>
        <v>0</v>
      </c>
      <c r="T241" s="547">
        <v>0</v>
      </c>
      <c r="U241" s="989">
        <f t="shared" si="13"/>
        <v>0</v>
      </c>
      <c r="V241" s="547">
        <v>0</v>
      </c>
      <c r="W241" s="566"/>
      <c r="X241" s="567"/>
      <c r="Y241" s="989">
        <f t="shared" si="14"/>
        <v>0</v>
      </c>
      <c r="Z241" s="812">
        <f t="shared" si="15"/>
        <v>0</v>
      </c>
    </row>
    <row r="242" spans="1:26" ht="27" hidden="1" customHeight="1">
      <c r="A242" s="531"/>
      <c r="B242" s="1025">
        <v>406</v>
      </c>
      <c r="C242" s="529">
        <v>11</v>
      </c>
      <c r="D242" s="1027" t="s">
        <v>241</v>
      </c>
      <c r="E242" s="1028" t="s">
        <v>754</v>
      </c>
      <c r="F242" s="547">
        <v>421780961</v>
      </c>
      <c r="G242" s="547"/>
      <c r="H242" s="547"/>
      <c r="I242" s="547"/>
      <c r="J242" s="547"/>
      <c r="K242" s="547"/>
      <c r="L242" s="547"/>
      <c r="M242" s="547"/>
      <c r="N242" s="547"/>
      <c r="O242" s="547"/>
      <c r="P242" s="547"/>
      <c r="Q242" s="547"/>
      <c r="R242" s="547"/>
      <c r="S242" s="989">
        <f t="shared" si="12"/>
        <v>421780961</v>
      </c>
      <c r="T242" s="547">
        <v>0</v>
      </c>
      <c r="U242" s="989">
        <f t="shared" si="13"/>
        <v>422</v>
      </c>
      <c r="V242" s="547">
        <v>0</v>
      </c>
      <c r="W242" s="566"/>
      <c r="X242" s="567"/>
      <c r="Y242" s="989">
        <f t="shared" si="14"/>
        <v>421780961</v>
      </c>
      <c r="Z242" s="812">
        <f t="shared" si="15"/>
        <v>422</v>
      </c>
    </row>
    <row r="243" spans="1:26" ht="27" hidden="1" customHeight="1">
      <c r="A243" s="531"/>
      <c r="B243" s="531">
        <v>1001</v>
      </c>
      <c r="C243" s="529">
        <v>17</v>
      </c>
      <c r="D243" s="1027" t="s">
        <v>1243</v>
      </c>
      <c r="E243" s="1028" t="s">
        <v>1242</v>
      </c>
      <c r="F243" s="547">
        <v>-2623775</v>
      </c>
      <c r="G243" s="547"/>
      <c r="H243" s="547">
        <v>2623775</v>
      </c>
      <c r="I243" s="547"/>
      <c r="J243" s="547"/>
      <c r="K243" s="547"/>
      <c r="L243" s="547"/>
      <c r="M243" s="547"/>
      <c r="N243" s="547"/>
      <c r="O243" s="547"/>
      <c r="P243" s="547"/>
      <c r="Q243" s="547"/>
      <c r="R243" s="547"/>
      <c r="S243" s="989">
        <f t="shared" si="12"/>
        <v>0</v>
      </c>
      <c r="T243" s="547">
        <v>-2623775</v>
      </c>
      <c r="U243" s="989">
        <f t="shared" si="13"/>
        <v>0</v>
      </c>
      <c r="V243" s="547">
        <v>-3</v>
      </c>
      <c r="W243" s="566"/>
      <c r="X243" s="567"/>
      <c r="Y243" s="989">
        <f t="shared" si="14"/>
        <v>0</v>
      </c>
      <c r="Z243" s="812">
        <f t="shared" si="15"/>
        <v>0</v>
      </c>
    </row>
    <row r="244" spans="1:26" ht="27" hidden="1" customHeight="1">
      <c r="A244" s="531"/>
      <c r="B244" s="531">
        <v>406</v>
      </c>
      <c r="C244" s="529">
        <v>11</v>
      </c>
      <c r="D244" s="1027" t="s">
        <v>491</v>
      </c>
      <c r="E244" s="1028" t="s">
        <v>659</v>
      </c>
      <c r="F244" s="547"/>
      <c r="G244" s="547"/>
      <c r="H244" s="547"/>
      <c r="I244" s="547"/>
      <c r="J244" s="547"/>
      <c r="K244" s="547"/>
      <c r="L244" s="547"/>
      <c r="M244" s="547"/>
      <c r="N244" s="547"/>
      <c r="O244" s="547"/>
      <c r="P244" s="547"/>
      <c r="Q244" s="547"/>
      <c r="R244" s="547"/>
      <c r="S244" s="989">
        <f t="shared" si="12"/>
        <v>0</v>
      </c>
      <c r="T244" s="547">
        <v>1029795952</v>
      </c>
      <c r="U244" s="989">
        <f t="shared" si="13"/>
        <v>0</v>
      </c>
      <c r="V244" s="547">
        <v>1030</v>
      </c>
      <c r="W244" s="566"/>
      <c r="X244" s="567"/>
      <c r="Y244" s="989">
        <f t="shared" si="14"/>
        <v>0</v>
      </c>
      <c r="Z244" s="812">
        <f t="shared" si="15"/>
        <v>0</v>
      </c>
    </row>
    <row r="245" spans="1:26" ht="27" hidden="1" customHeight="1">
      <c r="A245" s="531"/>
      <c r="B245" s="1025">
        <v>406</v>
      </c>
      <c r="C245" s="529">
        <v>11</v>
      </c>
      <c r="D245" s="1027" t="s">
        <v>1032</v>
      </c>
      <c r="E245" s="1028" t="s">
        <v>1033</v>
      </c>
      <c r="F245" s="547">
        <v>91605780</v>
      </c>
      <c r="G245" s="547"/>
      <c r="H245" s="547"/>
      <c r="I245" s="547"/>
      <c r="J245" s="547">
        <v>-91605780</v>
      </c>
      <c r="K245" s="547"/>
      <c r="L245" s="547"/>
      <c r="M245" s="547"/>
      <c r="N245" s="547"/>
      <c r="O245" s="547"/>
      <c r="P245" s="547"/>
      <c r="Q245" s="547"/>
      <c r="R245" s="547"/>
      <c r="S245" s="989">
        <f t="shared" si="12"/>
        <v>0</v>
      </c>
      <c r="T245" s="547">
        <v>468438323</v>
      </c>
      <c r="U245" s="989">
        <f t="shared" si="13"/>
        <v>0</v>
      </c>
      <c r="V245" s="547">
        <v>469</v>
      </c>
      <c r="W245" s="566"/>
      <c r="X245" s="567"/>
      <c r="Y245" s="989">
        <f t="shared" si="14"/>
        <v>0</v>
      </c>
      <c r="Z245" s="812">
        <f t="shared" si="15"/>
        <v>0</v>
      </c>
    </row>
    <row r="246" spans="1:26" ht="27" hidden="1" customHeight="1">
      <c r="A246" s="531"/>
      <c r="B246" s="531">
        <v>406</v>
      </c>
      <c r="C246" s="529">
        <v>11</v>
      </c>
      <c r="D246" s="1027" t="s">
        <v>660</v>
      </c>
      <c r="E246" s="1028" t="s">
        <v>661</v>
      </c>
      <c r="F246" s="547">
        <v>704573835</v>
      </c>
      <c r="G246" s="547"/>
      <c r="H246" s="547"/>
      <c r="I246" s="547"/>
      <c r="J246" s="547"/>
      <c r="K246" s="547"/>
      <c r="L246" s="547"/>
      <c r="M246" s="547"/>
      <c r="N246" s="547"/>
      <c r="O246" s="547"/>
      <c r="P246" s="547"/>
      <c r="Q246" s="547"/>
      <c r="R246" s="547"/>
      <c r="S246" s="989">
        <f t="shared" si="12"/>
        <v>704573835</v>
      </c>
      <c r="T246" s="547">
        <v>637865835</v>
      </c>
      <c r="U246" s="989">
        <f t="shared" si="13"/>
        <v>705</v>
      </c>
      <c r="V246" s="547">
        <v>638</v>
      </c>
      <c r="W246" s="566"/>
      <c r="X246" s="567"/>
      <c r="Y246" s="989">
        <f t="shared" si="14"/>
        <v>704573835</v>
      </c>
      <c r="Z246" s="812">
        <f t="shared" si="15"/>
        <v>705</v>
      </c>
    </row>
    <row r="247" spans="1:26" ht="27" hidden="1" customHeight="1">
      <c r="A247" s="531"/>
      <c r="B247" s="531">
        <v>1001</v>
      </c>
      <c r="C247" s="529">
        <v>17</v>
      </c>
      <c r="D247" s="1027" t="s">
        <v>1687</v>
      </c>
      <c r="E247" s="1028" t="s">
        <v>1686</v>
      </c>
      <c r="F247" s="547"/>
      <c r="G247" s="547"/>
      <c r="H247" s="547"/>
      <c r="I247" s="547"/>
      <c r="J247" s="547"/>
      <c r="K247" s="547"/>
      <c r="L247" s="547"/>
      <c r="M247" s="547"/>
      <c r="N247" s="547"/>
      <c r="O247" s="547"/>
      <c r="P247" s="547"/>
      <c r="Q247" s="547"/>
      <c r="R247" s="547"/>
      <c r="S247" s="989">
        <f t="shared" si="12"/>
        <v>0</v>
      </c>
      <c r="T247" s="547">
        <v>0</v>
      </c>
      <c r="U247" s="989">
        <f t="shared" si="13"/>
        <v>0</v>
      </c>
      <c r="V247" s="547">
        <v>0</v>
      </c>
      <c r="W247" s="566"/>
      <c r="X247" s="567"/>
      <c r="Y247" s="989">
        <f t="shared" si="14"/>
        <v>0</v>
      </c>
      <c r="Z247" s="812">
        <f t="shared" si="15"/>
        <v>0</v>
      </c>
    </row>
    <row r="248" spans="1:26" ht="27" hidden="1" customHeight="1">
      <c r="A248" s="531"/>
      <c r="B248" s="531">
        <v>1001</v>
      </c>
      <c r="C248" s="529">
        <v>17</v>
      </c>
      <c r="D248" s="1027" t="s">
        <v>887</v>
      </c>
      <c r="E248" s="1028" t="s">
        <v>886</v>
      </c>
      <c r="F248" s="547"/>
      <c r="G248" s="547"/>
      <c r="H248" s="547"/>
      <c r="I248" s="547"/>
      <c r="J248" s="547"/>
      <c r="K248" s="547"/>
      <c r="L248" s="547"/>
      <c r="M248" s="547"/>
      <c r="N248" s="547"/>
      <c r="O248" s="547"/>
      <c r="P248" s="547"/>
      <c r="Q248" s="547"/>
      <c r="R248" s="547"/>
      <c r="S248" s="989">
        <f t="shared" si="12"/>
        <v>0</v>
      </c>
      <c r="T248" s="547">
        <v>0</v>
      </c>
      <c r="U248" s="989">
        <f t="shared" si="13"/>
        <v>0</v>
      </c>
      <c r="V248" s="547">
        <v>0</v>
      </c>
      <c r="W248" s="566"/>
      <c r="X248" s="567"/>
      <c r="Y248" s="989">
        <f t="shared" si="14"/>
        <v>0</v>
      </c>
      <c r="Z248" s="812">
        <f t="shared" si="15"/>
        <v>0</v>
      </c>
    </row>
    <row r="249" spans="1:26" ht="27" hidden="1" customHeight="1">
      <c r="A249" s="531"/>
      <c r="B249" s="531">
        <v>406</v>
      </c>
      <c r="C249" s="529">
        <v>11</v>
      </c>
      <c r="D249" s="1027" t="s">
        <v>493</v>
      </c>
      <c r="E249" s="1028" t="s">
        <v>890</v>
      </c>
      <c r="F249" s="547"/>
      <c r="G249" s="547"/>
      <c r="H249" s="547"/>
      <c r="I249" s="547"/>
      <c r="J249" s="547"/>
      <c r="K249" s="547"/>
      <c r="L249" s="547"/>
      <c r="M249" s="547"/>
      <c r="N249" s="547"/>
      <c r="O249" s="547"/>
      <c r="P249" s="547"/>
      <c r="Q249" s="547"/>
      <c r="R249" s="547"/>
      <c r="S249" s="989">
        <f t="shared" si="12"/>
        <v>0</v>
      </c>
      <c r="T249" s="547">
        <v>0</v>
      </c>
      <c r="U249" s="989">
        <f t="shared" si="13"/>
        <v>0</v>
      </c>
      <c r="V249" s="547">
        <v>0</v>
      </c>
      <c r="W249" s="566"/>
      <c r="X249" s="567"/>
      <c r="Y249" s="989">
        <f t="shared" si="14"/>
        <v>0</v>
      </c>
      <c r="Z249" s="812">
        <f t="shared" si="15"/>
        <v>0</v>
      </c>
    </row>
    <row r="250" spans="1:26" ht="27" hidden="1" customHeight="1">
      <c r="A250" s="531"/>
      <c r="B250" s="531"/>
      <c r="C250" s="529">
        <v>11</v>
      </c>
      <c r="D250" s="1027" t="s">
        <v>841</v>
      </c>
      <c r="E250" s="1028" t="s">
        <v>1244</v>
      </c>
      <c r="F250" s="547"/>
      <c r="G250" s="547"/>
      <c r="H250" s="547"/>
      <c r="I250" s="547"/>
      <c r="J250" s="547"/>
      <c r="K250" s="547"/>
      <c r="L250" s="547"/>
      <c r="M250" s="547"/>
      <c r="N250" s="547"/>
      <c r="O250" s="547"/>
      <c r="P250" s="547"/>
      <c r="Q250" s="547"/>
      <c r="R250" s="547"/>
      <c r="S250" s="989">
        <f t="shared" si="12"/>
        <v>0</v>
      </c>
      <c r="T250" s="547">
        <v>0</v>
      </c>
      <c r="U250" s="989">
        <f t="shared" si="13"/>
        <v>0</v>
      </c>
      <c r="V250" s="547">
        <v>0</v>
      </c>
      <c r="W250" s="566"/>
      <c r="X250" s="567"/>
      <c r="Y250" s="989">
        <f t="shared" si="14"/>
        <v>0</v>
      </c>
      <c r="Z250" s="812">
        <f t="shared" si="15"/>
        <v>0</v>
      </c>
    </row>
    <row r="251" spans="1:26" ht="27" hidden="1" customHeight="1">
      <c r="A251" s="531"/>
      <c r="B251" s="531">
        <v>406</v>
      </c>
      <c r="C251" s="529">
        <v>11</v>
      </c>
      <c r="D251" s="1027" t="s">
        <v>842</v>
      </c>
      <c r="E251" s="1028" t="s">
        <v>888</v>
      </c>
      <c r="F251" s="547"/>
      <c r="G251" s="547"/>
      <c r="H251" s="547"/>
      <c r="I251" s="547"/>
      <c r="J251" s="547"/>
      <c r="K251" s="547"/>
      <c r="L251" s="547"/>
      <c r="M251" s="547"/>
      <c r="N251" s="547"/>
      <c r="O251" s="547"/>
      <c r="P251" s="547"/>
      <c r="Q251" s="547"/>
      <c r="R251" s="547"/>
      <c r="S251" s="989">
        <f t="shared" si="12"/>
        <v>0</v>
      </c>
      <c r="T251" s="547">
        <v>0</v>
      </c>
      <c r="U251" s="989">
        <f t="shared" si="13"/>
        <v>0</v>
      </c>
      <c r="V251" s="547">
        <v>0</v>
      </c>
      <c r="W251" s="566"/>
      <c r="X251" s="567"/>
      <c r="Y251" s="989">
        <f t="shared" si="14"/>
        <v>0</v>
      </c>
      <c r="Z251" s="812">
        <f t="shared" si="15"/>
        <v>0</v>
      </c>
    </row>
    <row r="252" spans="1:26" ht="27" hidden="1" customHeight="1">
      <c r="A252" s="531"/>
      <c r="B252" s="531">
        <v>406</v>
      </c>
      <c r="C252" s="529">
        <v>11</v>
      </c>
      <c r="D252" s="1027" t="s">
        <v>1077</v>
      </c>
      <c r="E252" s="1028" t="s">
        <v>1078</v>
      </c>
      <c r="F252" s="547"/>
      <c r="G252" s="547"/>
      <c r="H252" s="547"/>
      <c r="I252" s="547"/>
      <c r="J252" s="547"/>
      <c r="K252" s="547"/>
      <c r="L252" s="547"/>
      <c r="M252" s="547"/>
      <c r="N252" s="547"/>
      <c r="O252" s="547"/>
      <c r="P252" s="547"/>
      <c r="Q252" s="547"/>
      <c r="R252" s="547"/>
      <c r="S252" s="989">
        <f t="shared" si="12"/>
        <v>0</v>
      </c>
      <c r="T252" s="547">
        <v>0</v>
      </c>
      <c r="U252" s="989">
        <f t="shared" si="13"/>
        <v>0</v>
      </c>
      <c r="V252" s="547">
        <v>0</v>
      </c>
      <c r="W252" s="566"/>
      <c r="X252" s="567"/>
      <c r="Y252" s="989">
        <f t="shared" si="14"/>
        <v>0</v>
      </c>
      <c r="Z252" s="812">
        <f t="shared" si="15"/>
        <v>0</v>
      </c>
    </row>
    <row r="253" spans="1:26" ht="27" hidden="1" customHeight="1">
      <c r="A253" s="531"/>
      <c r="B253" s="531">
        <v>1001</v>
      </c>
      <c r="C253" s="529">
        <v>17</v>
      </c>
      <c r="D253" s="1027" t="s">
        <v>1629</v>
      </c>
      <c r="E253" s="1028" t="s">
        <v>1630</v>
      </c>
      <c r="F253" s="547"/>
      <c r="G253" s="547"/>
      <c r="H253" s="547"/>
      <c r="I253" s="547"/>
      <c r="J253" s="547"/>
      <c r="K253" s="547"/>
      <c r="L253" s="547"/>
      <c r="M253" s="547"/>
      <c r="N253" s="547"/>
      <c r="O253" s="547"/>
      <c r="P253" s="547"/>
      <c r="Q253" s="547"/>
      <c r="R253" s="547"/>
      <c r="S253" s="989">
        <f t="shared" si="12"/>
        <v>0</v>
      </c>
      <c r="T253" s="547">
        <v>0</v>
      </c>
      <c r="U253" s="989">
        <f t="shared" si="13"/>
        <v>0</v>
      </c>
      <c r="V253" s="547">
        <v>0</v>
      </c>
      <c r="W253" s="566"/>
      <c r="X253" s="567"/>
      <c r="Y253" s="989">
        <f t="shared" si="14"/>
        <v>0</v>
      </c>
      <c r="Z253" s="812">
        <f t="shared" si="15"/>
        <v>0</v>
      </c>
    </row>
    <row r="254" spans="1:26" ht="27" hidden="1" customHeight="1">
      <c r="A254" s="531"/>
      <c r="B254" s="531">
        <v>406</v>
      </c>
      <c r="C254" s="529">
        <v>11</v>
      </c>
      <c r="D254" s="1027" t="s">
        <v>1079</v>
      </c>
      <c r="E254" s="1028" t="s">
        <v>1080</v>
      </c>
      <c r="F254" s="547"/>
      <c r="G254" s="547"/>
      <c r="H254" s="547"/>
      <c r="I254" s="547"/>
      <c r="J254" s="547"/>
      <c r="K254" s="547"/>
      <c r="L254" s="547"/>
      <c r="M254" s="547"/>
      <c r="N254" s="547"/>
      <c r="O254" s="547"/>
      <c r="P254" s="547"/>
      <c r="Q254" s="547"/>
      <c r="R254" s="547"/>
      <c r="S254" s="989">
        <f t="shared" si="12"/>
        <v>0</v>
      </c>
      <c r="T254" s="547">
        <v>0</v>
      </c>
      <c r="U254" s="989">
        <f t="shared" si="13"/>
        <v>0</v>
      </c>
      <c r="V254" s="547">
        <v>0</v>
      </c>
      <c r="W254" s="566"/>
      <c r="X254" s="567"/>
      <c r="Y254" s="989">
        <f t="shared" si="14"/>
        <v>0</v>
      </c>
      <c r="Z254" s="812">
        <f t="shared" si="15"/>
        <v>0</v>
      </c>
    </row>
    <row r="255" spans="1:26" ht="27" hidden="1" customHeight="1">
      <c r="A255" s="531"/>
      <c r="B255" s="531">
        <v>406</v>
      </c>
      <c r="C255" s="529">
        <v>11</v>
      </c>
      <c r="D255" s="1027" t="s">
        <v>560</v>
      </c>
      <c r="E255" s="1028" t="s">
        <v>1180</v>
      </c>
      <c r="F255" s="547">
        <v>1</v>
      </c>
      <c r="G255" s="547"/>
      <c r="H255" s="547"/>
      <c r="I255" s="547"/>
      <c r="J255" s="547"/>
      <c r="K255" s="547"/>
      <c r="L255" s="547"/>
      <c r="M255" s="547"/>
      <c r="N255" s="547"/>
      <c r="O255" s="547"/>
      <c r="P255" s="547"/>
      <c r="Q255" s="547"/>
      <c r="R255" s="547"/>
      <c r="S255" s="989">
        <f t="shared" si="12"/>
        <v>1</v>
      </c>
      <c r="T255" s="547">
        <v>1</v>
      </c>
      <c r="U255" s="989">
        <f t="shared" si="13"/>
        <v>0</v>
      </c>
      <c r="V255" s="547">
        <v>0</v>
      </c>
      <c r="W255" s="566"/>
      <c r="X255" s="567"/>
      <c r="Y255" s="989">
        <f t="shared" si="14"/>
        <v>1</v>
      </c>
      <c r="Z255" s="812">
        <f t="shared" si="15"/>
        <v>0</v>
      </c>
    </row>
    <row r="256" spans="1:26" ht="27" hidden="1" customHeight="1">
      <c r="A256" s="531"/>
      <c r="B256" s="531">
        <v>406</v>
      </c>
      <c r="C256" s="529">
        <v>11</v>
      </c>
      <c r="D256" s="1027">
        <v>9298971</v>
      </c>
      <c r="E256" s="1028" t="s">
        <v>1874</v>
      </c>
      <c r="F256" s="547"/>
      <c r="G256" s="547"/>
      <c r="H256" s="547"/>
      <c r="I256" s="547"/>
      <c r="J256" s="547"/>
      <c r="K256" s="547"/>
      <c r="L256" s="547"/>
      <c r="M256" s="547"/>
      <c r="N256" s="547"/>
      <c r="O256" s="547"/>
      <c r="P256" s="547"/>
      <c r="Q256" s="547"/>
      <c r="R256" s="547"/>
      <c r="S256" s="989">
        <f t="shared" si="12"/>
        <v>0</v>
      </c>
      <c r="T256" s="547">
        <v>0</v>
      </c>
      <c r="U256" s="989">
        <f t="shared" si="13"/>
        <v>0</v>
      </c>
      <c r="V256" s="547">
        <v>0</v>
      </c>
      <c r="W256" s="566"/>
      <c r="X256" s="567"/>
      <c r="Y256" s="989">
        <f t="shared" si="14"/>
        <v>0</v>
      </c>
      <c r="Z256" s="812">
        <f t="shared" si="15"/>
        <v>0</v>
      </c>
    </row>
    <row r="257" spans="1:26" ht="27" hidden="1" customHeight="1">
      <c r="A257" s="531"/>
      <c r="B257" s="531">
        <v>406</v>
      </c>
      <c r="C257" s="529">
        <v>11</v>
      </c>
      <c r="D257" s="1027" t="s">
        <v>662</v>
      </c>
      <c r="E257" s="1028" t="s">
        <v>988</v>
      </c>
      <c r="F257" s="547">
        <v>8544026008</v>
      </c>
      <c r="G257" s="547">
        <v>-234433365</v>
      </c>
      <c r="H257" s="547">
        <v>-8568440</v>
      </c>
      <c r="I257" s="547">
        <v>-297798335</v>
      </c>
      <c r="J257" s="547"/>
      <c r="K257" s="547"/>
      <c r="L257" s="547"/>
      <c r="M257" s="547"/>
      <c r="N257" s="547">
        <v>0</v>
      </c>
      <c r="O257" s="547">
        <v>-4600500</v>
      </c>
      <c r="P257" s="547"/>
      <c r="Q257" s="547"/>
      <c r="R257" s="547"/>
      <c r="S257" s="989">
        <f t="shared" si="12"/>
        <v>7998625368</v>
      </c>
      <c r="T257" s="547">
        <v>2565120445</v>
      </c>
      <c r="U257" s="989">
        <f t="shared" si="13"/>
        <v>7999</v>
      </c>
      <c r="V257" s="547">
        <v>2565</v>
      </c>
      <c r="W257" s="566"/>
      <c r="X257" s="567"/>
      <c r="Y257" s="989">
        <f t="shared" si="14"/>
        <v>7998625368</v>
      </c>
      <c r="Z257" s="812">
        <f t="shared" si="15"/>
        <v>7999</v>
      </c>
    </row>
    <row r="258" spans="1:26" ht="27" hidden="1" customHeight="1">
      <c r="A258" s="531"/>
      <c r="B258" s="531">
        <v>1018</v>
      </c>
      <c r="C258" s="529">
        <v>17</v>
      </c>
      <c r="D258" s="1027" t="s">
        <v>889</v>
      </c>
      <c r="E258" s="1028" t="s">
        <v>891</v>
      </c>
      <c r="F258" s="547"/>
      <c r="G258" s="547"/>
      <c r="H258" s="547"/>
      <c r="I258" s="547"/>
      <c r="J258" s="547"/>
      <c r="K258" s="547"/>
      <c r="L258" s="547"/>
      <c r="M258" s="547"/>
      <c r="N258" s="547"/>
      <c r="O258" s="547"/>
      <c r="P258" s="547"/>
      <c r="Q258" s="547"/>
      <c r="R258" s="547"/>
      <c r="S258" s="989">
        <f t="shared" si="12"/>
        <v>0</v>
      </c>
      <c r="T258" s="547">
        <v>0</v>
      </c>
      <c r="U258" s="989">
        <f t="shared" si="13"/>
        <v>0</v>
      </c>
      <c r="V258" s="547">
        <v>0</v>
      </c>
      <c r="W258" s="566"/>
      <c r="X258" s="567"/>
      <c r="Y258" s="989">
        <f t="shared" si="14"/>
        <v>0</v>
      </c>
      <c r="Z258" s="812">
        <f t="shared" si="15"/>
        <v>0</v>
      </c>
    </row>
    <row r="259" spans="1:26" ht="27" hidden="1" customHeight="1">
      <c r="A259" s="531"/>
      <c r="B259" s="531">
        <v>1001</v>
      </c>
      <c r="C259" s="529">
        <v>17</v>
      </c>
      <c r="D259" s="1027" t="s">
        <v>116</v>
      </c>
      <c r="E259" s="1028" t="s">
        <v>1265</v>
      </c>
      <c r="F259" s="547">
        <v>-10700000</v>
      </c>
      <c r="G259" s="547"/>
      <c r="H259" s="547"/>
      <c r="I259" s="547"/>
      <c r="J259" s="547"/>
      <c r="K259" s="547"/>
      <c r="L259" s="547"/>
      <c r="M259" s="547"/>
      <c r="N259" s="547"/>
      <c r="O259" s="547"/>
      <c r="P259" s="547"/>
      <c r="Q259" s="547"/>
      <c r="R259" s="547"/>
      <c r="S259" s="989">
        <f t="shared" si="12"/>
        <v>-10700000</v>
      </c>
      <c r="T259" s="547">
        <v>-8000000</v>
      </c>
      <c r="U259" s="989">
        <f t="shared" si="13"/>
        <v>-11</v>
      </c>
      <c r="V259" s="547">
        <v>-8</v>
      </c>
      <c r="W259" s="566"/>
      <c r="X259" s="567"/>
      <c r="Y259" s="989">
        <f t="shared" si="14"/>
        <v>-10700000</v>
      </c>
      <c r="Z259" s="812">
        <f t="shared" si="15"/>
        <v>-11</v>
      </c>
    </row>
    <row r="260" spans="1:26" ht="27" hidden="1" customHeight="1">
      <c r="A260" s="531"/>
      <c r="B260" s="531">
        <v>1001</v>
      </c>
      <c r="C260" s="529">
        <v>17</v>
      </c>
      <c r="D260" s="1027" t="s">
        <v>485</v>
      </c>
      <c r="E260" s="1028" t="s">
        <v>898</v>
      </c>
      <c r="F260" s="547">
        <v>-416175150</v>
      </c>
      <c r="G260" s="547"/>
      <c r="H260" s="547"/>
      <c r="I260" s="547"/>
      <c r="J260" s="547"/>
      <c r="K260" s="547"/>
      <c r="L260" s="547">
        <f>417704944-1529794</f>
        <v>416175150</v>
      </c>
      <c r="M260" s="547"/>
      <c r="N260" s="547"/>
      <c r="O260" s="547"/>
      <c r="P260" s="547"/>
      <c r="Q260" s="547"/>
      <c r="R260" s="547"/>
      <c r="S260" s="989">
        <f t="shared" ref="S260:S323" si="16">SUM(F260:R260)</f>
        <v>0</v>
      </c>
      <c r="T260" s="547">
        <v>1409794</v>
      </c>
      <c r="U260" s="989">
        <f t="shared" ref="U260:U323" si="17">ROUND((S260/1000000),0)</f>
        <v>0</v>
      </c>
      <c r="V260" s="547">
        <v>1</v>
      </c>
      <c r="W260" s="566"/>
      <c r="X260" s="567"/>
      <c r="Y260" s="989">
        <f t="shared" si="14"/>
        <v>0</v>
      </c>
      <c r="Z260" s="812">
        <f t="shared" si="15"/>
        <v>0</v>
      </c>
    </row>
    <row r="261" spans="1:26" ht="27" hidden="1" customHeight="1">
      <c r="A261" s="531"/>
      <c r="B261" s="531">
        <v>1001</v>
      </c>
      <c r="C261" s="529">
        <v>17</v>
      </c>
      <c r="D261" s="1027" t="s">
        <v>485</v>
      </c>
      <c r="E261" s="1028" t="s">
        <v>898</v>
      </c>
      <c r="F261" s="547"/>
      <c r="G261" s="547"/>
      <c r="H261" s="547"/>
      <c r="I261" s="547"/>
      <c r="J261" s="547"/>
      <c r="K261" s="547"/>
      <c r="L261" s="547"/>
      <c r="M261" s="547"/>
      <c r="N261" s="547"/>
      <c r="O261" s="547"/>
      <c r="P261" s="547"/>
      <c r="Q261" s="547"/>
      <c r="R261" s="547"/>
      <c r="S261" s="989">
        <f t="shared" si="16"/>
        <v>0</v>
      </c>
      <c r="T261" s="547">
        <v>0</v>
      </c>
      <c r="U261" s="989">
        <f t="shared" si="17"/>
        <v>0</v>
      </c>
      <c r="V261" s="547">
        <v>0</v>
      </c>
      <c r="W261" s="566"/>
      <c r="X261" s="567"/>
      <c r="Y261" s="989">
        <f t="shared" si="14"/>
        <v>0</v>
      </c>
      <c r="Z261" s="812">
        <f t="shared" si="15"/>
        <v>0</v>
      </c>
    </row>
    <row r="262" spans="1:26" ht="27" hidden="1" customHeight="1">
      <c r="A262" s="531"/>
      <c r="B262" s="531">
        <v>1018</v>
      </c>
      <c r="C262" s="529">
        <v>17</v>
      </c>
      <c r="D262" s="1027" t="s">
        <v>845</v>
      </c>
      <c r="E262" s="1028" t="s">
        <v>899</v>
      </c>
      <c r="F262" s="547">
        <v>-156192762</v>
      </c>
      <c r="G262" s="547"/>
      <c r="H262" s="547"/>
      <c r="I262" s="547"/>
      <c r="J262" s="547"/>
      <c r="K262" s="547"/>
      <c r="L262" s="547">
        <v>52678392</v>
      </c>
      <c r="M262" s="547"/>
      <c r="N262" s="547"/>
      <c r="O262" s="547">
        <v>-1280000</v>
      </c>
      <c r="P262" s="547"/>
      <c r="Q262" s="547"/>
      <c r="R262" s="547"/>
      <c r="S262" s="989">
        <f t="shared" si="16"/>
        <v>-104794370</v>
      </c>
      <c r="T262" s="547">
        <v>113292202</v>
      </c>
      <c r="U262" s="989">
        <f t="shared" si="17"/>
        <v>-105</v>
      </c>
      <c r="V262" s="547">
        <v>113</v>
      </c>
      <c r="W262" s="566"/>
      <c r="X262" s="567"/>
      <c r="Y262" s="989">
        <f t="shared" ref="Y262:Y325" si="18">S262+X262-W262</f>
        <v>-104794370</v>
      </c>
      <c r="Z262" s="812">
        <f t="shared" ref="Z262:Z325" si="19">ROUND((Y262/1000000),0)</f>
        <v>-105</v>
      </c>
    </row>
    <row r="263" spans="1:26" ht="27" hidden="1" customHeight="1">
      <c r="A263" s="531"/>
      <c r="B263" s="531">
        <v>1018</v>
      </c>
      <c r="C263" s="529">
        <v>17</v>
      </c>
      <c r="D263" s="1027" t="s">
        <v>892</v>
      </c>
      <c r="E263" s="1028" t="s">
        <v>1181</v>
      </c>
      <c r="F263" s="547">
        <v>-21513132</v>
      </c>
      <c r="G263" s="547"/>
      <c r="H263" s="547"/>
      <c r="I263" s="547"/>
      <c r="J263" s="547"/>
      <c r="K263" s="547"/>
      <c r="L263" s="547">
        <v>21513132</v>
      </c>
      <c r="M263" s="547"/>
      <c r="N263" s="547"/>
      <c r="O263" s="547"/>
      <c r="P263" s="547"/>
      <c r="Q263" s="547"/>
      <c r="R263" s="547"/>
      <c r="S263" s="989">
        <f t="shared" si="16"/>
        <v>0</v>
      </c>
      <c r="T263" s="547">
        <v>-18195021</v>
      </c>
      <c r="U263" s="989">
        <f t="shared" si="17"/>
        <v>0</v>
      </c>
      <c r="V263" s="547">
        <v>-18</v>
      </c>
      <c r="W263" s="566"/>
      <c r="X263" s="567"/>
      <c r="Y263" s="989">
        <f t="shared" si="18"/>
        <v>0</v>
      </c>
      <c r="Z263" s="812">
        <f t="shared" si="19"/>
        <v>0</v>
      </c>
    </row>
    <row r="264" spans="1:26" ht="27" hidden="1" customHeight="1">
      <c r="A264" s="531"/>
      <c r="B264" s="531">
        <v>1018</v>
      </c>
      <c r="C264" s="529">
        <v>17</v>
      </c>
      <c r="D264" s="1027" t="s">
        <v>1182</v>
      </c>
      <c r="E264" s="1028" t="s">
        <v>1183</v>
      </c>
      <c r="F264" s="547">
        <v>-60000</v>
      </c>
      <c r="G264" s="547"/>
      <c r="H264" s="547"/>
      <c r="I264" s="547"/>
      <c r="J264" s="547"/>
      <c r="K264" s="547"/>
      <c r="L264" s="547"/>
      <c r="M264" s="547"/>
      <c r="N264" s="547"/>
      <c r="O264" s="547"/>
      <c r="P264" s="547"/>
      <c r="Q264" s="547"/>
      <c r="R264" s="547"/>
      <c r="S264" s="989">
        <f t="shared" si="16"/>
        <v>-60000</v>
      </c>
      <c r="T264" s="547">
        <v>-30000</v>
      </c>
      <c r="U264" s="989">
        <f t="shared" si="17"/>
        <v>0</v>
      </c>
      <c r="V264" s="547">
        <v>0</v>
      </c>
      <c r="W264" s="566"/>
      <c r="X264" s="567"/>
      <c r="Y264" s="989">
        <f t="shared" si="18"/>
        <v>-60000</v>
      </c>
      <c r="Z264" s="812">
        <f t="shared" si="19"/>
        <v>0</v>
      </c>
    </row>
    <row r="265" spans="1:26" ht="27" hidden="1" customHeight="1">
      <c r="A265" s="531"/>
      <c r="B265" s="531">
        <v>1018</v>
      </c>
      <c r="C265" s="529">
        <v>17</v>
      </c>
      <c r="D265" s="1027" t="s">
        <v>1184</v>
      </c>
      <c r="E265" s="1028" t="s">
        <v>1185</v>
      </c>
      <c r="F265" s="547">
        <v>-120000</v>
      </c>
      <c r="G265" s="547"/>
      <c r="H265" s="547"/>
      <c r="I265" s="547"/>
      <c r="J265" s="547"/>
      <c r="K265" s="547"/>
      <c r="L265" s="547"/>
      <c r="M265" s="547"/>
      <c r="N265" s="547"/>
      <c r="O265" s="547"/>
      <c r="P265" s="547"/>
      <c r="Q265" s="547"/>
      <c r="R265" s="547"/>
      <c r="S265" s="989">
        <f t="shared" si="16"/>
        <v>-120000</v>
      </c>
      <c r="T265" s="547">
        <v>0</v>
      </c>
      <c r="U265" s="989">
        <f t="shared" si="17"/>
        <v>0</v>
      </c>
      <c r="V265" s="547">
        <v>0</v>
      </c>
      <c r="W265" s="566"/>
      <c r="X265" s="567"/>
      <c r="Y265" s="989">
        <f t="shared" si="18"/>
        <v>-120000</v>
      </c>
      <c r="Z265" s="812">
        <f t="shared" si="19"/>
        <v>0</v>
      </c>
    </row>
    <row r="266" spans="1:26" ht="27" hidden="1" customHeight="1">
      <c r="A266" s="531"/>
      <c r="B266" s="531">
        <v>1018</v>
      </c>
      <c r="C266" s="529">
        <v>17</v>
      </c>
      <c r="D266" s="1027" t="s">
        <v>1186</v>
      </c>
      <c r="E266" s="1028" t="s">
        <v>1187</v>
      </c>
      <c r="F266" s="547">
        <v>60589</v>
      </c>
      <c r="G266" s="547"/>
      <c r="H266" s="547"/>
      <c r="I266" s="547"/>
      <c r="J266" s="547"/>
      <c r="K266" s="547"/>
      <c r="L266" s="547"/>
      <c r="M266" s="547"/>
      <c r="N266" s="547"/>
      <c r="O266" s="547"/>
      <c r="P266" s="547"/>
      <c r="Q266" s="547"/>
      <c r="R266" s="547"/>
      <c r="S266" s="989">
        <f t="shared" si="16"/>
        <v>60589</v>
      </c>
      <c r="T266" s="547">
        <v>180589</v>
      </c>
      <c r="U266" s="989">
        <f t="shared" si="17"/>
        <v>0</v>
      </c>
      <c r="V266" s="547">
        <v>0</v>
      </c>
      <c r="W266" s="566"/>
      <c r="X266" s="567"/>
      <c r="Y266" s="989">
        <f t="shared" si="18"/>
        <v>60589</v>
      </c>
      <c r="Z266" s="812">
        <f t="shared" si="19"/>
        <v>0</v>
      </c>
    </row>
    <row r="267" spans="1:26" ht="27" hidden="1" customHeight="1">
      <c r="A267" s="531"/>
      <c r="B267" s="531">
        <v>1018</v>
      </c>
      <c r="C267" s="529">
        <v>17</v>
      </c>
      <c r="D267" s="1027" t="s">
        <v>844</v>
      </c>
      <c r="E267" s="1028" t="s">
        <v>1188</v>
      </c>
      <c r="F267" s="547">
        <v>-240000</v>
      </c>
      <c r="G267" s="547"/>
      <c r="H267" s="547"/>
      <c r="I267" s="547"/>
      <c r="J267" s="547"/>
      <c r="K267" s="547"/>
      <c r="L267" s="547"/>
      <c r="M267" s="547"/>
      <c r="N267" s="547"/>
      <c r="O267" s="547"/>
      <c r="P267" s="547"/>
      <c r="Q267" s="547"/>
      <c r="R267" s="547"/>
      <c r="S267" s="989">
        <f t="shared" si="16"/>
        <v>-240000</v>
      </c>
      <c r="T267" s="547">
        <v>0</v>
      </c>
      <c r="U267" s="989">
        <f t="shared" si="17"/>
        <v>0</v>
      </c>
      <c r="V267" s="547">
        <v>0</v>
      </c>
      <c r="W267" s="566"/>
      <c r="X267" s="567"/>
      <c r="Y267" s="989">
        <f t="shared" si="18"/>
        <v>-240000</v>
      </c>
      <c r="Z267" s="812">
        <f t="shared" si="19"/>
        <v>0</v>
      </c>
    </row>
    <row r="268" spans="1:26" ht="27" hidden="1" customHeight="1">
      <c r="A268" s="531"/>
      <c r="B268" s="531">
        <v>1018</v>
      </c>
      <c r="C268" s="529">
        <v>17</v>
      </c>
      <c r="D268" s="1027" t="s">
        <v>1247</v>
      </c>
      <c r="E268" s="1028" t="s">
        <v>1105</v>
      </c>
      <c r="F268" s="547">
        <v>500000</v>
      </c>
      <c r="G268" s="547"/>
      <c r="H268" s="547"/>
      <c r="I268" s="547"/>
      <c r="J268" s="547"/>
      <c r="K268" s="547"/>
      <c r="L268" s="547"/>
      <c r="M268" s="547"/>
      <c r="N268" s="547"/>
      <c r="O268" s="547"/>
      <c r="P268" s="547"/>
      <c r="Q268" s="547"/>
      <c r="R268" s="547"/>
      <c r="S268" s="989">
        <f t="shared" si="16"/>
        <v>500000</v>
      </c>
      <c r="T268" s="547">
        <v>-1200000</v>
      </c>
      <c r="U268" s="989">
        <f t="shared" si="17"/>
        <v>1</v>
      </c>
      <c r="V268" s="547">
        <v>-1</v>
      </c>
      <c r="W268" s="566"/>
      <c r="X268" s="567"/>
      <c r="Y268" s="989">
        <f t="shared" si="18"/>
        <v>500000</v>
      </c>
      <c r="Z268" s="812">
        <f t="shared" si="19"/>
        <v>1</v>
      </c>
    </row>
    <row r="269" spans="1:26" ht="27" hidden="1" customHeight="1">
      <c r="A269" s="531"/>
      <c r="B269" s="531">
        <v>401</v>
      </c>
      <c r="C269" s="529">
        <v>11</v>
      </c>
      <c r="D269" s="1027" t="s">
        <v>487</v>
      </c>
      <c r="E269" s="1028" t="s">
        <v>663</v>
      </c>
      <c r="F269" s="547"/>
      <c r="G269" s="547"/>
      <c r="H269" s="547"/>
      <c r="I269" s="547"/>
      <c r="J269" s="547"/>
      <c r="K269" s="547"/>
      <c r="L269" s="547"/>
      <c r="M269" s="547"/>
      <c r="N269" s="547"/>
      <c r="O269" s="547"/>
      <c r="P269" s="547"/>
      <c r="Q269" s="547"/>
      <c r="R269" s="547"/>
      <c r="S269" s="989">
        <f t="shared" si="16"/>
        <v>0</v>
      </c>
      <c r="T269" s="547">
        <v>0</v>
      </c>
      <c r="U269" s="989">
        <f t="shared" si="17"/>
        <v>0</v>
      </c>
      <c r="V269" s="547">
        <v>0</v>
      </c>
      <c r="W269" s="566"/>
      <c r="X269" s="567"/>
      <c r="Y269" s="989">
        <f t="shared" si="18"/>
        <v>0</v>
      </c>
      <c r="Z269" s="812">
        <f t="shared" si="19"/>
        <v>0</v>
      </c>
    </row>
    <row r="270" spans="1:26" ht="27" hidden="1" customHeight="1">
      <c r="A270" s="531"/>
      <c r="B270" s="531">
        <v>401</v>
      </c>
      <c r="C270" s="529">
        <v>11</v>
      </c>
      <c r="D270" s="1027" t="s">
        <v>846</v>
      </c>
      <c r="E270" s="1028" t="s">
        <v>847</v>
      </c>
      <c r="F270" s="547"/>
      <c r="G270" s="547"/>
      <c r="H270" s="547"/>
      <c r="I270" s="547"/>
      <c r="J270" s="547"/>
      <c r="K270" s="547"/>
      <c r="L270" s="547"/>
      <c r="M270" s="547"/>
      <c r="N270" s="547"/>
      <c r="O270" s="547"/>
      <c r="P270" s="547"/>
      <c r="Q270" s="547"/>
      <c r="R270" s="547"/>
      <c r="S270" s="989">
        <f t="shared" si="16"/>
        <v>0</v>
      </c>
      <c r="T270" s="547">
        <v>0</v>
      </c>
      <c r="U270" s="989">
        <f t="shared" si="17"/>
        <v>0</v>
      </c>
      <c r="V270" s="547">
        <v>0</v>
      </c>
      <c r="W270" s="566"/>
      <c r="X270" s="567"/>
      <c r="Y270" s="989">
        <f t="shared" si="18"/>
        <v>0</v>
      </c>
      <c r="Z270" s="812">
        <f t="shared" si="19"/>
        <v>0</v>
      </c>
    </row>
    <row r="271" spans="1:26" ht="27" hidden="1" customHeight="1">
      <c r="A271" s="531"/>
      <c r="B271" s="531">
        <v>1018</v>
      </c>
      <c r="C271" s="529">
        <v>17</v>
      </c>
      <c r="D271" s="1027" t="s">
        <v>1189</v>
      </c>
      <c r="E271" s="1028" t="s">
        <v>1190</v>
      </c>
      <c r="F271" s="547">
        <v>-498216238</v>
      </c>
      <c r="G271" s="547"/>
      <c r="H271" s="547"/>
      <c r="I271" s="547">
        <v>-1418150</v>
      </c>
      <c r="J271" s="547"/>
      <c r="K271" s="547"/>
      <c r="L271" s="547"/>
      <c r="M271" s="547"/>
      <c r="N271" s="547"/>
      <c r="O271" s="547"/>
      <c r="P271" s="547"/>
      <c r="Q271" s="547"/>
      <c r="R271" s="547"/>
      <c r="S271" s="989">
        <f t="shared" si="16"/>
        <v>-499634388</v>
      </c>
      <c r="T271" s="547">
        <v>-471221640</v>
      </c>
      <c r="U271" s="989">
        <f t="shared" si="17"/>
        <v>-500</v>
      </c>
      <c r="V271" s="547">
        <v>-471</v>
      </c>
      <c r="W271" s="566"/>
      <c r="X271" s="567"/>
      <c r="Y271" s="989">
        <f t="shared" si="18"/>
        <v>-499634388</v>
      </c>
      <c r="Z271" s="812">
        <f t="shared" si="19"/>
        <v>-500</v>
      </c>
    </row>
    <row r="272" spans="1:26" ht="27" hidden="1" customHeight="1">
      <c r="A272" s="531"/>
      <c r="B272" s="531">
        <v>1001</v>
      </c>
      <c r="C272" s="529">
        <v>17</v>
      </c>
      <c r="D272" s="1027" t="s">
        <v>1335</v>
      </c>
      <c r="E272" s="1028" t="s">
        <v>1336</v>
      </c>
      <c r="F272" s="547">
        <v>12115607</v>
      </c>
      <c r="G272" s="547"/>
      <c r="H272" s="547"/>
      <c r="I272" s="547"/>
      <c r="J272" s="547"/>
      <c r="K272" s="547"/>
      <c r="L272" s="547"/>
      <c r="M272" s="547"/>
      <c r="N272" s="547"/>
      <c r="O272" s="547"/>
      <c r="P272" s="547"/>
      <c r="Q272" s="547"/>
      <c r="R272" s="547"/>
      <c r="S272" s="989">
        <f t="shared" si="16"/>
        <v>12115607</v>
      </c>
      <c r="T272" s="547">
        <v>11304644</v>
      </c>
      <c r="U272" s="989">
        <f t="shared" si="17"/>
        <v>12</v>
      </c>
      <c r="V272" s="547">
        <v>11</v>
      </c>
      <c r="W272" s="566"/>
      <c r="X272" s="567"/>
      <c r="Y272" s="989">
        <f t="shared" si="18"/>
        <v>12115607</v>
      </c>
      <c r="Z272" s="812">
        <f t="shared" si="19"/>
        <v>12</v>
      </c>
    </row>
    <row r="273" spans="1:26" ht="27" hidden="1" customHeight="1">
      <c r="A273" s="531"/>
      <c r="B273" s="531">
        <v>1001</v>
      </c>
      <c r="C273" s="529">
        <v>17</v>
      </c>
      <c r="D273" s="1027" t="s">
        <v>1538</v>
      </c>
      <c r="E273" s="1028" t="s">
        <v>1545</v>
      </c>
      <c r="F273" s="547">
        <v>-804134</v>
      </c>
      <c r="G273" s="547"/>
      <c r="H273" s="547"/>
      <c r="I273" s="547"/>
      <c r="J273" s="547"/>
      <c r="K273" s="547"/>
      <c r="L273" s="547"/>
      <c r="M273" s="547"/>
      <c r="N273" s="547"/>
      <c r="O273" s="547"/>
      <c r="P273" s="547"/>
      <c r="Q273" s="547"/>
      <c r="R273" s="547"/>
      <c r="S273" s="989">
        <f t="shared" si="16"/>
        <v>-804134</v>
      </c>
      <c r="T273" s="547">
        <v>-158134</v>
      </c>
      <c r="U273" s="989">
        <f t="shared" si="17"/>
        <v>-1</v>
      </c>
      <c r="V273" s="547">
        <v>0</v>
      </c>
      <c r="W273" s="566"/>
      <c r="X273" s="567"/>
      <c r="Y273" s="989">
        <f t="shared" si="18"/>
        <v>-804134</v>
      </c>
      <c r="Z273" s="812">
        <f t="shared" si="19"/>
        <v>-1</v>
      </c>
    </row>
    <row r="274" spans="1:26" ht="27" hidden="1" customHeight="1">
      <c r="A274" s="531"/>
      <c r="B274" s="531">
        <v>1001</v>
      </c>
      <c r="C274" s="529">
        <v>17</v>
      </c>
      <c r="D274" s="1027" t="s">
        <v>1539</v>
      </c>
      <c r="E274" s="1028" t="s">
        <v>1546</v>
      </c>
      <c r="F274" s="547">
        <v>11149</v>
      </c>
      <c r="G274" s="547"/>
      <c r="H274" s="547"/>
      <c r="I274" s="547"/>
      <c r="J274" s="547"/>
      <c r="K274" s="547"/>
      <c r="L274" s="547"/>
      <c r="M274" s="547"/>
      <c r="N274" s="547"/>
      <c r="O274" s="547"/>
      <c r="P274" s="547"/>
      <c r="Q274" s="547"/>
      <c r="R274" s="547"/>
      <c r="S274" s="989">
        <f t="shared" si="16"/>
        <v>11149</v>
      </c>
      <c r="T274" s="547">
        <v>151658</v>
      </c>
      <c r="U274" s="989">
        <f t="shared" si="17"/>
        <v>0</v>
      </c>
      <c r="V274" s="547">
        <v>0</v>
      </c>
      <c r="W274" s="566"/>
      <c r="X274" s="567"/>
      <c r="Y274" s="989">
        <f t="shared" si="18"/>
        <v>11149</v>
      </c>
      <c r="Z274" s="812">
        <f t="shared" si="19"/>
        <v>0</v>
      </c>
    </row>
    <row r="275" spans="1:26" ht="27" hidden="1" customHeight="1">
      <c r="A275" s="531"/>
      <c r="B275" s="531">
        <v>1001</v>
      </c>
      <c r="C275" s="529">
        <v>17</v>
      </c>
      <c r="D275" s="1027" t="s">
        <v>1540</v>
      </c>
      <c r="E275" s="1028" t="s">
        <v>1547</v>
      </c>
      <c r="F275" s="547">
        <v>-1381380</v>
      </c>
      <c r="G275" s="547"/>
      <c r="H275" s="547"/>
      <c r="I275" s="547"/>
      <c r="J275" s="547"/>
      <c r="K275" s="547"/>
      <c r="L275" s="547"/>
      <c r="M275" s="547"/>
      <c r="N275" s="547"/>
      <c r="O275" s="547"/>
      <c r="P275" s="547"/>
      <c r="Q275" s="547"/>
      <c r="R275" s="547"/>
      <c r="S275" s="989">
        <f t="shared" si="16"/>
        <v>-1381380</v>
      </c>
      <c r="T275" s="547">
        <v>-198380</v>
      </c>
      <c r="U275" s="989">
        <f t="shared" si="17"/>
        <v>-1</v>
      </c>
      <c r="V275" s="547">
        <v>0</v>
      </c>
      <c r="W275" s="566"/>
      <c r="X275" s="567"/>
      <c r="Y275" s="989">
        <f t="shared" si="18"/>
        <v>-1381380</v>
      </c>
      <c r="Z275" s="812">
        <f t="shared" si="19"/>
        <v>-1</v>
      </c>
    </row>
    <row r="276" spans="1:26" ht="27" hidden="1" customHeight="1">
      <c r="A276" s="531"/>
      <c r="B276" s="531">
        <v>1001</v>
      </c>
      <c r="C276" s="529">
        <v>17</v>
      </c>
      <c r="D276" s="1027" t="s">
        <v>1541</v>
      </c>
      <c r="E276" s="1028" t="s">
        <v>1548</v>
      </c>
      <c r="F276" s="547">
        <v>1636389</v>
      </c>
      <c r="G276" s="547"/>
      <c r="H276" s="547"/>
      <c r="I276" s="547"/>
      <c r="J276" s="547"/>
      <c r="K276" s="547"/>
      <c r="L276" s="547"/>
      <c r="M276" s="547"/>
      <c r="N276" s="547"/>
      <c r="O276" s="547"/>
      <c r="P276" s="547"/>
      <c r="Q276" s="547"/>
      <c r="R276" s="547"/>
      <c r="S276" s="989">
        <f t="shared" si="16"/>
        <v>1636389</v>
      </c>
      <c r="T276" s="547">
        <v>3533240</v>
      </c>
      <c r="U276" s="989">
        <f t="shared" si="17"/>
        <v>2</v>
      </c>
      <c r="V276" s="547">
        <v>4</v>
      </c>
      <c r="W276" s="566"/>
      <c r="X276" s="567"/>
      <c r="Y276" s="989">
        <f t="shared" si="18"/>
        <v>1636389</v>
      </c>
      <c r="Z276" s="812">
        <f t="shared" si="19"/>
        <v>2</v>
      </c>
    </row>
    <row r="277" spans="1:26" ht="27" hidden="1" customHeight="1">
      <c r="A277" s="531"/>
      <c r="B277" s="531">
        <v>1001</v>
      </c>
      <c r="C277" s="529">
        <v>17</v>
      </c>
      <c r="D277" s="1027" t="s">
        <v>1542</v>
      </c>
      <c r="E277" s="1028" t="s">
        <v>1549</v>
      </c>
      <c r="F277" s="547">
        <v>-3216610</v>
      </c>
      <c r="G277" s="547"/>
      <c r="H277" s="547"/>
      <c r="I277" s="547"/>
      <c r="J277" s="547"/>
      <c r="K277" s="547"/>
      <c r="L277" s="547"/>
      <c r="M277" s="547"/>
      <c r="N277" s="547"/>
      <c r="O277" s="547"/>
      <c r="P277" s="547"/>
      <c r="Q277" s="547"/>
      <c r="R277" s="547"/>
      <c r="S277" s="989">
        <f t="shared" si="16"/>
        <v>-3216610</v>
      </c>
      <c r="T277" s="547">
        <v>-632610</v>
      </c>
      <c r="U277" s="989">
        <f t="shared" si="17"/>
        <v>-3</v>
      </c>
      <c r="V277" s="547">
        <v>-1</v>
      </c>
      <c r="W277" s="566"/>
      <c r="X277" s="567"/>
      <c r="Y277" s="989">
        <f t="shared" si="18"/>
        <v>-3216610</v>
      </c>
      <c r="Z277" s="812">
        <f t="shared" si="19"/>
        <v>-3</v>
      </c>
    </row>
    <row r="278" spans="1:26" ht="27" hidden="1" customHeight="1">
      <c r="A278" s="531"/>
      <c r="B278" s="531">
        <v>1001</v>
      </c>
      <c r="C278" s="529">
        <v>17</v>
      </c>
      <c r="D278" s="1027" t="s">
        <v>1543</v>
      </c>
      <c r="E278" s="1028" t="s">
        <v>1550</v>
      </c>
      <c r="F278" s="547">
        <v>22268</v>
      </c>
      <c r="G278" s="547"/>
      <c r="H278" s="547"/>
      <c r="I278" s="547"/>
      <c r="J278" s="547"/>
      <c r="K278" s="547"/>
      <c r="L278" s="547"/>
      <c r="M278" s="547"/>
      <c r="N278" s="547"/>
      <c r="O278" s="547"/>
      <c r="P278" s="547"/>
      <c r="Q278" s="547"/>
      <c r="R278" s="547"/>
      <c r="S278" s="989">
        <f t="shared" si="16"/>
        <v>22268</v>
      </c>
      <c r="T278" s="547">
        <v>303284</v>
      </c>
      <c r="U278" s="989">
        <f t="shared" si="17"/>
        <v>0</v>
      </c>
      <c r="V278" s="547">
        <v>0</v>
      </c>
      <c r="W278" s="566"/>
      <c r="X278" s="567"/>
      <c r="Y278" s="989">
        <f t="shared" si="18"/>
        <v>22268</v>
      </c>
      <c r="Z278" s="812">
        <f t="shared" si="19"/>
        <v>0</v>
      </c>
    </row>
    <row r="279" spans="1:26" ht="27" hidden="1" customHeight="1">
      <c r="A279" s="531"/>
      <c r="B279" s="531">
        <v>1001</v>
      </c>
      <c r="C279" s="529">
        <v>17</v>
      </c>
      <c r="D279" s="1027" t="s">
        <v>1544</v>
      </c>
      <c r="E279" s="1028" t="s">
        <v>1551</v>
      </c>
      <c r="F279" s="547">
        <v>-262940</v>
      </c>
      <c r="G279" s="547"/>
      <c r="H279" s="547"/>
      <c r="I279" s="547"/>
      <c r="J279" s="547"/>
      <c r="K279" s="547"/>
      <c r="L279" s="547"/>
      <c r="M279" s="547"/>
      <c r="N279" s="547"/>
      <c r="O279" s="547"/>
      <c r="P279" s="547"/>
      <c r="Q279" s="547"/>
      <c r="R279" s="547"/>
      <c r="S279" s="989">
        <f t="shared" si="16"/>
        <v>-262940</v>
      </c>
      <c r="T279" s="547">
        <v>1104060</v>
      </c>
      <c r="U279" s="989">
        <f t="shared" si="17"/>
        <v>0</v>
      </c>
      <c r="V279" s="547">
        <v>1</v>
      </c>
      <c r="W279" s="566"/>
      <c r="X279" s="567"/>
      <c r="Y279" s="989">
        <f t="shared" si="18"/>
        <v>-262940</v>
      </c>
      <c r="Z279" s="812">
        <f t="shared" si="19"/>
        <v>0</v>
      </c>
    </row>
    <row r="280" spans="1:26" ht="27" hidden="1" customHeight="1">
      <c r="A280" s="531"/>
      <c r="B280" s="531">
        <v>406</v>
      </c>
      <c r="C280" s="529">
        <v>11</v>
      </c>
      <c r="D280" s="1027" t="s">
        <v>1191</v>
      </c>
      <c r="E280" s="1028" t="s">
        <v>1192</v>
      </c>
      <c r="F280" s="547">
        <v>3233832</v>
      </c>
      <c r="G280" s="547"/>
      <c r="H280" s="547"/>
      <c r="I280" s="547"/>
      <c r="J280" s="547"/>
      <c r="K280" s="547"/>
      <c r="L280" s="547"/>
      <c r="M280" s="547"/>
      <c r="N280" s="547"/>
      <c r="O280" s="547"/>
      <c r="P280" s="547"/>
      <c r="Q280" s="547"/>
      <c r="R280" s="547"/>
      <c r="S280" s="989">
        <f t="shared" si="16"/>
        <v>3233832</v>
      </c>
      <c r="T280" s="547">
        <v>3233832</v>
      </c>
      <c r="U280" s="989">
        <f t="shared" si="17"/>
        <v>3</v>
      </c>
      <c r="V280" s="547">
        <v>3</v>
      </c>
      <c r="W280" s="566"/>
      <c r="X280" s="567"/>
      <c r="Y280" s="989">
        <f t="shared" si="18"/>
        <v>3233832</v>
      </c>
      <c r="Z280" s="812">
        <f t="shared" si="19"/>
        <v>3</v>
      </c>
    </row>
    <row r="281" spans="1:26" ht="27" hidden="1" customHeight="1">
      <c r="A281" s="531"/>
      <c r="B281" s="531">
        <v>1018</v>
      </c>
      <c r="C281" s="529">
        <v>17</v>
      </c>
      <c r="D281" s="1027" t="s">
        <v>989</v>
      </c>
      <c r="E281" s="1028" t="s">
        <v>990</v>
      </c>
      <c r="F281" s="547"/>
      <c r="G281" s="547"/>
      <c r="H281" s="547"/>
      <c r="I281" s="547"/>
      <c r="J281" s="547"/>
      <c r="K281" s="547"/>
      <c r="L281" s="547"/>
      <c r="M281" s="547"/>
      <c r="N281" s="547"/>
      <c r="O281" s="547"/>
      <c r="P281" s="547"/>
      <c r="Q281" s="547"/>
      <c r="R281" s="547"/>
      <c r="S281" s="989">
        <f t="shared" si="16"/>
        <v>0</v>
      </c>
      <c r="T281" s="547">
        <v>0</v>
      </c>
      <c r="U281" s="989">
        <f t="shared" si="17"/>
        <v>0</v>
      </c>
      <c r="V281" s="547">
        <v>0</v>
      </c>
      <c r="W281" s="566"/>
      <c r="X281" s="567"/>
      <c r="Y281" s="989">
        <f t="shared" si="18"/>
        <v>0</v>
      </c>
      <c r="Z281" s="812">
        <f t="shared" si="19"/>
        <v>0</v>
      </c>
    </row>
    <row r="282" spans="1:26" ht="27" hidden="1" customHeight="1">
      <c r="A282" s="531"/>
      <c r="B282" s="531">
        <v>1018</v>
      </c>
      <c r="C282" s="529">
        <v>17</v>
      </c>
      <c r="D282" s="1027" t="s">
        <v>991</v>
      </c>
      <c r="E282" s="1028" t="s">
        <v>992</v>
      </c>
      <c r="F282" s="547"/>
      <c r="G282" s="547"/>
      <c r="H282" s="547"/>
      <c r="I282" s="547"/>
      <c r="J282" s="547"/>
      <c r="K282" s="547"/>
      <c r="L282" s="547"/>
      <c r="M282" s="547"/>
      <c r="N282" s="547"/>
      <c r="O282" s="547"/>
      <c r="P282" s="547"/>
      <c r="Q282" s="547"/>
      <c r="R282" s="547"/>
      <c r="S282" s="989">
        <f t="shared" si="16"/>
        <v>0</v>
      </c>
      <c r="T282" s="547">
        <v>-3200000</v>
      </c>
      <c r="U282" s="989">
        <f t="shared" si="17"/>
        <v>0</v>
      </c>
      <c r="V282" s="547">
        <v>-3</v>
      </c>
      <c r="W282" s="566"/>
      <c r="X282" s="567"/>
      <c r="Y282" s="989">
        <f t="shared" si="18"/>
        <v>0</v>
      </c>
      <c r="Z282" s="812">
        <f t="shared" si="19"/>
        <v>0</v>
      </c>
    </row>
    <row r="283" spans="1:26" ht="27" hidden="1" customHeight="1">
      <c r="A283" s="531"/>
      <c r="B283" s="531">
        <v>1018</v>
      </c>
      <c r="C283" s="529">
        <v>17</v>
      </c>
      <c r="D283" s="1027" t="s">
        <v>277</v>
      </c>
      <c r="E283" s="1028" t="s">
        <v>278</v>
      </c>
      <c r="F283" s="547">
        <v>5552211</v>
      </c>
      <c r="G283" s="547"/>
      <c r="H283" s="547"/>
      <c r="I283" s="547"/>
      <c r="J283" s="547"/>
      <c r="K283" s="547"/>
      <c r="L283" s="547"/>
      <c r="M283" s="547"/>
      <c r="N283" s="547"/>
      <c r="O283" s="547"/>
      <c r="P283" s="547"/>
      <c r="Q283" s="547"/>
      <c r="R283" s="547"/>
      <c r="S283" s="989">
        <f t="shared" si="16"/>
        <v>5552211</v>
      </c>
      <c r="T283" s="547">
        <v>381800</v>
      </c>
      <c r="U283" s="989">
        <f t="shared" si="17"/>
        <v>6</v>
      </c>
      <c r="V283" s="547">
        <v>0</v>
      </c>
      <c r="W283" s="566"/>
      <c r="X283" s="567"/>
      <c r="Y283" s="989">
        <f t="shared" si="18"/>
        <v>5552211</v>
      </c>
      <c r="Z283" s="812">
        <f t="shared" si="19"/>
        <v>6</v>
      </c>
    </row>
    <row r="284" spans="1:26" ht="27" hidden="1" customHeight="1">
      <c r="A284" s="531"/>
      <c r="B284" s="531">
        <v>1018</v>
      </c>
      <c r="C284" s="529">
        <v>17</v>
      </c>
      <c r="D284" s="1027" t="s">
        <v>993</v>
      </c>
      <c r="E284" s="1028" t="s">
        <v>994</v>
      </c>
      <c r="F284" s="547">
        <v>-200000</v>
      </c>
      <c r="G284" s="547"/>
      <c r="H284" s="547"/>
      <c r="I284" s="547"/>
      <c r="J284" s="547"/>
      <c r="K284" s="547"/>
      <c r="L284" s="547"/>
      <c r="M284" s="547"/>
      <c r="N284" s="547"/>
      <c r="O284" s="547"/>
      <c r="P284" s="547"/>
      <c r="Q284" s="547"/>
      <c r="R284" s="547"/>
      <c r="S284" s="989">
        <f t="shared" si="16"/>
        <v>-200000</v>
      </c>
      <c r="T284" s="547">
        <v>-200000</v>
      </c>
      <c r="U284" s="989">
        <f t="shared" si="17"/>
        <v>0</v>
      </c>
      <c r="V284" s="547">
        <v>0</v>
      </c>
      <c r="W284" s="566"/>
      <c r="X284" s="567"/>
      <c r="Y284" s="989">
        <f t="shared" si="18"/>
        <v>-200000</v>
      </c>
      <c r="Z284" s="812">
        <f t="shared" si="19"/>
        <v>0</v>
      </c>
    </row>
    <row r="285" spans="1:26" ht="27" hidden="1" customHeight="1">
      <c r="A285" s="531"/>
      <c r="B285" s="531">
        <v>1018</v>
      </c>
      <c r="C285" s="529">
        <v>17</v>
      </c>
      <c r="D285" s="1027" t="s">
        <v>995</v>
      </c>
      <c r="E285" s="1028" t="s">
        <v>996</v>
      </c>
      <c r="F285" s="547">
        <v>100000</v>
      </c>
      <c r="G285" s="547"/>
      <c r="H285" s="547"/>
      <c r="I285" s="547"/>
      <c r="J285" s="547"/>
      <c r="K285" s="547"/>
      <c r="L285" s="547"/>
      <c r="M285" s="547"/>
      <c r="N285" s="547"/>
      <c r="O285" s="547"/>
      <c r="P285" s="547"/>
      <c r="Q285" s="547"/>
      <c r="R285" s="547"/>
      <c r="S285" s="989">
        <f t="shared" si="16"/>
        <v>100000</v>
      </c>
      <c r="T285" s="547">
        <v>100000</v>
      </c>
      <c r="U285" s="989">
        <f t="shared" si="17"/>
        <v>0</v>
      </c>
      <c r="V285" s="547">
        <v>0</v>
      </c>
      <c r="W285" s="566"/>
      <c r="X285" s="567"/>
      <c r="Y285" s="989">
        <f t="shared" si="18"/>
        <v>100000</v>
      </c>
      <c r="Z285" s="812">
        <f t="shared" si="19"/>
        <v>0</v>
      </c>
    </row>
    <row r="286" spans="1:26" ht="27" hidden="1" customHeight="1">
      <c r="A286" s="531"/>
      <c r="B286" s="531">
        <v>406</v>
      </c>
      <c r="C286" s="529">
        <v>11</v>
      </c>
      <c r="D286" s="1027" t="s">
        <v>1106</v>
      </c>
      <c r="E286" s="1028" t="s">
        <v>1337</v>
      </c>
      <c r="F286" s="547"/>
      <c r="G286" s="547"/>
      <c r="H286" s="547"/>
      <c r="I286" s="547"/>
      <c r="J286" s="547"/>
      <c r="K286" s="547"/>
      <c r="L286" s="547"/>
      <c r="M286" s="547"/>
      <c r="N286" s="547"/>
      <c r="O286" s="547"/>
      <c r="P286" s="547"/>
      <c r="Q286" s="547"/>
      <c r="R286" s="547"/>
      <c r="S286" s="989">
        <f t="shared" si="16"/>
        <v>0</v>
      </c>
      <c r="T286" s="547">
        <v>0</v>
      </c>
      <c r="U286" s="989">
        <f t="shared" si="17"/>
        <v>0</v>
      </c>
      <c r="V286" s="547">
        <v>0</v>
      </c>
      <c r="W286" s="566"/>
      <c r="X286" s="567"/>
      <c r="Y286" s="989">
        <f t="shared" si="18"/>
        <v>0</v>
      </c>
      <c r="Z286" s="812">
        <f t="shared" si="19"/>
        <v>0</v>
      </c>
    </row>
    <row r="287" spans="1:26" ht="27" hidden="1" customHeight="1">
      <c r="A287" s="531"/>
      <c r="B287" s="531">
        <v>1018</v>
      </c>
      <c r="C287" s="529">
        <v>17</v>
      </c>
      <c r="D287" s="1027" t="s">
        <v>1373</v>
      </c>
      <c r="E287" s="1028" t="s">
        <v>1374</v>
      </c>
      <c r="F287" s="547"/>
      <c r="G287" s="547"/>
      <c r="H287" s="547"/>
      <c r="I287" s="547"/>
      <c r="J287" s="547"/>
      <c r="K287" s="547"/>
      <c r="L287" s="547"/>
      <c r="M287" s="547"/>
      <c r="N287" s="547"/>
      <c r="O287" s="547"/>
      <c r="P287" s="547"/>
      <c r="Q287" s="547"/>
      <c r="R287" s="547"/>
      <c r="S287" s="989">
        <f t="shared" si="16"/>
        <v>0</v>
      </c>
      <c r="T287" s="547">
        <v>0</v>
      </c>
      <c r="U287" s="989">
        <f t="shared" si="17"/>
        <v>0</v>
      </c>
      <c r="V287" s="547">
        <v>0</v>
      </c>
      <c r="W287" s="566"/>
      <c r="X287" s="567"/>
      <c r="Y287" s="989">
        <f t="shared" si="18"/>
        <v>0</v>
      </c>
      <c r="Z287" s="812">
        <f t="shared" si="19"/>
        <v>0</v>
      </c>
    </row>
    <row r="288" spans="1:26" ht="27" hidden="1" customHeight="1">
      <c r="A288" s="531"/>
      <c r="B288" s="531">
        <v>1018</v>
      </c>
      <c r="C288" s="529">
        <v>17</v>
      </c>
      <c r="D288" s="1027" t="s">
        <v>1193</v>
      </c>
      <c r="E288" s="1028" t="s">
        <v>1194</v>
      </c>
      <c r="F288" s="547">
        <v>-1350074</v>
      </c>
      <c r="G288" s="547"/>
      <c r="H288" s="547"/>
      <c r="I288" s="547"/>
      <c r="J288" s="547"/>
      <c r="K288" s="547"/>
      <c r="L288" s="547"/>
      <c r="M288" s="547"/>
      <c r="N288" s="547"/>
      <c r="O288" s="547"/>
      <c r="P288" s="547"/>
      <c r="Q288" s="547"/>
      <c r="R288" s="547"/>
      <c r="S288" s="989">
        <f t="shared" si="16"/>
        <v>-1350074</v>
      </c>
      <c r="T288" s="547">
        <v>-430000</v>
      </c>
      <c r="U288" s="989">
        <f t="shared" si="17"/>
        <v>-1</v>
      </c>
      <c r="V288" s="547">
        <v>0</v>
      </c>
      <c r="W288" s="566"/>
      <c r="X288" s="567"/>
      <c r="Y288" s="989">
        <f t="shared" si="18"/>
        <v>-1350074</v>
      </c>
      <c r="Z288" s="812">
        <f t="shared" si="19"/>
        <v>-1</v>
      </c>
    </row>
    <row r="289" spans="1:26" ht="27" hidden="1" customHeight="1">
      <c r="A289" s="531"/>
      <c r="B289" s="531">
        <v>1001</v>
      </c>
      <c r="C289" s="529">
        <v>17</v>
      </c>
      <c r="D289" s="1027" t="s">
        <v>1338</v>
      </c>
      <c r="E289" s="1028" t="s">
        <v>1339</v>
      </c>
      <c r="F289" s="547">
        <v>0</v>
      </c>
      <c r="G289" s="547"/>
      <c r="H289" s="547"/>
      <c r="I289" s="547"/>
      <c r="J289" s="547"/>
      <c r="K289" s="547"/>
      <c r="L289" s="547"/>
      <c r="M289" s="547"/>
      <c r="N289" s="547"/>
      <c r="O289" s="547"/>
      <c r="P289" s="547"/>
      <c r="Q289" s="547"/>
      <c r="R289" s="547"/>
      <c r="S289" s="989">
        <f t="shared" si="16"/>
        <v>0</v>
      </c>
      <c r="T289" s="547">
        <v>0</v>
      </c>
      <c r="U289" s="989">
        <f t="shared" si="17"/>
        <v>0</v>
      </c>
      <c r="V289" s="547">
        <v>0</v>
      </c>
      <c r="W289" s="566"/>
      <c r="X289" s="567"/>
      <c r="Y289" s="989">
        <f t="shared" si="18"/>
        <v>0</v>
      </c>
      <c r="Z289" s="812">
        <f t="shared" si="19"/>
        <v>0</v>
      </c>
    </row>
    <row r="290" spans="1:26" ht="27" hidden="1" customHeight="1">
      <c r="A290" s="531"/>
      <c r="B290" s="531">
        <v>1018</v>
      </c>
      <c r="C290" s="529">
        <v>17</v>
      </c>
      <c r="D290" s="1027" t="s">
        <v>752</v>
      </c>
      <c r="E290" s="1028" t="s">
        <v>997</v>
      </c>
      <c r="F290" s="547"/>
      <c r="G290" s="547"/>
      <c r="H290" s="547"/>
      <c r="I290" s="547"/>
      <c r="J290" s="547"/>
      <c r="K290" s="547"/>
      <c r="L290" s="547"/>
      <c r="M290" s="547"/>
      <c r="N290" s="547"/>
      <c r="O290" s="547"/>
      <c r="P290" s="547"/>
      <c r="Q290" s="547"/>
      <c r="R290" s="547"/>
      <c r="S290" s="989">
        <f t="shared" si="16"/>
        <v>0</v>
      </c>
      <c r="T290" s="547">
        <v>0</v>
      </c>
      <c r="U290" s="989">
        <f t="shared" si="17"/>
        <v>0</v>
      </c>
      <c r="V290" s="547">
        <v>0</v>
      </c>
      <c r="W290" s="566"/>
      <c r="X290" s="567"/>
      <c r="Y290" s="989">
        <f t="shared" si="18"/>
        <v>0</v>
      </c>
      <c r="Z290" s="812">
        <f t="shared" si="19"/>
        <v>0</v>
      </c>
    </row>
    <row r="291" spans="1:26" ht="27" hidden="1" customHeight="1">
      <c r="A291" s="531"/>
      <c r="B291" s="531">
        <v>1018</v>
      </c>
      <c r="C291" s="529">
        <v>17</v>
      </c>
      <c r="D291" s="1027" t="s">
        <v>665</v>
      </c>
      <c r="E291" s="1028" t="s">
        <v>664</v>
      </c>
      <c r="F291" s="547"/>
      <c r="G291" s="547"/>
      <c r="H291" s="547"/>
      <c r="I291" s="547"/>
      <c r="J291" s="547"/>
      <c r="K291" s="547"/>
      <c r="L291" s="547"/>
      <c r="M291" s="547"/>
      <c r="N291" s="547"/>
      <c r="O291" s="547"/>
      <c r="P291" s="547"/>
      <c r="Q291" s="547"/>
      <c r="R291" s="547"/>
      <c r="S291" s="989">
        <f t="shared" si="16"/>
        <v>0</v>
      </c>
      <c r="T291" s="547">
        <v>0</v>
      </c>
      <c r="U291" s="989">
        <f t="shared" si="17"/>
        <v>0</v>
      </c>
      <c r="V291" s="547">
        <v>0</v>
      </c>
      <c r="W291" s="566"/>
      <c r="X291" s="567"/>
      <c r="Y291" s="989">
        <f t="shared" si="18"/>
        <v>0</v>
      </c>
      <c r="Z291" s="812">
        <f t="shared" si="19"/>
        <v>0</v>
      </c>
    </row>
    <row r="292" spans="1:26" ht="27" hidden="1" customHeight="1">
      <c r="A292" s="531"/>
      <c r="B292" s="531">
        <v>406</v>
      </c>
      <c r="C292" s="529">
        <v>11</v>
      </c>
      <c r="D292" s="1027" t="s">
        <v>489</v>
      </c>
      <c r="E292" s="1028" t="s">
        <v>854</v>
      </c>
      <c r="F292" s="547">
        <v>71320783</v>
      </c>
      <c r="G292" s="547"/>
      <c r="H292" s="547"/>
      <c r="I292" s="547"/>
      <c r="J292" s="547"/>
      <c r="K292" s="547"/>
      <c r="L292" s="547"/>
      <c r="M292" s="547"/>
      <c r="N292" s="547"/>
      <c r="O292" s="547"/>
      <c r="P292" s="547"/>
      <c r="Q292" s="547"/>
      <c r="R292" s="547"/>
      <c r="S292" s="989">
        <f t="shared" si="16"/>
        <v>71320783</v>
      </c>
      <c r="T292" s="547">
        <v>71320783</v>
      </c>
      <c r="U292" s="989">
        <f t="shared" si="17"/>
        <v>71</v>
      </c>
      <c r="V292" s="547">
        <v>71</v>
      </c>
      <c r="W292" s="566"/>
      <c r="X292" s="567"/>
      <c r="Y292" s="989">
        <f t="shared" si="18"/>
        <v>71320783</v>
      </c>
      <c r="Z292" s="812">
        <f t="shared" si="19"/>
        <v>71</v>
      </c>
    </row>
    <row r="293" spans="1:26" ht="26.25" hidden="1" customHeight="1">
      <c r="A293" s="531"/>
      <c r="B293" s="531">
        <v>406</v>
      </c>
      <c r="C293" s="529">
        <v>11</v>
      </c>
      <c r="D293" s="1027" t="s">
        <v>293</v>
      </c>
      <c r="E293" s="1028" t="s">
        <v>467</v>
      </c>
      <c r="F293" s="547">
        <v>5248156308</v>
      </c>
      <c r="G293" s="547">
        <v>811899733</v>
      </c>
      <c r="H293" s="547"/>
      <c r="I293" s="547"/>
      <c r="J293" s="547"/>
      <c r="K293" s="547"/>
      <c r="L293" s="547"/>
      <c r="M293" s="547"/>
      <c r="N293" s="547"/>
      <c r="O293" s="547"/>
      <c r="P293" s="547"/>
      <c r="Q293" s="547"/>
      <c r="R293" s="547"/>
      <c r="S293" s="989">
        <f t="shared" si="16"/>
        <v>6060056041</v>
      </c>
      <c r="T293" s="547">
        <v>5288493247</v>
      </c>
      <c r="U293" s="989">
        <f t="shared" si="17"/>
        <v>6060</v>
      </c>
      <c r="V293" s="547">
        <v>5289</v>
      </c>
      <c r="W293" s="566"/>
      <c r="X293" s="567"/>
      <c r="Y293" s="989">
        <f t="shared" si="18"/>
        <v>6060056041</v>
      </c>
      <c r="Z293" s="812">
        <f t="shared" si="19"/>
        <v>6060</v>
      </c>
    </row>
    <row r="294" spans="1:26" ht="27" customHeight="1">
      <c r="A294" s="531">
        <v>3214</v>
      </c>
      <c r="B294" s="531">
        <v>408</v>
      </c>
      <c r="C294" s="529">
        <v>11</v>
      </c>
      <c r="D294" s="1027" t="s">
        <v>293</v>
      </c>
      <c r="E294" s="1028" t="s">
        <v>1435</v>
      </c>
      <c r="F294" s="547"/>
      <c r="G294" s="547"/>
      <c r="H294" s="547"/>
      <c r="I294" s="547"/>
      <c r="J294" s="547"/>
      <c r="K294" s="547"/>
      <c r="L294" s="547"/>
      <c r="M294" s="547"/>
      <c r="N294" s="547"/>
      <c r="O294" s="547">
        <v>491284846526</v>
      </c>
      <c r="P294" s="547"/>
      <c r="Q294" s="547"/>
      <c r="R294" s="547"/>
      <c r="S294" s="989">
        <f t="shared" si="16"/>
        <v>491284846526</v>
      </c>
      <c r="T294" s="547">
        <v>180334216</v>
      </c>
      <c r="U294" s="989">
        <f t="shared" si="17"/>
        <v>491285</v>
      </c>
      <c r="V294" s="547">
        <v>180</v>
      </c>
      <c r="W294" s="566"/>
      <c r="X294" s="567"/>
      <c r="Y294" s="989">
        <f t="shared" si="18"/>
        <v>491284846526</v>
      </c>
      <c r="Z294" s="812">
        <f t="shared" si="19"/>
        <v>491285</v>
      </c>
    </row>
    <row r="295" spans="1:26" ht="27" hidden="1" customHeight="1">
      <c r="A295" s="531"/>
      <c r="B295" s="531">
        <v>1018</v>
      </c>
      <c r="C295" s="529">
        <v>17</v>
      </c>
      <c r="D295" s="1027" t="s">
        <v>296</v>
      </c>
      <c r="E295" s="1028" t="s">
        <v>1552</v>
      </c>
      <c r="F295" s="547">
        <v>-1765606872</v>
      </c>
      <c r="G295" s="547"/>
      <c r="H295" s="547"/>
      <c r="I295" s="547"/>
      <c r="J295" s="547"/>
      <c r="K295" s="547"/>
      <c r="L295" s="547"/>
      <c r="M295" s="547"/>
      <c r="N295" s="547"/>
      <c r="O295" s="547"/>
      <c r="P295" s="547"/>
      <c r="Q295" s="547"/>
      <c r="R295" s="547"/>
      <c r="S295" s="989">
        <f t="shared" si="16"/>
        <v>-1765606872</v>
      </c>
      <c r="T295" s="547">
        <v>-2230023718</v>
      </c>
      <c r="U295" s="989">
        <f t="shared" si="17"/>
        <v>-1766</v>
      </c>
      <c r="V295" s="547">
        <v>-2230</v>
      </c>
      <c r="W295" s="566"/>
      <c r="X295" s="567"/>
      <c r="Y295" s="989">
        <f t="shared" si="18"/>
        <v>-1765606872</v>
      </c>
      <c r="Z295" s="812">
        <f t="shared" si="19"/>
        <v>-1766</v>
      </c>
    </row>
    <row r="296" spans="1:26" ht="27" hidden="1" customHeight="1">
      <c r="A296" s="531"/>
      <c r="B296" s="531">
        <v>1018</v>
      </c>
      <c r="C296" s="529">
        <v>17</v>
      </c>
      <c r="D296" s="1027" t="s">
        <v>298</v>
      </c>
      <c r="E296" s="1028" t="s">
        <v>1553</v>
      </c>
      <c r="F296" s="547">
        <v>-8166235638</v>
      </c>
      <c r="G296" s="547">
        <f>12777345584-12777345577</f>
        <v>7</v>
      </c>
      <c r="H296" s="547"/>
      <c r="I296" s="547"/>
      <c r="J296" s="547"/>
      <c r="K296" s="547"/>
      <c r="L296" s="547"/>
      <c r="M296" s="547"/>
      <c r="N296" s="547"/>
      <c r="O296" s="547"/>
      <c r="P296" s="547"/>
      <c r="Q296" s="547"/>
      <c r="R296" s="547"/>
      <c r="S296" s="989">
        <f t="shared" si="16"/>
        <v>-8166235631</v>
      </c>
      <c r="T296" s="547">
        <v>-32387892779</v>
      </c>
      <c r="U296" s="989">
        <f t="shared" si="17"/>
        <v>-8166</v>
      </c>
      <c r="V296" s="547">
        <v>-32388</v>
      </c>
      <c r="W296" s="566"/>
      <c r="X296" s="567"/>
      <c r="Y296" s="989">
        <f t="shared" si="18"/>
        <v>-8166235631</v>
      </c>
      <c r="Z296" s="812">
        <f t="shared" si="19"/>
        <v>-8166</v>
      </c>
    </row>
    <row r="297" spans="1:26" ht="27" hidden="1" customHeight="1">
      <c r="A297" s="1394"/>
      <c r="B297" s="531">
        <v>501</v>
      </c>
      <c r="C297" s="1123">
        <v>13</v>
      </c>
      <c r="D297" s="1027" t="s">
        <v>79</v>
      </c>
      <c r="E297" s="1028" t="s">
        <v>1554</v>
      </c>
      <c r="F297" s="547">
        <v>6423535728</v>
      </c>
      <c r="G297" s="547">
        <f>126412992591-1736986984</f>
        <v>124676005607</v>
      </c>
      <c r="H297" s="547"/>
      <c r="I297" s="547"/>
      <c r="J297" s="547"/>
      <c r="K297" s="547"/>
      <c r="L297" s="547"/>
      <c r="M297" s="547"/>
      <c r="N297" s="547"/>
      <c r="O297" s="547"/>
      <c r="P297" s="547"/>
      <c r="Q297" s="547"/>
      <c r="R297" s="547"/>
      <c r="S297" s="989">
        <f t="shared" si="16"/>
        <v>131099541335</v>
      </c>
      <c r="T297" s="547">
        <v>5565644747</v>
      </c>
      <c r="U297" s="989">
        <f t="shared" si="17"/>
        <v>131100</v>
      </c>
      <c r="V297" s="547">
        <v>5566</v>
      </c>
      <c r="W297" s="566"/>
      <c r="X297" s="567"/>
      <c r="Y297" s="989">
        <f t="shared" si="18"/>
        <v>131099541335</v>
      </c>
      <c r="Z297" s="812">
        <f t="shared" si="19"/>
        <v>131100</v>
      </c>
    </row>
    <row r="298" spans="1:26" ht="27" hidden="1" customHeight="1">
      <c r="A298" s="531"/>
      <c r="B298" s="531">
        <v>1018</v>
      </c>
      <c r="C298" s="529">
        <v>17</v>
      </c>
      <c r="D298" s="1027" t="s">
        <v>443</v>
      </c>
      <c r="E298" s="1028" t="s">
        <v>1555</v>
      </c>
      <c r="F298" s="547">
        <v>-503174998</v>
      </c>
      <c r="G298" s="547">
        <f>1-3</f>
        <v>-2</v>
      </c>
      <c r="H298" s="547"/>
      <c r="I298" s="547"/>
      <c r="J298" s="547"/>
      <c r="K298" s="547"/>
      <c r="L298" s="547"/>
      <c r="M298" s="547"/>
      <c r="N298" s="547"/>
      <c r="O298" s="547"/>
      <c r="P298" s="547"/>
      <c r="Q298" s="547"/>
      <c r="R298" s="547"/>
      <c r="S298" s="989">
        <f t="shared" si="16"/>
        <v>-503175000</v>
      </c>
      <c r="T298" s="547">
        <v>-79780082107</v>
      </c>
      <c r="U298" s="989">
        <f t="shared" si="17"/>
        <v>-503</v>
      </c>
      <c r="V298" s="547">
        <v>-79780</v>
      </c>
      <c r="W298" s="566"/>
      <c r="X298" s="567"/>
      <c r="Y298" s="989">
        <f t="shared" si="18"/>
        <v>-503175000</v>
      </c>
      <c r="Z298" s="812">
        <f t="shared" si="19"/>
        <v>-503</v>
      </c>
    </row>
    <row r="299" spans="1:26" ht="27" hidden="1" customHeight="1">
      <c r="A299" s="531"/>
      <c r="B299" s="531">
        <v>1018</v>
      </c>
      <c r="C299" s="529">
        <v>17</v>
      </c>
      <c r="D299" s="530" t="s">
        <v>1772</v>
      </c>
      <c r="E299" s="1028" t="s">
        <v>1761</v>
      </c>
      <c r="F299" s="547"/>
      <c r="G299" s="547"/>
      <c r="H299" s="547"/>
      <c r="I299" s="547"/>
      <c r="J299" s="547"/>
      <c r="K299" s="547"/>
      <c r="L299" s="547"/>
      <c r="M299" s="547"/>
      <c r="N299" s="547"/>
      <c r="O299" s="547"/>
      <c r="P299" s="547"/>
      <c r="Q299" s="547"/>
      <c r="R299" s="547"/>
      <c r="S299" s="989">
        <f t="shared" si="16"/>
        <v>0</v>
      </c>
      <c r="T299" s="547">
        <v>0</v>
      </c>
      <c r="U299" s="989">
        <f t="shared" si="17"/>
        <v>0</v>
      </c>
      <c r="V299" s="547">
        <v>0</v>
      </c>
      <c r="W299" s="566"/>
      <c r="X299" s="567"/>
      <c r="Y299" s="989">
        <f t="shared" si="18"/>
        <v>0</v>
      </c>
      <c r="Z299" s="812">
        <f t="shared" si="19"/>
        <v>0</v>
      </c>
    </row>
    <row r="300" spans="1:26" ht="27" hidden="1" customHeight="1">
      <c r="A300" s="1394"/>
      <c r="B300" s="531">
        <v>501</v>
      </c>
      <c r="C300" s="1123">
        <v>13</v>
      </c>
      <c r="D300" s="1027" t="s">
        <v>445</v>
      </c>
      <c r="E300" s="1028" t="s">
        <v>1556</v>
      </c>
      <c r="F300" s="547">
        <v>15039235455</v>
      </c>
      <c r="G300" s="547">
        <f>340816200-13132954378</f>
        <v>-12792138178</v>
      </c>
      <c r="H300" s="547">
        <f>28500000-28500000</f>
        <v>0</v>
      </c>
      <c r="I300" s="547">
        <v>-12444718</v>
      </c>
      <c r="J300" s="547"/>
      <c r="K300" s="547"/>
      <c r="L300" s="547"/>
      <c r="M300" s="547"/>
      <c r="N300" s="547"/>
      <c r="O300" s="547"/>
      <c r="P300" s="547"/>
      <c r="Q300" s="547"/>
      <c r="R300" s="547"/>
      <c r="S300" s="989">
        <f t="shared" si="16"/>
        <v>2234652559</v>
      </c>
      <c r="T300" s="547">
        <v>8215564704</v>
      </c>
      <c r="U300" s="989">
        <f t="shared" si="17"/>
        <v>2235</v>
      </c>
      <c r="V300" s="547">
        <v>8216</v>
      </c>
      <c r="W300" s="566"/>
      <c r="X300" s="567"/>
      <c r="Y300" s="989">
        <f t="shared" si="18"/>
        <v>2234652559</v>
      </c>
      <c r="Z300" s="812">
        <f t="shared" si="19"/>
        <v>2235</v>
      </c>
    </row>
    <row r="301" spans="1:26" ht="27" hidden="1" customHeight="1">
      <c r="A301" s="1394"/>
      <c r="B301" s="531">
        <v>501</v>
      </c>
      <c r="C301" s="1123">
        <v>13</v>
      </c>
      <c r="D301" s="1027" t="s">
        <v>449</v>
      </c>
      <c r="E301" s="1028" t="s">
        <v>1609</v>
      </c>
      <c r="F301" s="547"/>
      <c r="G301" s="547"/>
      <c r="H301" s="547"/>
      <c r="I301" s="547"/>
      <c r="J301" s="547"/>
      <c r="K301" s="547"/>
      <c r="L301" s="547"/>
      <c r="M301" s="547"/>
      <c r="N301" s="547"/>
      <c r="O301" s="547"/>
      <c r="P301" s="547"/>
      <c r="Q301" s="547"/>
      <c r="R301" s="547"/>
      <c r="S301" s="989">
        <f t="shared" si="16"/>
        <v>0</v>
      </c>
      <c r="T301" s="547">
        <v>37833875</v>
      </c>
      <c r="U301" s="989">
        <f t="shared" si="17"/>
        <v>0</v>
      </c>
      <c r="V301" s="547">
        <v>38</v>
      </c>
      <c r="W301" s="566"/>
      <c r="X301" s="567"/>
      <c r="Y301" s="989">
        <f t="shared" si="18"/>
        <v>0</v>
      </c>
      <c r="Z301" s="812">
        <f t="shared" si="19"/>
        <v>0</v>
      </c>
    </row>
    <row r="302" spans="1:26" ht="27" hidden="1" customHeight="1">
      <c r="A302" s="531"/>
      <c r="B302" s="531">
        <v>1018</v>
      </c>
      <c r="C302" s="529">
        <v>17</v>
      </c>
      <c r="D302" s="1027" t="s">
        <v>450</v>
      </c>
      <c r="E302" s="1028" t="s">
        <v>1011</v>
      </c>
      <c r="F302" s="547"/>
      <c r="G302" s="547"/>
      <c r="H302" s="547"/>
      <c r="I302" s="547"/>
      <c r="J302" s="547"/>
      <c r="K302" s="547"/>
      <c r="L302" s="547"/>
      <c r="M302" s="547"/>
      <c r="N302" s="547"/>
      <c r="O302" s="547"/>
      <c r="P302" s="547"/>
      <c r="Q302" s="547"/>
      <c r="R302" s="547"/>
      <c r="S302" s="989">
        <f t="shared" si="16"/>
        <v>0</v>
      </c>
      <c r="T302" s="547">
        <v>-817916887</v>
      </c>
      <c r="U302" s="989">
        <f t="shared" si="17"/>
        <v>0</v>
      </c>
      <c r="V302" s="547">
        <v>-818</v>
      </c>
      <c r="W302" s="566"/>
      <c r="X302" s="567"/>
      <c r="Y302" s="989">
        <f t="shared" si="18"/>
        <v>0</v>
      </c>
      <c r="Z302" s="812">
        <f t="shared" si="19"/>
        <v>0</v>
      </c>
    </row>
    <row r="303" spans="1:26" ht="27" hidden="1" customHeight="1">
      <c r="A303" s="531"/>
      <c r="B303" s="531">
        <v>501</v>
      </c>
      <c r="C303" s="1123">
        <v>13</v>
      </c>
      <c r="D303" s="1027" t="s">
        <v>452</v>
      </c>
      <c r="E303" s="1028" t="s">
        <v>1610</v>
      </c>
      <c r="F303" s="547">
        <v>39284614324</v>
      </c>
      <c r="G303" s="547">
        <f>2268650999-41553265321</f>
        <v>-39284614322</v>
      </c>
      <c r="H303" s="547"/>
      <c r="I303" s="547"/>
      <c r="J303" s="547"/>
      <c r="K303" s="547"/>
      <c r="L303" s="547"/>
      <c r="M303" s="547"/>
      <c r="N303" s="547"/>
      <c r="O303" s="547"/>
      <c r="P303" s="547"/>
      <c r="Q303" s="547"/>
      <c r="R303" s="547"/>
      <c r="S303" s="989">
        <f t="shared" si="16"/>
        <v>2</v>
      </c>
      <c r="T303" s="547">
        <v>3357427</v>
      </c>
      <c r="U303" s="989">
        <f t="shared" si="17"/>
        <v>0</v>
      </c>
      <c r="V303" s="547">
        <v>3</v>
      </c>
      <c r="W303" s="566"/>
      <c r="X303" s="567"/>
      <c r="Y303" s="989">
        <f t="shared" si="18"/>
        <v>2</v>
      </c>
      <c r="Z303" s="812">
        <f t="shared" si="19"/>
        <v>0</v>
      </c>
    </row>
    <row r="304" spans="1:26" ht="27" hidden="1" customHeight="1">
      <c r="A304" s="531"/>
      <c r="B304" s="531">
        <v>908</v>
      </c>
      <c r="C304" s="529">
        <v>8</v>
      </c>
      <c r="D304" s="1027" t="s">
        <v>454</v>
      </c>
      <c r="E304" s="1028" t="s">
        <v>1012</v>
      </c>
      <c r="F304" s="547">
        <v>300109437</v>
      </c>
      <c r="G304" s="547">
        <v>-300109437</v>
      </c>
      <c r="H304" s="547"/>
      <c r="I304" s="547"/>
      <c r="J304" s="547"/>
      <c r="K304" s="547"/>
      <c r="L304" s="547"/>
      <c r="M304" s="547"/>
      <c r="N304" s="547"/>
      <c r="O304" s="547"/>
      <c r="P304" s="547"/>
      <c r="Q304" s="547"/>
      <c r="R304" s="547"/>
      <c r="S304" s="989">
        <f t="shared" si="16"/>
        <v>0</v>
      </c>
      <c r="T304" s="547">
        <v>8645000</v>
      </c>
      <c r="U304" s="989">
        <f t="shared" si="17"/>
        <v>0</v>
      </c>
      <c r="V304" s="547">
        <v>9</v>
      </c>
      <c r="W304" s="566"/>
      <c r="X304" s="567"/>
      <c r="Y304" s="989">
        <f t="shared" si="18"/>
        <v>0</v>
      </c>
      <c r="Z304" s="812">
        <f t="shared" si="19"/>
        <v>0</v>
      </c>
    </row>
    <row r="305" spans="1:26" ht="27" hidden="1" customHeight="1">
      <c r="A305" s="531"/>
      <c r="B305" s="531">
        <v>501</v>
      </c>
      <c r="C305" s="1123">
        <v>13</v>
      </c>
      <c r="D305" s="1027" t="s">
        <v>460</v>
      </c>
      <c r="E305" s="1028" t="s">
        <v>757</v>
      </c>
      <c r="F305" s="547">
        <v>3127177718172</v>
      </c>
      <c r="G305" s="547">
        <f>99463876088-32957776584</f>
        <v>66506099504</v>
      </c>
      <c r="H305" s="547"/>
      <c r="I305" s="547"/>
      <c r="J305" s="547">
        <v>-974838634550</v>
      </c>
      <c r="K305" s="547"/>
      <c r="L305" s="547"/>
      <c r="M305" s="547"/>
      <c r="N305" s="547"/>
      <c r="O305" s="547"/>
      <c r="P305" s="547"/>
      <c r="Q305" s="547"/>
      <c r="R305" s="547"/>
      <c r="S305" s="989">
        <f t="shared" si="16"/>
        <v>2218845183126</v>
      </c>
      <c r="T305" s="547">
        <v>2165055579646</v>
      </c>
      <c r="U305" s="989">
        <f t="shared" si="17"/>
        <v>2218845</v>
      </c>
      <c r="V305" s="547">
        <v>2165055</v>
      </c>
      <c r="W305" s="566"/>
      <c r="X305" s="567"/>
      <c r="Y305" s="989">
        <f t="shared" si="18"/>
        <v>2218845183126</v>
      </c>
      <c r="Z305" s="812">
        <f t="shared" si="19"/>
        <v>2218845</v>
      </c>
    </row>
    <row r="306" spans="1:26" ht="27" hidden="1" customHeight="1">
      <c r="A306" s="531"/>
      <c r="B306" s="531">
        <v>501</v>
      </c>
      <c r="C306" s="1123">
        <v>13</v>
      </c>
      <c r="D306" s="1027" t="s">
        <v>460</v>
      </c>
      <c r="E306" s="1028" t="s">
        <v>758</v>
      </c>
      <c r="F306" s="547"/>
      <c r="G306" s="547"/>
      <c r="H306" s="547"/>
      <c r="I306" s="547"/>
      <c r="J306" s="547"/>
      <c r="K306" s="547"/>
      <c r="L306" s="547"/>
      <c r="M306" s="547"/>
      <c r="N306" s="547"/>
      <c r="O306" s="547"/>
      <c r="P306" s="547"/>
      <c r="Q306" s="547"/>
      <c r="R306" s="547"/>
      <c r="S306" s="989">
        <f t="shared" si="16"/>
        <v>0</v>
      </c>
      <c r="T306" s="547">
        <v>0</v>
      </c>
      <c r="U306" s="989">
        <f t="shared" si="17"/>
        <v>0</v>
      </c>
      <c r="V306" s="547">
        <v>0</v>
      </c>
      <c r="W306" s="566"/>
      <c r="X306" s="567"/>
      <c r="Y306" s="989">
        <f t="shared" si="18"/>
        <v>0</v>
      </c>
      <c r="Z306" s="812">
        <f t="shared" si="19"/>
        <v>0</v>
      </c>
    </row>
    <row r="307" spans="1:26" ht="27" hidden="1" customHeight="1">
      <c r="A307" s="531"/>
      <c r="B307" s="531">
        <v>503</v>
      </c>
      <c r="C307" s="1123">
        <v>13</v>
      </c>
      <c r="D307" s="1027" t="s">
        <v>460</v>
      </c>
      <c r="E307" s="1028" t="s">
        <v>759</v>
      </c>
      <c r="F307" s="547"/>
      <c r="G307" s="547"/>
      <c r="H307" s="547"/>
      <c r="I307" s="547"/>
      <c r="J307" s="547"/>
      <c r="K307" s="547"/>
      <c r="L307" s="547"/>
      <c r="M307" s="547"/>
      <c r="N307" s="547"/>
      <c r="O307" s="547"/>
      <c r="P307" s="547"/>
      <c r="Q307" s="547"/>
      <c r="R307" s="547"/>
      <c r="S307" s="989">
        <f t="shared" si="16"/>
        <v>0</v>
      </c>
      <c r="T307" s="547">
        <v>0</v>
      </c>
      <c r="U307" s="989">
        <f t="shared" si="17"/>
        <v>0</v>
      </c>
      <c r="V307" s="547">
        <v>0</v>
      </c>
      <c r="W307" s="566"/>
      <c r="X307" s="567"/>
      <c r="Y307" s="989">
        <f t="shared" si="18"/>
        <v>0</v>
      </c>
      <c r="Z307" s="812">
        <f t="shared" si="19"/>
        <v>0</v>
      </c>
    </row>
    <row r="308" spans="1:26" ht="27" hidden="1" customHeight="1">
      <c r="A308" s="531"/>
      <c r="B308" s="531">
        <v>908</v>
      </c>
      <c r="C308" s="529">
        <v>8</v>
      </c>
      <c r="D308" s="1027" t="s">
        <v>462</v>
      </c>
      <c r="E308" s="1028" t="s">
        <v>463</v>
      </c>
      <c r="F308" s="547">
        <v>389263869400</v>
      </c>
      <c r="G308" s="547">
        <v>-8599256</v>
      </c>
      <c r="H308" s="547"/>
      <c r="I308" s="547"/>
      <c r="J308" s="547">
        <v>-389255270144</v>
      </c>
      <c r="K308" s="547"/>
      <c r="L308" s="547"/>
      <c r="M308" s="547"/>
      <c r="N308" s="547"/>
      <c r="O308" s="547"/>
      <c r="P308" s="547"/>
      <c r="Q308" s="547">
        <v>37941942619</v>
      </c>
      <c r="R308" s="547"/>
      <c r="S308" s="989">
        <f t="shared" si="16"/>
        <v>37941942619</v>
      </c>
      <c r="T308" s="547">
        <v>108090000000</v>
      </c>
      <c r="U308" s="989">
        <f t="shared" si="17"/>
        <v>37942</v>
      </c>
      <c r="V308" s="547">
        <v>108090</v>
      </c>
      <c r="W308" s="566"/>
      <c r="X308" s="567"/>
      <c r="Y308" s="989">
        <f t="shared" si="18"/>
        <v>37941942619</v>
      </c>
      <c r="Z308" s="812">
        <f t="shared" si="19"/>
        <v>37942</v>
      </c>
    </row>
    <row r="309" spans="1:26" ht="27" hidden="1" customHeight="1">
      <c r="A309" s="1394"/>
      <c r="B309" s="531">
        <v>501</v>
      </c>
      <c r="C309" s="1123">
        <v>13</v>
      </c>
      <c r="D309" s="1027" t="s">
        <v>163</v>
      </c>
      <c r="E309" s="1028" t="s">
        <v>1558</v>
      </c>
      <c r="F309" s="547">
        <v>398064700</v>
      </c>
      <c r="G309" s="547">
        <f>12697942904-12697942904</f>
        <v>0</v>
      </c>
      <c r="H309" s="547"/>
      <c r="I309" s="547"/>
      <c r="J309" s="547"/>
      <c r="K309" s="547"/>
      <c r="L309" s="547"/>
      <c r="M309" s="547"/>
      <c r="N309" s="547"/>
      <c r="O309" s="547"/>
      <c r="P309" s="547"/>
      <c r="Q309" s="547"/>
      <c r="R309" s="547"/>
      <c r="S309" s="989">
        <f t="shared" si="16"/>
        <v>398064700</v>
      </c>
      <c r="T309" s="547">
        <v>12107572</v>
      </c>
      <c r="U309" s="989">
        <f t="shared" si="17"/>
        <v>398</v>
      </c>
      <c r="V309" s="547">
        <v>12</v>
      </c>
      <c r="W309" s="566"/>
      <c r="X309" s="567"/>
      <c r="Y309" s="989">
        <f t="shared" si="18"/>
        <v>398064700</v>
      </c>
      <c r="Z309" s="812">
        <f t="shared" si="19"/>
        <v>398</v>
      </c>
    </row>
    <row r="310" spans="1:26" ht="27" hidden="1" customHeight="1">
      <c r="A310" s="1394"/>
      <c r="B310" s="531">
        <v>501</v>
      </c>
      <c r="C310" s="1123">
        <v>13</v>
      </c>
      <c r="D310" s="1027" t="s">
        <v>165</v>
      </c>
      <c r="E310" s="1028" t="s">
        <v>1559</v>
      </c>
      <c r="F310" s="547">
        <v>77588121808</v>
      </c>
      <c r="G310" s="547">
        <f>31808602018-35388449513</f>
        <v>-3579847495</v>
      </c>
      <c r="H310" s="547"/>
      <c r="I310" s="547"/>
      <c r="J310" s="547"/>
      <c r="K310" s="547"/>
      <c r="L310" s="547"/>
      <c r="M310" s="547"/>
      <c r="N310" s="547"/>
      <c r="O310" s="547"/>
      <c r="P310" s="547"/>
      <c r="Q310" s="547"/>
      <c r="R310" s="547"/>
      <c r="S310" s="989">
        <f t="shared" si="16"/>
        <v>74008274313</v>
      </c>
      <c r="T310" s="547">
        <v>10041196695</v>
      </c>
      <c r="U310" s="989">
        <f t="shared" si="17"/>
        <v>74008</v>
      </c>
      <c r="V310" s="547">
        <v>10041</v>
      </c>
      <c r="W310" s="566"/>
      <c r="X310" s="567"/>
      <c r="Y310" s="989">
        <f t="shared" si="18"/>
        <v>74008274313</v>
      </c>
      <c r="Z310" s="812">
        <f t="shared" si="19"/>
        <v>74008</v>
      </c>
    </row>
    <row r="311" spans="1:26" ht="27" hidden="1" customHeight="1">
      <c r="A311" s="1394"/>
      <c r="B311" s="531">
        <v>501</v>
      </c>
      <c r="C311" s="1123">
        <v>13</v>
      </c>
      <c r="D311" s="1027" t="s">
        <v>1557</v>
      </c>
      <c r="E311" s="1028" t="s">
        <v>1560</v>
      </c>
      <c r="F311" s="547"/>
      <c r="G311" s="547"/>
      <c r="H311" s="547"/>
      <c r="I311" s="547"/>
      <c r="J311" s="547"/>
      <c r="K311" s="547"/>
      <c r="L311" s="547"/>
      <c r="M311" s="547"/>
      <c r="N311" s="547"/>
      <c r="O311" s="547"/>
      <c r="P311" s="547"/>
      <c r="Q311" s="547"/>
      <c r="R311" s="547"/>
      <c r="S311" s="989">
        <f t="shared" si="16"/>
        <v>0</v>
      </c>
      <c r="T311" s="547">
        <v>0</v>
      </c>
      <c r="U311" s="989">
        <f t="shared" si="17"/>
        <v>0</v>
      </c>
      <c r="V311" s="547">
        <v>0</v>
      </c>
      <c r="W311" s="566"/>
      <c r="X311" s="567"/>
      <c r="Y311" s="989">
        <f t="shared" si="18"/>
        <v>0</v>
      </c>
      <c r="Z311" s="812">
        <f t="shared" si="19"/>
        <v>0</v>
      </c>
    </row>
    <row r="312" spans="1:26" ht="27" hidden="1" customHeight="1">
      <c r="A312" s="531"/>
      <c r="B312" s="531">
        <v>1018</v>
      </c>
      <c r="C312" s="529">
        <v>17</v>
      </c>
      <c r="D312" s="1027" t="s">
        <v>395</v>
      </c>
      <c r="E312" s="1028" t="s">
        <v>1611</v>
      </c>
      <c r="F312" s="547">
        <v>-917200000000</v>
      </c>
      <c r="G312" s="547"/>
      <c r="H312" s="547"/>
      <c r="I312" s="547"/>
      <c r="J312" s="547">
        <v>922000000000</v>
      </c>
      <c r="K312" s="547"/>
      <c r="L312" s="547"/>
      <c r="M312" s="547"/>
      <c r="N312" s="547"/>
      <c r="O312" s="547"/>
      <c r="P312" s="547"/>
      <c r="Q312" s="547"/>
      <c r="R312" s="547"/>
      <c r="S312" s="989">
        <f t="shared" si="16"/>
        <v>4800000000</v>
      </c>
      <c r="T312" s="547">
        <v>0</v>
      </c>
      <c r="U312" s="989">
        <f t="shared" si="17"/>
        <v>4800</v>
      </c>
      <c r="V312" s="547">
        <v>0</v>
      </c>
      <c r="W312" s="566"/>
      <c r="X312" s="567"/>
      <c r="Y312" s="989">
        <f t="shared" si="18"/>
        <v>4800000000</v>
      </c>
      <c r="Z312" s="812">
        <f t="shared" si="19"/>
        <v>4800</v>
      </c>
    </row>
    <row r="313" spans="1:26" ht="27" hidden="1" customHeight="1">
      <c r="A313" s="1394"/>
      <c r="B313" s="531">
        <v>501</v>
      </c>
      <c r="C313" s="1123">
        <v>13</v>
      </c>
      <c r="D313" s="1027" t="s">
        <v>1006</v>
      </c>
      <c r="E313" s="1028" t="s">
        <v>1007</v>
      </c>
      <c r="F313" s="547">
        <v>-23531764</v>
      </c>
      <c r="G313" s="547"/>
      <c r="H313" s="547"/>
      <c r="I313" s="547">
        <v>23531764</v>
      </c>
      <c r="J313" s="547"/>
      <c r="K313" s="547"/>
      <c r="L313" s="547"/>
      <c r="M313" s="547"/>
      <c r="N313" s="547"/>
      <c r="O313" s="547"/>
      <c r="P313" s="547"/>
      <c r="Q313" s="547"/>
      <c r="R313" s="547"/>
      <c r="S313" s="989">
        <f t="shared" si="16"/>
        <v>0</v>
      </c>
      <c r="T313" s="547">
        <v>0</v>
      </c>
      <c r="U313" s="989">
        <f t="shared" si="17"/>
        <v>0</v>
      </c>
      <c r="V313" s="547">
        <v>0</v>
      </c>
      <c r="W313" s="566"/>
      <c r="X313" s="567"/>
      <c r="Y313" s="989">
        <f t="shared" si="18"/>
        <v>0</v>
      </c>
      <c r="Z313" s="812">
        <f t="shared" si="19"/>
        <v>0</v>
      </c>
    </row>
    <row r="314" spans="1:26" ht="27" hidden="1" customHeight="1">
      <c r="A314" s="1394"/>
      <c r="B314" s="531">
        <v>501</v>
      </c>
      <c r="C314" s="1123">
        <v>13</v>
      </c>
      <c r="D314" s="1027" t="s">
        <v>167</v>
      </c>
      <c r="E314" s="1028" t="s">
        <v>1026</v>
      </c>
      <c r="F314" s="547"/>
      <c r="G314" s="547"/>
      <c r="H314" s="547"/>
      <c r="I314" s="547"/>
      <c r="J314" s="547"/>
      <c r="K314" s="547"/>
      <c r="L314" s="547"/>
      <c r="M314" s="547"/>
      <c r="N314" s="547"/>
      <c r="O314" s="547"/>
      <c r="P314" s="547"/>
      <c r="Q314" s="547"/>
      <c r="R314" s="547"/>
      <c r="S314" s="989">
        <f t="shared" si="16"/>
        <v>0</v>
      </c>
      <c r="T314" s="547">
        <v>0</v>
      </c>
      <c r="U314" s="989">
        <f t="shared" si="17"/>
        <v>0</v>
      </c>
      <c r="V314" s="547">
        <v>0</v>
      </c>
      <c r="W314" s="566"/>
      <c r="X314" s="567"/>
      <c r="Y314" s="989">
        <f t="shared" si="18"/>
        <v>0</v>
      </c>
      <c r="Z314" s="812">
        <f t="shared" si="19"/>
        <v>0</v>
      </c>
    </row>
    <row r="315" spans="1:26" ht="27" hidden="1" customHeight="1">
      <c r="A315" s="1394"/>
      <c r="B315" s="531">
        <v>501</v>
      </c>
      <c r="C315" s="1123">
        <v>13</v>
      </c>
      <c r="D315" s="1027" t="s">
        <v>1008</v>
      </c>
      <c r="E315" s="1028" t="s">
        <v>1007</v>
      </c>
      <c r="F315" s="547">
        <v>23522421</v>
      </c>
      <c r="G315" s="547"/>
      <c r="H315" s="547"/>
      <c r="I315" s="547">
        <v>-23522421</v>
      </c>
      <c r="J315" s="547"/>
      <c r="K315" s="547"/>
      <c r="L315" s="547"/>
      <c r="M315" s="547"/>
      <c r="N315" s="547"/>
      <c r="O315" s="547"/>
      <c r="P315" s="547"/>
      <c r="Q315" s="547"/>
      <c r="R315" s="547"/>
      <c r="S315" s="989">
        <f t="shared" si="16"/>
        <v>0</v>
      </c>
      <c r="T315" s="547">
        <v>0</v>
      </c>
      <c r="U315" s="989">
        <f t="shared" si="17"/>
        <v>0</v>
      </c>
      <c r="V315" s="547">
        <v>0</v>
      </c>
      <c r="W315" s="566"/>
      <c r="X315" s="567"/>
      <c r="Y315" s="989">
        <f t="shared" si="18"/>
        <v>0</v>
      </c>
      <c r="Z315" s="812">
        <f t="shared" si="19"/>
        <v>0</v>
      </c>
    </row>
    <row r="316" spans="1:26" ht="27" hidden="1" customHeight="1">
      <c r="A316" s="1394"/>
      <c r="B316" s="531">
        <v>501</v>
      </c>
      <c r="C316" s="1123">
        <v>13</v>
      </c>
      <c r="D316" s="1027" t="s">
        <v>1023</v>
      </c>
      <c r="E316" s="1028" t="s">
        <v>1024</v>
      </c>
      <c r="F316" s="547">
        <v>60</v>
      </c>
      <c r="G316" s="547"/>
      <c r="H316" s="547"/>
      <c r="I316" s="547">
        <v>-60</v>
      </c>
      <c r="J316" s="547"/>
      <c r="K316" s="547"/>
      <c r="L316" s="547"/>
      <c r="M316" s="547"/>
      <c r="N316" s="547"/>
      <c r="O316" s="547"/>
      <c r="P316" s="547"/>
      <c r="Q316" s="547"/>
      <c r="R316" s="547"/>
      <c r="S316" s="989">
        <f t="shared" si="16"/>
        <v>0</v>
      </c>
      <c r="T316" s="547">
        <v>60</v>
      </c>
      <c r="U316" s="989">
        <f t="shared" si="17"/>
        <v>0</v>
      </c>
      <c r="V316" s="547">
        <v>0</v>
      </c>
      <c r="W316" s="566"/>
      <c r="X316" s="567"/>
      <c r="Y316" s="989">
        <f t="shared" si="18"/>
        <v>0</v>
      </c>
      <c r="Z316" s="812">
        <f t="shared" si="19"/>
        <v>0</v>
      </c>
    </row>
    <row r="317" spans="1:26" ht="27" hidden="1" customHeight="1">
      <c r="A317" s="1394"/>
      <c r="B317" s="531">
        <v>501</v>
      </c>
      <c r="C317" s="1123">
        <v>13</v>
      </c>
      <c r="D317" s="1027" t="s">
        <v>282</v>
      </c>
      <c r="E317" s="1028" t="s">
        <v>283</v>
      </c>
      <c r="F317" s="547"/>
      <c r="G317" s="547"/>
      <c r="H317" s="547"/>
      <c r="I317" s="547"/>
      <c r="J317" s="547"/>
      <c r="K317" s="547"/>
      <c r="L317" s="547"/>
      <c r="M317" s="547"/>
      <c r="N317" s="547"/>
      <c r="O317" s="547"/>
      <c r="P317" s="547"/>
      <c r="Q317" s="547"/>
      <c r="R317" s="547"/>
      <c r="S317" s="989">
        <f t="shared" si="16"/>
        <v>0</v>
      </c>
      <c r="T317" s="547">
        <v>0</v>
      </c>
      <c r="U317" s="989">
        <f t="shared" si="17"/>
        <v>0</v>
      </c>
      <c r="V317" s="547">
        <v>0</v>
      </c>
      <c r="W317" s="566"/>
      <c r="X317" s="567"/>
      <c r="Y317" s="989">
        <f t="shared" si="18"/>
        <v>0</v>
      </c>
      <c r="Z317" s="812">
        <f t="shared" si="19"/>
        <v>0</v>
      </c>
    </row>
    <row r="318" spans="1:26" ht="27" hidden="1" customHeight="1">
      <c r="A318" s="1394"/>
      <c r="B318" s="531">
        <v>501</v>
      </c>
      <c r="C318" s="1123">
        <v>13</v>
      </c>
      <c r="D318" s="1027" t="s">
        <v>76</v>
      </c>
      <c r="E318" s="1028" t="s">
        <v>77</v>
      </c>
      <c r="F318" s="547"/>
      <c r="G318" s="547"/>
      <c r="H318" s="547"/>
      <c r="I318" s="547"/>
      <c r="J318" s="547"/>
      <c r="K318" s="547"/>
      <c r="L318" s="547"/>
      <c r="M318" s="547"/>
      <c r="N318" s="547"/>
      <c r="O318" s="547"/>
      <c r="P318" s="547"/>
      <c r="Q318" s="547"/>
      <c r="R318" s="547"/>
      <c r="S318" s="989">
        <f t="shared" si="16"/>
        <v>0</v>
      </c>
      <c r="T318" s="547">
        <v>0</v>
      </c>
      <c r="U318" s="989">
        <f t="shared" si="17"/>
        <v>0</v>
      </c>
      <c r="V318" s="547">
        <v>0</v>
      </c>
      <c r="W318" s="566"/>
      <c r="X318" s="567"/>
      <c r="Y318" s="989">
        <f t="shared" si="18"/>
        <v>0</v>
      </c>
      <c r="Z318" s="812">
        <f t="shared" si="19"/>
        <v>0</v>
      </c>
    </row>
    <row r="319" spans="1:26" ht="27" hidden="1" customHeight="1">
      <c r="A319" s="1394"/>
      <c r="B319" s="531">
        <v>501</v>
      </c>
      <c r="C319" s="1123">
        <v>13</v>
      </c>
      <c r="D319" s="1027" t="s">
        <v>1688</v>
      </c>
      <c r="E319" s="1028" t="s">
        <v>77</v>
      </c>
      <c r="F319" s="547"/>
      <c r="G319" s="547"/>
      <c r="H319" s="547"/>
      <c r="I319" s="547"/>
      <c r="J319" s="547"/>
      <c r="K319" s="547"/>
      <c r="L319" s="547"/>
      <c r="M319" s="547"/>
      <c r="N319" s="547"/>
      <c r="O319" s="547"/>
      <c r="P319" s="547"/>
      <c r="Q319" s="547"/>
      <c r="R319" s="547"/>
      <c r="S319" s="989">
        <f t="shared" si="16"/>
        <v>0</v>
      </c>
      <c r="T319" s="547">
        <v>0</v>
      </c>
      <c r="U319" s="989">
        <f t="shared" si="17"/>
        <v>0</v>
      </c>
      <c r="V319" s="547">
        <v>0</v>
      </c>
      <c r="W319" s="566"/>
      <c r="X319" s="567"/>
      <c r="Y319" s="989">
        <f t="shared" si="18"/>
        <v>0</v>
      </c>
      <c r="Z319" s="812">
        <f t="shared" si="19"/>
        <v>0</v>
      </c>
    </row>
    <row r="320" spans="1:26" ht="27" hidden="1" customHeight="1">
      <c r="A320" s="531"/>
      <c r="B320" s="531">
        <v>1018</v>
      </c>
      <c r="C320" s="529">
        <v>17</v>
      </c>
      <c r="D320" s="1027" t="s">
        <v>464</v>
      </c>
      <c r="E320" s="1028" t="s">
        <v>311</v>
      </c>
      <c r="F320" s="547">
        <v>-178313400</v>
      </c>
      <c r="G320" s="547">
        <f>38838224256-38873863539</f>
        <v>-35639283</v>
      </c>
      <c r="H320" s="547"/>
      <c r="I320" s="547"/>
      <c r="J320" s="547"/>
      <c r="K320" s="547"/>
      <c r="L320" s="547"/>
      <c r="M320" s="547"/>
      <c r="N320" s="547"/>
      <c r="O320" s="547"/>
      <c r="P320" s="547"/>
      <c r="Q320" s="547"/>
      <c r="R320" s="547"/>
      <c r="S320" s="989">
        <f t="shared" si="16"/>
        <v>-213952683</v>
      </c>
      <c r="T320" s="547">
        <v>-842961986</v>
      </c>
      <c r="U320" s="989">
        <f t="shared" si="17"/>
        <v>-214</v>
      </c>
      <c r="V320" s="547">
        <v>-843</v>
      </c>
      <c r="W320" s="566"/>
      <c r="X320" s="567"/>
      <c r="Y320" s="989">
        <f t="shared" si="18"/>
        <v>-213952683</v>
      </c>
      <c r="Z320" s="812">
        <f t="shared" si="19"/>
        <v>-214</v>
      </c>
    </row>
    <row r="321" spans="1:26" ht="27" hidden="1" customHeight="1">
      <c r="A321" s="1394"/>
      <c r="B321" s="531">
        <v>501</v>
      </c>
      <c r="C321" s="1123">
        <v>13</v>
      </c>
      <c r="D321" s="1027" t="s">
        <v>1561</v>
      </c>
      <c r="E321" s="1028" t="s">
        <v>1562</v>
      </c>
      <c r="F321" s="547"/>
      <c r="G321" s="547"/>
      <c r="H321" s="547"/>
      <c r="I321" s="547"/>
      <c r="J321" s="547"/>
      <c r="K321" s="547"/>
      <c r="L321" s="547"/>
      <c r="M321" s="547"/>
      <c r="N321" s="547"/>
      <c r="O321" s="547"/>
      <c r="P321" s="547"/>
      <c r="Q321" s="547"/>
      <c r="R321" s="547"/>
      <c r="S321" s="989">
        <f t="shared" si="16"/>
        <v>0</v>
      </c>
      <c r="T321" s="547">
        <v>0</v>
      </c>
      <c r="U321" s="989">
        <f t="shared" si="17"/>
        <v>0</v>
      </c>
      <c r="V321" s="547">
        <v>0</v>
      </c>
      <c r="W321" s="566"/>
      <c r="X321" s="567"/>
      <c r="Y321" s="989">
        <f t="shared" si="18"/>
        <v>0</v>
      </c>
      <c r="Z321" s="812">
        <f t="shared" si="19"/>
        <v>0</v>
      </c>
    </row>
    <row r="322" spans="1:26" ht="27" hidden="1" customHeight="1">
      <c r="A322" s="1394"/>
      <c r="B322" s="531">
        <v>501</v>
      </c>
      <c r="C322" s="1123">
        <v>13</v>
      </c>
      <c r="D322" s="1027" t="s">
        <v>594</v>
      </c>
      <c r="E322" s="1028" t="s">
        <v>314</v>
      </c>
      <c r="F322" s="547"/>
      <c r="G322" s="547">
        <f>761134091-761134091</f>
        <v>0</v>
      </c>
      <c r="H322" s="547"/>
      <c r="I322" s="547"/>
      <c r="J322" s="547"/>
      <c r="K322" s="547"/>
      <c r="L322" s="547"/>
      <c r="M322" s="547"/>
      <c r="N322" s="547"/>
      <c r="O322" s="547"/>
      <c r="P322" s="547"/>
      <c r="Q322" s="547"/>
      <c r="R322" s="547"/>
      <c r="S322" s="989">
        <f t="shared" si="16"/>
        <v>0</v>
      </c>
      <c r="T322" s="547">
        <v>0</v>
      </c>
      <c r="U322" s="989">
        <f t="shared" si="17"/>
        <v>0</v>
      </c>
      <c r="V322" s="547">
        <v>0</v>
      </c>
      <c r="W322" s="566"/>
      <c r="X322" s="567"/>
      <c r="Y322" s="989">
        <f t="shared" si="18"/>
        <v>0</v>
      </c>
      <c r="Z322" s="812">
        <f t="shared" si="19"/>
        <v>0</v>
      </c>
    </row>
    <row r="323" spans="1:26" ht="27" hidden="1" customHeight="1">
      <c r="A323" s="531"/>
      <c r="B323" s="531">
        <v>906</v>
      </c>
      <c r="C323" s="529">
        <v>8</v>
      </c>
      <c r="D323" s="1027" t="s">
        <v>1563</v>
      </c>
      <c r="E323" s="1028" t="s">
        <v>1564</v>
      </c>
      <c r="F323" s="547"/>
      <c r="G323" s="547"/>
      <c r="H323" s="547"/>
      <c r="I323" s="547"/>
      <c r="J323" s="547"/>
      <c r="K323" s="547"/>
      <c r="L323" s="547"/>
      <c r="M323" s="547"/>
      <c r="N323" s="547"/>
      <c r="O323" s="547"/>
      <c r="P323" s="547"/>
      <c r="Q323" s="547"/>
      <c r="R323" s="547"/>
      <c r="S323" s="989">
        <f t="shared" si="16"/>
        <v>0</v>
      </c>
      <c r="T323" s="547">
        <v>0</v>
      </c>
      <c r="U323" s="989">
        <f t="shared" si="17"/>
        <v>0</v>
      </c>
      <c r="V323" s="547">
        <v>0</v>
      </c>
      <c r="W323" s="566"/>
      <c r="X323" s="567"/>
      <c r="Y323" s="989">
        <f t="shared" si="18"/>
        <v>0</v>
      </c>
      <c r="Z323" s="812">
        <f t="shared" si="19"/>
        <v>0</v>
      </c>
    </row>
    <row r="324" spans="1:26" ht="27" hidden="1" customHeight="1">
      <c r="A324" s="531"/>
      <c r="B324" s="531"/>
      <c r="C324" s="1123">
        <v>13</v>
      </c>
      <c r="D324" s="1027" t="s">
        <v>595</v>
      </c>
      <c r="E324" s="1028" t="s">
        <v>315</v>
      </c>
      <c r="F324" s="547"/>
      <c r="G324" s="547"/>
      <c r="H324" s="547"/>
      <c r="I324" s="547"/>
      <c r="J324" s="547"/>
      <c r="K324" s="547"/>
      <c r="L324" s="547"/>
      <c r="M324" s="547"/>
      <c r="N324" s="547"/>
      <c r="O324" s="547"/>
      <c r="P324" s="547"/>
      <c r="Q324" s="547"/>
      <c r="R324" s="547"/>
      <c r="S324" s="989">
        <f t="shared" ref="S324:S387" si="20">SUM(F324:R324)</f>
        <v>0</v>
      </c>
      <c r="T324" s="547">
        <v>0</v>
      </c>
      <c r="U324" s="989">
        <f t="shared" ref="U324:U387" si="21">ROUND((S324/1000000),0)</f>
        <v>0</v>
      </c>
      <c r="V324" s="547">
        <v>0</v>
      </c>
      <c r="W324" s="566"/>
      <c r="X324" s="567"/>
      <c r="Y324" s="989">
        <f t="shared" si="18"/>
        <v>0</v>
      </c>
      <c r="Z324" s="812">
        <f t="shared" si="19"/>
        <v>0</v>
      </c>
    </row>
    <row r="325" spans="1:26" ht="27" hidden="1" customHeight="1">
      <c r="A325" s="531"/>
      <c r="B325" s="531">
        <v>1018</v>
      </c>
      <c r="C325" s="529">
        <v>17</v>
      </c>
      <c r="D325" s="530" t="s">
        <v>1773</v>
      </c>
      <c r="E325" s="1028" t="s">
        <v>1762</v>
      </c>
      <c r="F325" s="547">
        <v>-5014309171</v>
      </c>
      <c r="G325" s="547"/>
      <c r="H325" s="547"/>
      <c r="I325" s="547"/>
      <c r="J325" s="547"/>
      <c r="K325" s="547"/>
      <c r="L325" s="547"/>
      <c r="M325" s="547"/>
      <c r="N325" s="547"/>
      <c r="O325" s="547">
        <v>224376383</v>
      </c>
      <c r="P325" s="547"/>
      <c r="Q325" s="547"/>
      <c r="R325" s="547"/>
      <c r="S325" s="989">
        <f t="shared" si="20"/>
        <v>-4789932788</v>
      </c>
      <c r="T325" s="547">
        <v>0</v>
      </c>
      <c r="U325" s="989">
        <f t="shared" si="21"/>
        <v>-4790</v>
      </c>
      <c r="V325" s="547">
        <v>0</v>
      </c>
      <c r="W325" s="566"/>
      <c r="X325" s="567"/>
      <c r="Y325" s="989">
        <f t="shared" si="18"/>
        <v>-4789932788</v>
      </c>
      <c r="Z325" s="812">
        <f t="shared" si="19"/>
        <v>-4790</v>
      </c>
    </row>
    <row r="326" spans="1:26" ht="27" hidden="1" customHeight="1">
      <c r="A326" s="1394"/>
      <c r="B326" s="531">
        <v>501</v>
      </c>
      <c r="C326" s="1123">
        <v>13</v>
      </c>
      <c r="D326" s="1027" t="s">
        <v>333</v>
      </c>
      <c r="E326" s="1028" t="s">
        <v>334</v>
      </c>
      <c r="F326" s="547"/>
      <c r="G326" s="547"/>
      <c r="H326" s="547"/>
      <c r="I326" s="547"/>
      <c r="J326" s="547"/>
      <c r="K326" s="547"/>
      <c r="L326" s="547"/>
      <c r="M326" s="547"/>
      <c r="N326" s="547"/>
      <c r="O326" s="547"/>
      <c r="P326" s="547"/>
      <c r="Q326" s="547"/>
      <c r="R326" s="547"/>
      <c r="S326" s="989">
        <f t="shared" si="20"/>
        <v>0</v>
      </c>
      <c r="T326" s="547">
        <v>0</v>
      </c>
      <c r="U326" s="989">
        <f t="shared" si="21"/>
        <v>0</v>
      </c>
      <c r="V326" s="547">
        <v>0</v>
      </c>
      <c r="W326" s="566"/>
      <c r="X326" s="567"/>
      <c r="Y326" s="989">
        <f t="shared" ref="Y326:Y390" si="22">S326+X326-W326</f>
        <v>0</v>
      </c>
      <c r="Z326" s="812">
        <f t="shared" ref="Z326:Z390" si="23">ROUND((Y326/1000000),0)</f>
        <v>0</v>
      </c>
    </row>
    <row r="327" spans="1:26" ht="27" hidden="1" customHeight="1">
      <c r="A327" s="531"/>
      <c r="B327" s="531">
        <v>501</v>
      </c>
      <c r="C327" s="1123">
        <v>13</v>
      </c>
      <c r="D327" s="1027" t="s">
        <v>901</v>
      </c>
      <c r="E327" s="1028" t="s">
        <v>1029</v>
      </c>
      <c r="F327" s="547">
        <v>-4323808647</v>
      </c>
      <c r="G327" s="547"/>
      <c r="H327" s="547"/>
      <c r="I327" s="547"/>
      <c r="J327" s="547"/>
      <c r="K327" s="547"/>
      <c r="L327" s="547"/>
      <c r="M327" s="547"/>
      <c r="N327" s="547"/>
      <c r="O327" s="547"/>
      <c r="P327" s="547"/>
      <c r="Q327" s="547"/>
      <c r="R327" s="547"/>
      <c r="S327" s="989">
        <f t="shared" si="20"/>
        <v>-4323808647</v>
      </c>
      <c r="T327" s="547">
        <v>-2366695647</v>
      </c>
      <c r="U327" s="989">
        <f t="shared" si="21"/>
        <v>-4324</v>
      </c>
      <c r="V327" s="547">
        <v>-2367</v>
      </c>
      <c r="W327" s="566"/>
      <c r="X327" s="567"/>
      <c r="Y327" s="989">
        <f t="shared" si="22"/>
        <v>-4323808647</v>
      </c>
      <c r="Z327" s="812">
        <f t="shared" si="23"/>
        <v>-4324</v>
      </c>
    </row>
    <row r="328" spans="1:26" ht="27" hidden="1" customHeight="1">
      <c r="A328" s="531"/>
      <c r="B328" s="531"/>
      <c r="C328" s="529">
        <v>8</v>
      </c>
      <c r="D328" s="1027" t="s">
        <v>902</v>
      </c>
      <c r="E328" s="1028" t="s">
        <v>911</v>
      </c>
      <c r="F328" s="547"/>
      <c r="G328" s="547"/>
      <c r="H328" s="547"/>
      <c r="I328" s="547"/>
      <c r="J328" s="547"/>
      <c r="K328" s="547"/>
      <c r="L328" s="547"/>
      <c r="M328" s="547"/>
      <c r="N328" s="547"/>
      <c r="O328" s="547"/>
      <c r="P328" s="547"/>
      <c r="Q328" s="547"/>
      <c r="R328" s="547"/>
      <c r="S328" s="989">
        <f t="shared" si="20"/>
        <v>0</v>
      </c>
      <c r="T328" s="547">
        <v>0</v>
      </c>
      <c r="U328" s="989">
        <f t="shared" si="21"/>
        <v>0</v>
      </c>
      <c r="V328" s="547">
        <v>0</v>
      </c>
      <c r="W328" s="566"/>
      <c r="X328" s="567"/>
      <c r="Y328" s="989">
        <f t="shared" si="22"/>
        <v>0</v>
      </c>
      <c r="Z328" s="812">
        <f t="shared" si="23"/>
        <v>0</v>
      </c>
    </row>
    <row r="329" spans="1:26" ht="27" hidden="1" customHeight="1">
      <c r="A329" s="1394"/>
      <c r="B329" s="531">
        <v>501</v>
      </c>
      <c r="C329" s="1123">
        <v>13</v>
      </c>
      <c r="D329" s="1027" t="s">
        <v>596</v>
      </c>
      <c r="E329" s="1028" t="s">
        <v>761</v>
      </c>
      <c r="F329" s="547">
        <v>3179904270</v>
      </c>
      <c r="G329" s="547">
        <f>15957223908-15957223910</f>
        <v>-2</v>
      </c>
      <c r="H329" s="547"/>
      <c r="I329" s="547"/>
      <c r="J329" s="547"/>
      <c r="K329" s="547"/>
      <c r="L329" s="547"/>
      <c r="M329" s="547"/>
      <c r="N329" s="547"/>
      <c r="O329" s="547"/>
      <c r="P329" s="547">
        <v>227303138</v>
      </c>
      <c r="Q329" s="547"/>
      <c r="R329" s="547"/>
      <c r="S329" s="989">
        <f t="shared" si="20"/>
        <v>3407207406</v>
      </c>
      <c r="T329" s="547">
        <v>14642515296</v>
      </c>
      <c r="U329" s="989">
        <f t="shared" si="21"/>
        <v>3407</v>
      </c>
      <c r="V329" s="547">
        <v>14643</v>
      </c>
      <c r="W329" s="566"/>
      <c r="X329" s="567"/>
      <c r="Y329" s="989">
        <f t="shared" si="22"/>
        <v>3407207406</v>
      </c>
      <c r="Z329" s="812">
        <f t="shared" si="23"/>
        <v>3407</v>
      </c>
    </row>
    <row r="330" spans="1:26" ht="27" customHeight="1">
      <c r="A330" s="531">
        <v>3214</v>
      </c>
      <c r="B330" s="531">
        <v>907</v>
      </c>
      <c r="C330" s="529">
        <v>8</v>
      </c>
      <c r="D330" s="1027" t="s">
        <v>596</v>
      </c>
      <c r="E330" s="1028" t="s">
        <v>1436</v>
      </c>
      <c r="F330" s="547"/>
      <c r="G330" s="547"/>
      <c r="H330" s="547"/>
      <c r="I330" s="547"/>
      <c r="J330" s="547"/>
      <c r="K330" s="547"/>
      <c r="L330" s="547"/>
      <c r="M330" s="547"/>
      <c r="N330" s="547"/>
      <c r="O330" s="547"/>
      <c r="P330" s="547"/>
      <c r="Q330" s="547"/>
      <c r="R330" s="547"/>
      <c r="S330" s="989">
        <f t="shared" si="20"/>
        <v>0</v>
      </c>
      <c r="T330" s="547">
        <v>0</v>
      </c>
      <c r="U330" s="989">
        <f t="shared" si="21"/>
        <v>0</v>
      </c>
      <c r="V330" s="547">
        <v>0</v>
      </c>
      <c r="W330" s="566"/>
      <c r="X330" s="567"/>
      <c r="Y330" s="989">
        <f t="shared" si="22"/>
        <v>0</v>
      </c>
      <c r="Z330" s="812">
        <f t="shared" si="23"/>
        <v>0</v>
      </c>
    </row>
    <row r="331" spans="1:26" ht="27" hidden="1" customHeight="1">
      <c r="A331" s="531"/>
      <c r="B331" s="531">
        <v>607</v>
      </c>
      <c r="C331" s="529">
        <v>12</v>
      </c>
      <c r="D331" s="1027" t="s">
        <v>1375</v>
      </c>
      <c r="E331" s="1028" t="s">
        <v>1382</v>
      </c>
      <c r="F331" s="547"/>
      <c r="G331" s="547"/>
      <c r="H331" s="547"/>
      <c r="I331" s="547"/>
      <c r="J331" s="547"/>
      <c r="K331" s="547"/>
      <c r="L331" s="547">
        <v>7513585649</v>
      </c>
      <c r="M331" s="547"/>
      <c r="N331" s="547"/>
      <c r="O331" s="547"/>
      <c r="P331" s="547"/>
      <c r="Q331" s="547"/>
      <c r="R331" s="547"/>
      <c r="S331" s="989">
        <f t="shared" si="20"/>
        <v>7513585649</v>
      </c>
      <c r="T331" s="547">
        <v>88370502433</v>
      </c>
      <c r="U331" s="989">
        <f t="shared" si="21"/>
        <v>7514</v>
      </c>
      <c r="V331" s="547">
        <v>88371</v>
      </c>
      <c r="W331" s="566"/>
      <c r="X331" s="567"/>
      <c r="Y331" s="989">
        <f t="shared" si="22"/>
        <v>7513585649</v>
      </c>
      <c r="Z331" s="812">
        <f t="shared" si="23"/>
        <v>7514</v>
      </c>
    </row>
    <row r="332" spans="1:26" ht="27" hidden="1" customHeight="1">
      <c r="A332" s="531"/>
      <c r="B332" s="531">
        <v>607</v>
      </c>
      <c r="C332" s="529">
        <v>12</v>
      </c>
      <c r="D332" s="1027" t="s">
        <v>319</v>
      </c>
      <c r="E332" s="1028" t="s">
        <v>1034</v>
      </c>
      <c r="F332" s="547"/>
      <c r="G332" s="547"/>
      <c r="H332" s="547"/>
      <c r="I332" s="547"/>
      <c r="J332" s="547"/>
      <c r="K332" s="547"/>
      <c r="L332" s="547"/>
      <c r="M332" s="547"/>
      <c r="N332" s="547"/>
      <c r="O332" s="547"/>
      <c r="P332" s="547"/>
      <c r="Q332" s="547"/>
      <c r="R332" s="547"/>
      <c r="S332" s="989">
        <f t="shared" si="20"/>
        <v>0</v>
      </c>
      <c r="T332" s="547">
        <v>0</v>
      </c>
      <c r="U332" s="989">
        <f t="shared" si="21"/>
        <v>0</v>
      </c>
      <c r="V332" s="547">
        <v>0</v>
      </c>
      <c r="W332" s="566"/>
      <c r="X332" s="567"/>
      <c r="Y332" s="989">
        <f t="shared" si="22"/>
        <v>0</v>
      </c>
      <c r="Z332" s="812">
        <f t="shared" si="23"/>
        <v>0</v>
      </c>
    </row>
    <row r="333" spans="1:26" ht="27" hidden="1" customHeight="1">
      <c r="A333" s="531"/>
      <c r="B333" s="1126">
        <v>607</v>
      </c>
      <c r="C333" s="529">
        <v>12</v>
      </c>
      <c r="D333" s="1027" t="s">
        <v>321</v>
      </c>
      <c r="E333" s="1028" t="s">
        <v>1615</v>
      </c>
      <c r="F333" s="547">
        <v>160637345563</v>
      </c>
      <c r="G333" s="547">
        <f>3084500000-129240507515</f>
        <v>-126156007515</v>
      </c>
      <c r="H333" s="547"/>
      <c r="I333" s="547"/>
      <c r="J333" s="547"/>
      <c r="K333" s="547"/>
      <c r="L333" s="547"/>
      <c r="M333" s="547"/>
      <c r="N333" s="547"/>
      <c r="O333" s="547"/>
      <c r="P333" s="547"/>
      <c r="Q333" s="547"/>
      <c r="R333" s="547"/>
      <c r="S333" s="989">
        <f t="shared" si="20"/>
        <v>34481338048</v>
      </c>
      <c r="T333" s="547">
        <v>53221486020</v>
      </c>
      <c r="U333" s="989">
        <f t="shared" si="21"/>
        <v>34481</v>
      </c>
      <c r="V333" s="547">
        <v>53221</v>
      </c>
      <c r="W333" s="566"/>
      <c r="X333" s="567"/>
      <c r="Y333" s="989">
        <f t="shared" si="22"/>
        <v>34481338048</v>
      </c>
      <c r="Z333" s="812">
        <f t="shared" si="23"/>
        <v>34481</v>
      </c>
    </row>
    <row r="334" spans="1:26" ht="27" hidden="1" customHeight="1">
      <c r="A334" s="531">
        <v>11</v>
      </c>
      <c r="B334" s="531">
        <v>907</v>
      </c>
      <c r="C334" s="529">
        <v>8</v>
      </c>
      <c r="D334" s="1027" t="s">
        <v>323</v>
      </c>
      <c r="E334" s="1028" t="s">
        <v>1036</v>
      </c>
      <c r="F334" s="547">
        <v>66660980101</v>
      </c>
      <c r="G334" s="547"/>
      <c r="H334" s="547"/>
      <c r="I334" s="547"/>
      <c r="J334" s="547">
        <v>-66660980101</v>
      </c>
      <c r="K334" s="547"/>
      <c r="L334" s="547"/>
      <c r="M334" s="547"/>
      <c r="N334" s="547"/>
      <c r="O334" s="547"/>
      <c r="P334" s="547"/>
      <c r="Q334" s="547"/>
      <c r="R334" s="547"/>
      <c r="S334" s="989">
        <f t="shared" si="20"/>
        <v>0</v>
      </c>
      <c r="T334" s="547">
        <v>0</v>
      </c>
      <c r="U334" s="989">
        <f t="shared" si="21"/>
        <v>0</v>
      </c>
      <c r="V334" s="547">
        <v>0</v>
      </c>
      <c r="W334" s="566"/>
      <c r="X334" s="567"/>
      <c r="Y334" s="989">
        <f t="shared" si="22"/>
        <v>0</v>
      </c>
      <c r="Z334" s="812">
        <f t="shared" si="23"/>
        <v>0</v>
      </c>
    </row>
    <row r="335" spans="1:26" ht="27" hidden="1" customHeight="1">
      <c r="A335" s="531">
        <v>11</v>
      </c>
      <c r="B335" s="531">
        <v>907</v>
      </c>
      <c r="C335" s="529">
        <v>8</v>
      </c>
      <c r="D335" s="1027" t="s">
        <v>325</v>
      </c>
      <c r="E335" s="1028" t="s">
        <v>1037</v>
      </c>
      <c r="F335" s="547">
        <v>29859106579</v>
      </c>
      <c r="G335" s="547"/>
      <c r="H335" s="547"/>
      <c r="I335" s="547"/>
      <c r="J335" s="547">
        <v>-29859106579</v>
      </c>
      <c r="K335" s="547"/>
      <c r="L335" s="547"/>
      <c r="M335" s="547"/>
      <c r="N335" s="547"/>
      <c r="O335" s="547"/>
      <c r="P335" s="547"/>
      <c r="Q335" s="547"/>
      <c r="R335" s="547"/>
      <c r="S335" s="989">
        <f t="shared" si="20"/>
        <v>0</v>
      </c>
      <c r="T335" s="547">
        <v>0</v>
      </c>
      <c r="U335" s="989">
        <f t="shared" si="21"/>
        <v>0</v>
      </c>
      <c r="V335" s="547">
        <v>0</v>
      </c>
      <c r="W335" s="566"/>
      <c r="X335" s="567"/>
      <c r="Y335" s="989">
        <f t="shared" si="22"/>
        <v>0</v>
      </c>
      <c r="Z335" s="812">
        <f t="shared" si="23"/>
        <v>0</v>
      </c>
    </row>
    <row r="336" spans="1:26" ht="27" hidden="1" customHeight="1">
      <c r="A336" s="531"/>
      <c r="B336" s="531">
        <v>906</v>
      </c>
      <c r="C336" s="529">
        <v>8</v>
      </c>
      <c r="D336" s="1027" t="s">
        <v>750</v>
      </c>
      <c r="E336" s="1028" t="s">
        <v>751</v>
      </c>
      <c r="F336" s="547"/>
      <c r="G336" s="547"/>
      <c r="H336" s="547"/>
      <c r="I336" s="547"/>
      <c r="J336" s="547"/>
      <c r="K336" s="547"/>
      <c r="L336" s="547"/>
      <c r="M336" s="547"/>
      <c r="N336" s="547"/>
      <c r="O336" s="547"/>
      <c r="P336" s="547"/>
      <c r="Q336" s="547"/>
      <c r="R336" s="547"/>
      <c r="S336" s="989">
        <f t="shared" si="20"/>
        <v>0</v>
      </c>
      <c r="T336" s="547">
        <v>0</v>
      </c>
      <c r="U336" s="989">
        <f t="shared" si="21"/>
        <v>0</v>
      </c>
      <c r="V336" s="547">
        <v>0</v>
      </c>
      <c r="W336" s="566"/>
      <c r="X336" s="567"/>
      <c r="Y336" s="989">
        <f t="shared" si="22"/>
        <v>0</v>
      </c>
      <c r="Z336" s="812">
        <f t="shared" si="23"/>
        <v>0</v>
      </c>
    </row>
    <row r="337" spans="1:26" ht="27" hidden="1" customHeight="1">
      <c r="A337" s="531"/>
      <c r="B337" s="531">
        <v>907</v>
      </c>
      <c r="C337" s="529">
        <v>8</v>
      </c>
      <c r="D337" s="1027" t="s">
        <v>750</v>
      </c>
      <c r="E337" s="1028" t="s">
        <v>751</v>
      </c>
      <c r="F337" s="547"/>
      <c r="G337" s="547"/>
      <c r="H337" s="547"/>
      <c r="I337" s="547"/>
      <c r="J337" s="547"/>
      <c r="K337" s="547"/>
      <c r="L337" s="547"/>
      <c r="M337" s="547"/>
      <c r="N337" s="547"/>
      <c r="O337" s="547"/>
      <c r="P337" s="547"/>
      <c r="Q337" s="547"/>
      <c r="R337" s="547"/>
      <c r="S337" s="989">
        <f t="shared" si="20"/>
        <v>0</v>
      </c>
      <c r="T337" s="547">
        <v>0</v>
      </c>
      <c r="U337" s="989">
        <f t="shared" si="21"/>
        <v>0</v>
      </c>
      <c r="V337" s="547">
        <v>0</v>
      </c>
      <c r="W337" s="566"/>
      <c r="X337" s="567"/>
      <c r="Y337" s="989">
        <f t="shared" si="22"/>
        <v>0</v>
      </c>
      <c r="Z337" s="812">
        <f t="shared" si="23"/>
        <v>0</v>
      </c>
    </row>
    <row r="338" spans="1:26" ht="27" hidden="1" customHeight="1">
      <c r="A338" s="531"/>
      <c r="B338" s="531">
        <v>601</v>
      </c>
      <c r="C338" s="529">
        <v>12</v>
      </c>
      <c r="D338" s="1027" t="s">
        <v>749</v>
      </c>
      <c r="E338" s="1028" t="s">
        <v>751</v>
      </c>
      <c r="F338" s="547"/>
      <c r="G338" s="547"/>
      <c r="H338" s="547"/>
      <c r="I338" s="547"/>
      <c r="J338" s="547"/>
      <c r="K338" s="547"/>
      <c r="L338" s="547"/>
      <c r="M338" s="547"/>
      <c r="N338" s="547"/>
      <c r="O338" s="547"/>
      <c r="P338" s="547"/>
      <c r="Q338" s="547"/>
      <c r="R338" s="547"/>
      <c r="S338" s="989">
        <f t="shared" si="20"/>
        <v>0</v>
      </c>
      <c r="T338" s="547">
        <v>0</v>
      </c>
      <c r="U338" s="989">
        <f t="shared" si="21"/>
        <v>0</v>
      </c>
      <c r="V338" s="547">
        <v>0</v>
      </c>
      <c r="W338" s="566"/>
      <c r="X338" s="567"/>
      <c r="Y338" s="989">
        <f t="shared" si="22"/>
        <v>0</v>
      </c>
      <c r="Z338" s="812">
        <f t="shared" si="23"/>
        <v>0</v>
      </c>
    </row>
    <row r="339" spans="1:26" ht="27" hidden="1" customHeight="1">
      <c r="A339" s="531"/>
      <c r="B339" s="531">
        <v>302</v>
      </c>
      <c r="C339" s="529">
        <v>14</v>
      </c>
      <c r="D339" s="1027" t="s">
        <v>749</v>
      </c>
      <c r="E339" s="1028" t="s">
        <v>751</v>
      </c>
      <c r="F339" s="547"/>
      <c r="G339" s="547"/>
      <c r="H339" s="547"/>
      <c r="I339" s="547"/>
      <c r="J339" s="547"/>
      <c r="K339" s="547"/>
      <c r="L339" s="547"/>
      <c r="M339" s="547"/>
      <c r="N339" s="547"/>
      <c r="O339" s="547"/>
      <c r="P339" s="547"/>
      <c r="Q339" s="547"/>
      <c r="R339" s="547"/>
      <c r="S339" s="989">
        <f t="shared" si="20"/>
        <v>0</v>
      </c>
      <c r="T339" s="547">
        <v>0</v>
      </c>
      <c r="U339" s="989">
        <f t="shared" si="21"/>
        <v>0</v>
      </c>
      <c r="V339" s="547">
        <v>0</v>
      </c>
      <c r="W339" s="566"/>
      <c r="X339" s="567"/>
      <c r="Y339" s="989">
        <f t="shared" si="22"/>
        <v>0</v>
      </c>
      <c r="Z339" s="812">
        <f t="shared" si="23"/>
        <v>0</v>
      </c>
    </row>
    <row r="340" spans="1:26" ht="27" hidden="1" customHeight="1">
      <c r="A340" s="531"/>
      <c r="B340" s="531"/>
      <c r="C340" s="529">
        <v>15</v>
      </c>
      <c r="D340" s="1027" t="s">
        <v>327</v>
      </c>
      <c r="E340" s="1028" t="s">
        <v>328</v>
      </c>
      <c r="F340" s="547">
        <v>-11999995356000</v>
      </c>
      <c r="G340" s="547"/>
      <c r="H340" s="547"/>
      <c r="I340" s="547"/>
      <c r="J340" s="547"/>
      <c r="K340" s="547"/>
      <c r="L340" s="547"/>
      <c r="M340" s="547"/>
      <c r="N340" s="547"/>
      <c r="O340" s="547"/>
      <c r="P340" s="547"/>
      <c r="Q340" s="547"/>
      <c r="R340" s="547"/>
      <c r="S340" s="989">
        <f t="shared" si="20"/>
        <v>-11999995356000</v>
      </c>
      <c r="T340" s="547">
        <v>-12000000000000</v>
      </c>
      <c r="U340" s="989">
        <f t="shared" si="21"/>
        <v>-11999995</v>
      </c>
      <c r="V340" s="547">
        <v>-12000000</v>
      </c>
      <c r="W340" s="566"/>
      <c r="X340" s="567"/>
      <c r="Y340" s="989">
        <f t="shared" si="22"/>
        <v>-11999995356000</v>
      </c>
      <c r="Z340" s="812">
        <f t="shared" si="23"/>
        <v>-11999995</v>
      </c>
    </row>
    <row r="341" spans="1:26" ht="27" hidden="1" customHeight="1">
      <c r="A341" s="531"/>
      <c r="B341" s="531">
        <v>10040</v>
      </c>
      <c r="C341" s="529">
        <v>11</v>
      </c>
      <c r="D341" s="1027" t="s">
        <v>1340</v>
      </c>
      <c r="E341" s="1028" t="s">
        <v>1341</v>
      </c>
      <c r="F341" s="547"/>
      <c r="G341" s="547"/>
      <c r="H341" s="547"/>
      <c r="I341" s="547"/>
      <c r="J341" s="547"/>
      <c r="K341" s="547"/>
      <c r="L341" s="547"/>
      <c r="M341" s="547"/>
      <c r="N341" s="547"/>
      <c r="O341" s="547"/>
      <c r="P341" s="547"/>
      <c r="Q341" s="547"/>
      <c r="R341" s="547"/>
      <c r="S341" s="989">
        <f t="shared" si="20"/>
        <v>0</v>
      </c>
      <c r="T341" s="547">
        <v>0</v>
      </c>
      <c r="U341" s="989">
        <f t="shared" si="21"/>
        <v>0</v>
      </c>
      <c r="V341" s="547">
        <v>0</v>
      </c>
      <c r="W341" s="566"/>
      <c r="X341" s="567"/>
      <c r="Y341" s="989">
        <f t="shared" si="22"/>
        <v>0</v>
      </c>
      <c r="Z341" s="812">
        <f t="shared" si="23"/>
        <v>0</v>
      </c>
    </row>
    <row r="342" spans="1:26" ht="27" hidden="1" customHeight="1">
      <c r="A342" s="531"/>
      <c r="B342" s="531">
        <v>1401</v>
      </c>
      <c r="C342" s="529">
        <v>16</v>
      </c>
      <c r="D342" s="1027" t="s">
        <v>329</v>
      </c>
      <c r="E342" s="1028" t="s">
        <v>330</v>
      </c>
      <c r="F342" s="547">
        <v>-500000</v>
      </c>
      <c r="G342" s="547"/>
      <c r="H342" s="547"/>
      <c r="I342" s="547"/>
      <c r="J342" s="547"/>
      <c r="K342" s="547"/>
      <c r="L342" s="547"/>
      <c r="M342" s="547"/>
      <c r="N342" s="547"/>
      <c r="O342" s="547"/>
      <c r="P342" s="547"/>
      <c r="Q342" s="547"/>
      <c r="R342" s="547"/>
      <c r="S342" s="989">
        <f t="shared" si="20"/>
        <v>-500000</v>
      </c>
      <c r="T342" s="547">
        <v>-500000</v>
      </c>
      <c r="U342" s="989">
        <f t="shared" si="21"/>
        <v>-1</v>
      </c>
      <c r="V342" s="547">
        <v>-1</v>
      </c>
      <c r="W342" s="566"/>
      <c r="X342" s="567"/>
      <c r="Y342" s="989">
        <f t="shared" si="22"/>
        <v>-500000</v>
      </c>
      <c r="Z342" s="812">
        <f t="shared" si="23"/>
        <v>-1</v>
      </c>
    </row>
    <row r="343" spans="1:26" ht="27" hidden="1" customHeight="1">
      <c r="A343" s="531"/>
      <c r="B343" s="531">
        <v>1402</v>
      </c>
      <c r="C343" s="529">
        <v>16</v>
      </c>
      <c r="D343" s="1027" t="s">
        <v>331</v>
      </c>
      <c r="E343" s="1028" t="s">
        <v>332</v>
      </c>
      <c r="F343" s="547">
        <v>-2735500000</v>
      </c>
      <c r="G343" s="547"/>
      <c r="H343" s="547"/>
      <c r="I343" s="547"/>
      <c r="J343" s="547"/>
      <c r="K343" s="547"/>
      <c r="L343" s="547"/>
      <c r="M343" s="547"/>
      <c r="N343" s="547"/>
      <c r="O343" s="547"/>
      <c r="P343" s="547"/>
      <c r="Q343" s="547"/>
      <c r="R343" s="547"/>
      <c r="S343" s="989">
        <f t="shared" si="20"/>
        <v>-2735500000</v>
      </c>
      <c r="T343" s="547">
        <v>-2735500000</v>
      </c>
      <c r="U343" s="989">
        <f t="shared" si="21"/>
        <v>-2736</v>
      </c>
      <c r="V343" s="547">
        <v>-2736</v>
      </c>
      <c r="W343" s="566"/>
      <c r="X343" s="567"/>
      <c r="Y343" s="989">
        <f t="shared" si="22"/>
        <v>-2735500000</v>
      </c>
      <c r="Z343" s="812">
        <f t="shared" si="23"/>
        <v>-2736</v>
      </c>
    </row>
    <row r="344" spans="1:26" ht="27" hidden="1" customHeight="1">
      <c r="A344" s="531"/>
      <c r="B344" s="531">
        <v>406</v>
      </c>
      <c r="C344" s="529">
        <v>11</v>
      </c>
      <c r="D344" s="1027" t="s">
        <v>1208</v>
      </c>
      <c r="E344" s="1028" t="s">
        <v>1164</v>
      </c>
      <c r="F344" s="547"/>
      <c r="G344" s="547"/>
      <c r="H344" s="547"/>
      <c r="I344" s="547"/>
      <c r="J344" s="547"/>
      <c r="K344" s="547"/>
      <c r="L344" s="547"/>
      <c r="M344" s="547"/>
      <c r="N344" s="547"/>
      <c r="O344" s="547"/>
      <c r="P344" s="547"/>
      <c r="Q344" s="547"/>
      <c r="R344" s="547"/>
      <c r="S344" s="989">
        <f t="shared" si="20"/>
        <v>0</v>
      </c>
      <c r="T344" s="547">
        <v>0</v>
      </c>
      <c r="U344" s="989">
        <f t="shared" si="21"/>
        <v>0</v>
      </c>
      <c r="V344" s="547">
        <v>0</v>
      </c>
      <c r="W344" s="566"/>
      <c r="X344" s="567"/>
      <c r="Y344" s="989">
        <f t="shared" si="22"/>
        <v>0</v>
      </c>
      <c r="Z344" s="812">
        <f t="shared" si="23"/>
        <v>0</v>
      </c>
    </row>
    <row r="345" spans="1:26" ht="27" hidden="1" customHeight="1">
      <c r="A345" s="531"/>
      <c r="B345" s="531">
        <v>901</v>
      </c>
      <c r="C345" s="529">
        <v>8</v>
      </c>
      <c r="D345" s="1027" t="s">
        <v>112</v>
      </c>
      <c r="E345" s="1028" t="s">
        <v>113</v>
      </c>
      <c r="F345" s="547">
        <v>2347769722997</v>
      </c>
      <c r="G345" s="547"/>
      <c r="H345" s="547">
        <v>54598289410</v>
      </c>
      <c r="I345" s="547"/>
      <c r="J345" s="547">
        <v>-16605324</v>
      </c>
      <c r="K345" s="547"/>
      <c r="L345" s="547"/>
      <c r="M345" s="547"/>
      <c r="N345" s="547"/>
      <c r="O345" s="547"/>
      <c r="P345" s="547"/>
      <c r="Q345" s="547"/>
      <c r="R345" s="547"/>
      <c r="S345" s="989">
        <f t="shared" si="20"/>
        <v>2402351407083</v>
      </c>
      <c r="T345" s="547">
        <v>2347769722997</v>
      </c>
      <c r="U345" s="989">
        <f t="shared" si="21"/>
        <v>2402351</v>
      </c>
      <c r="V345" s="547">
        <v>2347769</v>
      </c>
      <c r="W345" s="566"/>
      <c r="X345" s="567"/>
      <c r="Y345" s="989">
        <f t="shared" si="22"/>
        <v>2402351407083</v>
      </c>
      <c r="Z345" s="812">
        <f t="shared" si="23"/>
        <v>2402351</v>
      </c>
    </row>
    <row r="346" spans="1:26" ht="27" hidden="1" customHeight="1">
      <c r="A346" s="531"/>
      <c r="B346" s="531">
        <v>901</v>
      </c>
      <c r="C346" s="529">
        <v>8</v>
      </c>
      <c r="D346" s="1118">
        <v>90002006</v>
      </c>
      <c r="E346" s="1028" t="s">
        <v>1766</v>
      </c>
      <c r="F346" s="547">
        <v>-16605324</v>
      </c>
      <c r="G346" s="547"/>
      <c r="H346" s="547"/>
      <c r="I346" s="547"/>
      <c r="J346" s="547">
        <v>16605324</v>
      </c>
      <c r="K346" s="547"/>
      <c r="L346" s="547"/>
      <c r="M346" s="547"/>
      <c r="N346" s="547"/>
      <c r="O346" s="547"/>
      <c r="P346" s="547"/>
      <c r="Q346" s="547"/>
      <c r="R346" s="547"/>
      <c r="S346" s="989">
        <f t="shared" si="20"/>
        <v>0</v>
      </c>
      <c r="T346" s="547">
        <v>0</v>
      </c>
      <c r="U346" s="989">
        <f t="shared" si="21"/>
        <v>0</v>
      </c>
      <c r="V346" s="547">
        <v>0</v>
      </c>
      <c r="W346" s="566"/>
      <c r="X346" s="567"/>
      <c r="Y346" s="989">
        <f t="shared" si="22"/>
        <v>0</v>
      </c>
      <c r="Z346" s="812">
        <f t="shared" si="23"/>
        <v>0</v>
      </c>
    </row>
    <row r="347" spans="1:26" ht="27" hidden="1" customHeight="1">
      <c r="A347" s="531"/>
      <c r="B347" s="531">
        <v>902</v>
      </c>
      <c r="C347" s="529">
        <v>8</v>
      </c>
      <c r="D347" s="1027" t="s">
        <v>114</v>
      </c>
      <c r="E347" s="1028" t="s">
        <v>920</v>
      </c>
      <c r="F347" s="547">
        <v>32898588228596</v>
      </c>
      <c r="G347" s="547">
        <v>104222855082</v>
      </c>
      <c r="H347" s="547">
        <v>4159320620765</v>
      </c>
      <c r="I347" s="547">
        <f>2391768137-3448849051653</f>
        <v>-3446457283516</v>
      </c>
      <c r="J347" s="547">
        <f>1925532904-175136309703</f>
        <v>-173210776799</v>
      </c>
      <c r="K347" s="547">
        <v>-3301275317</v>
      </c>
      <c r="L347" s="547"/>
      <c r="M347" s="547"/>
      <c r="N347" s="547"/>
      <c r="O347" s="547"/>
      <c r="P347" s="547"/>
      <c r="Q347" s="547"/>
      <c r="R347" s="547"/>
      <c r="S347" s="989">
        <f t="shared" si="20"/>
        <v>33539162368811</v>
      </c>
      <c r="T347" s="547">
        <v>32318244329107</v>
      </c>
      <c r="U347" s="1391">
        <f>ROUND((S347/1000000),0)+1</f>
        <v>33539163</v>
      </c>
      <c r="V347" s="547">
        <v>32318244</v>
      </c>
      <c r="W347" s="566"/>
      <c r="X347" s="567"/>
      <c r="Y347" s="989">
        <f t="shared" si="22"/>
        <v>33539162368811</v>
      </c>
      <c r="Z347" s="812">
        <f t="shared" si="23"/>
        <v>33539162</v>
      </c>
    </row>
    <row r="348" spans="1:26" s="1290" customFormat="1" ht="27" hidden="1" customHeight="1">
      <c r="A348" s="1284"/>
      <c r="B348" s="1284">
        <v>902</v>
      </c>
      <c r="C348" s="529">
        <v>8</v>
      </c>
      <c r="D348" s="1285">
        <v>90002102</v>
      </c>
      <c r="E348" s="1286" t="s">
        <v>1791</v>
      </c>
      <c r="F348" s="1287">
        <v>-15041107905</v>
      </c>
      <c r="G348" s="1287"/>
      <c r="H348" s="1287"/>
      <c r="I348" s="1287"/>
      <c r="J348" s="1287">
        <v>15041107905</v>
      </c>
      <c r="K348" s="1287"/>
      <c r="L348" s="1287"/>
      <c r="M348" s="1287"/>
      <c r="N348" s="1287"/>
      <c r="O348" s="1287"/>
      <c r="P348" s="1287"/>
      <c r="Q348" s="1287"/>
      <c r="R348" s="1287"/>
      <c r="S348" s="989">
        <f t="shared" si="20"/>
        <v>0</v>
      </c>
      <c r="T348" s="1287"/>
      <c r="U348" s="989">
        <f t="shared" si="21"/>
        <v>0</v>
      </c>
      <c r="V348" s="1287"/>
      <c r="W348" s="1288"/>
      <c r="X348" s="1289"/>
      <c r="Y348" s="1287"/>
      <c r="Z348" s="1287"/>
    </row>
    <row r="349" spans="1:26" ht="27" hidden="1" customHeight="1">
      <c r="A349" s="531"/>
      <c r="B349" s="531">
        <v>902</v>
      </c>
      <c r="C349" s="529">
        <v>8</v>
      </c>
      <c r="D349" s="1027" t="s">
        <v>1624</v>
      </c>
      <c r="E349" s="1028" t="s">
        <v>1604</v>
      </c>
      <c r="F349" s="547">
        <v>-144660000</v>
      </c>
      <c r="G349" s="547"/>
      <c r="H349" s="547"/>
      <c r="I349" s="547"/>
      <c r="J349" s="547">
        <v>144660000</v>
      </c>
      <c r="K349" s="547"/>
      <c r="L349" s="547"/>
      <c r="M349" s="547"/>
      <c r="N349" s="547"/>
      <c r="O349" s="547"/>
      <c r="P349" s="547"/>
      <c r="Q349" s="547"/>
      <c r="R349" s="547"/>
      <c r="S349" s="989">
        <f t="shared" si="20"/>
        <v>0</v>
      </c>
      <c r="T349" s="547">
        <v>0</v>
      </c>
      <c r="U349" s="989">
        <f t="shared" si="21"/>
        <v>0</v>
      </c>
      <c r="V349" s="547">
        <v>0</v>
      </c>
      <c r="W349" s="566"/>
      <c r="X349" s="567"/>
      <c r="Y349" s="989">
        <f t="shared" si="22"/>
        <v>0</v>
      </c>
      <c r="Z349" s="812">
        <f t="shared" si="23"/>
        <v>0</v>
      </c>
    </row>
    <row r="350" spans="1:26" ht="27" hidden="1" customHeight="1">
      <c r="A350" s="531"/>
      <c r="B350" s="531"/>
      <c r="C350" s="529">
        <v>9</v>
      </c>
      <c r="D350" s="1027" t="s">
        <v>667</v>
      </c>
      <c r="E350" s="1028" t="s">
        <v>666</v>
      </c>
      <c r="F350" s="547">
        <v>8557763010</v>
      </c>
      <c r="G350" s="547"/>
      <c r="H350" s="547"/>
      <c r="I350" s="547"/>
      <c r="J350" s="547"/>
      <c r="K350" s="547"/>
      <c r="L350" s="547"/>
      <c r="M350" s="547"/>
      <c r="N350" s="547"/>
      <c r="O350" s="547"/>
      <c r="P350" s="547"/>
      <c r="Q350" s="547"/>
      <c r="R350" s="547"/>
      <c r="S350" s="989">
        <f t="shared" si="20"/>
        <v>8557763010</v>
      </c>
      <c r="T350" s="547">
        <v>8557763010</v>
      </c>
      <c r="U350" s="989">
        <f t="shared" si="21"/>
        <v>8558</v>
      </c>
      <c r="V350" s="547">
        <v>8558</v>
      </c>
      <c r="W350" s="566"/>
      <c r="X350" s="567"/>
      <c r="Y350" s="989">
        <f t="shared" si="22"/>
        <v>8557763010</v>
      </c>
      <c r="Z350" s="812">
        <f t="shared" si="23"/>
        <v>8558</v>
      </c>
    </row>
    <row r="351" spans="1:26" ht="27" hidden="1" customHeight="1">
      <c r="A351" s="531"/>
      <c r="B351" s="531">
        <v>903</v>
      </c>
      <c r="C351" s="529">
        <v>8</v>
      </c>
      <c r="D351" s="1027" t="s">
        <v>105</v>
      </c>
      <c r="E351" s="1028" t="s">
        <v>913</v>
      </c>
      <c r="F351" s="547">
        <v>1546047622524</v>
      </c>
      <c r="G351" s="547"/>
      <c r="H351" s="547"/>
      <c r="I351" s="547"/>
      <c r="J351" s="547"/>
      <c r="K351" s="547"/>
      <c r="L351" s="547"/>
      <c r="M351" s="547"/>
      <c r="N351" s="547">
        <f>388897667194-2487545789</f>
        <v>386410121405</v>
      </c>
      <c r="O351" s="547"/>
      <c r="P351" s="547"/>
      <c r="Q351" s="547"/>
      <c r="R351" s="547"/>
      <c r="S351" s="989">
        <f t="shared" si="20"/>
        <v>1932457743929</v>
      </c>
      <c r="T351" s="547">
        <v>1546047261859</v>
      </c>
      <c r="U351" s="989">
        <f t="shared" si="21"/>
        <v>1932458</v>
      </c>
      <c r="V351" s="547">
        <v>1546047</v>
      </c>
      <c r="W351" s="566"/>
      <c r="X351" s="567"/>
      <c r="Y351" s="989">
        <f t="shared" si="22"/>
        <v>1932457743929</v>
      </c>
      <c r="Z351" s="812">
        <f t="shared" si="23"/>
        <v>1932458</v>
      </c>
    </row>
    <row r="352" spans="1:26" ht="27" hidden="1" customHeight="1">
      <c r="A352" s="531"/>
      <c r="B352" s="531">
        <v>903</v>
      </c>
      <c r="C352" s="529">
        <v>8</v>
      </c>
      <c r="D352" s="1027" t="s">
        <v>1107</v>
      </c>
      <c r="E352" s="1028" t="s">
        <v>1108</v>
      </c>
      <c r="F352" s="547">
        <v>220758441264</v>
      </c>
      <c r="G352" s="547">
        <f>16501844676-41095667</f>
        <v>16460749009</v>
      </c>
      <c r="H352" s="547"/>
      <c r="I352" s="547">
        <v>11021838311</v>
      </c>
      <c r="J352" s="547">
        <v>139541343233</v>
      </c>
      <c r="K352" s="547">
        <f>3301275317-2185979940</f>
        <v>1115295377</v>
      </c>
      <c r="L352" s="547"/>
      <c r="M352" s="547"/>
      <c r="N352" s="547">
        <v>-388897667194</v>
      </c>
      <c r="O352" s="547"/>
      <c r="P352" s="547"/>
      <c r="Q352" s="547"/>
      <c r="R352" s="547"/>
      <c r="S352" s="989">
        <f t="shared" si="20"/>
        <v>0</v>
      </c>
      <c r="T352" s="547">
        <v>0</v>
      </c>
      <c r="U352" s="989">
        <f t="shared" si="21"/>
        <v>0</v>
      </c>
      <c r="V352" s="547">
        <v>0</v>
      </c>
      <c r="W352" s="566"/>
      <c r="X352" s="567"/>
      <c r="Y352" s="989">
        <f t="shared" si="22"/>
        <v>0</v>
      </c>
      <c r="Z352" s="812">
        <f t="shared" si="23"/>
        <v>0</v>
      </c>
    </row>
    <row r="353" spans="1:26" ht="27" hidden="1" customHeight="1">
      <c r="A353" s="531"/>
      <c r="B353" s="531">
        <v>903</v>
      </c>
      <c r="C353" s="529">
        <v>8</v>
      </c>
      <c r="D353" s="1027" t="s">
        <v>1109</v>
      </c>
      <c r="E353" s="1028" t="s">
        <v>1110</v>
      </c>
      <c r="F353" s="547">
        <v>-2487545789</v>
      </c>
      <c r="G353" s="547"/>
      <c r="H353" s="547"/>
      <c r="I353" s="547"/>
      <c r="J353" s="547"/>
      <c r="K353" s="547"/>
      <c r="L353" s="547"/>
      <c r="M353" s="547"/>
      <c r="N353" s="547">
        <v>2487545789</v>
      </c>
      <c r="O353" s="547"/>
      <c r="P353" s="547"/>
      <c r="Q353" s="547"/>
      <c r="R353" s="547"/>
      <c r="S353" s="989">
        <f t="shared" si="20"/>
        <v>0</v>
      </c>
      <c r="T353" s="547">
        <v>0</v>
      </c>
      <c r="U353" s="989">
        <f t="shared" si="21"/>
        <v>0</v>
      </c>
      <c r="V353" s="547">
        <v>0</v>
      </c>
      <c r="W353" s="566"/>
      <c r="X353" s="567"/>
      <c r="Y353" s="989">
        <f t="shared" si="22"/>
        <v>0</v>
      </c>
      <c r="Z353" s="812">
        <f t="shared" si="23"/>
        <v>0</v>
      </c>
    </row>
    <row r="354" spans="1:26" ht="27" hidden="1" customHeight="1">
      <c r="A354" s="531"/>
      <c r="B354" s="531">
        <v>903</v>
      </c>
      <c r="C354" s="529">
        <v>8</v>
      </c>
      <c r="D354" s="1027" t="s">
        <v>1571</v>
      </c>
      <c r="E354" s="1028" t="s">
        <v>1111</v>
      </c>
      <c r="F354" s="547"/>
      <c r="G354" s="547"/>
      <c r="H354" s="547"/>
      <c r="I354" s="547"/>
      <c r="J354" s="547"/>
      <c r="K354" s="547"/>
      <c r="L354" s="547"/>
      <c r="M354" s="547"/>
      <c r="N354" s="547"/>
      <c r="O354" s="547"/>
      <c r="P354" s="547"/>
      <c r="Q354" s="547"/>
      <c r="R354" s="547"/>
      <c r="S354" s="989">
        <f t="shared" si="20"/>
        <v>0</v>
      </c>
      <c r="T354" s="547">
        <v>0</v>
      </c>
      <c r="U354" s="989">
        <f t="shared" si="21"/>
        <v>0</v>
      </c>
      <c r="V354" s="547">
        <v>0</v>
      </c>
      <c r="W354" s="566"/>
      <c r="X354" s="567"/>
      <c r="Y354" s="989">
        <f t="shared" si="22"/>
        <v>0</v>
      </c>
      <c r="Z354" s="812">
        <f t="shared" si="23"/>
        <v>0</v>
      </c>
    </row>
    <row r="355" spans="1:26" ht="27" hidden="1" customHeight="1">
      <c r="A355" s="531"/>
      <c r="B355" s="531">
        <v>902</v>
      </c>
      <c r="C355" s="529">
        <v>8</v>
      </c>
      <c r="D355" s="1027">
        <v>90002140</v>
      </c>
      <c r="E355" s="1028" t="s">
        <v>1756</v>
      </c>
      <c r="F355" s="547"/>
      <c r="G355" s="547"/>
      <c r="H355" s="547"/>
      <c r="I355" s="547"/>
      <c r="J355" s="547"/>
      <c r="K355" s="547"/>
      <c r="L355" s="547"/>
      <c r="M355" s="547"/>
      <c r="N355" s="547"/>
      <c r="O355" s="547"/>
      <c r="P355" s="547"/>
      <c r="Q355" s="547"/>
      <c r="R355" s="547"/>
      <c r="S355" s="989">
        <f t="shared" si="20"/>
        <v>0</v>
      </c>
      <c r="T355" s="547">
        <v>0</v>
      </c>
      <c r="U355" s="989">
        <f t="shared" si="21"/>
        <v>0</v>
      </c>
      <c r="V355" s="547">
        <v>0</v>
      </c>
      <c r="W355" s="566"/>
      <c r="X355" s="567"/>
      <c r="Y355" s="989">
        <f t="shared" si="22"/>
        <v>0</v>
      </c>
      <c r="Z355" s="812">
        <f t="shared" si="23"/>
        <v>0</v>
      </c>
    </row>
    <row r="356" spans="1:26" ht="27" hidden="1" customHeight="1">
      <c r="A356" s="531"/>
      <c r="B356" s="531">
        <v>905</v>
      </c>
      <c r="C356" s="529">
        <v>8</v>
      </c>
      <c r="D356" s="1027" t="s">
        <v>107</v>
      </c>
      <c r="E356" s="1028" t="s">
        <v>917</v>
      </c>
      <c r="F356" s="547">
        <v>660318003290</v>
      </c>
      <c r="G356" s="547"/>
      <c r="H356" s="547"/>
      <c r="I356" s="547"/>
      <c r="J356" s="547"/>
      <c r="K356" s="547"/>
      <c r="L356" s="547"/>
      <c r="M356" s="547"/>
      <c r="N356" s="547">
        <f>19614364891-120000000</f>
        <v>19494364891</v>
      </c>
      <c r="O356" s="547"/>
      <c r="P356" s="547"/>
      <c r="Q356" s="547"/>
      <c r="R356" s="547"/>
      <c r="S356" s="989">
        <f t="shared" si="20"/>
        <v>679812368181</v>
      </c>
      <c r="T356" s="547">
        <v>660318003290</v>
      </c>
      <c r="U356" s="989">
        <f t="shared" si="21"/>
        <v>679812</v>
      </c>
      <c r="V356" s="547">
        <v>660318</v>
      </c>
      <c r="W356" s="566"/>
      <c r="X356" s="567"/>
      <c r="Y356" s="989">
        <f t="shared" si="22"/>
        <v>679812368181</v>
      </c>
      <c r="Z356" s="812">
        <f t="shared" si="23"/>
        <v>679812</v>
      </c>
    </row>
    <row r="357" spans="1:26" ht="27" hidden="1" customHeight="1">
      <c r="A357" s="531"/>
      <c r="B357" s="531">
        <v>905</v>
      </c>
      <c r="C357" s="529">
        <v>8</v>
      </c>
      <c r="D357" s="1027" t="s">
        <v>1112</v>
      </c>
      <c r="E357" s="1028" t="s">
        <v>1113</v>
      </c>
      <c r="F357" s="547">
        <v>9426054544</v>
      </c>
      <c r="G357" s="547">
        <v>2167030000</v>
      </c>
      <c r="H357" s="547"/>
      <c r="I357" s="547"/>
      <c r="J357" s="547">
        <v>8021280347</v>
      </c>
      <c r="K357" s="547"/>
      <c r="L357" s="547"/>
      <c r="M357" s="547"/>
      <c r="N357" s="547">
        <v>-19614364891</v>
      </c>
      <c r="O357" s="547"/>
      <c r="P357" s="547"/>
      <c r="Q357" s="547"/>
      <c r="R357" s="547"/>
      <c r="S357" s="989">
        <f t="shared" si="20"/>
        <v>0</v>
      </c>
      <c r="T357" s="547">
        <v>0</v>
      </c>
      <c r="U357" s="989">
        <f t="shared" si="21"/>
        <v>0</v>
      </c>
      <c r="V357" s="547">
        <v>0</v>
      </c>
      <c r="W357" s="566"/>
      <c r="X357" s="567"/>
      <c r="Y357" s="989">
        <f t="shared" si="22"/>
        <v>0</v>
      </c>
      <c r="Z357" s="812">
        <f t="shared" si="23"/>
        <v>0</v>
      </c>
    </row>
    <row r="358" spans="1:26" ht="27" hidden="1" customHeight="1">
      <c r="A358" s="531"/>
      <c r="B358" s="531">
        <v>905</v>
      </c>
      <c r="C358" s="529">
        <v>8</v>
      </c>
      <c r="D358" s="1027" t="s">
        <v>1115</v>
      </c>
      <c r="E358" s="1028" t="s">
        <v>1114</v>
      </c>
      <c r="F358" s="547">
        <v>-120000000</v>
      </c>
      <c r="G358" s="547"/>
      <c r="H358" s="547"/>
      <c r="I358" s="547"/>
      <c r="J358" s="547"/>
      <c r="K358" s="547"/>
      <c r="L358" s="547"/>
      <c r="M358" s="547"/>
      <c r="N358" s="547">
        <v>120000000</v>
      </c>
      <c r="O358" s="547"/>
      <c r="P358" s="547"/>
      <c r="Q358" s="547"/>
      <c r="R358" s="547"/>
      <c r="S358" s="989">
        <f t="shared" si="20"/>
        <v>0</v>
      </c>
      <c r="T358" s="547">
        <v>0</v>
      </c>
      <c r="U358" s="989">
        <f t="shared" si="21"/>
        <v>0</v>
      </c>
      <c r="V358" s="547">
        <v>0</v>
      </c>
      <c r="W358" s="566"/>
      <c r="X358" s="567"/>
      <c r="Y358" s="989">
        <f t="shared" si="22"/>
        <v>0</v>
      </c>
      <c r="Z358" s="812">
        <f t="shared" si="23"/>
        <v>0</v>
      </c>
    </row>
    <row r="359" spans="1:26" ht="27" hidden="1" customHeight="1">
      <c r="A359" s="531"/>
      <c r="B359" s="531"/>
      <c r="C359" s="529">
        <v>8</v>
      </c>
      <c r="D359" s="1027" t="s">
        <v>1017</v>
      </c>
      <c r="E359" s="1028" t="s">
        <v>1018</v>
      </c>
      <c r="F359" s="547"/>
      <c r="G359" s="547"/>
      <c r="H359" s="547"/>
      <c r="I359" s="547"/>
      <c r="J359" s="547"/>
      <c r="K359" s="547"/>
      <c r="L359" s="547"/>
      <c r="M359" s="547"/>
      <c r="N359" s="547"/>
      <c r="O359" s="547"/>
      <c r="P359" s="547"/>
      <c r="Q359" s="547"/>
      <c r="R359" s="547"/>
      <c r="S359" s="989">
        <f t="shared" si="20"/>
        <v>0</v>
      </c>
      <c r="T359" s="547">
        <v>0</v>
      </c>
      <c r="U359" s="989">
        <f t="shared" si="21"/>
        <v>0</v>
      </c>
      <c r="V359" s="547">
        <v>0</v>
      </c>
      <c r="W359" s="566"/>
      <c r="X359" s="567"/>
      <c r="Y359" s="989">
        <f t="shared" si="22"/>
        <v>0</v>
      </c>
      <c r="Z359" s="812">
        <f t="shared" si="23"/>
        <v>0</v>
      </c>
    </row>
    <row r="360" spans="1:26" ht="27" hidden="1" customHeight="1">
      <c r="A360" s="531"/>
      <c r="B360" s="1284">
        <v>902</v>
      </c>
      <c r="C360" s="529">
        <v>8</v>
      </c>
      <c r="D360" s="1027" t="s">
        <v>1197</v>
      </c>
      <c r="E360" s="1028" t="s">
        <v>1198</v>
      </c>
      <c r="F360" s="547">
        <v>-12159100802</v>
      </c>
      <c r="G360" s="547"/>
      <c r="H360" s="547"/>
      <c r="I360" s="547"/>
      <c r="J360" s="547">
        <v>12159100802</v>
      </c>
      <c r="K360" s="547"/>
      <c r="L360" s="547"/>
      <c r="M360" s="547"/>
      <c r="N360" s="547"/>
      <c r="O360" s="547"/>
      <c r="P360" s="547"/>
      <c r="Q360" s="547"/>
      <c r="R360" s="547"/>
      <c r="S360" s="989">
        <f t="shared" si="20"/>
        <v>0</v>
      </c>
      <c r="T360" s="547">
        <v>0</v>
      </c>
      <c r="U360" s="989">
        <f t="shared" si="21"/>
        <v>0</v>
      </c>
      <c r="V360" s="547">
        <v>0</v>
      </c>
      <c r="W360" s="566"/>
      <c r="X360" s="567"/>
      <c r="Y360" s="989">
        <f t="shared" si="22"/>
        <v>0</v>
      </c>
      <c r="Z360" s="812">
        <f t="shared" si="23"/>
        <v>0</v>
      </c>
    </row>
    <row r="361" spans="1:26" ht="27" hidden="1" customHeight="1">
      <c r="A361" s="531"/>
      <c r="B361" s="531">
        <v>904</v>
      </c>
      <c r="C361" s="529">
        <v>8</v>
      </c>
      <c r="D361" s="1027" t="s">
        <v>149</v>
      </c>
      <c r="E361" s="1028" t="s">
        <v>915</v>
      </c>
      <c r="F361" s="547">
        <v>405900515911</v>
      </c>
      <c r="G361" s="547"/>
      <c r="H361" s="547"/>
      <c r="I361" s="547"/>
      <c r="J361" s="547"/>
      <c r="K361" s="547"/>
      <c r="L361" s="547"/>
      <c r="M361" s="547"/>
      <c r="N361" s="547">
        <f>54384718479-857136889</f>
        <v>53527581590</v>
      </c>
      <c r="O361" s="547"/>
      <c r="P361" s="547"/>
      <c r="Q361" s="547"/>
      <c r="R361" s="547"/>
      <c r="S361" s="989">
        <f t="shared" si="20"/>
        <v>459428097501</v>
      </c>
      <c r="T361" s="547">
        <v>405900515911</v>
      </c>
      <c r="U361" s="989">
        <f t="shared" si="21"/>
        <v>459428</v>
      </c>
      <c r="V361" s="547">
        <v>405901</v>
      </c>
      <c r="W361" s="566"/>
      <c r="X361" s="567"/>
      <c r="Y361" s="989">
        <f t="shared" si="22"/>
        <v>459428097501</v>
      </c>
      <c r="Z361" s="812">
        <f t="shared" si="23"/>
        <v>459428</v>
      </c>
    </row>
    <row r="362" spans="1:26" ht="27" hidden="1" customHeight="1">
      <c r="A362" s="531"/>
      <c r="B362" s="531">
        <v>904</v>
      </c>
      <c r="C362" s="529">
        <v>8</v>
      </c>
      <c r="D362" s="1027" t="s">
        <v>1116</v>
      </c>
      <c r="E362" s="1028" t="s">
        <v>1119</v>
      </c>
      <c r="F362" s="547">
        <v>48032274822</v>
      </c>
      <c r="G362" s="547">
        <v>5333626241</v>
      </c>
      <c r="H362" s="547"/>
      <c r="I362" s="547">
        <v>790000000</v>
      </c>
      <c r="J362" s="547">
        <v>228817416</v>
      </c>
      <c r="K362" s="547"/>
      <c r="L362" s="547"/>
      <c r="M362" s="547"/>
      <c r="N362" s="547">
        <v>-54384718479</v>
      </c>
      <c r="O362" s="547"/>
      <c r="P362" s="547"/>
      <c r="Q362" s="547"/>
      <c r="R362" s="547"/>
      <c r="S362" s="989">
        <f t="shared" si="20"/>
        <v>0</v>
      </c>
      <c r="T362" s="547">
        <v>0</v>
      </c>
      <c r="U362" s="989">
        <f t="shared" si="21"/>
        <v>0</v>
      </c>
      <c r="V362" s="547">
        <v>0</v>
      </c>
      <c r="W362" s="566"/>
      <c r="X362" s="567"/>
      <c r="Y362" s="989">
        <f t="shared" si="22"/>
        <v>0</v>
      </c>
      <c r="Z362" s="812">
        <f t="shared" si="23"/>
        <v>0</v>
      </c>
    </row>
    <row r="363" spans="1:26" ht="27" hidden="1" customHeight="1">
      <c r="A363" s="531"/>
      <c r="B363" s="531">
        <v>904</v>
      </c>
      <c r="C363" s="529">
        <v>8</v>
      </c>
      <c r="D363" s="1027" t="s">
        <v>1117</v>
      </c>
      <c r="E363" s="1028" t="s">
        <v>1120</v>
      </c>
      <c r="F363" s="547">
        <v>-847765187</v>
      </c>
      <c r="G363" s="547"/>
      <c r="H363" s="547"/>
      <c r="I363" s="547"/>
      <c r="J363" s="547"/>
      <c r="K363" s="547"/>
      <c r="L363" s="547">
        <v>-9371702</v>
      </c>
      <c r="M363" s="547"/>
      <c r="N363" s="547">
        <v>857136889</v>
      </c>
      <c r="O363" s="547"/>
      <c r="P363" s="547"/>
      <c r="Q363" s="547"/>
      <c r="R363" s="547"/>
      <c r="S363" s="989">
        <f t="shared" si="20"/>
        <v>0</v>
      </c>
      <c r="T363" s="547">
        <v>0</v>
      </c>
      <c r="U363" s="989">
        <f t="shared" si="21"/>
        <v>0</v>
      </c>
      <c r="V363" s="547">
        <v>0</v>
      </c>
      <c r="W363" s="566"/>
      <c r="X363" s="567"/>
      <c r="Y363" s="989">
        <f t="shared" si="22"/>
        <v>0</v>
      </c>
      <c r="Z363" s="812">
        <f t="shared" si="23"/>
        <v>0</v>
      </c>
    </row>
    <row r="364" spans="1:26" ht="27" hidden="1" customHeight="1">
      <c r="A364" s="531"/>
      <c r="B364" s="531">
        <v>904</v>
      </c>
      <c r="C364" s="529">
        <v>8</v>
      </c>
      <c r="D364" s="1027" t="s">
        <v>1118</v>
      </c>
      <c r="E364" s="1028" t="s">
        <v>1121</v>
      </c>
      <c r="F364" s="547"/>
      <c r="G364" s="547"/>
      <c r="H364" s="547"/>
      <c r="I364" s="547"/>
      <c r="J364" s="547"/>
      <c r="K364" s="547"/>
      <c r="L364" s="547"/>
      <c r="M364" s="547"/>
      <c r="N364" s="547"/>
      <c r="O364" s="547"/>
      <c r="P364" s="547"/>
      <c r="Q364" s="547"/>
      <c r="R364" s="547"/>
      <c r="S364" s="989">
        <f t="shared" si="20"/>
        <v>0</v>
      </c>
      <c r="T364" s="547">
        <v>0</v>
      </c>
      <c r="U364" s="989">
        <f t="shared" si="21"/>
        <v>0</v>
      </c>
      <c r="V364" s="547">
        <v>0</v>
      </c>
      <c r="W364" s="566"/>
      <c r="X364" s="567"/>
      <c r="Y364" s="989">
        <f t="shared" si="22"/>
        <v>0</v>
      </c>
      <c r="Z364" s="812">
        <f t="shared" si="23"/>
        <v>0</v>
      </c>
    </row>
    <row r="365" spans="1:26" ht="27" hidden="1" customHeight="1">
      <c r="A365" s="531"/>
      <c r="B365" s="1284">
        <v>903</v>
      </c>
      <c r="C365" s="529">
        <v>8</v>
      </c>
      <c r="D365" s="1027" t="s">
        <v>1019</v>
      </c>
      <c r="E365" s="1028" t="s">
        <v>1020</v>
      </c>
      <c r="F365" s="547">
        <v>12037058653</v>
      </c>
      <c r="G365" s="547">
        <f>13359552757-24002500917</f>
        <v>-10642948160</v>
      </c>
      <c r="H365" s="547">
        <f>779507-61800000</f>
        <v>-61020493</v>
      </c>
      <c r="I365" s="547">
        <v>-3371979940</v>
      </c>
      <c r="J365" s="547"/>
      <c r="K365" s="547">
        <f>2185979940-147090000</f>
        <v>2038889940</v>
      </c>
      <c r="L365" s="547"/>
      <c r="M365" s="547"/>
      <c r="N365" s="547"/>
      <c r="O365" s="547"/>
      <c r="P365" s="547"/>
      <c r="Q365" s="547"/>
      <c r="R365" s="547"/>
      <c r="S365" s="989">
        <f t="shared" si="20"/>
        <v>0</v>
      </c>
      <c r="T365" s="547">
        <v>0</v>
      </c>
      <c r="U365" s="989">
        <f t="shared" si="21"/>
        <v>0</v>
      </c>
      <c r="V365" s="547">
        <v>0</v>
      </c>
      <c r="W365" s="566"/>
      <c r="X365" s="567"/>
      <c r="Y365" s="989">
        <f t="shared" si="22"/>
        <v>0</v>
      </c>
      <c r="Z365" s="812">
        <f t="shared" si="23"/>
        <v>0</v>
      </c>
    </row>
    <row r="366" spans="1:26" ht="27" hidden="1" customHeight="1">
      <c r="A366" s="531"/>
      <c r="B366" s="531">
        <v>902</v>
      </c>
      <c r="C366" s="529">
        <v>8</v>
      </c>
      <c r="D366" s="1027" t="s">
        <v>1009</v>
      </c>
      <c r="E366" s="1028" t="s">
        <v>1010</v>
      </c>
      <c r="F366" s="547">
        <v>-862729676554</v>
      </c>
      <c r="G366" s="547"/>
      <c r="H366" s="547"/>
      <c r="I366" s="547"/>
      <c r="J366" s="547"/>
      <c r="K366" s="547"/>
      <c r="L366" s="547">
        <v>-375901055950</v>
      </c>
      <c r="M366" s="547"/>
      <c r="N366" s="547">
        <v>1238630732504</v>
      </c>
      <c r="O366" s="547"/>
      <c r="P366" s="547"/>
      <c r="Q366" s="547"/>
      <c r="R366" s="547"/>
      <c r="S366" s="989">
        <f t="shared" si="20"/>
        <v>0</v>
      </c>
      <c r="T366" s="547">
        <v>0</v>
      </c>
      <c r="U366" s="989">
        <f t="shared" si="21"/>
        <v>0</v>
      </c>
      <c r="V366" s="547">
        <v>0</v>
      </c>
      <c r="W366" s="566"/>
      <c r="X366" s="567"/>
      <c r="Y366" s="989">
        <f t="shared" si="22"/>
        <v>0</v>
      </c>
      <c r="Z366" s="812">
        <f t="shared" si="23"/>
        <v>0</v>
      </c>
    </row>
    <row r="367" spans="1:26" ht="27" hidden="1" customHeight="1">
      <c r="A367" s="531"/>
      <c r="B367" s="1284">
        <v>902</v>
      </c>
      <c r="C367" s="529">
        <v>8</v>
      </c>
      <c r="D367" s="1027" t="s">
        <v>1625</v>
      </c>
      <c r="E367" s="1028" t="s">
        <v>1249</v>
      </c>
      <c r="F367" s="547">
        <v>6280210107</v>
      </c>
      <c r="G367" s="547"/>
      <c r="H367" s="547"/>
      <c r="I367" s="547"/>
      <c r="J367" s="547"/>
      <c r="K367" s="547"/>
      <c r="L367" s="547">
        <v>7501665534</v>
      </c>
      <c r="M367" s="547"/>
      <c r="N367" s="547">
        <v>-13781875641</v>
      </c>
      <c r="O367" s="547"/>
      <c r="P367" s="547"/>
      <c r="Q367" s="547"/>
      <c r="R367" s="547"/>
      <c r="S367" s="989">
        <f t="shared" si="20"/>
        <v>0</v>
      </c>
      <c r="T367" s="547">
        <v>0</v>
      </c>
      <c r="U367" s="989">
        <f t="shared" si="21"/>
        <v>0</v>
      </c>
      <c r="V367" s="547">
        <v>0</v>
      </c>
      <c r="W367" s="566"/>
      <c r="X367" s="567"/>
      <c r="Y367" s="989">
        <f t="shared" si="22"/>
        <v>0</v>
      </c>
      <c r="Z367" s="812">
        <f t="shared" si="23"/>
        <v>0</v>
      </c>
    </row>
    <row r="368" spans="1:26" ht="27" hidden="1" customHeight="1">
      <c r="A368" s="531"/>
      <c r="B368" s="531">
        <v>903</v>
      </c>
      <c r="C368" s="529">
        <v>8</v>
      </c>
      <c r="D368" s="1027" t="s">
        <v>1250</v>
      </c>
      <c r="E368" s="1028" t="s">
        <v>1249</v>
      </c>
      <c r="F368" s="547">
        <v>-3065148</v>
      </c>
      <c r="G368" s="547"/>
      <c r="H368" s="547"/>
      <c r="I368" s="547"/>
      <c r="J368" s="547"/>
      <c r="K368" s="547"/>
      <c r="L368" s="547"/>
      <c r="M368" s="547"/>
      <c r="N368" s="547">
        <v>3065148</v>
      </c>
      <c r="O368" s="547"/>
      <c r="P368" s="547"/>
      <c r="Q368" s="547"/>
      <c r="R368" s="547"/>
      <c r="S368" s="989">
        <f t="shared" si="20"/>
        <v>0</v>
      </c>
      <c r="T368" s="547">
        <v>0</v>
      </c>
      <c r="U368" s="989">
        <f t="shared" si="21"/>
        <v>0</v>
      </c>
      <c r="V368" s="547">
        <v>0</v>
      </c>
      <c r="W368" s="566"/>
      <c r="X368" s="567"/>
      <c r="Y368" s="989">
        <f t="shared" si="22"/>
        <v>0</v>
      </c>
      <c r="Z368" s="812">
        <f t="shared" si="23"/>
        <v>0</v>
      </c>
    </row>
    <row r="369" spans="1:26" ht="27" hidden="1" customHeight="1">
      <c r="A369" s="531"/>
      <c r="B369" s="531">
        <v>902</v>
      </c>
      <c r="C369" s="529">
        <v>8</v>
      </c>
      <c r="D369" s="1027" t="s">
        <v>1122</v>
      </c>
      <c r="E369" s="1028" t="s">
        <v>1123</v>
      </c>
      <c r="F369" s="547">
        <v>-113107700730</v>
      </c>
      <c r="G369" s="547"/>
      <c r="H369" s="547"/>
      <c r="I369" s="547"/>
      <c r="J369" s="547"/>
      <c r="K369" s="547"/>
      <c r="L369" s="547"/>
      <c r="M369" s="547"/>
      <c r="N369" s="547">
        <v>113107700730</v>
      </c>
      <c r="O369" s="547"/>
      <c r="P369" s="547"/>
      <c r="Q369" s="547"/>
      <c r="R369" s="547"/>
      <c r="S369" s="989">
        <f t="shared" si="20"/>
        <v>0</v>
      </c>
      <c r="T369" s="547">
        <v>0</v>
      </c>
      <c r="U369" s="989">
        <f t="shared" si="21"/>
        <v>0</v>
      </c>
      <c r="V369" s="547">
        <v>0</v>
      </c>
      <c r="W369" s="566"/>
      <c r="X369" s="567"/>
      <c r="Y369" s="989">
        <f t="shared" si="22"/>
        <v>0</v>
      </c>
      <c r="Z369" s="812">
        <f t="shared" si="23"/>
        <v>0</v>
      </c>
    </row>
    <row r="370" spans="1:26" ht="27" hidden="1" customHeight="1">
      <c r="A370" s="531"/>
      <c r="B370" s="531"/>
      <c r="C370" s="529">
        <v>8</v>
      </c>
      <c r="D370" s="1027" t="s">
        <v>1251</v>
      </c>
      <c r="E370" s="1028" t="s">
        <v>1252</v>
      </c>
      <c r="F370" s="547"/>
      <c r="G370" s="547"/>
      <c r="H370" s="547"/>
      <c r="I370" s="547"/>
      <c r="J370" s="547"/>
      <c r="K370" s="547"/>
      <c r="L370" s="547"/>
      <c r="M370" s="547"/>
      <c r="N370" s="547"/>
      <c r="O370" s="547"/>
      <c r="P370" s="547"/>
      <c r="Q370" s="547"/>
      <c r="R370" s="547"/>
      <c r="S370" s="989">
        <f t="shared" si="20"/>
        <v>0</v>
      </c>
      <c r="T370" s="547">
        <v>0</v>
      </c>
      <c r="U370" s="989">
        <f t="shared" si="21"/>
        <v>0</v>
      </c>
      <c r="V370" s="547">
        <v>0</v>
      </c>
      <c r="W370" s="566"/>
      <c r="X370" s="567"/>
      <c r="Y370" s="989">
        <f t="shared" si="22"/>
        <v>0</v>
      </c>
      <c r="Z370" s="812">
        <f t="shared" si="23"/>
        <v>0</v>
      </c>
    </row>
    <row r="371" spans="1:26" ht="27" hidden="1" customHeight="1">
      <c r="A371" s="531"/>
      <c r="B371" s="531">
        <v>902</v>
      </c>
      <c r="C371" s="529">
        <v>8</v>
      </c>
      <c r="D371" s="1027" t="s">
        <v>1124</v>
      </c>
      <c r="E371" s="1028" t="s">
        <v>1125</v>
      </c>
      <c r="F371" s="547">
        <v>-49029800054</v>
      </c>
      <c r="G371" s="547"/>
      <c r="H371" s="547"/>
      <c r="I371" s="547"/>
      <c r="J371" s="547"/>
      <c r="K371" s="547"/>
      <c r="L371" s="547"/>
      <c r="M371" s="547"/>
      <c r="N371" s="547">
        <v>49029800054</v>
      </c>
      <c r="O371" s="547"/>
      <c r="P371" s="547"/>
      <c r="Q371" s="547"/>
      <c r="R371" s="547"/>
      <c r="S371" s="989">
        <f t="shared" si="20"/>
        <v>0</v>
      </c>
      <c r="T371" s="547">
        <v>0</v>
      </c>
      <c r="U371" s="989">
        <f t="shared" si="21"/>
        <v>0</v>
      </c>
      <c r="V371" s="547">
        <v>0</v>
      </c>
      <c r="W371" s="566"/>
      <c r="X371" s="567"/>
      <c r="Y371" s="989">
        <f t="shared" si="22"/>
        <v>0</v>
      </c>
      <c r="Z371" s="812">
        <f t="shared" si="23"/>
        <v>0</v>
      </c>
    </row>
    <row r="372" spans="1:26" ht="27" hidden="1" customHeight="1">
      <c r="A372" s="531"/>
      <c r="B372" s="1284">
        <v>902</v>
      </c>
      <c r="C372" s="529">
        <v>8</v>
      </c>
      <c r="D372" s="1027" t="s">
        <v>1199</v>
      </c>
      <c r="E372" s="1028" t="s">
        <v>1200</v>
      </c>
      <c r="F372" s="547">
        <v>6008601039</v>
      </c>
      <c r="G372" s="547"/>
      <c r="H372" s="547"/>
      <c r="I372" s="547"/>
      <c r="J372" s="547"/>
      <c r="K372" s="547"/>
      <c r="L372" s="547"/>
      <c r="M372" s="547"/>
      <c r="N372" s="547">
        <v>-6008601039</v>
      </c>
      <c r="O372" s="547"/>
      <c r="P372" s="547"/>
      <c r="Q372" s="547"/>
      <c r="R372" s="547"/>
      <c r="S372" s="989">
        <f t="shared" si="20"/>
        <v>0</v>
      </c>
      <c r="T372" s="547">
        <v>0</v>
      </c>
      <c r="U372" s="989">
        <f t="shared" si="21"/>
        <v>0</v>
      </c>
      <c r="V372" s="547">
        <v>0</v>
      </c>
      <c r="W372" s="566"/>
      <c r="X372" s="567"/>
      <c r="Y372" s="989">
        <f t="shared" si="22"/>
        <v>0</v>
      </c>
      <c r="Z372" s="812">
        <f t="shared" si="23"/>
        <v>0</v>
      </c>
    </row>
    <row r="373" spans="1:26" ht="27" hidden="1" customHeight="1">
      <c r="A373" s="531"/>
      <c r="B373" s="531">
        <v>902</v>
      </c>
      <c r="C373" s="529">
        <v>8</v>
      </c>
      <c r="D373" s="1027" t="s">
        <v>151</v>
      </c>
      <c r="E373" s="1028" t="s">
        <v>914</v>
      </c>
      <c r="F373" s="547">
        <v>-23221639655577</v>
      </c>
      <c r="G373" s="547"/>
      <c r="H373" s="547"/>
      <c r="I373" s="547"/>
      <c r="J373" s="547"/>
      <c r="K373" s="547"/>
      <c r="L373" s="547">
        <v>0</v>
      </c>
      <c r="M373" s="547"/>
      <c r="N373" s="547">
        <f>19790476680-1409373661584</f>
        <v>-1389583184904</v>
      </c>
      <c r="O373" s="547"/>
      <c r="P373" s="547"/>
      <c r="Q373" s="547"/>
      <c r="R373" s="547"/>
      <c r="S373" s="989">
        <f t="shared" si="20"/>
        <v>-24611222840481</v>
      </c>
      <c r="T373" s="547">
        <v>-23234436174932</v>
      </c>
      <c r="U373" s="989">
        <f t="shared" si="21"/>
        <v>-24611223</v>
      </c>
      <c r="V373" s="547">
        <v>-23234436</v>
      </c>
      <c r="W373" s="566"/>
      <c r="X373" s="567"/>
      <c r="Y373" s="989">
        <f t="shared" si="22"/>
        <v>-24611222840481</v>
      </c>
      <c r="Z373" s="812">
        <f t="shared" si="23"/>
        <v>-24611223</v>
      </c>
    </row>
    <row r="374" spans="1:26" ht="27" hidden="1" customHeight="1">
      <c r="A374" s="531"/>
      <c r="B374" s="531"/>
      <c r="C374" s="529">
        <v>8</v>
      </c>
      <c r="D374" s="1027" t="s">
        <v>1253</v>
      </c>
      <c r="E374" s="1028" t="s">
        <v>1254</v>
      </c>
      <c r="F374" s="547"/>
      <c r="G374" s="547"/>
      <c r="H374" s="547"/>
      <c r="I374" s="547"/>
      <c r="J374" s="547"/>
      <c r="K374" s="547"/>
      <c r="L374" s="547"/>
      <c r="M374" s="547"/>
      <c r="N374" s="547"/>
      <c r="O374" s="547"/>
      <c r="P374" s="547"/>
      <c r="Q374" s="547"/>
      <c r="R374" s="547"/>
      <c r="S374" s="989">
        <f t="shared" si="20"/>
        <v>0</v>
      </c>
      <c r="T374" s="547">
        <v>0</v>
      </c>
      <c r="U374" s="989">
        <f t="shared" si="21"/>
        <v>0</v>
      </c>
      <c r="V374" s="547">
        <v>0</v>
      </c>
      <c r="W374" s="566"/>
      <c r="X374" s="567"/>
      <c r="Y374" s="989">
        <f t="shared" si="22"/>
        <v>0</v>
      </c>
      <c r="Z374" s="812">
        <f t="shared" si="23"/>
        <v>0</v>
      </c>
    </row>
    <row r="375" spans="1:26" ht="27" hidden="1" customHeight="1">
      <c r="A375" s="531"/>
      <c r="B375" s="531">
        <v>902</v>
      </c>
      <c r="C375" s="529">
        <v>8</v>
      </c>
      <c r="D375" s="1027" t="s">
        <v>1126</v>
      </c>
      <c r="E375" s="1028" t="s">
        <v>1127</v>
      </c>
      <c r="F375" s="547">
        <v>-5521601334</v>
      </c>
      <c r="G375" s="547"/>
      <c r="H375" s="547"/>
      <c r="I375" s="547"/>
      <c r="J375" s="547"/>
      <c r="K375" s="547"/>
      <c r="L375" s="547"/>
      <c r="M375" s="547"/>
      <c r="N375" s="547">
        <v>5521601334</v>
      </c>
      <c r="O375" s="547"/>
      <c r="P375" s="547"/>
      <c r="Q375" s="547"/>
      <c r="R375" s="547"/>
      <c r="S375" s="989">
        <f t="shared" si="20"/>
        <v>0</v>
      </c>
      <c r="T375" s="547">
        <v>0</v>
      </c>
      <c r="U375" s="989">
        <f t="shared" si="21"/>
        <v>0</v>
      </c>
      <c r="V375" s="547">
        <v>0</v>
      </c>
      <c r="W375" s="566"/>
      <c r="X375" s="567"/>
      <c r="Y375" s="989">
        <f t="shared" si="22"/>
        <v>0</v>
      </c>
      <c r="Z375" s="812">
        <f t="shared" si="23"/>
        <v>0</v>
      </c>
    </row>
    <row r="376" spans="1:26" ht="27" hidden="1" customHeight="1">
      <c r="A376" s="531"/>
      <c r="B376" s="531">
        <v>903</v>
      </c>
      <c r="C376" s="529">
        <v>8</v>
      </c>
      <c r="D376" s="1027" t="s">
        <v>509</v>
      </c>
      <c r="E376" s="1028" t="s">
        <v>921</v>
      </c>
      <c r="F376" s="547">
        <v>-882265344119</v>
      </c>
      <c r="G376" s="547"/>
      <c r="H376" s="547"/>
      <c r="I376" s="547"/>
      <c r="J376" s="547"/>
      <c r="K376" s="547"/>
      <c r="L376" s="547"/>
      <c r="M376" s="547"/>
      <c r="N376" s="547">
        <f>1992855190-126444404779</f>
        <v>-124451549589</v>
      </c>
      <c r="O376" s="547"/>
      <c r="P376" s="547"/>
      <c r="Q376" s="547"/>
      <c r="R376" s="547"/>
      <c r="S376" s="989">
        <f t="shared" si="20"/>
        <v>-1006716893708</v>
      </c>
      <c r="T376" s="547">
        <v>-882265344119</v>
      </c>
      <c r="U376" s="989">
        <f t="shared" si="21"/>
        <v>-1006717</v>
      </c>
      <c r="V376" s="547">
        <v>-882265</v>
      </c>
      <c r="W376" s="566"/>
      <c r="X376" s="567"/>
      <c r="Y376" s="989">
        <f t="shared" si="22"/>
        <v>-1006716893708</v>
      </c>
      <c r="Z376" s="812">
        <f t="shared" si="23"/>
        <v>-1006717</v>
      </c>
    </row>
    <row r="377" spans="1:26" ht="27" hidden="1" customHeight="1">
      <c r="A377" s="531"/>
      <c r="B377" s="531">
        <v>903</v>
      </c>
      <c r="C377" s="529">
        <v>8</v>
      </c>
      <c r="D377" s="1027" t="s">
        <v>1128</v>
      </c>
      <c r="E377" s="1028" t="s">
        <v>1133</v>
      </c>
      <c r="F377" s="547">
        <v>-122604759077</v>
      </c>
      <c r="G377" s="547">
        <v>-535186577</v>
      </c>
      <c r="H377" s="547"/>
      <c r="I377" s="547">
        <v>-120823962</v>
      </c>
      <c r="J377" s="547"/>
      <c r="K377" s="547"/>
      <c r="L377" s="547">
        <v>-3183635163</v>
      </c>
      <c r="M377" s="547"/>
      <c r="N377" s="547">
        <v>126444404779</v>
      </c>
      <c r="O377" s="547"/>
      <c r="P377" s="547"/>
      <c r="Q377" s="547"/>
      <c r="R377" s="547"/>
      <c r="S377" s="989">
        <f t="shared" si="20"/>
        <v>0</v>
      </c>
      <c r="T377" s="547">
        <v>0</v>
      </c>
      <c r="U377" s="989">
        <f t="shared" si="21"/>
        <v>0</v>
      </c>
      <c r="V377" s="547">
        <v>0</v>
      </c>
      <c r="W377" s="566"/>
      <c r="X377" s="567"/>
      <c r="Y377" s="989">
        <f t="shared" si="22"/>
        <v>0</v>
      </c>
      <c r="Z377" s="812">
        <f t="shared" si="23"/>
        <v>0</v>
      </c>
    </row>
    <row r="378" spans="1:26" ht="27" hidden="1" customHeight="1">
      <c r="A378" s="531"/>
      <c r="B378" s="531">
        <v>903</v>
      </c>
      <c r="C378" s="529">
        <v>8</v>
      </c>
      <c r="D378" s="1027" t="s">
        <v>1129</v>
      </c>
      <c r="E378" s="1028" t="s">
        <v>1131</v>
      </c>
      <c r="F378" s="547">
        <v>2921055089</v>
      </c>
      <c r="G378" s="547"/>
      <c r="H378" s="547"/>
      <c r="I378" s="547"/>
      <c r="J378" s="547"/>
      <c r="K378" s="547"/>
      <c r="L378" s="547">
        <v>-928199899</v>
      </c>
      <c r="M378" s="547"/>
      <c r="N378" s="547">
        <v>-1992855190</v>
      </c>
      <c r="O378" s="547"/>
      <c r="P378" s="547"/>
      <c r="Q378" s="547"/>
      <c r="R378" s="547"/>
      <c r="S378" s="989">
        <f t="shared" si="20"/>
        <v>0</v>
      </c>
      <c r="T378" s="547">
        <v>0</v>
      </c>
      <c r="U378" s="989">
        <f t="shared" si="21"/>
        <v>0</v>
      </c>
      <c r="V378" s="547">
        <v>0</v>
      </c>
      <c r="W378" s="566"/>
      <c r="X378" s="567"/>
      <c r="Y378" s="989">
        <f t="shared" si="22"/>
        <v>0</v>
      </c>
      <c r="Z378" s="812">
        <f t="shared" si="23"/>
        <v>0</v>
      </c>
    </row>
    <row r="379" spans="1:26" ht="27" hidden="1" customHeight="1">
      <c r="A379" s="531"/>
      <c r="B379" s="531"/>
      <c r="C379" s="529">
        <v>8</v>
      </c>
      <c r="D379" s="1027" t="s">
        <v>1130</v>
      </c>
      <c r="E379" s="1028" t="s">
        <v>1132</v>
      </c>
      <c r="F379" s="547"/>
      <c r="G379" s="547"/>
      <c r="H379" s="547"/>
      <c r="I379" s="547"/>
      <c r="J379" s="547"/>
      <c r="K379" s="547"/>
      <c r="L379" s="547"/>
      <c r="M379" s="547"/>
      <c r="N379" s="547"/>
      <c r="O379" s="547"/>
      <c r="P379" s="547"/>
      <c r="Q379" s="547"/>
      <c r="R379" s="547"/>
      <c r="S379" s="989">
        <f t="shared" si="20"/>
        <v>0</v>
      </c>
      <c r="T379" s="547">
        <v>0</v>
      </c>
      <c r="U379" s="989">
        <f t="shared" si="21"/>
        <v>0</v>
      </c>
      <c r="V379" s="547">
        <v>0</v>
      </c>
      <c r="W379" s="566"/>
      <c r="X379" s="567"/>
      <c r="Y379" s="989">
        <f t="shared" si="22"/>
        <v>0</v>
      </c>
      <c r="Z379" s="812">
        <f t="shared" si="23"/>
        <v>0</v>
      </c>
    </row>
    <row r="380" spans="1:26" ht="27" hidden="1" customHeight="1">
      <c r="A380" s="531"/>
      <c r="B380" s="531">
        <v>905</v>
      </c>
      <c r="C380" s="529">
        <v>8</v>
      </c>
      <c r="D380" s="1027" t="s">
        <v>287</v>
      </c>
      <c r="E380" s="1028" t="s">
        <v>918</v>
      </c>
      <c r="F380" s="547">
        <v>-558840066679</v>
      </c>
      <c r="G380" s="547"/>
      <c r="H380" s="547"/>
      <c r="I380" s="547"/>
      <c r="J380" s="547"/>
      <c r="K380" s="547"/>
      <c r="L380" s="547"/>
      <c r="M380" s="547"/>
      <c r="N380" s="547">
        <f>120000000-38715639868</f>
        <v>-38595639868</v>
      </c>
      <c r="O380" s="547"/>
      <c r="P380" s="547"/>
      <c r="Q380" s="547"/>
      <c r="R380" s="547"/>
      <c r="S380" s="989">
        <f t="shared" si="20"/>
        <v>-597435706547</v>
      </c>
      <c r="T380" s="547">
        <v>-558840066679</v>
      </c>
      <c r="U380" s="989">
        <f t="shared" si="21"/>
        <v>-597436</v>
      </c>
      <c r="V380" s="547">
        <v>-558840</v>
      </c>
      <c r="W380" s="566"/>
      <c r="X380" s="567"/>
      <c r="Y380" s="989">
        <f t="shared" si="22"/>
        <v>-597435706547</v>
      </c>
      <c r="Z380" s="812">
        <f t="shared" si="23"/>
        <v>-597436</v>
      </c>
    </row>
    <row r="381" spans="1:26" ht="27" hidden="1" customHeight="1">
      <c r="A381" s="531"/>
      <c r="B381" s="531">
        <v>905</v>
      </c>
      <c r="C381" s="529">
        <v>8</v>
      </c>
      <c r="D381" s="1027" t="s">
        <v>1134</v>
      </c>
      <c r="E381" s="1028" t="s">
        <v>1136</v>
      </c>
      <c r="F381" s="547">
        <v>-39357891771</v>
      </c>
      <c r="G381" s="547">
        <v>-1928835554</v>
      </c>
      <c r="H381" s="547"/>
      <c r="I381" s="547"/>
      <c r="J381" s="547"/>
      <c r="K381" s="547"/>
      <c r="L381" s="547">
        <v>2571087457</v>
      </c>
      <c r="M381" s="547"/>
      <c r="N381" s="547">
        <v>38715639868</v>
      </c>
      <c r="O381" s="547"/>
      <c r="P381" s="547"/>
      <c r="Q381" s="547"/>
      <c r="R381" s="547"/>
      <c r="S381" s="989">
        <f t="shared" si="20"/>
        <v>0</v>
      </c>
      <c r="T381" s="547">
        <v>0</v>
      </c>
      <c r="U381" s="989">
        <f t="shared" si="21"/>
        <v>0</v>
      </c>
      <c r="V381" s="547">
        <v>0</v>
      </c>
      <c r="W381" s="566"/>
      <c r="X381" s="567"/>
      <c r="Y381" s="989">
        <f t="shared" si="22"/>
        <v>0</v>
      </c>
      <c r="Z381" s="812">
        <f t="shared" si="23"/>
        <v>0</v>
      </c>
    </row>
    <row r="382" spans="1:26" ht="27" hidden="1" customHeight="1">
      <c r="A382" s="531"/>
      <c r="B382" s="531">
        <v>905</v>
      </c>
      <c r="C382" s="529">
        <v>8</v>
      </c>
      <c r="D382" s="1027" t="s">
        <v>1135</v>
      </c>
      <c r="E382" s="1028" t="s">
        <v>1137</v>
      </c>
      <c r="F382" s="547">
        <v>264000000</v>
      </c>
      <c r="G382" s="547"/>
      <c r="H382" s="547"/>
      <c r="I382" s="547"/>
      <c r="J382" s="547"/>
      <c r="K382" s="547"/>
      <c r="L382" s="547">
        <v>-144000000</v>
      </c>
      <c r="M382" s="547"/>
      <c r="N382" s="547">
        <v>-120000000</v>
      </c>
      <c r="O382" s="547"/>
      <c r="P382" s="547"/>
      <c r="Q382" s="547"/>
      <c r="R382" s="547"/>
      <c r="S382" s="989">
        <f t="shared" si="20"/>
        <v>0</v>
      </c>
      <c r="T382" s="547">
        <v>0</v>
      </c>
      <c r="U382" s="989">
        <f t="shared" si="21"/>
        <v>0</v>
      </c>
      <c r="V382" s="547">
        <v>0</v>
      </c>
      <c r="W382" s="566"/>
      <c r="X382" s="567"/>
      <c r="Y382" s="989">
        <f t="shared" si="22"/>
        <v>0</v>
      </c>
      <c r="Z382" s="812">
        <f t="shared" si="23"/>
        <v>0</v>
      </c>
    </row>
    <row r="383" spans="1:26" ht="27" hidden="1" customHeight="1">
      <c r="A383" s="531"/>
      <c r="B383" s="531"/>
      <c r="C383" s="529">
        <v>8</v>
      </c>
      <c r="D383" s="1027" t="s">
        <v>1021</v>
      </c>
      <c r="E383" s="1028" t="s">
        <v>1022</v>
      </c>
      <c r="F383" s="547"/>
      <c r="G383" s="547"/>
      <c r="H383" s="547"/>
      <c r="I383" s="547"/>
      <c r="J383" s="547"/>
      <c r="K383" s="547"/>
      <c r="L383" s="547"/>
      <c r="M383" s="547"/>
      <c r="N383" s="547"/>
      <c r="O383" s="547"/>
      <c r="P383" s="547"/>
      <c r="Q383" s="547"/>
      <c r="R383" s="547"/>
      <c r="S383" s="989">
        <f t="shared" si="20"/>
        <v>0</v>
      </c>
      <c r="T383" s="547">
        <v>0</v>
      </c>
      <c r="U383" s="989">
        <f t="shared" si="21"/>
        <v>0</v>
      </c>
      <c r="V383" s="547">
        <v>0</v>
      </c>
      <c r="W383" s="566"/>
      <c r="X383" s="567"/>
      <c r="Y383" s="989">
        <f t="shared" si="22"/>
        <v>0</v>
      </c>
      <c r="Z383" s="812">
        <f t="shared" si="23"/>
        <v>0</v>
      </c>
    </row>
    <row r="384" spans="1:26" ht="27" hidden="1" customHeight="1">
      <c r="A384" s="531"/>
      <c r="B384" s="531">
        <v>904</v>
      </c>
      <c r="C384" s="529">
        <v>8</v>
      </c>
      <c r="D384" s="1027" t="s">
        <v>289</v>
      </c>
      <c r="E384" s="1028" t="s">
        <v>916</v>
      </c>
      <c r="F384" s="547">
        <v>-284915620689</v>
      </c>
      <c r="G384" s="547"/>
      <c r="H384" s="547"/>
      <c r="I384" s="547"/>
      <c r="J384" s="547"/>
      <c r="K384" s="547"/>
      <c r="L384" s="547"/>
      <c r="M384" s="547"/>
      <c r="N384" s="547">
        <f>714652789-38319983542</f>
        <v>-37605330753</v>
      </c>
      <c r="O384" s="547"/>
      <c r="P384" s="547"/>
      <c r="Q384" s="547"/>
      <c r="R384" s="547"/>
      <c r="S384" s="989">
        <f t="shared" si="20"/>
        <v>-322520951442</v>
      </c>
      <c r="T384" s="547">
        <v>-284915620689</v>
      </c>
      <c r="U384" s="989">
        <f t="shared" si="21"/>
        <v>-322521</v>
      </c>
      <c r="V384" s="547">
        <v>-284916</v>
      </c>
      <c r="W384" s="566"/>
      <c r="X384" s="567"/>
      <c r="Y384" s="989">
        <f t="shared" si="22"/>
        <v>-322520951442</v>
      </c>
      <c r="Z384" s="812">
        <f t="shared" si="23"/>
        <v>-322521</v>
      </c>
    </row>
    <row r="385" spans="1:26" ht="27" hidden="1" customHeight="1">
      <c r="A385" s="531"/>
      <c r="B385" s="531">
        <v>904</v>
      </c>
      <c r="C385" s="529">
        <v>8</v>
      </c>
      <c r="D385" s="1027" t="s">
        <v>1138</v>
      </c>
      <c r="E385" s="1028" t="s">
        <v>1141</v>
      </c>
      <c r="F385" s="547">
        <v>-38510302668</v>
      </c>
      <c r="G385" s="547">
        <v>-94666512</v>
      </c>
      <c r="H385" s="547"/>
      <c r="I385" s="547">
        <v>-39499998</v>
      </c>
      <c r="J385" s="547"/>
      <c r="K385" s="547"/>
      <c r="L385" s="547">
        <v>324485636</v>
      </c>
      <c r="M385" s="547"/>
      <c r="N385" s="547">
        <v>38319983542</v>
      </c>
      <c r="O385" s="547"/>
      <c r="P385" s="547"/>
      <c r="Q385" s="547"/>
      <c r="R385" s="547"/>
      <c r="S385" s="989">
        <f t="shared" si="20"/>
        <v>0</v>
      </c>
      <c r="T385" s="547">
        <v>0</v>
      </c>
      <c r="U385" s="989">
        <f t="shared" si="21"/>
        <v>0</v>
      </c>
      <c r="V385" s="547">
        <v>0</v>
      </c>
      <c r="W385" s="566"/>
      <c r="X385" s="567"/>
      <c r="Y385" s="989">
        <f t="shared" si="22"/>
        <v>0</v>
      </c>
      <c r="Z385" s="812">
        <f t="shared" si="23"/>
        <v>0</v>
      </c>
    </row>
    <row r="386" spans="1:26" ht="27" hidden="1" customHeight="1">
      <c r="A386" s="531"/>
      <c r="B386" s="531">
        <v>904</v>
      </c>
      <c r="C386" s="529">
        <v>8</v>
      </c>
      <c r="D386" s="1027" t="s">
        <v>1139</v>
      </c>
      <c r="E386" s="1028" t="s">
        <v>1142</v>
      </c>
      <c r="F386" s="547">
        <v>762361439</v>
      </c>
      <c r="G386" s="547"/>
      <c r="H386" s="547"/>
      <c r="I386" s="547"/>
      <c r="J386" s="547"/>
      <c r="K386" s="547"/>
      <c r="L386" s="547">
        <v>-47708650</v>
      </c>
      <c r="M386" s="547"/>
      <c r="N386" s="547">
        <v>-714652789</v>
      </c>
      <c r="O386" s="547"/>
      <c r="P386" s="547"/>
      <c r="Q386" s="547"/>
      <c r="R386" s="547"/>
      <c r="S386" s="989">
        <f t="shared" si="20"/>
        <v>0</v>
      </c>
      <c r="T386" s="547">
        <v>0</v>
      </c>
      <c r="U386" s="989">
        <f t="shared" si="21"/>
        <v>0</v>
      </c>
      <c r="V386" s="547">
        <v>0</v>
      </c>
      <c r="W386" s="566"/>
      <c r="X386" s="567"/>
      <c r="Y386" s="989">
        <f t="shared" si="22"/>
        <v>0</v>
      </c>
      <c r="Z386" s="812">
        <f t="shared" si="23"/>
        <v>0</v>
      </c>
    </row>
    <row r="387" spans="1:26" ht="27" hidden="1" customHeight="1">
      <c r="A387" s="531"/>
      <c r="B387" s="531">
        <v>904</v>
      </c>
      <c r="C387" s="529">
        <v>8</v>
      </c>
      <c r="D387" s="1027" t="s">
        <v>1140</v>
      </c>
      <c r="E387" s="1028" t="s">
        <v>1143</v>
      </c>
      <c r="F387" s="547"/>
      <c r="G387" s="547"/>
      <c r="H387" s="547"/>
      <c r="I387" s="547"/>
      <c r="J387" s="547"/>
      <c r="K387" s="547"/>
      <c r="L387" s="547"/>
      <c r="M387" s="547"/>
      <c r="N387" s="547"/>
      <c r="O387" s="547"/>
      <c r="P387" s="547"/>
      <c r="Q387" s="547"/>
      <c r="R387" s="547"/>
      <c r="S387" s="989">
        <f t="shared" si="20"/>
        <v>0</v>
      </c>
      <c r="T387" s="547">
        <v>0</v>
      </c>
      <c r="U387" s="989">
        <f t="shared" si="21"/>
        <v>0</v>
      </c>
      <c r="V387" s="547">
        <v>0</v>
      </c>
      <c r="W387" s="566"/>
      <c r="X387" s="567"/>
      <c r="Y387" s="989">
        <f t="shared" si="22"/>
        <v>0</v>
      </c>
      <c r="Z387" s="812">
        <f t="shared" si="23"/>
        <v>0</v>
      </c>
    </row>
    <row r="388" spans="1:26" ht="27" hidden="1" customHeight="1">
      <c r="A388" s="531"/>
      <c r="B388" s="531">
        <v>902</v>
      </c>
      <c r="C388" s="529">
        <v>8</v>
      </c>
      <c r="D388" s="1027" t="s">
        <v>1144</v>
      </c>
      <c r="E388" s="1028" t="s">
        <v>1146</v>
      </c>
      <c r="F388" s="547">
        <v>-1921966970</v>
      </c>
      <c r="G388" s="547"/>
      <c r="H388" s="547"/>
      <c r="I388" s="547"/>
      <c r="J388" s="547"/>
      <c r="K388" s="547"/>
      <c r="L388" s="547"/>
      <c r="M388" s="547"/>
      <c r="N388" s="547">
        <v>1921966970</v>
      </c>
      <c r="O388" s="547"/>
      <c r="P388" s="547"/>
      <c r="Q388" s="547"/>
      <c r="R388" s="547"/>
      <c r="S388" s="989">
        <f t="shared" ref="S388:S452" si="24">SUM(F388:R388)</f>
        <v>0</v>
      </c>
      <c r="T388" s="547">
        <v>0</v>
      </c>
      <c r="U388" s="989">
        <f t="shared" ref="U388:U452" si="25">ROUND((S388/1000000),0)</f>
        <v>0</v>
      </c>
      <c r="V388" s="547">
        <v>0</v>
      </c>
      <c r="W388" s="566"/>
      <c r="X388" s="567"/>
      <c r="Y388" s="989">
        <f t="shared" si="22"/>
        <v>0</v>
      </c>
      <c r="Z388" s="812">
        <f t="shared" si="23"/>
        <v>0</v>
      </c>
    </row>
    <row r="389" spans="1:26" ht="27" hidden="1" customHeight="1">
      <c r="A389" s="531"/>
      <c r="B389" s="531">
        <v>902</v>
      </c>
      <c r="C389" s="529">
        <v>8</v>
      </c>
      <c r="D389" s="1027" t="s">
        <v>1145</v>
      </c>
      <c r="E389" s="1028" t="s">
        <v>1147</v>
      </c>
      <c r="F389" s="547">
        <v>-1158794844</v>
      </c>
      <c r="G389" s="547"/>
      <c r="H389" s="547"/>
      <c r="I389" s="547"/>
      <c r="J389" s="547"/>
      <c r="K389" s="547"/>
      <c r="L389" s="547"/>
      <c r="M389" s="547"/>
      <c r="N389" s="547">
        <v>1158794844</v>
      </c>
      <c r="O389" s="547"/>
      <c r="P389" s="547"/>
      <c r="Q389" s="547"/>
      <c r="R389" s="547"/>
      <c r="S389" s="989">
        <f t="shared" si="24"/>
        <v>0</v>
      </c>
      <c r="T389" s="547">
        <v>0</v>
      </c>
      <c r="U389" s="989">
        <f t="shared" si="25"/>
        <v>0</v>
      </c>
      <c r="V389" s="547">
        <v>0</v>
      </c>
      <c r="W389" s="566"/>
      <c r="X389" s="567"/>
      <c r="Y389" s="989">
        <f t="shared" si="22"/>
        <v>0</v>
      </c>
      <c r="Z389" s="812">
        <f t="shared" si="23"/>
        <v>0</v>
      </c>
    </row>
    <row r="390" spans="1:26" ht="27" hidden="1" customHeight="1">
      <c r="A390" s="531"/>
      <c r="B390" s="531">
        <v>906</v>
      </c>
      <c r="C390" s="529">
        <v>8</v>
      </c>
      <c r="D390" s="1027" t="s">
        <v>770</v>
      </c>
      <c r="E390" s="1028" t="s">
        <v>772</v>
      </c>
      <c r="F390" s="547">
        <v>6990721382264</v>
      </c>
      <c r="G390" s="547">
        <f>81126923006-190246343818</f>
        <v>-109119420812</v>
      </c>
      <c r="H390" s="547">
        <f>2551178937295-4249331175233</f>
        <v>-1698152237938</v>
      </c>
      <c r="I390" s="547">
        <f>3448849051653-3455731490200</f>
        <v>-6882438547</v>
      </c>
      <c r="J390" s="547">
        <f>1925532904-1925532904</f>
        <v>0</v>
      </c>
      <c r="K390" s="547"/>
      <c r="L390" s="547"/>
      <c r="M390" s="547"/>
      <c r="N390" s="547"/>
      <c r="O390" s="547">
        <v>307598402386</v>
      </c>
      <c r="P390" s="547"/>
      <c r="Q390" s="547">
        <v>1540627974428</v>
      </c>
      <c r="R390" s="547"/>
      <c r="S390" s="989">
        <f t="shared" si="24"/>
        <v>7024793661781</v>
      </c>
      <c r="T390" s="547">
        <v>2794262275106</v>
      </c>
      <c r="U390" s="989">
        <f t="shared" si="25"/>
        <v>7024794</v>
      </c>
      <c r="V390" s="547">
        <v>2794262</v>
      </c>
      <c r="W390" s="566"/>
      <c r="X390" s="567"/>
      <c r="Y390" s="989">
        <f t="shared" si="22"/>
        <v>7024793661781</v>
      </c>
      <c r="Z390" s="812">
        <f t="shared" si="23"/>
        <v>7024794</v>
      </c>
    </row>
    <row r="391" spans="1:26" ht="27" hidden="1" customHeight="1">
      <c r="A391" s="531"/>
      <c r="B391" s="531">
        <v>903</v>
      </c>
      <c r="C391" s="529">
        <v>8</v>
      </c>
      <c r="D391" s="1027" t="s">
        <v>1013</v>
      </c>
      <c r="E391" s="1028" t="s">
        <v>1014</v>
      </c>
      <c r="F391" s="547">
        <v>14496271243</v>
      </c>
      <c r="G391" s="547">
        <v>-14496271243</v>
      </c>
      <c r="H391" s="547">
        <v>8439858371</v>
      </c>
      <c r="I391" s="547">
        <v>-8439858371</v>
      </c>
      <c r="J391" s="547"/>
      <c r="K391" s="547"/>
      <c r="L391" s="547"/>
      <c r="M391" s="547"/>
      <c r="N391" s="547"/>
      <c r="O391" s="547"/>
      <c r="P391" s="547"/>
      <c r="Q391" s="547"/>
      <c r="R391" s="547"/>
      <c r="S391" s="989">
        <f t="shared" si="24"/>
        <v>0</v>
      </c>
      <c r="T391" s="547">
        <v>0</v>
      </c>
      <c r="U391" s="989">
        <f t="shared" si="25"/>
        <v>0</v>
      </c>
      <c r="V391" s="547">
        <v>0</v>
      </c>
      <c r="W391" s="566"/>
      <c r="X391" s="567"/>
      <c r="Y391" s="989">
        <f t="shared" ref="Y391:Y455" si="26">S391+X391-W391</f>
        <v>0</v>
      </c>
      <c r="Z391" s="812">
        <f t="shared" ref="Z391:Z455" si="27">ROUND((Y391/1000000),0)</f>
        <v>0</v>
      </c>
    </row>
    <row r="392" spans="1:26" ht="27" hidden="1" customHeight="1">
      <c r="A392" s="531"/>
      <c r="B392" s="531">
        <v>906</v>
      </c>
      <c r="C392" s="529">
        <v>8</v>
      </c>
      <c r="D392" s="1027" t="s">
        <v>771</v>
      </c>
      <c r="E392" s="1028" t="s">
        <v>773</v>
      </c>
      <c r="F392" s="547"/>
      <c r="G392" s="547"/>
      <c r="H392" s="547"/>
      <c r="I392" s="547"/>
      <c r="J392" s="547"/>
      <c r="K392" s="547"/>
      <c r="L392" s="547"/>
      <c r="M392" s="547"/>
      <c r="N392" s="547"/>
      <c r="O392" s="547"/>
      <c r="P392" s="547"/>
      <c r="Q392" s="547"/>
      <c r="R392" s="547"/>
      <c r="S392" s="989">
        <f t="shared" si="24"/>
        <v>0</v>
      </c>
      <c r="T392" s="547">
        <v>0</v>
      </c>
      <c r="U392" s="989">
        <f t="shared" si="25"/>
        <v>0</v>
      </c>
      <c r="V392" s="547">
        <v>0</v>
      </c>
      <c r="W392" s="566"/>
      <c r="X392" s="567"/>
      <c r="Y392" s="989">
        <f t="shared" si="26"/>
        <v>0</v>
      </c>
      <c r="Z392" s="812">
        <f t="shared" si="27"/>
        <v>0</v>
      </c>
    </row>
    <row r="393" spans="1:26" ht="27" hidden="1" customHeight="1">
      <c r="A393" s="531"/>
      <c r="B393" s="531"/>
      <c r="C393" s="529">
        <v>10</v>
      </c>
      <c r="D393" s="1027" t="s">
        <v>291</v>
      </c>
      <c r="E393" s="1028" t="s">
        <v>495</v>
      </c>
      <c r="F393" s="547">
        <v>47500000</v>
      </c>
      <c r="G393" s="547"/>
      <c r="H393" s="547"/>
      <c r="I393" s="547"/>
      <c r="J393" s="547"/>
      <c r="K393" s="547"/>
      <c r="L393" s="547"/>
      <c r="M393" s="547"/>
      <c r="N393" s="547"/>
      <c r="O393" s="547"/>
      <c r="P393" s="547"/>
      <c r="Q393" s="547"/>
      <c r="R393" s="547"/>
      <c r="S393" s="989">
        <f t="shared" si="24"/>
        <v>47500000</v>
      </c>
      <c r="T393" s="547">
        <v>47500000</v>
      </c>
      <c r="U393" s="989">
        <f t="shared" si="25"/>
        <v>48</v>
      </c>
      <c r="V393" s="547">
        <v>48</v>
      </c>
      <c r="W393" s="566"/>
      <c r="X393" s="567"/>
      <c r="Y393" s="989">
        <f t="shared" si="26"/>
        <v>47500000</v>
      </c>
      <c r="Z393" s="812">
        <f t="shared" si="27"/>
        <v>48</v>
      </c>
    </row>
    <row r="394" spans="1:26" ht="27" hidden="1" customHeight="1">
      <c r="A394" s="531"/>
      <c r="B394" s="531">
        <v>421</v>
      </c>
      <c r="C394" s="529">
        <v>11</v>
      </c>
      <c r="D394" s="1027" t="s">
        <v>610</v>
      </c>
      <c r="E394" s="1028" t="s">
        <v>611</v>
      </c>
      <c r="F394" s="683">
        <v>13392955743</v>
      </c>
      <c r="G394" s="547"/>
      <c r="H394" s="547"/>
      <c r="I394" s="547">
        <v>-1305719468</v>
      </c>
      <c r="J394" s="547"/>
      <c r="K394" s="547"/>
      <c r="L394" s="547"/>
      <c r="M394" s="547"/>
      <c r="N394" s="547">
        <v>-2947200000</v>
      </c>
      <c r="O394" s="547"/>
      <c r="P394" s="547"/>
      <c r="Q394" s="547"/>
      <c r="R394" s="547"/>
      <c r="S394" s="989">
        <f t="shared" si="24"/>
        <v>9140036275</v>
      </c>
      <c r="T394" s="547">
        <v>13392955743</v>
      </c>
      <c r="U394" s="989">
        <f t="shared" si="25"/>
        <v>9140</v>
      </c>
      <c r="V394" s="547">
        <v>13393</v>
      </c>
      <c r="W394" s="566"/>
      <c r="X394" s="567"/>
      <c r="Y394" s="989">
        <f t="shared" si="26"/>
        <v>9140036275</v>
      </c>
      <c r="Z394" s="812">
        <f t="shared" si="27"/>
        <v>9140</v>
      </c>
    </row>
    <row r="395" spans="1:26" ht="27" hidden="1" customHeight="1">
      <c r="A395" s="531"/>
      <c r="B395" s="531">
        <v>410</v>
      </c>
      <c r="C395" s="529">
        <v>11</v>
      </c>
      <c r="D395" s="1027" t="s">
        <v>610</v>
      </c>
      <c r="E395" s="1028" t="s">
        <v>611</v>
      </c>
      <c r="F395" s="547"/>
      <c r="G395" s="547"/>
      <c r="H395" s="547"/>
      <c r="I395" s="547"/>
      <c r="J395" s="547"/>
      <c r="K395" s="547"/>
      <c r="L395" s="547"/>
      <c r="M395" s="547"/>
      <c r="N395" s="547"/>
      <c r="O395" s="547"/>
      <c r="P395" s="547"/>
      <c r="Q395" s="547"/>
      <c r="R395" s="547"/>
      <c r="S395" s="989">
        <f t="shared" si="24"/>
        <v>0</v>
      </c>
      <c r="T395" s="547">
        <v>0</v>
      </c>
      <c r="U395" s="989">
        <f t="shared" si="25"/>
        <v>0</v>
      </c>
      <c r="V395" s="547">
        <v>0</v>
      </c>
      <c r="W395" s="566"/>
      <c r="X395" s="567"/>
      <c r="Y395" s="989">
        <f t="shared" si="26"/>
        <v>0</v>
      </c>
      <c r="Z395" s="812">
        <f t="shared" si="27"/>
        <v>0</v>
      </c>
    </row>
    <row r="396" spans="1:26" ht="27" hidden="1" customHeight="1">
      <c r="A396" s="531"/>
      <c r="B396" s="531">
        <v>1018</v>
      </c>
      <c r="C396" s="529">
        <v>17</v>
      </c>
      <c r="D396" s="1027" t="s">
        <v>893</v>
      </c>
      <c r="E396" s="1028" t="s">
        <v>894</v>
      </c>
      <c r="F396" s="547">
        <v>-50474935059</v>
      </c>
      <c r="G396" s="547">
        <v>189604000</v>
      </c>
      <c r="H396" s="547"/>
      <c r="I396" s="547"/>
      <c r="J396" s="547"/>
      <c r="K396" s="547"/>
      <c r="L396" s="547"/>
      <c r="M396" s="547"/>
      <c r="N396" s="547"/>
      <c r="O396" s="547"/>
      <c r="P396" s="547"/>
      <c r="Q396" s="547"/>
      <c r="R396" s="547"/>
      <c r="S396" s="989">
        <f t="shared" si="24"/>
        <v>-50285331059</v>
      </c>
      <c r="T396" s="547">
        <v>-12936417428</v>
      </c>
      <c r="U396" s="989">
        <f t="shared" si="25"/>
        <v>-50285</v>
      </c>
      <c r="V396" s="547">
        <v>-12936</v>
      </c>
      <c r="W396" s="566"/>
      <c r="X396" s="567"/>
      <c r="Y396" s="989">
        <f t="shared" si="26"/>
        <v>-50285331059</v>
      </c>
      <c r="Z396" s="812">
        <f t="shared" si="27"/>
        <v>-50285</v>
      </c>
    </row>
    <row r="397" spans="1:26" ht="27" hidden="1" customHeight="1">
      <c r="A397" s="1394"/>
      <c r="B397" s="531">
        <v>501</v>
      </c>
      <c r="C397" s="1123">
        <v>13</v>
      </c>
      <c r="D397" s="1027" t="s">
        <v>145</v>
      </c>
      <c r="E397" s="1028" t="s">
        <v>760</v>
      </c>
      <c r="F397" s="547"/>
      <c r="G397" s="547"/>
      <c r="H397" s="547"/>
      <c r="I397" s="547"/>
      <c r="J397" s="547"/>
      <c r="K397" s="547"/>
      <c r="L397" s="547"/>
      <c r="M397" s="547"/>
      <c r="N397" s="547"/>
      <c r="O397" s="547"/>
      <c r="P397" s="547"/>
      <c r="Q397" s="547"/>
      <c r="R397" s="547"/>
      <c r="S397" s="989">
        <f t="shared" si="24"/>
        <v>0</v>
      </c>
      <c r="T397" s="547">
        <v>214844387</v>
      </c>
      <c r="U397" s="989">
        <f t="shared" si="25"/>
        <v>0</v>
      </c>
      <c r="V397" s="547">
        <v>215</v>
      </c>
      <c r="W397" s="566"/>
      <c r="X397" s="567"/>
      <c r="Y397" s="989">
        <f t="shared" si="26"/>
        <v>0</v>
      </c>
      <c r="Z397" s="812">
        <f t="shared" si="27"/>
        <v>0</v>
      </c>
    </row>
    <row r="398" spans="1:26" ht="27" hidden="1" customHeight="1">
      <c r="A398" s="531"/>
      <c r="B398" s="531">
        <v>504</v>
      </c>
      <c r="C398" s="1123">
        <v>13</v>
      </c>
      <c r="D398" s="1027" t="s">
        <v>119</v>
      </c>
      <c r="E398" s="1028" t="s">
        <v>1148</v>
      </c>
      <c r="F398" s="547">
        <v>17461741500</v>
      </c>
      <c r="G398" s="547">
        <v>11046393000</v>
      </c>
      <c r="H398" s="547"/>
      <c r="I398" s="547"/>
      <c r="J398" s="547"/>
      <c r="K398" s="547"/>
      <c r="L398" s="547"/>
      <c r="M398" s="547"/>
      <c r="N398" s="547"/>
      <c r="O398" s="547"/>
      <c r="P398" s="547"/>
      <c r="Q398" s="547"/>
      <c r="R398" s="547"/>
      <c r="S398" s="989">
        <f t="shared" si="24"/>
        <v>28508134500</v>
      </c>
      <c r="T398" s="547">
        <v>17461741500</v>
      </c>
      <c r="U398" s="989">
        <f t="shared" si="25"/>
        <v>28508</v>
      </c>
      <c r="V398" s="547">
        <v>17462</v>
      </c>
      <c r="W398" s="566"/>
      <c r="X398" s="567"/>
      <c r="Y398" s="989">
        <f t="shared" si="26"/>
        <v>28508134500</v>
      </c>
      <c r="Z398" s="812">
        <f t="shared" si="27"/>
        <v>28508</v>
      </c>
    </row>
    <row r="399" spans="1:26" ht="27" hidden="1" customHeight="1">
      <c r="A399" s="531"/>
      <c r="B399" s="531">
        <v>1022</v>
      </c>
      <c r="C399" s="529">
        <v>17</v>
      </c>
      <c r="D399" s="1027" t="s">
        <v>121</v>
      </c>
      <c r="E399" s="1028" t="s">
        <v>1149</v>
      </c>
      <c r="F399" s="547"/>
      <c r="G399" s="547"/>
      <c r="H399" s="547"/>
      <c r="I399" s="547"/>
      <c r="J399" s="547"/>
      <c r="K399" s="547"/>
      <c r="L399" s="547"/>
      <c r="M399" s="547"/>
      <c r="N399" s="547"/>
      <c r="O399" s="547"/>
      <c r="P399" s="547"/>
      <c r="Q399" s="547"/>
      <c r="R399" s="547"/>
      <c r="S399" s="989">
        <f t="shared" si="24"/>
        <v>0</v>
      </c>
      <c r="T399" s="547">
        <v>0</v>
      </c>
      <c r="U399" s="989">
        <f t="shared" si="25"/>
        <v>0</v>
      </c>
      <c r="V399" s="547">
        <v>0</v>
      </c>
      <c r="W399" s="566"/>
      <c r="X399" s="567"/>
      <c r="Y399" s="989">
        <f t="shared" si="26"/>
        <v>0</v>
      </c>
      <c r="Z399" s="812">
        <f t="shared" si="27"/>
        <v>0</v>
      </c>
    </row>
    <row r="400" spans="1:26" ht="27" hidden="1" customHeight="1">
      <c r="A400" s="1394"/>
      <c r="B400" s="531">
        <v>501</v>
      </c>
      <c r="C400" s="1123">
        <v>13</v>
      </c>
      <c r="D400" s="1027" t="s">
        <v>123</v>
      </c>
      <c r="E400" s="1028" t="s">
        <v>124</v>
      </c>
      <c r="F400" s="547">
        <v>6819660640</v>
      </c>
      <c r="G400" s="547">
        <f>4629000-138902476</f>
        <v>-134273476</v>
      </c>
      <c r="H400" s="547">
        <v>20141393462</v>
      </c>
      <c r="I400" s="547"/>
      <c r="J400" s="547"/>
      <c r="K400" s="547"/>
      <c r="L400" s="547"/>
      <c r="M400" s="547"/>
      <c r="N400" s="547"/>
      <c r="O400" s="547"/>
      <c r="P400" s="547"/>
      <c r="Q400" s="547"/>
      <c r="R400" s="547"/>
      <c r="S400" s="989">
        <f t="shared" si="24"/>
        <v>26826780626</v>
      </c>
      <c r="T400" s="547">
        <v>65238488832</v>
      </c>
      <c r="U400" s="989">
        <f t="shared" si="25"/>
        <v>26827</v>
      </c>
      <c r="V400" s="547">
        <v>65238</v>
      </c>
      <c r="W400" s="566"/>
      <c r="X400" s="567"/>
      <c r="Y400" s="989">
        <f t="shared" si="26"/>
        <v>26826780626</v>
      </c>
      <c r="Z400" s="812">
        <f t="shared" si="27"/>
        <v>26827</v>
      </c>
    </row>
    <row r="401" spans="1:26" ht="27" hidden="1" customHeight="1">
      <c r="A401" s="1394"/>
      <c r="B401" s="531">
        <v>501</v>
      </c>
      <c r="C401" s="1123">
        <v>13</v>
      </c>
      <c r="D401" s="1118">
        <v>90004883</v>
      </c>
      <c r="E401" s="1028" t="s">
        <v>1767</v>
      </c>
      <c r="F401" s="547"/>
      <c r="G401" s="547"/>
      <c r="H401" s="547"/>
      <c r="I401" s="547"/>
      <c r="J401" s="547"/>
      <c r="K401" s="547"/>
      <c r="L401" s="547"/>
      <c r="M401" s="547"/>
      <c r="N401" s="547"/>
      <c r="O401" s="547"/>
      <c r="P401" s="547"/>
      <c r="Q401" s="547"/>
      <c r="R401" s="547"/>
      <c r="S401" s="989">
        <f t="shared" si="24"/>
        <v>0</v>
      </c>
      <c r="T401" s="547">
        <v>71277854272</v>
      </c>
      <c r="U401" s="989">
        <f t="shared" si="25"/>
        <v>0</v>
      </c>
      <c r="V401" s="547">
        <v>71278</v>
      </c>
      <c r="W401" s="566"/>
      <c r="X401" s="567"/>
      <c r="Y401" s="989">
        <f t="shared" si="26"/>
        <v>0</v>
      </c>
      <c r="Z401" s="812">
        <f t="shared" si="27"/>
        <v>0</v>
      </c>
    </row>
    <row r="402" spans="1:26" ht="27" hidden="1" customHeight="1">
      <c r="A402" s="531"/>
      <c r="B402" s="531"/>
      <c r="C402" s="529">
        <v>9</v>
      </c>
      <c r="D402" s="1027" t="s">
        <v>125</v>
      </c>
      <c r="E402" s="1028" t="s">
        <v>998</v>
      </c>
      <c r="F402" s="547">
        <v>73074661748</v>
      </c>
      <c r="G402" s="547">
        <v>87119000</v>
      </c>
      <c r="H402" s="547"/>
      <c r="I402" s="547"/>
      <c r="J402" s="547"/>
      <c r="K402" s="547"/>
      <c r="L402" s="547"/>
      <c r="M402" s="547"/>
      <c r="N402" s="547"/>
      <c r="O402" s="547"/>
      <c r="P402" s="547"/>
      <c r="Q402" s="547"/>
      <c r="R402" s="547"/>
      <c r="S402" s="989">
        <f t="shared" si="24"/>
        <v>73161780748</v>
      </c>
      <c r="T402" s="547">
        <v>68990413496</v>
      </c>
      <c r="U402" s="989">
        <f t="shared" si="25"/>
        <v>73162</v>
      </c>
      <c r="V402" s="547">
        <v>68990</v>
      </c>
      <c r="W402" s="566"/>
      <c r="X402" s="567"/>
      <c r="Y402" s="989">
        <f t="shared" si="26"/>
        <v>73161780748</v>
      </c>
      <c r="Z402" s="812">
        <f t="shared" si="27"/>
        <v>73162</v>
      </c>
    </row>
    <row r="403" spans="1:26" ht="27" hidden="1" customHeight="1">
      <c r="A403" s="531"/>
      <c r="B403" s="531">
        <v>406</v>
      </c>
      <c r="C403" s="529">
        <v>11</v>
      </c>
      <c r="D403" s="1027" t="s">
        <v>63</v>
      </c>
      <c r="E403" s="1028" t="s">
        <v>559</v>
      </c>
      <c r="F403" s="547">
        <v>14788078338</v>
      </c>
      <c r="G403" s="547"/>
      <c r="H403" s="547"/>
      <c r="I403" s="547"/>
      <c r="J403" s="547"/>
      <c r="K403" s="547"/>
      <c r="L403" s="547"/>
      <c r="M403" s="547"/>
      <c r="N403" s="547"/>
      <c r="O403" s="547"/>
      <c r="P403" s="547"/>
      <c r="Q403" s="547"/>
      <c r="R403" s="547"/>
      <c r="S403" s="989">
        <f t="shared" si="24"/>
        <v>14788078338</v>
      </c>
      <c r="T403" s="547">
        <v>7603492099</v>
      </c>
      <c r="U403" s="989">
        <f t="shared" si="25"/>
        <v>14788</v>
      </c>
      <c r="V403" s="547">
        <v>7603</v>
      </c>
      <c r="W403" s="566"/>
      <c r="X403" s="567"/>
      <c r="Y403" s="989">
        <f t="shared" si="26"/>
        <v>14788078338</v>
      </c>
      <c r="Z403" s="812">
        <f t="shared" si="27"/>
        <v>14788</v>
      </c>
    </row>
    <row r="404" spans="1:26" ht="27" hidden="1" customHeight="1">
      <c r="A404" s="531"/>
      <c r="B404" s="531">
        <v>606</v>
      </c>
      <c r="C404" s="529">
        <v>12</v>
      </c>
      <c r="D404" s="1027" t="s">
        <v>848</v>
      </c>
      <c r="E404" s="1028" t="s">
        <v>919</v>
      </c>
      <c r="F404" s="547">
        <v>16167217978</v>
      </c>
      <c r="G404" s="547"/>
      <c r="H404" s="547"/>
      <c r="I404" s="547"/>
      <c r="J404" s="547"/>
      <c r="K404" s="547"/>
      <c r="L404" s="547"/>
      <c r="M404" s="547"/>
      <c r="N404" s="547"/>
      <c r="O404" s="547"/>
      <c r="P404" s="547"/>
      <c r="Q404" s="547"/>
      <c r="R404" s="547"/>
      <c r="S404" s="989">
        <f t="shared" si="24"/>
        <v>16167217978</v>
      </c>
      <c r="T404" s="547">
        <v>15894955372</v>
      </c>
      <c r="U404" s="989">
        <f t="shared" si="25"/>
        <v>16167</v>
      </c>
      <c r="V404" s="547">
        <v>15895</v>
      </c>
      <c r="W404" s="566"/>
      <c r="X404" s="567"/>
      <c r="Y404" s="989">
        <f t="shared" si="26"/>
        <v>16167217978</v>
      </c>
      <c r="Z404" s="812">
        <f t="shared" si="27"/>
        <v>16167</v>
      </c>
    </row>
    <row r="405" spans="1:26" ht="27" hidden="1" customHeight="1">
      <c r="A405" s="531"/>
      <c r="B405" s="531">
        <v>604</v>
      </c>
      <c r="C405" s="529">
        <v>12</v>
      </c>
      <c r="D405" s="1027" t="s">
        <v>69</v>
      </c>
      <c r="E405" s="1028" t="s">
        <v>70</v>
      </c>
      <c r="F405" s="547">
        <v>151785016</v>
      </c>
      <c r="G405" s="547"/>
      <c r="H405" s="547"/>
      <c r="I405" s="547"/>
      <c r="J405" s="547"/>
      <c r="K405" s="547"/>
      <c r="L405" s="547"/>
      <c r="M405" s="547"/>
      <c r="N405" s="547"/>
      <c r="O405" s="547"/>
      <c r="P405" s="547"/>
      <c r="Q405" s="547"/>
      <c r="R405" s="547"/>
      <c r="S405" s="989">
        <f t="shared" si="24"/>
        <v>151785016</v>
      </c>
      <c r="T405" s="547">
        <v>174017126</v>
      </c>
      <c r="U405" s="989">
        <f t="shared" si="25"/>
        <v>152</v>
      </c>
      <c r="V405" s="547">
        <v>174</v>
      </c>
      <c r="W405" s="566"/>
      <c r="X405" s="567"/>
      <c r="Y405" s="989">
        <f t="shared" si="26"/>
        <v>151785016</v>
      </c>
      <c r="Z405" s="812">
        <f t="shared" si="27"/>
        <v>152</v>
      </c>
    </row>
    <row r="406" spans="1:26" ht="27" hidden="1" customHeight="1">
      <c r="A406" s="531"/>
      <c r="B406" s="531">
        <v>406</v>
      </c>
      <c r="C406" s="529">
        <v>11</v>
      </c>
      <c r="D406" s="1027" t="s">
        <v>1150</v>
      </c>
      <c r="E406" s="1028" t="s">
        <v>1151</v>
      </c>
      <c r="F406" s="547">
        <v>1348983865</v>
      </c>
      <c r="G406" s="547"/>
      <c r="H406" s="547"/>
      <c r="I406" s="547"/>
      <c r="J406" s="547"/>
      <c r="K406" s="547"/>
      <c r="L406" s="547"/>
      <c r="M406" s="547"/>
      <c r="N406" s="547"/>
      <c r="O406" s="547"/>
      <c r="P406" s="547"/>
      <c r="Q406" s="547"/>
      <c r="R406" s="547"/>
      <c r="S406" s="989">
        <f t="shared" si="24"/>
        <v>1348983865</v>
      </c>
      <c r="T406" s="547">
        <v>1348983865</v>
      </c>
      <c r="U406" s="989">
        <f t="shared" si="25"/>
        <v>1349</v>
      </c>
      <c r="V406" s="547">
        <v>1349</v>
      </c>
      <c r="W406" s="566"/>
      <c r="X406" s="567"/>
      <c r="Y406" s="989">
        <f t="shared" si="26"/>
        <v>1348983865</v>
      </c>
      <c r="Z406" s="812">
        <f t="shared" si="27"/>
        <v>1349</v>
      </c>
    </row>
    <row r="407" spans="1:26" ht="27" hidden="1" customHeight="1">
      <c r="A407" s="1120"/>
      <c r="B407" s="531">
        <v>907</v>
      </c>
      <c r="C407" s="529">
        <v>8</v>
      </c>
      <c r="D407" s="1027" t="s">
        <v>71</v>
      </c>
      <c r="E407" s="1028" t="s">
        <v>72</v>
      </c>
      <c r="F407" s="547">
        <v>88649442672</v>
      </c>
      <c r="G407" s="547">
        <v>-565338400</v>
      </c>
      <c r="H407" s="547"/>
      <c r="I407" s="547"/>
      <c r="J407" s="547">
        <f>1-88084104273</f>
        <v>-88084104272</v>
      </c>
      <c r="K407" s="547"/>
      <c r="L407" s="547"/>
      <c r="M407" s="547"/>
      <c r="N407" s="547"/>
      <c r="O407" s="547"/>
      <c r="P407" s="547"/>
      <c r="Q407" s="547"/>
      <c r="R407" s="547"/>
      <c r="S407" s="989">
        <f t="shared" si="24"/>
        <v>0</v>
      </c>
      <c r="T407" s="547">
        <v>0</v>
      </c>
      <c r="U407" s="989">
        <f t="shared" si="25"/>
        <v>0</v>
      </c>
      <c r="V407" s="547">
        <v>0</v>
      </c>
      <c r="W407" s="566"/>
      <c r="X407" s="567"/>
      <c r="Y407" s="989">
        <f t="shared" si="26"/>
        <v>0</v>
      </c>
      <c r="Z407" s="812">
        <f t="shared" si="27"/>
        <v>0</v>
      </c>
    </row>
    <row r="408" spans="1:26" ht="27" customHeight="1">
      <c r="A408" s="1120">
        <v>3214</v>
      </c>
      <c r="B408" s="531">
        <v>907</v>
      </c>
      <c r="C408" s="529">
        <v>8</v>
      </c>
      <c r="D408" s="1027" t="s">
        <v>71</v>
      </c>
      <c r="E408" s="1028" t="s">
        <v>1437</v>
      </c>
      <c r="G408" s="547"/>
      <c r="H408" s="547"/>
      <c r="I408" s="547"/>
      <c r="J408" s="547"/>
      <c r="K408" s="547"/>
      <c r="L408" s="547"/>
      <c r="M408" s="547"/>
      <c r="N408" s="547"/>
      <c r="O408" s="547">
        <v>105354604168</v>
      </c>
      <c r="P408" s="547"/>
      <c r="Q408" s="547"/>
      <c r="R408" s="547"/>
      <c r="S408" s="989">
        <f t="shared" si="24"/>
        <v>105354604168</v>
      </c>
      <c r="T408" s="547">
        <v>102509423243</v>
      </c>
      <c r="U408" s="989">
        <f t="shared" si="25"/>
        <v>105355</v>
      </c>
      <c r="V408" s="683">
        <v>102509</v>
      </c>
      <c r="W408" s="566"/>
      <c r="X408" s="567"/>
      <c r="Y408" s="989">
        <f t="shared" si="26"/>
        <v>105354604168</v>
      </c>
      <c r="Z408" s="812">
        <f t="shared" si="27"/>
        <v>105355</v>
      </c>
    </row>
    <row r="409" spans="1:26" ht="27" hidden="1" customHeight="1">
      <c r="A409" s="1120">
        <v>6587</v>
      </c>
      <c r="B409" s="531">
        <v>907</v>
      </c>
      <c r="C409" s="529">
        <v>8</v>
      </c>
      <c r="D409" s="1027" t="s">
        <v>71</v>
      </c>
      <c r="E409" s="1028" t="s">
        <v>1668</v>
      </c>
      <c r="F409" s="547"/>
      <c r="G409" s="547"/>
      <c r="H409" s="547"/>
      <c r="I409" s="547"/>
      <c r="J409" s="547"/>
      <c r="K409" s="547"/>
      <c r="L409" s="547"/>
      <c r="M409" s="547"/>
      <c r="N409" s="547"/>
      <c r="O409" s="547"/>
      <c r="P409" s="547"/>
      <c r="Q409" s="547">
        <v>0</v>
      </c>
      <c r="R409" s="547"/>
      <c r="S409" s="989">
        <f t="shared" si="24"/>
        <v>0</v>
      </c>
      <c r="T409" s="547">
        <v>0</v>
      </c>
      <c r="U409" s="989">
        <f t="shared" si="25"/>
        <v>0</v>
      </c>
      <c r="V409" s="547">
        <v>0</v>
      </c>
      <c r="W409" s="566"/>
      <c r="X409" s="567"/>
      <c r="Y409" s="989">
        <f t="shared" si="26"/>
        <v>0</v>
      </c>
      <c r="Z409" s="812">
        <f t="shared" si="27"/>
        <v>0</v>
      </c>
    </row>
    <row r="410" spans="1:26" ht="27" hidden="1" customHeight="1">
      <c r="A410" s="531"/>
      <c r="B410" s="531">
        <v>406</v>
      </c>
      <c r="C410" s="529">
        <v>11</v>
      </c>
      <c r="D410" s="1027" t="s">
        <v>73</v>
      </c>
      <c r="E410" s="1028" t="s">
        <v>74</v>
      </c>
      <c r="F410" s="547">
        <v>15635529600</v>
      </c>
      <c r="G410" s="547">
        <f>110000000-5045527620</f>
        <v>-4935527620</v>
      </c>
      <c r="H410" s="547">
        <v>-150000</v>
      </c>
      <c r="I410" s="547">
        <v>-399342750</v>
      </c>
      <c r="J410" s="547">
        <v>-491471000</v>
      </c>
      <c r="K410" s="547"/>
      <c r="L410" s="547"/>
      <c r="M410" s="547"/>
      <c r="N410" s="547"/>
      <c r="O410" s="547"/>
      <c r="P410" s="547"/>
      <c r="Q410" s="547"/>
      <c r="R410" s="547"/>
      <c r="S410" s="989">
        <f t="shared" si="24"/>
        <v>9809038230</v>
      </c>
      <c r="T410" s="547">
        <v>10322019207</v>
      </c>
      <c r="U410" s="989">
        <f t="shared" si="25"/>
        <v>9809</v>
      </c>
      <c r="V410" s="547">
        <v>10322</v>
      </c>
      <c r="W410" s="566"/>
      <c r="X410" s="567"/>
      <c r="Y410" s="989">
        <f t="shared" si="26"/>
        <v>9809038230</v>
      </c>
      <c r="Z410" s="812">
        <f t="shared" si="27"/>
        <v>9809</v>
      </c>
    </row>
    <row r="411" spans="1:26" ht="27" hidden="1" customHeight="1">
      <c r="A411" s="531"/>
      <c r="B411" s="531">
        <v>605</v>
      </c>
      <c r="C411" s="529">
        <v>12</v>
      </c>
      <c r="D411" s="1027" t="s">
        <v>1152</v>
      </c>
      <c r="E411" s="1028" t="s">
        <v>1153</v>
      </c>
      <c r="F411" s="547">
        <v>902863341786</v>
      </c>
      <c r="G411" s="547">
        <f>360021631800-213301297731</f>
        <v>146720334069</v>
      </c>
      <c r="H411" s="547"/>
      <c r="I411" s="547"/>
      <c r="J411" s="547"/>
      <c r="K411" s="547"/>
      <c r="L411" s="547"/>
      <c r="M411" s="547"/>
      <c r="N411" s="547"/>
      <c r="O411" s="547"/>
      <c r="P411" s="547">
        <v>0</v>
      </c>
      <c r="Q411" s="547"/>
      <c r="R411" s="547"/>
      <c r="S411" s="989">
        <f t="shared" si="24"/>
        <v>1049583675855</v>
      </c>
      <c r="T411" s="547">
        <v>805562337786</v>
      </c>
      <c r="U411" s="989">
        <f t="shared" si="25"/>
        <v>1049584</v>
      </c>
      <c r="V411" s="547">
        <v>805562</v>
      </c>
      <c r="W411" s="566"/>
      <c r="X411" s="567"/>
      <c r="Y411" s="989">
        <f t="shared" si="26"/>
        <v>1049583675855</v>
      </c>
      <c r="Z411" s="812">
        <f t="shared" si="27"/>
        <v>1049584</v>
      </c>
    </row>
    <row r="412" spans="1:26" ht="27" hidden="1" customHeight="1">
      <c r="A412" s="531"/>
      <c r="B412" s="531">
        <v>406</v>
      </c>
      <c r="C412" s="529">
        <v>11</v>
      </c>
      <c r="D412" s="1027" t="s">
        <v>75</v>
      </c>
      <c r="E412" s="1028" t="s">
        <v>406</v>
      </c>
      <c r="F412" s="547">
        <v>6757276684</v>
      </c>
      <c r="G412" s="547"/>
      <c r="H412" s="547"/>
      <c r="I412" s="547"/>
      <c r="J412" s="547"/>
      <c r="K412" s="547"/>
      <c r="L412" s="547"/>
      <c r="M412" s="547"/>
      <c r="N412" s="547"/>
      <c r="O412" s="547"/>
      <c r="P412" s="547"/>
      <c r="Q412" s="547"/>
      <c r="R412" s="547"/>
      <c r="S412" s="989">
        <f t="shared" si="24"/>
        <v>6757276684</v>
      </c>
      <c r="T412" s="547">
        <v>6749066270</v>
      </c>
      <c r="U412" s="989">
        <f t="shared" si="25"/>
        <v>6757</v>
      </c>
      <c r="V412" s="547">
        <v>6749</v>
      </c>
      <c r="W412" s="566"/>
      <c r="X412" s="567"/>
      <c r="Y412" s="989">
        <f t="shared" si="26"/>
        <v>6757276684</v>
      </c>
      <c r="Z412" s="812">
        <f t="shared" si="27"/>
        <v>6757</v>
      </c>
    </row>
    <row r="413" spans="1:26" ht="27" hidden="1" customHeight="1">
      <c r="A413" s="531"/>
      <c r="B413" s="531">
        <v>406</v>
      </c>
      <c r="C413" s="529">
        <v>11</v>
      </c>
      <c r="D413" s="1027" t="s">
        <v>407</v>
      </c>
      <c r="E413" s="1028" t="s">
        <v>408</v>
      </c>
      <c r="F413" s="547">
        <v>199100360</v>
      </c>
      <c r="G413" s="547"/>
      <c r="H413" s="547"/>
      <c r="I413" s="547"/>
      <c r="J413" s="547"/>
      <c r="K413" s="547"/>
      <c r="L413" s="547"/>
      <c r="M413" s="547"/>
      <c r="N413" s="547"/>
      <c r="O413" s="547"/>
      <c r="P413" s="547"/>
      <c r="Q413" s="547"/>
      <c r="R413" s="547"/>
      <c r="S413" s="989">
        <f t="shared" si="24"/>
        <v>199100360</v>
      </c>
      <c r="T413" s="547">
        <v>199100360</v>
      </c>
      <c r="U413" s="989">
        <f t="shared" si="25"/>
        <v>199</v>
      </c>
      <c r="V413" s="547">
        <v>199</v>
      </c>
      <c r="W413" s="566"/>
      <c r="X413" s="567"/>
      <c r="Y413" s="989">
        <f t="shared" si="26"/>
        <v>199100360</v>
      </c>
      <c r="Z413" s="812">
        <f t="shared" si="27"/>
        <v>199</v>
      </c>
    </row>
    <row r="414" spans="1:26" ht="27" hidden="1" customHeight="1">
      <c r="A414" s="531"/>
      <c r="B414" s="531">
        <v>411</v>
      </c>
      <c r="C414" s="529">
        <v>11</v>
      </c>
      <c r="D414" s="1027" t="s">
        <v>409</v>
      </c>
      <c r="E414" s="1028" t="s">
        <v>410</v>
      </c>
      <c r="F414" s="547">
        <v>11096432098</v>
      </c>
      <c r="G414" s="547">
        <f>17166400-30175000</f>
        <v>-13008600</v>
      </c>
      <c r="H414" s="547"/>
      <c r="I414" s="547"/>
      <c r="J414" s="547"/>
      <c r="K414" s="547"/>
      <c r="L414" s="547"/>
      <c r="M414" s="547"/>
      <c r="N414" s="547"/>
      <c r="O414" s="547"/>
      <c r="P414" s="547"/>
      <c r="Q414" s="547"/>
      <c r="R414" s="547"/>
      <c r="S414" s="989">
        <f t="shared" si="24"/>
        <v>11083423498</v>
      </c>
      <c r="T414" s="547">
        <v>18238274075</v>
      </c>
      <c r="U414" s="989">
        <f t="shared" si="25"/>
        <v>11083</v>
      </c>
      <c r="V414" s="547">
        <v>18238</v>
      </c>
      <c r="W414" s="566"/>
      <c r="X414" s="567"/>
      <c r="Y414" s="989">
        <f t="shared" si="26"/>
        <v>11083423498</v>
      </c>
      <c r="Z414" s="812">
        <f t="shared" si="27"/>
        <v>11083</v>
      </c>
    </row>
    <row r="415" spans="1:26" ht="27" customHeight="1">
      <c r="A415" s="531">
        <v>3214</v>
      </c>
      <c r="B415" s="531">
        <v>408</v>
      </c>
      <c r="C415" s="529">
        <v>11</v>
      </c>
      <c r="D415" s="1027" t="s">
        <v>409</v>
      </c>
      <c r="E415" s="1028" t="s">
        <v>1627</v>
      </c>
      <c r="F415" s="547"/>
      <c r="G415" s="547"/>
      <c r="H415" s="547"/>
      <c r="I415" s="547"/>
      <c r="J415" s="547"/>
      <c r="K415" s="547"/>
      <c r="L415" s="547"/>
      <c r="M415" s="547"/>
      <c r="N415" s="547"/>
      <c r="O415" s="547">
        <f>1142775711228+160000000</f>
        <v>1142935711228</v>
      </c>
      <c r="P415" s="547"/>
      <c r="Q415" s="547"/>
      <c r="R415" s="547"/>
      <c r="S415" s="989">
        <f t="shared" si="24"/>
        <v>1142935711228</v>
      </c>
      <c r="T415" s="547">
        <v>214165293180</v>
      </c>
      <c r="U415" s="989">
        <f t="shared" si="25"/>
        <v>1142936</v>
      </c>
      <c r="V415" s="547">
        <v>214165</v>
      </c>
      <c r="W415" s="566"/>
      <c r="X415" s="567"/>
      <c r="Y415" s="989">
        <f t="shared" si="26"/>
        <v>1142935711228</v>
      </c>
      <c r="Z415" s="812">
        <f t="shared" si="27"/>
        <v>1142936</v>
      </c>
    </row>
    <row r="416" spans="1:26" ht="27" hidden="1" customHeight="1">
      <c r="A416" s="1120"/>
      <c r="B416" s="531">
        <v>907</v>
      </c>
      <c r="C416" s="529">
        <v>8</v>
      </c>
      <c r="D416" s="1027" t="s">
        <v>411</v>
      </c>
      <c r="E416" s="1028" t="s">
        <v>768</v>
      </c>
      <c r="F416" s="547">
        <v>518622209439</v>
      </c>
      <c r="G416" s="547">
        <v>-5209050000</v>
      </c>
      <c r="H416" s="547"/>
      <c r="I416" s="547">
        <v>-501414249439</v>
      </c>
      <c r="J416" s="547">
        <v>-35778943422</v>
      </c>
      <c r="K416" s="547"/>
      <c r="L416" s="547"/>
      <c r="M416" s="547"/>
      <c r="N416" s="547">
        <v>35778943422</v>
      </c>
      <c r="O416" s="547"/>
      <c r="P416" s="547"/>
      <c r="Q416" s="547"/>
      <c r="R416" s="547"/>
      <c r="S416" s="989">
        <f t="shared" si="24"/>
        <v>11998910000</v>
      </c>
      <c r="T416" s="547">
        <v>35106410000</v>
      </c>
      <c r="U416" s="989">
        <f t="shared" si="25"/>
        <v>11999</v>
      </c>
      <c r="V416" s="547">
        <v>35106</v>
      </c>
      <c r="W416" s="566"/>
      <c r="X416" s="567"/>
      <c r="Y416" s="989">
        <f t="shared" si="26"/>
        <v>11998910000</v>
      </c>
      <c r="Z416" s="812">
        <f t="shared" si="27"/>
        <v>11999</v>
      </c>
    </row>
    <row r="417" spans="1:26" ht="27" customHeight="1">
      <c r="A417" s="1120">
        <v>3214</v>
      </c>
      <c r="B417" s="531">
        <v>907</v>
      </c>
      <c r="C417" s="529">
        <v>8</v>
      </c>
      <c r="D417" s="1027" t="s">
        <v>411</v>
      </c>
      <c r="E417" s="1028" t="s">
        <v>1628</v>
      </c>
      <c r="G417" s="547"/>
      <c r="H417" s="547"/>
      <c r="I417" s="547"/>
      <c r="J417" s="547"/>
      <c r="K417" s="547"/>
      <c r="L417" s="547"/>
      <c r="M417" s="547"/>
      <c r="N417" s="547"/>
      <c r="O417" s="547">
        <f>3830076345107-25819487994</f>
        <v>3804256857113</v>
      </c>
      <c r="P417" s="547"/>
      <c r="Q417" s="547"/>
      <c r="R417" s="547"/>
      <c r="S417" s="989">
        <f t="shared" si="24"/>
        <v>3804256857113</v>
      </c>
      <c r="T417" s="547">
        <v>2527828793101</v>
      </c>
      <c r="U417" s="989">
        <f t="shared" si="25"/>
        <v>3804257</v>
      </c>
      <c r="V417" s="683">
        <v>2527829</v>
      </c>
      <c r="W417" s="566"/>
      <c r="X417" s="567"/>
      <c r="Y417" s="989">
        <f t="shared" si="26"/>
        <v>3804256857113</v>
      </c>
      <c r="Z417" s="812">
        <f t="shared" si="27"/>
        <v>3804257</v>
      </c>
    </row>
    <row r="418" spans="1:26" ht="33.75" hidden="1" customHeight="1">
      <c r="A418" s="1120">
        <v>6587</v>
      </c>
      <c r="B418" s="531">
        <v>907</v>
      </c>
      <c r="C418" s="529">
        <v>8</v>
      </c>
      <c r="D418" s="1027" t="s">
        <v>411</v>
      </c>
      <c r="E418" s="1029" t="s">
        <v>1632</v>
      </c>
      <c r="F418" s="547"/>
      <c r="G418" s="547"/>
      <c r="H418" s="547"/>
      <c r="I418" s="547"/>
      <c r="J418" s="547"/>
      <c r="K418" s="547"/>
      <c r="L418" s="547"/>
      <c r="M418" s="547"/>
      <c r="N418" s="547"/>
      <c r="O418" s="547"/>
      <c r="P418" s="547"/>
      <c r="Q418" s="547">
        <v>247585082953</v>
      </c>
      <c r="R418" s="547"/>
      <c r="S418" s="989">
        <f t="shared" si="24"/>
        <v>247585082953</v>
      </c>
      <c r="T418" s="547">
        <v>0</v>
      </c>
      <c r="U418" s="989">
        <f t="shared" si="25"/>
        <v>247585</v>
      </c>
      <c r="V418" s="547">
        <v>0</v>
      </c>
      <c r="W418" s="566"/>
      <c r="X418" s="567"/>
      <c r="Y418" s="989">
        <f t="shared" si="26"/>
        <v>247585082953</v>
      </c>
      <c r="Z418" s="812">
        <f t="shared" si="27"/>
        <v>247585</v>
      </c>
    </row>
    <row r="419" spans="1:26" ht="27" hidden="1" customHeight="1">
      <c r="A419" s="531"/>
      <c r="B419" s="531">
        <v>603</v>
      </c>
      <c r="C419" s="529">
        <v>12</v>
      </c>
      <c r="D419" s="1027" t="s">
        <v>353</v>
      </c>
      <c r="E419" s="1028" t="s">
        <v>354</v>
      </c>
      <c r="F419" s="547">
        <v>170412641013</v>
      </c>
      <c r="G419" s="547">
        <f>5209050000-2250000000</f>
        <v>2959050000</v>
      </c>
      <c r="H419" s="547"/>
      <c r="I419" s="547"/>
      <c r="J419" s="547"/>
      <c r="K419" s="547"/>
      <c r="L419" s="547"/>
      <c r="M419" s="547"/>
      <c r="N419" s="547"/>
      <c r="O419" s="547"/>
      <c r="P419" s="547"/>
      <c r="Q419" s="547"/>
      <c r="R419" s="547"/>
      <c r="S419" s="989">
        <f t="shared" si="24"/>
        <v>173371691013</v>
      </c>
      <c r="T419" s="547">
        <v>105891996658</v>
      </c>
      <c r="U419" s="989">
        <f t="shared" si="25"/>
        <v>173372</v>
      </c>
      <c r="V419" s="547">
        <v>105892</v>
      </c>
      <c r="W419" s="566"/>
      <c r="X419" s="567"/>
      <c r="Y419" s="989">
        <f t="shared" si="26"/>
        <v>173371691013</v>
      </c>
      <c r="Z419" s="812">
        <f t="shared" si="27"/>
        <v>173372</v>
      </c>
    </row>
    <row r="420" spans="1:26" ht="27" hidden="1" customHeight="1">
      <c r="A420" s="531"/>
      <c r="B420" s="531">
        <v>406</v>
      </c>
      <c r="C420" s="529">
        <v>11</v>
      </c>
      <c r="D420" s="1027" t="s">
        <v>355</v>
      </c>
      <c r="E420" s="1028" t="s">
        <v>356</v>
      </c>
      <c r="F420" s="547">
        <v>78800606</v>
      </c>
      <c r="G420" s="547"/>
      <c r="H420" s="547"/>
      <c r="I420" s="547"/>
      <c r="J420" s="547"/>
      <c r="K420" s="547"/>
      <c r="L420" s="547"/>
      <c r="M420" s="547"/>
      <c r="N420" s="547"/>
      <c r="O420" s="547"/>
      <c r="P420" s="547"/>
      <c r="Q420" s="547"/>
      <c r="R420" s="547"/>
      <c r="S420" s="989">
        <f t="shared" si="24"/>
        <v>78800606</v>
      </c>
      <c r="T420" s="547">
        <v>78800606</v>
      </c>
      <c r="U420" s="989">
        <f t="shared" si="25"/>
        <v>79</v>
      </c>
      <c r="V420" s="547">
        <v>79</v>
      </c>
      <c r="W420" s="566"/>
      <c r="X420" s="567"/>
      <c r="Y420" s="989">
        <f t="shared" si="26"/>
        <v>78800606</v>
      </c>
      <c r="Z420" s="812">
        <f t="shared" si="27"/>
        <v>79</v>
      </c>
    </row>
    <row r="421" spans="1:26" ht="27" customHeight="1">
      <c r="A421" s="531">
        <v>3214</v>
      </c>
      <c r="B421" s="531">
        <v>1015</v>
      </c>
      <c r="C421" s="529">
        <v>17</v>
      </c>
      <c r="D421" s="1027" t="s">
        <v>355</v>
      </c>
      <c r="E421" s="1028" t="s">
        <v>1440</v>
      </c>
      <c r="F421" s="547"/>
      <c r="G421" s="547"/>
      <c r="H421" s="547"/>
      <c r="I421" s="547"/>
      <c r="J421" s="547"/>
      <c r="K421" s="547"/>
      <c r="L421" s="547"/>
      <c r="M421" s="547"/>
      <c r="N421" s="547"/>
      <c r="O421" s="547"/>
      <c r="P421" s="547"/>
      <c r="Q421" s="547"/>
      <c r="R421" s="547"/>
      <c r="S421" s="989">
        <f t="shared" si="24"/>
        <v>0</v>
      </c>
      <c r="T421" s="547">
        <v>0</v>
      </c>
      <c r="U421" s="989">
        <f t="shared" si="25"/>
        <v>0</v>
      </c>
      <c r="V421" s="547">
        <v>0</v>
      </c>
      <c r="W421" s="566"/>
      <c r="X421" s="567"/>
      <c r="Y421" s="989">
        <f t="shared" si="26"/>
        <v>0</v>
      </c>
      <c r="Z421" s="812">
        <f t="shared" si="27"/>
        <v>0</v>
      </c>
    </row>
    <row r="422" spans="1:26" ht="27" hidden="1" customHeight="1">
      <c r="A422" s="531"/>
      <c r="B422" s="531">
        <v>406</v>
      </c>
      <c r="C422" s="529">
        <v>11</v>
      </c>
      <c r="D422" s="1027" t="s">
        <v>1255</v>
      </c>
      <c r="E422" s="1028" t="s">
        <v>1256</v>
      </c>
      <c r="F422" s="547"/>
      <c r="G422" s="547"/>
      <c r="H422" s="547"/>
      <c r="I422" s="547"/>
      <c r="J422" s="547"/>
      <c r="K422" s="547"/>
      <c r="L422" s="547"/>
      <c r="M422" s="547"/>
      <c r="N422" s="547"/>
      <c r="O422" s="547"/>
      <c r="P422" s="547"/>
      <c r="Q422" s="547"/>
      <c r="R422" s="547"/>
      <c r="S422" s="989">
        <f t="shared" si="24"/>
        <v>0</v>
      </c>
      <c r="T422" s="547">
        <v>0</v>
      </c>
      <c r="U422" s="989">
        <f t="shared" si="25"/>
        <v>0</v>
      </c>
      <c r="V422" s="547">
        <v>0</v>
      </c>
      <c r="W422" s="566"/>
      <c r="X422" s="567"/>
      <c r="Y422" s="989">
        <f t="shared" si="26"/>
        <v>0</v>
      </c>
      <c r="Z422" s="812">
        <f t="shared" si="27"/>
        <v>0</v>
      </c>
    </row>
    <row r="423" spans="1:26" ht="27" hidden="1" customHeight="1">
      <c r="A423" s="531"/>
      <c r="B423" s="531">
        <v>1015</v>
      </c>
      <c r="C423" s="529">
        <v>17</v>
      </c>
      <c r="D423" s="1027" t="s">
        <v>357</v>
      </c>
      <c r="E423" s="1028" t="s">
        <v>358</v>
      </c>
      <c r="F423" s="547">
        <v>-4160440239</v>
      </c>
      <c r="G423" s="547"/>
      <c r="H423" s="547">
        <f>65-11140000</f>
        <v>-11139935</v>
      </c>
      <c r="I423" s="547"/>
      <c r="J423" s="547"/>
      <c r="K423" s="547"/>
      <c r="L423" s="547"/>
      <c r="M423" s="547"/>
      <c r="N423" s="547"/>
      <c r="O423" s="547"/>
      <c r="P423" s="547"/>
      <c r="Q423" s="547"/>
      <c r="R423" s="547"/>
      <c r="S423" s="989">
        <f t="shared" si="24"/>
        <v>-4171580174</v>
      </c>
      <c r="T423" s="547">
        <v>-594930480</v>
      </c>
      <c r="U423" s="989">
        <f t="shared" si="25"/>
        <v>-4172</v>
      </c>
      <c r="V423" s="547">
        <v>-595</v>
      </c>
      <c r="W423" s="566"/>
      <c r="X423" s="567"/>
      <c r="Y423" s="989">
        <f t="shared" si="26"/>
        <v>-4171580174</v>
      </c>
      <c r="Z423" s="812">
        <f t="shared" si="27"/>
        <v>-4172</v>
      </c>
    </row>
    <row r="424" spans="1:26" ht="27" hidden="1" customHeight="1">
      <c r="A424" s="531"/>
      <c r="B424" s="531">
        <v>1015</v>
      </c>
      <c r="C424" s="529">
        <v>17</v>
      </c>
      <c r="D424" s="1027" t="s">
        <v>359</v>
      </c>
      <c r="E424" s="1028" t="s">
        <v>895</v>
      </c>
      <c r="G424" s="547"/>
      <c r="H424" s="547"/>
      <c r="I424" s="547"/>
      <c r="J424" s="547"/>
      <c r="K424" s="547"/>
      <c r="L424" s="547"/>
      <c r="M424" s="547"/>
      <c r="N424" s="547"/>
      <c r="O424" s="547"/>
      <c r="P424" s="547"/>
      <c r="Q424" s="547"/>
      <c r="R424" s="547"/>
      <c r="S424" s="989">
        <f t="shared" si="24"/>
        <v>0</v>
      </c>
      <c r="T424" s="547">
        <v>0</v>
      </c>
      <c r="U424" s="989">
        <f t="shared" si="25"/>
        <v>0</v>
      </c>
      <c r="V424" s="547">
        <v>0</v>
      </c>
      <c r="W424" s="566"/>
      <c r="X424" s="567"/>
      <c r="Y424" s="989">
        <f t="shared" si="26"/>
        <v>0</v>
      </c>
      <c r="Z424" s="812">
        <f t="shared" si="27"/>
        <v>0</v>
      </c>
    </row>
    <row r="425" spans="1:26" ht="27" hidden="1" customHeight="1">
      <c r="A425" s="531"/>
      <c r="B425" s="531">
        <v>1015</v>
      </c>
      <c r="C425" s="529">
        <v>17</v>
      </c>
      <c r="D425" s="1027" t="s">
        <v>598</v>
      </c>
      <c r="E425" s="1028" t="s">
        <v>849</v>
      </c>
      <c r="F425" s="547">
        <v>-97583</v>
      </c>
      <c r="G425" s="547"/>
      <c r="H425" s="547"/>
      <c r="I425" s="547"/>
      <c r="J425" s="547"/>
      <c r="K425" s="547"/>
      <c r="L425" s="547"/>
      <c r="M425" s="547"/>
      <c r="N425" s="547"/>
      <c r="O425" s="547"/>
      <c r="P425" s="547"/>
      <c r="Q425" s="547"/>
      <c r="R425" s="547"/>
      <c r="S425" s="989">
        <f t="shared" si="24"/>
        <v>-97583</v>
      </c>
      <c r="T425" s="547">
        <v>-97583</v>
      </c>
      <c r="U425" s="989">
        <f t="shared" si="25"/>
        <v>0</v>
      </c>
      <c r="V425" s="547">
        <v>0</v>
      </c>
      <c r="W425" s="566"/>
      <c r="X425" s="567"/>
      <c r="Y425" s="989">
        <f t="shared" si="26"/>
        <v>-97583</v>
      </c>
      <c r="Z425" s="812">
        <f t="shared" si="27"/>
        <v>0</v>
      </c>
    </row>
    <row r="426" spans="1:26" ht="27" hidden="1" customHeight="1">
      <c r="A426" s="531"/>
      <c r="B426" s="531">
        <v>602</v>
      </c>
      <c r="C426" s="529">
        <v>12</v>
      </c>
      <c r="D426" s="1027" t="s">
        <v>600</v>
      </c>
      <c r="E426" s="1028" t="s">
        <v>601</v>
      </c>
      <c r="F426" s="547">
        <v>-42116464946</v>
      </c>
      <c r="G426" s="547">
        <v>4005000000</v>
      </c>
      <c r="H426" s="547"/>
      <c r="I426" s="547"/>
      <c r="J426" s="547"/>
      <c r="K426" s="547"/>
      <c r="L426" s="547"/>
      <c r="M426" s="547"/>
      <c r="N426" s="547">
        <f>628948360931-628948360931</f>
        <v>0</v>
      </c>
      <c r="O426" s="547"/>
      <c r="P426" s="547">
        <v>-171751075276</v>
      </c>
      <c r="Q426" s="547"/>
      <c r="R426" s="547"/>
      <c r="S426" s="989">
        <f t="shared" si="24"/>
        <v>-209862540222</v>
      </c>
      <c r="T426" s="547">
        <v>-42116464946</v>
      </c>
      <c r="U426" s="989">
        <f t="shared" si="25"/>
        <v>-209863</v>
      </c>
      <c r="V426" s="547">
        <v>-42116</v>
      </c>
      <c r="W426" s="566"/>
      <c r="X426" s="683"/>
      <c r="Y426" s="989">
        <f t="shared" si="26"/>
        <v>-209862540222</v>
      </c>
      <c r="Z426" s="812">
        <f t="shared" si="27"/>
        <v>-209863</v>
      </c>
    </row>
    <row r="427" spans="1:26" ht="27" hidden="1" customHeight="1">
      <c r="A427" s="531"/>
      <c r="B427" s="531">
        <v>1015</v>
      </c>
      <c r="C427" s="529">
        <v>17</v>
      </c>
      <c r="D427" s="1027" t="s">
        <v>1261</v>
      </c>
      <c r="E427" s="1028" t="s">
        <v>1256</v>
      </c>
      <c r="F427" s="547"/>
      <c r="G427" s="547"/>
      <c r="H427" s="547"/>
      <c r="I427" s="547"/>
      <c r="J427" s="547"/>
      <c r="K427" s="547"/>
      <c r="L427" s="547"/>
      <c r="M427" s="547"/>
      <c r="N427" s="547"/>
      <c r="O427" s="547"/>
      <c r="P427" s="547"/>
      <c r="Q427" s="547"/>
      <c r="R427" s="547"/>
      <c r="S427" s="989">
        <f t="shared" si="24"/>
        <v>0</v>
      </c>
      <c r="T427" s="547">
        <v>0</v>
      </c>
      <c r="U427" s="989">
        <f t="shared" si="25"/>
        <v>0</v>
      </c>
      <c r="V427" s="547">
        <v>0</v>
      </c>
      <c r="W427" s="566"/>
      <c r="X427" s="567"/>
      <c r="Y427" s="989">
        <f t="shared" si="26"/>
        <v>0</v>
      </c>
      <c r="Z427" s="812">
        <f t="shared" si="27"/>
        <v>0</v>
      </c>
    </row>
    <row r="428" spans="1:26" ht="27" hidden="1" customHeight="1">
      <c r="A428" s="531"/>
      <c r="B428" s="531">
        <v>406</v>
      </c>
      <c r="C428" s="529">
        <v>11</v>
      </c>
      <c r="D428" s="1027" t="s">
        <v>602</v>
      </c>
      <c r="E428" s="1028" t="s">
        <v>603</v>
      </c>
      <c r="F428" s="547">
        <v>505877512</v>
      </c>
      <c r="G428" s="547">
        <v>-1183740565</v>
      </c>
      <c r="H428" s="547"/>
      <c r="I428" s="547"/>
      <c r="J428" s="547"/>
      <c r="K428" s="547"/>
      <c r="L428" s="547"/>
      <c r="M428" s="547"/>
      <c r="N428" s="547">
        <v>1159124565</v>
      </c>
      <c r="O428" s="547">
        <v>-1373502058</v>
      </c>
      <c r="P428" s="547"/>
      <c r="Q428" s="547"/>
      <c r="R428" s="547"/>
      <c r="S428" s="989">
        <f t="shared" si="24"/>
        <v>-892240546</v>
      </c>
      <c r="T428" s="547">
        <v>627846394</v>
      </c>
      <c r="U428" s="989">
        <f t="shared" si="25"/>
        <v>-892</v>
      </c>
      <c r="V428" s="547">
        <v>628</v>
      </c>
      <c r="W428" s="566"/>
      <c r="X428" s="567"/>
      <c r="Y428" s="989">
        <f t="shared" si="26"/>
        <v>-892240546</v>
      </c>
      <c r="Z428" s="812">
        <f t="shared" si="27"/>
        <v>-892</v>
      </c>
    </row>
    <row r="429" spans="1:26" ht="27" hidden="1" customHeight="1">
      <c r="A429" s="531"/>
      <c r="B429" s="531">
        <v>406</v>
      </c>
      <c r="C429" s="529">
        <v>11</v>
      </c>
      <c r="D429" s="1027" t="s">
        <v>668</v>
      </c>
      <c r="E429" s="1028" t="s">
        <v>669</v>
      </c>
      <c r="F429" s="547"/>
      <c r="G429" s="547"/>
      <c r="H429" s="547"/>
      <c r="I429" s="547"/>
      <c r="J429" s="547"/>
      <c r="K429" s="547"/>
      <c r="L429" s="547"/>
      <c r="M429" s="547"/>
      <c r="N429" s="547"/>
      <c r="O429" s="547"/>
      <c r="P429" s="547"/>
      <c r="Q429" s="547"/>
      <c r="R429" s="547"/>
      <c r="S429" s="989">
        <f t="shared" si="24"/>
        <v>0</v>
      </c>
      <c r="T429" s="547">
        <v>0</v>
      </c>
      <c r="U429" s="989">
        <f t="shared" si="25"/>
        <v>0</v>
      </c>
      <c r="V429" s="547">
        <v>0</v>
      </c>
      <c r="W429" s="566"/>
      <c r="X429" s="567"/>
      <c r="Y429" s="989">
        <f t="shared" si="26"/>
        <v>0</v>
      </c>
      <c r="Z429" s="812">
        <f t="shared" si="27"/>
        <v>0</v>
      </c>
    </row>
    <row r="430" spans="1:26" ht="27" hidden="1" customHeight="1">
      <c r="A430" s="531"/>
      <c r="B430" s="531">
        <v>100201</v>
      </c>
      <c r="C430" s="529">
        <v>17</v>
      </c>
      <c r="D430" s="1027" t="s">
        <v>604</v>
      </c>
      <c r="E430" s="1028" t="s">
        <v>532</v>
      </c>
      <c r="F430" s="547"/>
      <c r="G430" s="547"/>
      <c r="H430" s="547"/>
      <c r="I430" s="547"/>
      <c r="J430" s="547"/>
      <c r="K430" s="547"/>
      <c r="L430" s="547"/>
      <c r="M430" s="547"/>
      <c r="N430" s="547"/>
      <c r="O430" s="547"/>
      <c r="P430" s="547"/>
      <c r="Q430" s="547"/>
      <c r="R430" s="547"/>
      <c r="S430" s="989">
        <f t="shared" si="24"/>
        <v>0</v>
      </c>
      <c r="T430" s="547">
        <v>0</v>
      </c>
      <c r="U430" s="989">
        <f t="shared" si="25"/>
        <v>0</v>
      </c>
      <c r="V430" s="547">
        <v>0</v>
      </c>
      <c r="W430" s="566"/>
      <c r="X430" s="567"/>
      <c r="Y430" s="989">
        <f t="shared" si="26"/>
        <v>0</v>
      </c>
      <c r="Z430" s="812">
        <f t="shared" si="27"/>
        <v>0</v>
      </c>
    </row>
    <row r="431" spans="1:26" ht="27" hidden="1" customHeight="1">
      <c r="A431" s="531"/>
      <c r="B431" s="531">
        <v>1018</v>
      </c>
      <c r="C431" s="529">
        <v>17</v>
      </c>
      <c r="D431" s="1027" t="s">
        <v>605</v>
      </c>
      <c r="E431" s="1028" t="s">
        <v>227</v>
      </c>
      <c r="F431" s="547">
        <v>-601083906</v>
      </c>
      <c r="G431" s="547"/>
      <c r="H431" s="547"/>
      <c r="I431" s="547"/>
      <c r="J431" s="547"/>
      <c r="K431" s="547"/>
      <c r="L431" s="547"/>
      <c r="M431" s="547"/>
      <c r="N431" s="547"/>
      <c r="O431" s="547"/>
      <c r="P431" s="547"/>
      <c r="Q431" s="547"/>
      <c r="R431" s="547"/>
      <c r="S431" s="989">
        <f t="shared" si="24"/>
        <v>-601083906</v>
      </c>
      <c r="T431" s="547">
        <v>-108994313</v>
      </c>
      <c r="U431" s="989">
        <f t="shared" si="25"/>
        <v>-601</v>
      </c>
      <c r="V431" s="547">
        <v>-109</v>
      </c>
      <c r="W431" s="566"/>
      <c r="X431" s="567"/>
      <c r="Y431" s="989">
        <f t="shared" si="26"/>
        <v>-601083906</v>
      </c>
      <c r="Z431" s="812">
        <f t="shared" si="27"/>
        <v>-601</v>
      </c>
    </row>
    <row r="432" spans="1:26" ht="27" hidden="1" customHeight="1">
      <c r="A432" s="531"/>
      <c r="B432" s="531">
        <v>1018</v>
      </c>
      <c r="C432" s="529">
        <v>17</v>
      </c>
      <c r="D432" s="1027" t="s">
        <v>999</v>
      </c>
      <c r="E432" s="1028" t="s">
        <v>1000</v>
      </c>
      <c r="F432" s="547">
        <v>-24326180</v>
      </c>
      <c r="G432" s="547"/>
      <c r="H432" s="547"/>
      <c r="I432" s="547"/>
      <c r="J432" s="547"/>
      <c r="K432" s="547"/>
      <c r="L432" s="547"/>
      <c r="M432" s="547"/>
      <c r="N432" s="547"/>
      <c r="O432" s="547"/>
      <c r="P432" s="547"/>
      <c r="Q432" s="547"/>
      <c r="R432" s="547"/>
      <c r="S432" s="989">
        <f t="shared" si="24"/>
        <v>-24326180</v>
      </c>
      <c r="T432" s="547">
        <v>-24326180</v>
      </c>
      <c r="U432" s="989">
        <f t="shared" si="25"/>
        <v>-24</v>
      </c>
      <c r="V432" s="547">
        <v>-24</v>
      </c>
      <c r="W432" s="566"/>
      <c r="X432" s="567"/>
      <c r="Y432" s="989">
        <f t="shared" si="26"/>
        <v>-24326180</v>
      </c>
      <c r="Z432" s="812">
        <f t="shared" si="27"/>
        <v>-24</v>
      </c>
    </row>
    <row r="433" spans="1:26" ht="27" hidden="1" customHeight="1">
      <c r="A433" s="531"/>
      <c r="B433" s="531">
        <v>1018</v>
      </c>
      <c r="C433" s="529">
        <v>17</v>
      </c>
      <c r="D433" s="1027" t="s">
        <v>515</v>
      </c>
      <c r="E433" s="1028" t="s">
        <v>516</v>
      </c>
      <c r="F433" s="547">
        <v>-44173000000</v>
      </c>
      <c r="G433" s="547"/>
      <c r="H433" s="547"/>
      <c r="I433" s="547"/>
      <c r="J433" s="547"/>
      <c r="K433" s="547"/>
      <c r="L433" s="547"/>
      <c r="M433" s="547"/>
      <c r="N433" s="547"/>
      <c r="O433" s="547"/>
      <c r="P433" s="547"/>
      <c r="Q433" s="547"/>
      <c r="R433" s="547"/>
      <c r="S433" s="989">
        <f t="shared" si="24"/>
        <v>-44173000000</v>
      </c>
      <c r="T433" s="547">
        <v>-362000000</v>
      </c>
      <c r="U433" s="989">
        <f t="shared" si="25"/>
        <v>-44173</v>
      </c>
      <c r="V433" s="547">
        <v>-362</v>
      </c>
      <c r="W433" s="566"/>
      <c r="X433" s="567"/>
      <c r="Y433" s="989">
        <f t="shared" si="26"/>
        <v>-44173000000</v>
      </c>
      <c r="Z433" s="812">
        <f t="shared" si="27"/>
        <v>-44173</v>
      </c>
    </row>
    <row r="434" spans="1:26" ht="27" hidden="1" customHeight="1">
      <c r="A434" s="531"/>
      <c r="B434" s="531">
        <v>1018</v>
      </c>
      <c r="C434" s="529">
        <v>17</v>
      </c>
      <c r="D434" s="1027" t="s">
        <v>1342</v>
      </c>
      <c r="E434" s="1028" t="s">
        <v>1343</v>
      </c>
      <c r="F434" s="547"/>
      <c r="G434" s="547">
        <v>-2234000</v>
      </c>
      <c r="H434" s="547"/>
      <c r="I434" s="547"/>
      <c r="J434" s="547">
        <v>2234000</v>
      </c>
      <c r="K434" s="547"/>
      <c r="L434" s="547"/>
      <c r="M434" s="547"/>
      <c r="N434" s="547"/>
      <c r="O434" s="547"/>
      <c r="P434" s="547"/>
      <c r="Q434" s="547"/>
      <c r="R434" s="547"/>
      <c r="S434" s="989">
        <f t="shared" si="24"/>
        <v>0</v>
      </c>
      <c r="T434" s="547">
        <v>0</v>
      </c>
      <c r="U434" s="989">
        <f t="shared" si="25"/>
        <v>0</v>
      </c>
      <c r="V434" s="547">
        <v>0</v>
      </c>
      <c r="W434" s="566"/>
      <c r="X434" s="567"/>
      <c r="Y434" s="989">
        <f t="shared" si="26"/>
        <v>0</v>
      </c>
      <c r="Z434" s="812">
        <f t="shared" si="27"/>
        <v>0</v>
      </c>
    </row>
    <row r="435" spans="1:26" ht="27" hidden="1" customHeight="1">
      <c r="A435" s="1120"/>
      <c r="B435" s="531">
        <v>1012</v>
      </c>
      <c r="C435" s="529">
        <v>17</v>
      </c>
      <c r="D435" s="1027" t="s">
        <v>18</v>
      </c>
      <c r="E435" s="1028" t="s">
        <v>228</v>
      </c>
      <c r="F435" s="547">
        <f>-6492174261414-F437-F438-F439</f>
        <v>-1127388311810</v>
      </c>
      <c r="G435" s="547">
        <f>301092719467-564981227075</f>
        <v>-263888507608</v>
      </c>
      <c r="H435" s="547">
        <f>35700487330-82346895305</f>
        <v>-46646407975</v>
      </c>
      <c r="I435" s="547">
        <f>-3744422348971-I437-I438-I439-I440</f>
        <v>0</v>
      </c>
      <c r="J435" s="547">
        <v>-2234000</v>
      </c>
      <c r="K435" s="547"/>
      <c r="L435" s="547"/>
      <c r="M435" s="547"/>
      <c r="N435" s="547"/>
      <c r="O435" s="547">
        <f>-35178000000</f>
        <v>-35178000000</v>
      </c>
      <c r="P435" s="547">
        <f>-2164449084-14000000000-11448625045-25870560626-31574628962</f>
        <v>-85058263717</v>
      </c>
      <c r="Q435" s="547"/>
      <c r="R435" s="547"/>
      <c r="S435" s="989">
        <f t="shared" si="24"/>
        <v>-1558161725110</v>
      </c>
      <c r="T435" s="547">
        <v>-1751673437062</v>
      </c>
      <c r="U435" s="989">
        <f t="shared" si="25"/>
        <v>-1558162</v>
      </c>
      <c r="V435" s="547">
        <v>-1751673</v>
      </c>
      <c r="W435" s="566"/>
      <c r="X435" s="567"/>
      <c r="Y435" s="989">
        <f t="shared" si="26"/>
        <v>-1558161725110</v>
      </c>
      <c r="Z435" s="812">
        <f t="shared" si="27"/>
        <v>-1558162</v>
      </c>
    </row>
    <row r="436" spans="1:26" ht="27" hidden="1" customHeight="1">
      <c r="A436" s="1120">
        <v>6587</v>
      </c>
      <c r="B436" s="531">
        <v>100201</v>
      </c>
      <c r="C436" s="529">
        <v>17</v>
      </c>
      <c r="D436" s="1027">
        <v>90006401</v>
      </c>
      <c r="E436" s="1028" t="s">
        <v>1909</v>
      </c>
      <c r="F436" s="547"/>
      <c r="G436" s="547"/>
      <c r="H436" s="547"/>
      <c r="I436" s="547"/>
      <c r="J436" s="547"/>
      <c r="K436" s="547"/>
      <c r="L436" s="547"/>
      <c r="M436" s="547"/>
      <c r="N436" s="547"/>
      <c r="O436" s="547">
        <v>-2477807488685</v>
      </c>
      <c r="P436" s="547"/>
      <c r="Q436" s="547"/>
      <c r="R436" s="547"/>
      <c r="S436" s="989">
        <f t="shared" si="24"/>
        <v>-2477807488685</v>
      </c>
      <c r="T436" s="547"/>
      <c r="U436" s="989">
        <f t="shared" si="25"/>
        <v>-2477807</v>
      </c>
      <c r="V436" s="547">
        <v>0</v>
      </c>
      <c r="W436" s="566"/>
      <c r="X436" s="567"/>
      <c r="Y436" s="989">
        <f t="shared" si="26"/>
        <v>-2477807488685</v>
      </c>
      <c r="Z436" s="812">
        <f t="shared" si="27"/>
        <v>-2477807</v>
      </c>
    </row>
    <row r="437" spans="1:26" ht="27" hidden="1" customHeight="1">
      <c r="A437" s="1121">
        <v>6587</v>
      </c>
      <c r="B437" s="531">
        <v>100201</v>
      </c>
      <c r="C437" s="529">
        <v>17</v>
      </c>
      <c r="D437" s="1027" t="s">
        <v>1647</v>
      </c>
      <c r="E437" s="1028" t="s">
        <v>228</v>
      </c>
      <c r="F437" s="547">
        <v>-2056189513042</v>
      </c>
      <c r="G437" s="547"/>
      <c r="H437" s="547"/>
      <c r="I437" s="547">
        <v>-195626616516</v>
      </c>
      <c r="J437" s="547"/>
      <c r="K437" s="547"/>
      <c r="L437" s="547"/>
      <c r="M437" s="547"/>
      <c r="N437" s="547"/>
      <c r="O437" s="547"/>
      <c r="P437" s="547"/>
      <c r="Q437" s="547"/>
      <c r="R437" s="547"/>
      <c r="S437" s="989">
        <f t="shared" si="24"/>
        <v>-2251816129558</v>
      </c>
      <c r="T437" s="547">
        <v>-2056189513042</v>
      </c>
      <c r="U437" s="989">
        <f t="shared" si="25"/>
        <v>-2251816</v>
      </c>
      <c r="V437" s="547">
        <v>-2056190</v>
      </c>
      <c r="W437" s="566"/>
      <c r="X437" s="567"/>
      <c r="Y437" s="989">
        <f t="shared" si="26"/>
        <v>-2251816129558</v>
      </c>
      <c r="Z437" s="812">
        <f t="shared" si="27"/>
        <v>-2251816</v>
      </c>
    </row>
    <row r="438" spans="1:26" ht="27" hidden="1" customHeight="1">
      <c r="A438" s="1121">
        <v>6587</v>
      </c>
      <c r="B438" s="531">
        <v>100201</v>
      </c>
      <c r="C438" s="529">
        <v>17</v>
      </c>
      <c r="D438" s="1027" t="s">
        <v>1648</v>
      </c>
      <c r="E438" s="1028" t="s">
        <v>228</v>
      </c>
      <c r="F438" s="547">
        <v>-3162441390543</v>
      </c>
      <c r="G438" s="547"/>
      <c r="H438" s="547"/>
      <c r="I438" s="547">
        <v>-672801274822</v>
      </c>
      <c r="J438" s="547">
        <v>-1925532904</v>
      </c>
      <c r="K438" s="547"/>
      <c r="L438" s="547"/>
      <c r="M438" s="547"/>
      <c r="N438" s="547"/>
      <c r="O438" s="547"/>
      <c r="P438" s="547"/>
      <c r="Q438" s="547"/>
      <c r="R438" s="547"/>
      <c r="S438" s="989">
        <f t="shared" si="24"/>
        <v>-3837168198269</v>
      </c>
      <c r="T438" s="547">
        <v>-3162441390543</v>
      </c>
      <c r="U438" s="989">
        <f t="shared" si="25"/>
        <v>-3837168</v>
      </c>
      <c r="V438" s="547">
        <v>-3162441</v>
      </c>
      <c r="W438" s="566"/>
      <c r="X438" s="567"/>
      <c r="Y438" s="989">
        <f t="shared" si="26"/>
        <v>-3837168198269</v>
      </c>
      <c r="Z438" s="812">
        <f t="shared" si="27"/>
        <v>-3837168</v>
      </c>
    </row>
    <row r="439" spans="1:26" ht="27" hidden="1" customHeight="1">
      <c r="A439" s="1121">
        <v>6587</v>
      </c>
      <c r="B439" s="531">
        <v>100201</v>
      </c>
      <c r="C439" s="529">
        <v>17</v>
      </c>
      <c r="D439" s="1027" t="s">
        <v>1712</v>
      </c>
      <c r="E439" s="1028" t="s">
        <v>228</v>
      </c>
      <c r="F439" s="547">
        <v>-146155046019</v>
      </c>
      <c r="G439" s="547"/>
      <c r="H439" s="547"/>
      <c r="I439" s="547">
        <v>-398186968948</v>
      </c>
      <c r="J439" s="547"/>
      <c r="K439" s="547"/>
      <c r="L439" s="547"/>
      <c r="M439" s="547"/>
      <c r="N439" s="547"/>
      <c r="O439" s="547"/>
      <c r="P439" s="547"/>
      <c r="Q439" s="547"/>
      <c r="R439" s="547"/>
      <c r="S439" s="989">
        <f t="shared" si="24"/>
        <v>-544342014967</v>
      </c>
      <c r="T439" s="547">
        <v>-146155046019</v>
      </c>
      <c r="U439" s="989">
        <f t="shared" si="25"/>
        <v>-544342</v>
      </c>
      <c r="V439" s="547">
        <v>-146155</v>
      </c>
      <c r="W439" s="566"/>
      <c r="X439" s="567"/>
      <c r="Y439" s="989">
        <f t="shared" si="26"/>
        <v>-544342014967</v>
      </c>
      <c r="Z439" s="812">
        <f t="shared" si="27"/>
        <v>-544342</v>
      </c>
    </row>
    <row r="440" spans="1:26" ht="27" customHeight="1">
      <c r="A440" s="1121">
        <v>3214</v>
      </c>
      <c r="B440" s="531">
        <v>100201</v>
      </c>
      <c r="C440" s="529">
        <v>17</v>
      </c>
      <c r="D440" s="1027" t="s">
        <v>18</v>
      </c>
      <c r="E440" s="1028" t="s">
        <v>228</v>
      </c>
      <c r="G440" s="547"/>
      <c r="H440" s="547"/>
      <c r="I440" s="547">
        <v>-2477807488685</v>
      </c>
      <c r="J440" s="547"/>
      <c r="K440" s="547"/>
      <c r="L440" s="547"/>
      <c r="M440" s="547"/>
      <c r="N440" s="547"/>
      <c r="O440" s="547">
        <f>34828518289-4919991386484+2477807488685</f>
        <v>-2407355379510</v>
      </c>
      <c r="P440" s="547"/>
      <c r="Q440" s="547"/>
      <c r="R440" s="547"/>
      <c r="S440" s="989">
        <f t="shared" si="24"/>
        <v>-4885162868195</v>
      </c>
      <c r="T440" s="547">
        <v>-2177928066490</v>
      </c>
      <c r="U440" s="989">
        <f t="shared" si="25"/>
        <v>-4885163</v>
      </c>
      <c r="V440" s="547">
        <v>-2177928</v>
      </c>
      <c r="W440" s="566"/>
      <c r="X440" s="567"/>
      <c r="Y440" s="989">
        <f t="shared" si="26"/>
        <v>-4885162868195</v>
      </c>
      <c r="Z440" s="812">
        <f t="shared" si="27"/>
        <v>-4885163</v>
      </c>
    </row>
    <row r="441" spans="1:26" ht="27" hidden="1" customHeight="1">
      <c r="A441" s="531"/>
      <c r="B441" s="531">
        <v>405</v>
      </c>
      <c r="C441" s="529">
        <v>11</v>
      </c>
      <c r="D441" s="1027" t="s">
        <v>201</v>
      </c>
      <c r="E441" s="1028" t="s">
        <v>1405</v>
      </c>
      <c r="F441" s="547">
        <v>224542002021</v>
      </c>
      <c r="G441" s="547"/>
      <c r="H441" s="547"/>
      <c r="I441" s="547"/>
      <c r="J441" s="547"/>
      <c r="K441" s="547"/>
      <c r="L441" s="547"/>
      <c r="M441" s="547"/>
      <c r="N441" s="547"/>
      <c r="O441" s="547"/>
      <c r="P441" s="547"/>
      <c r="Q441" s="547"/>
      <c r="R441" s="547"/>
      <c r="S441" s="989">
        <f t="shared" si="24"/>
        <v>224542002021</v>
      </c>
      <c r="T441" s="547">
        <v>216542002021</v>
      </c>
      <c r="U441" s="989">
        <f t="shared" si="25"/>
        <v>224542</v>
      </c>
      <c r="V441" s="547">
        <v>216542</v>
      </c>
      <c r="W441" s="566"/>
      <c r="X441" s="683"/>
      <c r="Y441" s="989">
        <f t="shared" si="26"/>
        <v>224542002021</v>
      </c>
      <c r="Z441" s="812">
        <f t="shared" si="27"/>
        <v>224542</v>
      </c>
    </row>
    <row r="442" spans="1:26" ht="27" hidden="1" customHeight="1">
      <c r="A442" s="531"/>
      <c r="B442" s="531">
        <v>1401</v>
      </c>
      <c r="C442" s="529">
        <v>18</v>
      </c>
      <c r="D442" s="1027" t="s">
        <v>1165</v>
      </c>
      <c r="E442" s="1028" t="s">
        <v>1164</v>
      </c>
      <c r="F442" s="547"/>
      <c r="G442" s="547"/>
      <c r="H442" s="547"/>
      <c r="I442" s="547"/>
      <c r="J442" s="547"/>
      <c r="K442" s="547"/>
      <c r="L442" s="547"/>
      <c r="M442" s="547"/>
      <c r="N442" s="547"/>
      <c r="O442" s="547"/>
      <c r="P442" s="547"/>
      <c r="Q442" s="547"/>
      <c r="R442" s="547"/>
      <c r="S442" s="989">
        <f t="shared" si="24"/>
        <v>0</v>
      </c>
      <c r="T442" s="547">
        <v>0</v>
      </c>
      <c r="U442" s="989">
        <f t="shared" si="25"/>
        <v>0</v>
      </c>
      <c r="V442" s="547">
        <v>0</v>
      </c>
      <c r="W442" s="566"/>
      <c r="X442" s="567"/>
      <c r="Y442" s="989">
        <f t="shared" si="26"/>
        <v>0</v>
      </c>
      <c r="Z442" s="812">
        <f t="shared" si="27"/>
        <v>0</v>
      </c>
    </row>
    <row r="443" spans="1:26" ht="27" hidden="1" customHeight="1">
      <c r="A443" s="531"/>
      <c r="B443" s="531">
        <v>406</v>
      </c>
      <c r="C443" s="529">
        <v>11</v>
      </c>
      <c r="D443" s="1027" t="s">
        <v>19</v>
      </c>
      <c r="E443" s="1028" t="s">
        <v>680</v>
      </c>
      <c r="F443" s="547"/>
      <c r="G443" s="547"/>
      <c r="H443" s="547"/>
      <c r="I443" s="547"/>
      <c r="J443" s="547"/>
      <c r="K443" s="547"/>
      <c r="L443" s="547"/>
      <c r="M443" s="547"/>
      <c r="N443" s="547"/>
      <c r="O443" s="547"/>
      <c r="P443" s="547"/>
      <c r="Q443" s="547"/>
      <c r="R443" s="547"/>
      <c r="S443" s="989">
        <f t="shared" si="24"/>
        <v>0</v>
      </c>
      <c r="T443" s="547">
        <v>0</v>
      </c>
      <c r="U443" s="989">
        <f t="shared" si="25"/>
        <v>0</v>
      </c>
      <c r="V443" s="547">
        <v>0</v>
      </c>
      <c r="W443" s="566"/>
      <c r="X443" s="567"/>
      <c r="Y443" s="989">
        <f t="shared" si="26"/>
        <v>0</v>
      </c>
      <c r="Z443" s="812">
        <f t="shared" si="27"/>
        <v>0</v>
      </c>
    </row>
    <row r="444" spans="1:26" ht="27" hidden="1" customHeight="1">
      <c r="A444" s="531"/>
      <c r="B444" s="531"/>
      <c r="C444" s="529">
        <v>6</v>
      </c>
      <c r="D444" s="1027" t="s">
        <v>896</v>
      </c>
      <c r="E444" s="1028" t="s">
        <v>778</v>
      </c>
      <c r="F444" s="547"/>
      <c r="G444" s="547"/>
      <c r="H444" s="547"/>
      <c r="I444" s="547"/>
      <c r="J444" s="547"/>
      <c r="K444" s="547"/>
      <c r="L444" s="547"/>
      <c r="M444" s="547"/>
      <c r="N444" s="547"/>
      <c r="O444" s="547"/>
      <c r="P444" s="547"/>
      <c r="Q444" s="547"/>
      <c r="R444" s="547"/>
      <c r="S444" s="989">
        <f t="shared" si="24"/>
        <v>0</v>
      </c>
      <c r="T444" s="547">
        <v>0</v>
      </c>
      <c r="U444" s="989">
        <f t="shared" si="25"/>
        <v>0</v>
      </c>
      <c r="V444" s="547">
        <v>0</v>
      </c>
      <c r="W444" s="566"/>
      <c r="X444" s="567"/>
      <c r="Y444" s="989">
        <f t="shared" si="26"/>
        <v>0</v>
      </c>
      <c r="Z444" s="812">
        <f t="shared" si="27"/>
        <v>0</v>
      </c>
    </row>
    <row r="445" spans="1:26" ht="27" hidden="1" customHeight="1">
      <c r="A445" s="531"/>
      <c r="B445" s="531">
        <v>1020</v>
      </c>
      <c r="C445" s="529">
        <v>17</v>
      </c>
      <c r="D445" s="1027" t="s">
        <v>1384</v>
      </c>
      <c r="E445" s="1028" t="s">
        <v>820</v>
      </c>
      <c r="F445" s="547">
        <v>-202633801330</v>
      </c>
      <c r="J445" s="547">
        <v>-29409755106</v>
      </c>
      <c r="K445" s="547"/>
      <c r="L445" s="547"/>
      <c r="M445" s="547"/>
      <c r="N445" s="547"/>
      <c r="O445" s="547"/>
      <c r="P445" s="547"/>
      <c r="Q445" s="547"/>
      <c r="R445" s="547"/>
      <c r="S445" s="989">
        <f t="shared" si="24"/>
        <v>-232043556436</v>
      </c>
      <c r="T445" s="547">
        <v>-202633801330</v>
      </c>
      <c r="U445" s="989">
        <f t="shared" si="25"/>
        <v>-232044</v>
      </c>
      <c r="V445" s="547">
        <v>-202634</v>
      </c>
      <c r="W445" s="566"/>
      <c r="X445" s="567"/>
      <c r="Y445" s="989">
        <f t="shared" si="26"/>
        <v>-232043556436</v>
      </c>
      <c r="Z445" s="812">
        <f t="shared" si="27"/>
        <v>-232044</v>
      </c>
    </row>
    <row r="446" spans="1:26" ht="27" hidden="1" customHeight="1">
      <c r="A446" s="531"/>
      <c r="B446" s="531">
        <v>1004</v>
      </c>
      <c r="C446" s="529">
        <v>17</v>
      </c>
      <c r="D446" s="1027" t="s">
        <v>1411</v>
      </c>
      <c r="E446" s="1028" t="s">
        <v>821</v>
      </c>
      <c r="F446" s="547">
        <f>-1282165426906+202633801330</f>
        <v>-1079531625576</v>
      </c>
      <c r="G446" s="547">
        <f>120221110073-80000000000</f>
        <v>40221110073</v>
      </c>
      <c r="H446" s="547"/>
      <c r="I446" s="547"/>
      <c r="J446" s="547">
        <v>173894800821</v>
      </c>
      <c r="K446" s="547"/>
      <c r="L446" s="547"/>
      <c r="M446" s="547"/>
      <c r="N446" s="547"/>
      <c r="O446" s="547"/>
      <c r="P446" s="547"/>
      <c r="Q446" s="547"/>
      <c r="R446" s="547"/>
      <c r="S446" s="989">
        <f>SUM(F446:R446)</f>
        <v>-865415714682</v>
      </c>
      <c r="T446" s="547">
        <v>-807290712450</v>
      </c>
      <c r="U446" s="989">
        <f t="shared" si="25"/>
        <v>-865416</v>
      </c>
      <c r="V446" s="547">
        <v>-807291</v>
      </c>
      <c r="W446" s="566"/>
      <c r="X446" s="567"/>
      <c r="Y446" s="989">
        <f t="shared" si="26"/>
        <v>-865415714682</v>
      </c>
      <c r="Z446" s="812">
        <f t="shared" si="27"/>
        <v>-865416</v>
      </c>
    </row>
    <row r="447" spans="1:26" ht="27" hidden="1" customHeight="1">
      <c r="A447" s="531"/>
      <c r="B447" s="531">
        <v>1018</v>
      </c>
      <c r="C447" s="529">
        <v>17</v>
      </c>
      <c r="D447" s="1027" t="s">
        <v>763</v>
      </c>
      <c r="E447" s="1028" t="s">
        <v>823</v>
      </c>
      <c r="F447" s="547"/>
      <c r="G447" s="547"/>
      <c r="H447" s="547"/>
      <c r="I447" s="547"/>
      <c r="J447" s="547"/>
      <c r="K447" s="547"/>
      <c r="L447" s="547"/>
      <c r="M447" s="547"/>
      <c r="N447" s="547"/>
      <c r="O447" s="547"/>
      <c r="P447" s="547"/>
      <c r="Q447" s="547"/>
      <c r="R447" s="547"/>
      <c r="S447" s="989">
        <f t="shared" si="24"/>
        <v>0</v>
      </c>
      <c r="T447" s="547">
        <v>0</v>
      </c>
      <c r="U447" s="989">
        <f t="shared" si="25"/>
        <v>0</v>
      </c>
      <c r="V447" s="547">
        <v>0</v>
      </c>
      <c r="W447" s="566"/>
      <c r="X447" s="567"/>
      <c r="Y447" s="989">
        <f t="shared" si="26"/>
        <v>0</v>
      </c>
      <c r="Z447" s="812">
        <f t="shared" si="27"/>
        <v>0</v>
      </c>
    </row>
    <row r="448" spans="1:26" ht="27" hidden="1" customHeight="1">
      <c r="A448" s="531"/>
      <c r="B448" s="531">
        <v>10040</v>
      </c>
      <c r="C448" s="529">
        <v>11</v>
      </c>
      <c r="D448" s="1027" t="s">
        <v>763</v>
      </c>
      <c r="E448" s="1028" t="s">
        <v>822</v>
      </c>
      <c r="F448" s="547"/>
      <c r="G448" s="547"/>
      <c r="H448" s="547"/>
      <c r="I448" s="547"/>
      <c r="J448" s="547"/>
      <c r="K448" s="547"/>
      <c r="L448" s="547"/>
      <c r="M448" s="547"/>
      <c r="N448" s="547"/>
      <c r="O448" s="547"/>
      <c r="P448" s="547"/>
      <c r="Q448" s="547"/>
      <c r="R448" s="547"/>
      <c r="S448" s="989">
        <f t="shared" si="24"/>
        <v>0</v>
      </c>
      <c r="T448" s="547">
        <v>0</v>
      </c>
      <c r="U448" s="989">
        <f t="shared" si="25"/>
        <v>0</v>
      </c>
      <c r="V448" s="547">
        <v>0</v>
      </c>
      <c r="W448" s="566"/>
      <c r="X448" s="567"/>
      <c r="Y448" s="989">
        <f t="shared" si="26"/>
        <v>0</v>
      </c>
      <c r="Z448" s="812">
        <f t="shared" si="27"/>
        <v>0</v>
      </c>
    </row>
    <row r="449" spans="1:26" ht="27" hidden="1" customHeight="1">
      <c r="A449" s="531"/>
      <c r="B449" s="531">
        <v>1002</v>
      </c>
      <c r="C449" s="529">
        <v>17</v>
      </c>
      <c r="D449" s="1027" t="s">
        <v>21</v>
      </c>
      <c r="E449" s="1028" t="s">
        <v>22</v>
      </c>
      <c r="F449" s="547">
        <v>-550702754394</v>
      </c>
      <c r="G449" s="547">
        <f>552771377817-162528797756</f>
        <v>390242580061</v>
      </c>
      <c r="H449" s="547">
        <f>36532898200-608139621</f>
        <v>35924758579</v>
      </c>
      <c r="I449" s="547">
        <v>-3730316474</v>
      </c>
      <c r="J449" s="547">
        <v>-7300000000</v>
      </c>
      <c r="K449" s="547"/>
      <c r="L449" s="547"/>
      <c r="M449" s="547"/>
      <c r="N449" s="547"/>
      <c r="O449" s="547"/>
      <c r="P449" s="547">
        <v>2164449084</v>
      </c>
      <c r="Q449" s="547"/>
      <c r="R449" s="547"/>
      <c r="S449" s="989">
        <f t="shared" si="24"/>
        <v>-133401283144</v>
      </c>
      <c r="T449" s="547">
        <v>-241362172519</v>
      </c>
      <c r="U449" s="989">
        <f t="shared" si="25"/>
        <v>-133401</v>
      </c>
      <c r="V449" s="547">
        <v>-241362</v>
      </c>
      <c r="W449" s="566"/>
      <c r="X449" s="567"/>
      <c r="Y449" s="989">
        <f t="shared" si="26"/>
        <v>-133401283144</v>
      </c>
      <c r="Z449" s="812">
        <f t="shared" si="27"/>
        <v>-133401</v>
      </c>
    </row>
    <row r="450" spans="1:26" ht="27" hidden="1" customHeight="1">
      <c r="A450" s="531"/>
      <c r="B450" s="531">
        <v>1013</v>
      </c>
      <c r="C450" s="529">
        <v>11</v>
      </c>
      <c r="D450" s="1027" t="s">
        <v>681</v>
      </c>
      <c r="E450" s="1028" t="s">
        <v>682</v>
      </c>
      <c r="F450" s="547">
        <v>854129474341</v>
      </c>
      <c r="G450" s="547">
        <f>15286149746-3888662</f>
        <v>15282261084</v>
      </c>
      <c r="H450" s="547">
        <f>5665565351-290760036</f>
        <v>5374805315</v>
      </c>
      <c r="I450" s="547">
        <v>446277007</v>
      </c>
      <c r="J450" s="547">
        <v>2956088964</v>
      </c>
      <c r="K450" s="547">
        <v>614173212</v>
      </c>
      <c r="L450" s="547">
        <v>27401977</v>
      </c>
      <c r="M450" s="547"/>
      <c r="N450" s="547">
        <f>2259685409-30193588</f>
        <v>2229491821</v>
      </c>
      <c r="O450" s="547"/>
      <c r="P450" s="547"/>
      <c r="Q450" s="547"/>
      <c r="R450" s="547"/>
      <c r="S450" s="989">
        <f t="shared" si="24"/>
        <v>881059973721</v>
      </c>
      <c r="T450" s="547">
        <v>540842351004</v>
      </c>
      <c r="U450" s="989">
        <f t="shared" si="25"/>
        <v>881060</v>
      </c>
      <c r="V450" s="547">
        <v>540842</v>
      </c>
      <c r="W450" s="566"/>
      <c r="X450" s="567"/>
      <c r="Y450" s="989">
        <f t="shared" si="26"/>
        <v>881059973721</v>
      </c>
      <c r="Z450" s="812">
        <f t="shared" si="27"/>
        <v>881060</v>
      </c>
    </row>
    <row r="451" spans="1:26" ht="27" hidden="1" customHeight="1">
      <c r="A451" s="531"/>
      <c r="B451" s="531">
        <v>1013</v>
      </c>
      <c r="C451" s="529">
        <v>11</v>
      </c>
      <c r="D451" s="1027" t="s">
        <v>683</v>
      </c>
      <c r="E451" s="1028" t="s">
        <v>684</v>
      </c>
      <c r="F451" s="547">
        <v>427083482130</v>
      </c>
      <c r="G451" s="547">
        <f>7649285008-1940908</f>
        <v>7647344100</v>
      </c>
      <c r="H451" s="547">
        <f>2822367952-145380020</f>
        <v>2676987932</v>
      </c>
      <c r="I451" s="547">
        <v>223139003</v>
      </c>
      <c r="J451" s="547">
        <v>1478043483</v>
      </c>
      <c r="K451" s="547">
        <v>307086607</v>
      </c>
      <c r="L451" s="547">
        <v>13700990</v>
      </c>
      <c r="M451" s="547"/>
      <c r="N451" s="547">
        <f>1131513395-15096794</f>
        <v>1116416601</v>
      </c>
      <c r="O451" s="547"/>
      <c r="P451" s="547"/>
      <c r="Q451" s="547"/>
      <c r="R451" s="547"/>
      <c r="S451" s="989">
        <f t="shared" si="24"/>
        <v>440546200846</v>
      </c>
      <c r="T451" s="547">
        <v>270392968479</v>
      </c>
      <c r="U451" s="989">
        <f t="shared" si="25"/>
        <v>440546</v>
      </c>
      <c r="V451" s="547">
        <v>270393</v>
      </c>
      <c r="W451" s="566"/>
      <c r="X451" s="567"/>
      <c r="Y451" s="989">
        <f t="shared" si="26"/>
        <v>440546200846</v>
      </c>
      <c r="Z451" s="812">
        <f t="shared" si="27"/>
        <v>440546</v>
      </c>
    </row>
    <row r="452" spans="1:26" ht="27" hidden="1" customHeight="1">
      <c r="A452" s="531"/>
      <c r="B452" s="531">
        <v>1013</v>
      </c>
      <c r="C452" s="529">
        <v>11</v>
      </c>
      <c r="D452" s="1027" t="s">
        <v>685</v>
      </c>
      <c r="E452" s="1028" t="s">
        <v>688</v>
      </c>
      <c r="F452" s="547">
        <v>-94619845408</v>
      </c>
      <c r="G452" s="547">
        <v>-1397863465</v>
      </c>
      <c r="H452" s="547">
        <f>5233884273-4115724268</f>
        <v>1118160005</v>
      </c>
      <c r="I452" s="547"/>
      <c r="J452" s="547">
        <f>70444111-18403319</f>
        <v>52040792</v>
      </c>
      <c r="K452" s="547"/>
      <c r="L452" s="547">
        <v>-12817980</v>
      </c>
      <c r="M452" s="547"/>
      <c r="N452" s="547"/>
      <c r="O452" s="547">
        <f>-12350993-14346397</f>
        <v>-26697390</v>
      </c>
      <c r="P452" s="547"/>
      <c r="Q452" s="547"/>
      <c r="R452" s="547"/>
      <c r="S452" s="989">
        <f t="shared" si="24"/>
        <v>-94887023446</v>
      </c>
      <c r="T452" s="547">
        <v>-67836234913</v>
      </c>
      <c r="U452" s="989">
        <f t="shared" si="25"/>
        <v>-94887</v>
      </c>
      <c r="V452" s="547">
        <v>-67836</v>
      </c>
      <c r="W452" s="566"/>
      <c r="X452" s="567"/>
      <c r="Y452" s="989">
        <f t="shared" si="26"/>
        <v>-94887023446</v>
      </c>
      <c r="Z452" s="812">
        <f t="shared" si="27"/>
        <v>-94887</v>
      </c>
    </row>
    <row r="453" spans="1:26" ht="27" hidden="1" customHeight="1">
      <c r="A453" s="531"/>
      <c r="B453" s="531">
        <v>1013</v>
      </c>
      <c r="C453" s="529">
        <v>11</v>
      </c>
      <c r="D453" s="1027" t="s">
        <v>686</v>
      </c>
      <c r="E453" s="1028" t="s">
        <v>689</v>
      </c>
      <c r="F453" s="547">
        <v>-47342277019</v>
      </c>
      <c r="G453" s="547">
        <v>-698931234</v>
      </c>
      <c r="H453" s="547">
        <f>2616942136-2057862084</f>
        <v>559080052</v>
      </c>
      <c r="I453" s="547"/>
      <c r="J453" s="547">
        <f>35222055-9201659</f>
        <v>26020396</v>
      </c>
      <c r="K453" s="547"/>
      <c r="L453" s="547">
        <v>-6408990</v>
      </c>
      <c r="M453" s="547"/>
      <c r="N453" s="547"/>
      <c r="O453" s="547">
        <f>-6175497-7173198</f>
        <v>-13348695</v>
      </c>
      <c r="P453" s="547"/>
      <c r="Q453" s="547"/>
      <c r="R453" s="547"/>
      <c r="S453" s="989">
        <f t="shared" ref="S453:S516" si="28">SUM(F453:R453)</f>
        <v>-47475865490</v>
      </c>
      <c r="T453" s="547">
        <v>-33950022593</v>
      </c>
      <c r="U453" s="989">
        <f t="shared" ref="U453:U516" si="29">ROUND((S453/1000000),0)</f>
        <v>-47476</v>
      </c>
      <c r="V453" s="547">
        <v>-33950</v>
      </c>
      <c r="W453" s="566"/>
      <c r="X453" s="567"/>
      <c r="Y453" s="989">
        <f t="shared" si="26"/>
        <v>-47475865490</v>
      </c>
      <c r="Z453" s="812">
        <f t="shared" si="27"/>
        <v>-47476</v>
      </c>
    </row>
    <row r="454" spans="1:26" ht="27" hidden="1" customHeight="1">
      <c r="A454" s="531"/>
      <c r="B454" s="531">
        <v>1013</v>
      </c>
      <c r="C454" s="529">
        <v>11</v>
      </c>
      <c r="D454" s="1027" t="s">
        <v>687</v>
      </c>
      <c r="E454" s="1028" t="s">
        <v>691</v>
      </c>
      <c r="F454" s="547">
        <v>312277619820</v>
      </c>
      <c r="G454" s="547">
        <v>8673451051</v>
      </c>
      <c r="H454" s="547">
        <v>27240000</v>
      </c>
      <c r="I454" s="547">
        <v>8296479</v>
      </c>
      <c r="J454" s="547"/>
      <c r="K454" s="547"/>
      <c r="L454" s="547"/>
      <c r="M454" s="547"/>
      <c r="N454" s="547"/>
      <c r="O454" s="547"/>
      <c r="P454" s="547"/>
      <c r="Q454" s="547"/>
      <c r="R454" s="547"/>
      <c r="S454" s="989">
        <f t="shared" si="28"/>
        <v>320986607350</v>
      </c>
      <c r="T454" s="547">
        <v>300931517796</v>
      </c>
      <c r="U454" s="989">
        <f t="shared" si="29"/>
        <v>320987</v>
      </c>
      <c r="V454" s="547">
        <v>300932</v>
      </c>
      <c r="W454" s="566"/>
      <c r="X454" s="567"/>
      <c r="Y454" s="989">
        <f t="shared" si="26"/>
        <v>320986607350</v>
      </c>
      <c r="Z454" s="812">
        <f t="shared" si="27"/>
        <v>320987</v>
      </c>
    </row>
    <row r="455" spans="1:26" ht="27" hidden="1" customHeight="1">
      <c r="A455" s="531"/>
      <c r="B455" s="531">
        <v>1013</v>
      </c>
      <c r="C455" s="529">
        <v>11</v>
      </c>
      <c r="D455" s="1027" t="s">
        <v>690</v>
      </c>
      <c r="E455" s="1028" t="s">
        <v>692</v>
      </c>
      <c r="F455" s="547">
        <v>165762092178</v>
      </c>
      <c r="G455" s="547">
        <v>4336725526</v>
      </c>
      <c r="H455" s="547">
        <v>13620000</v>
      </c>
      <c r="I455" s="547">
        <v>4148239</v>
      </c>
      <c r="J455" s="547"/>
      <c r="K455" s="547"/>
      <c r="L455" s="547"/>
      <c r="M455" s="547"/>
      <c r="N455" s="547"/>
      <c r="O455" s="547"/>
      <c r="P455" s="547"/>
      <c r="Q455" s="547"/>
      <c r="R455" s="547"/>
      <c r="S455" s="989">
        <f t="shared" si="28"/>
        <v>170116585943</v>
      </c>
      <c r="T455" s="547">
        <v>159535404288</v>
      </c>
      <c r="U455" s="989">
        <f t="shared" si="29"/>
        <v>170117</v>
      </c>
      <c r="V455" s="547">
        <v>159535</v>
      </c>
      <c r="W455" s="566"/>
      <c r="X455" s="567"/>
      <c r="Y455" s="989">
        <f t="shared" si="26"/>
        <v>170116585943</v>
      </c>
      <c r="Z455" s="812">
        <f t="shared" si="27"/>
        <v>170117</v>
      </c>
    </row>
    <row r="456" spans="1:26" ht="27" hidden="1" customHeight="1">
      <c r="A456" s="531"/>
      <c r="B456" s="531">
        <v>100201</v>
      </c>
      <c r="C456" s="529">
        <v>17</v>
      </c>
      <c r="D456" s="1027" t="s">
        <v>23</v>
      </c>
      <c r="E456" s="1028" t="s">
        <v>537</v>
      </c>
      <c r="F456" s="547"/>
      <c r="G456" s="547"/>
      <c r="H456" s="547"/>
      <c r="I456" s="547"/>
      <c r="J456" s="547"/>
      <c r="K456" s="547"/>
      <c r="L456" s="547"/>
      <c r="M456" s="547"/>
      <c r="N456" s="547"/>
      <c r="O456" s="547"/>
      <c r="P456" s="547"/>
      <c r="Q456" s="547"/>
      <c r="R456" s="547"/>
      <c r="S456" s="989">
        <f t="shared" si="28"/>
        <v>0</v>
      </c>
      <c r="T456" s="547">
        <v>0</v>
      </c>
      <c r="U456" s="989">
        <f t="shared" si="29"/>
        <v>0</v>
      </c>
      <c r="V456" s="547">
        <v>0</v>
      </c>
      <c r="W456" s="566"/>
      <c r="X456" s="567"/>
      <c r="Y456" s="989">
        <f t="shared" ref="Y456:Y519" si="30">S456+X456-W456</f>
        <v>0</v>
      </c>
      <c r="Z456" s="812">
        <f t="shared" ref="Z456:Z519" si="31">ROUND((Y456/1000000),0)</f>
        <v>0</v>
      </c>
    </row>
    <row r="457" spans="1:26" ht="27" customHeight="1">
      <c r="A457" s="531">
        <v>3214</v>
      </c>
      <c r="B457" s="531">
        <v>100201</v>
      </c>
      <c r="C457" s="529">
        <v>17</v>
      </c>
      <c r="D457" s="1027" t="s">
        <v>23</v>
      </c>
      <c r="E457" s="1028" t="s">
        <v>537</v>
      </c>
      <c r="F457" s="547"/>
      <c r="G457" s="547"/>
      <c r="H457" s="547"/>
      <c r="I457" s="547"/>
      <c r="J457" s="547"/>
      <c r="K457" s="547"/>
      <c r="L457" s="547"/>
      <c r="M457" s="547"/>
      <c r="N457" s="547"/>
      <c r="O457" s="547"/>
      <c r="P457" s="547"/>
      <c r="Q457" s="547"/>
      <c r="R457" s="547"/>
      <c r="S457" s="989">
        <f t="shared" si="28"/>
        <v>0</v>
      </c>
      <c r="T457" s="547">
        <v>0</v>
      </c>
      <c r="U457" s="989">
        <f t="shared" si="29"/>
        <v>0</v>
      </c>
      <c r="V457" s="547">
        <v>0</v>
      </c>
      <c r="W457" s="566"/>
      <c r="X457" s="567"/>
      <c r="Y457" s="989">
        <f t="shared" si="30"/>
        <v>0</v>
      </c>
      <c r="Z457" s="812">
        <f t="shared" si="31"/>
        <v>0</v>
      </c>
    </row>
    <row r="458" spans="1:26" ht="27" hidden="1" customHeight="1">
      <c r="A458" s="531"/>
      <c r="B458" s="531">
        <v>100201</v>
      </c>
      <c r="C458" s="529">
        <v>17</v>
      </c>
      <c r="D458" s="1027" t="s">
        <v>1159</v>
      </c>
      <c r="E458" s="1028" t="s">
        <v>1160</v>
      </c>
      <c r="F458" s="547"/>
      <c r="G458" s="547"/>
      <c r="H458" s="547"/>
      <c r="I458" s="547"/>
      <c r="J458" s="547"/>
      <c r="K458" s="547"/>
      <c r="L458" s="547"/>
      <c r="M458" s="547"/>
      <c r="N458" s="547"/>
      <c r="O458" s="547"/>
      <c r="P458" s="547"/>
      <c r="Q458" s="547"/>
      <c r="R458" s="547"/>
      <c r="S458" s="989">
        <f t="shared" si="28"/>
        <v>0</v>
      </c>
      <c r="T458" s="547">
        <v>-387173856481</v>
      </c>
      <c r="U458" s="989">
        <f t="shared" si="29"/>
        <v>0</v>
      </c>
      <c r="V458" s="547">
        <v>-387174</v>
      </c>
      <c r="W458" s="566"/>
      <c r="X458" s="567"/>
      <c r="Y458" s="989">
        <f t="shared" si="30"/>
        <v>0</v>
      </c>
      <c r="Z458" s="812">
        <f t="shared" si="31"/>
        <v>0</v>
      </c>
    </row>
    <row r="459" spans="1:26" ht="27" hidden="1" customHeight="1">
      <c r="A459" s="531"/>
      <c r="B459" s="531">
        <v>10040</v>
      </c>
      <c r="C459" s="529">
        <v>11</v>
      </c>
      <c r="D459" s="1027" t="s">
        <v>1195</v>
      </c>
      <c r="E459" s="1028" t="s">
        <v>1196</v>
      </c>
      <c r="F459" s="547"/>
      <c r="G459" s="547"/>
      <c r="H459" s="547"/>
      <c r="I459" s="547"/>
      <c r="J459" s="547"/>
      <c r="K459" s="547"/>
      <c r="L459" s="547"/>
      <c r="M459" s="547"/>
      <c r="N459" s="547"/>
      <c r="O459" s="547"/>
      <c r="P459" s="547"/>
      <c r="Q459" s="547"/>
      <c r="R459" s="547"/>
      <c r="S459" s="989">
        <f t="shared" si="28"/>
        <v>0</v>
      </c>
      <c r="T459" s="547">
        <v>0</v>
      </c>
      <c r="U459" s="989">
        <f t="shared" si="29"/>
        <v>0</v>
      </c>
      <c r="V459" s="547">
        <v>0</v>
      </c>
      <c r="W459" s="566"/>
      <c r="X459" s="567"/>
      <c r="Y459" s="989">
        <f t="shared" si="30"/>
        <v>0</v>
      </c>
      <c r="Z459" s="812">
        <f t="shared" si="31"/>
        <v>0</v>
      </c>
    </row>
    <row r="460" spans="1:26" ht="27" hidden="1" customHeight="1">
      <c r="A460" s="531"/>
      <c r="B460" s="531">
        <v>100201</v>
      </c>
      <c r="C460" s="529">
        <v>17</v>
      </c>
      <c r="D460" s="1027" t="s">
        <v>1473</v>
      </c>
      <c r="E460" s="1028" t="s">
        <v>1496</v>
      </c>
      <c r="F460" s="547">
        <v>-6938424062660</v>
      </c>
      <c r="G460" s="547">
        <v>168357135226</v>
      </c>
      <c r="H460" s="547"/>
      <c r="I460" s="547">
        <v>5221368831788</v>
      </c>
      <c r="J460" s="547">
        <f>1550623628551-1925532905</f>
        <v>1548698095646</v>
      </c>
      <c r="K460" s="547"/>
      <c r="L460" s="547"/>
      <c r="M460" s="547"/>
      <c r="N460" s="547"/>
      <c r="O460" s="547"/>
      <c r="P460" s="547"/>
      <c r="Q460" s="1514">
        <f>-37941942619-1540627974428+1826155000000-247585082953</f>
        <v>0</v>
      </c>
      <c r="R460" s="547"/>
      <c r="S460" s="989">
        <f t="shared" si="28"/>
        <v>0</v>
      </c>
      <c r="T460" s="547">
        <v>-137115002822</v>
      </c>
      <c r="U460" s="989">
        <f t="shared" si="29"/>
        <v>0</v>
      </c>
      <c r="V460" s="547">
        <v>-137115</v>
      </c>
      <c r="W460" s="566"/>
      <c r="X460" s="567"/>
      <c r="Y460" s="989">
        <f t="shared" si="30"/>
        <v>0</v>
      </c>
      <c r="Z460" s="812">
        <f t="shared" si="31"/>
        <v>0</v>
      </c>
    </row>
    <row r="461" spans="1:26" ht="27" customHeight="1">
      <c r="A461" s="531">
        <v>3214</v>
      </c>
      <c r="B461" s="531">
        <v>100201</v>
      </c>
      <c r="C461" s="529">
        <v>17</v>
      </c>
      <c r="D461" s="1027" t="s">
        <v>1473</v>
      </c>
      <c r="E461" s="1028" t="s">
        <v>1496</v>
      </c>
      <c r="F461" s="547"/>
      <c r="G461" s="547"/>
      <c r="H461" s="547"/>
      <c r="I461" s="547"/>
      <c r="J461" s="547"/>
      <c r="K461" s="547"/>
      <c r="L461" s="547"/>
      <c r="M461" s="547"/>
      <c r="N461" s="547"/>
      <c r="O461" s="547"/>
      <c r="P461" s="547"/>
      <c r="Q461" s="1514"/>
      <c r="R461" s="547"/>
      <c r="S461" s="989">
        <f t="shared" si="28"/>
        <v>0</v>
      </c>
      <c r="T461" s="547">
        <v>0</v>
      </c>
      <c r="U461" s="989">
        <f t="shared" si="29"/>
        <v>0</v>
      </c>
      <c r="V461" s="547">
        <v>0</v>
      </c>
      <c r="W461" s="566"/>
      <c r="X461" s="567"/>
      <c r="Y461" s="989">
        <f t="shared" si="30"/>
        <v>0</v>
      </c>
      <c r="Z461" s="812">
        <f t="shared" si="31"/>
        <v>0</v>
      </c>
    </row>
    <row r="462" spans="1:26" ht="27" customHeight="1">
      <c r="A462" s="531">
        <v>3214</v>
      </c>
      <c r="B462" s="531">
        <v>100201</v>
      </c>
      <c r="C462" s="529">
        <v>17</v>
      </c>
      <c r="D462" s="1027" t="s">
        <v>538</v>
      </c>
      <c r="E462" s="1028" t="s">
        <v>1441</v>
      </c>
      <c r="F462" s="547"/>
      <c r="G462" s="547"/>
      <c r="H462" s="547"/>
      <c r="I462" s="547"/>
      <c r="J462" s="547"/>
      <c r="K462" s="547"/>
      <c r="L462" s="547"/>
      <c r="M462" s="547"/>
      <c r="N462" s="547"/>
      <c r="O462" s="547"/>
      <c r="P462" s="547"/>
      <c r="Q462" s="547"/>
      <c r="R462" s="547"/>
      <c r="S462" s="989">
        <f t="shared" si="28"/>
        <v>0</v>
      </c>
      <c r="T462" s="547">
        <v>0</v>
      </c>
      <c r="U462" s="989">
        <f t="shared" si="29"/>
        <v>0</v>
      </c>
      <c r="V462" s="547">
        <v>0</v>
      </c>
      <c r="W462" s="566"/>
      <c r="X462" s="567"/>
      <c r="Y462" s="989">
        <f t="shared" si="30"/>
        <v>0</v>
      </c>
      <c r="Z462" s="812">
        <f t="shared" si="31"/>
        <v>0</v>
      </c>
    </row>
    <row r="463" spans="1:26" ht="27" hidden="1" customHeight="1">
      <c r="A463" s="531"/>
      <c r="B463" s="531">
        <v>1011</v>
      </c>
      <c r="C463" s="529">
        <v>17</v>
      </c>
      <c r="D463" s="1027" t="s">
        <v>540</v>
      </c>
      <c r="E463" s="1028" t="s">
        <v>229</v>
      </c>
      <c r="F463" s="547">
        <v>-605424978</v>
      </c>
      <c r="G463" s="547"/>
      <c r="H463" s="547"/>
      <c r="I463" s="547"/>
      <c r="J463" s="547">
        <v>169852200</v>
      </c>
      <c r="K463" s="547"/>
      <c r="L463" s="547"/>
      <c r="M463" s="547"/>
      <c r="N463" s="547"/>
      <c r="O463" s="547"/>
      <c r="P463" s="547"/>
      <c r="Q463" s="547"/>
      <c r="R463" s="547"/>
      <c r="S463" s="989">
        <f t="shared" si="28"/>
        <v>-435572778</v>
      </c>
      <c r="T463" s="547">
        <v>-812565195</v>
      </c>
      <c r="U463" s="989">
        <f t="shared" si="29"/>
        <v>-436</v>
      </c>
      <c r="V463" s="547">
        <v>-813</v>
      </c>
      <c r="W463" s="566"/>
      <c r="X463" s="567"/>
      <c r="Y463" s="989">
        <f t="shared" si="30"/>
        <v>-435572778</v>
      </c>
      <c r="Z463" s="812">
        <f t="shared" si="31"/>
        <v>-436</v>
      </c>
    </row>
    <row r="464" spans="1:26" ht="27" hidden="1" customHeight="1">
      <c r="A464" s="531"/>
      <c r="B464" s="531">
        <v>1011</v>
      </c>
      <c r="C464" s="529">
        <v>17</v>
      </c>
      <c r="D464" s="1027" t="s">
        <v>1689</v>
      </c>
      <c r="E464" s="1028" t="s">
        <v>1690</v>
      </c>
      <c r="F464" s="547">
        <v>-5363</v>
      </c>
      <c r="G464" s="547"/>
      <c r="H464" s="547"/>
      <c r="I464" s="547"/>
      <c r="J464" s="547"/>
      <c r="K464" s="547"/>
      <c r="L464" s="547"/>
      <c r="M464" s="547"/>
      <c r="N464" s="547"/>
      <c r="O464" s="547"/>
      <c r="P464" s="547"/>
      <c r="Q464" s="547"/>
      <c r="R464" s="547"/>
      <c r="S464" s="989">
        <f t="shared" si="28"/>
        <v>-5363</v>
      </c>
      <c r="T464" s="547">
        <v>-5362</v>
      </c>
      <c r="U464" s="989">
        <f t="shared" si="29"/>
        <v>0</v>
      </c>
      <c r="V464" s="547">
        <v>0</v>
      </c>
      <c r="W464" s="566"/>
      <c r="X464" s="567"/>
      <c r="Y464" s="989">
        <f t="shared" si="30"/>
        <v>-5363</v>
      </c>
      <c r="Z464" s="812">
        <f t="shared" si="31"/>
        <v>0</v>
      </c>
    </row>
    <row r="465" spans="1:26" ht="27" hidden="1" customHeight="1">
      <c r="A465" s="531"/>
      <c r="B465" s="531">
        <v>1014</v>
      </c>
      <c r="C465" s="529">
        <v>17</v>
      </c>
      <c r="D465" s="1027" t="s">
        <v>541</v>
      </c>
      <c r="E465" s="1028" t="s">
        <v>693</v>
      </c>
      <c r="F465" s="547">
        <v>-34859835525</v>
      </c>
      <c r="G465" s="547">
        <f>332522527-3449255327</f>
        <v>-3116732800</v>
      </c>
      <c r="H465" s="547">
        <v>-350435000</v>
      </c>
      <c r="I465" s="547"/>
      <c r="J465" s="547"/>
      <c r="K465" s="547"/>
      <c r="L465" s="547"/>
      <c r="M465" s="547"/>
      <c r="N465" s="547"/>
      <c r="O465" s="547"/>
      <c r="P465" s="547"/>
      <c r="Q465" s="547"/>
      <c r="R465" s="547"/>
      <c r="S465" s="989">
        <f t="shared" si="28"/>
        <v>-38327003325</v>
      </c>
      <c r="T465" s="547">
        <v>-31436929542</v>
      </c>
      <c r="U465" s="989">
        <f t="shared" si="29"/>
        <v>-38327</v>
      </c>
      <c r="V465" s="547">
        <v>-31437</v>
      </c>
      <c r="W465" s="566"/>
      <c r="X465" s="567"/>
      <c r="Y465" s="989">
        <f t="shared" si="30"/>
        <v>-38327003325</v>
      </c>
      <c r="Z465" s="812">
        <f t="shared" si="31"/>
        <v>-38327</v>
      </c>
    </row>
    <row r="466" spans="1:26" ht="27" customHeight="1">
      <c r="A466" s="531">
        <v>3214</v>
      </c>
      <c r="B466" s="531">
        <v>408</v>
      </c>
      <c r="C466" s="529">
        <v>11</v>
      </c>
      <c r="D466" s="1027" t="s">
        <v>541</v>
      </c>
      <c r="E466" s="1028" t="s">
        <v>1626</v>
      </c>
      <c r="F466" s="547"/>
      <c r="G466" s="547"/>
      <c r="H466" s="547"/>
      <c r="I466" s="547"/>
      <c r="J466" s="547"/>
      <c r="K466" s="547"/>
      <c r="L466" s="547"/>
      <c r="M466" s="547"/>
      <c r="N466" s="547"/>
      <c r="O466" s="547">
        <f>16601945267-13587702145</f>
        <v>3014243122</v>
      </c>
      <c r="P466" s="547"/>
      <c r="Q466" s="547"/>
      <c r="R466" s="547"/>
      <c r="S466" s="989">
        <f t="shared" si="28"/>
        <v>3014243122</v>
      </c>
      <c r="T466" s="547">
        <v>104486389255</v>
      </c>
      <c r="U466" s="989">
        <f t="shared" si="29"/>
        <v>3014</v>
      </c>
      <c r="V466" s="549">
        <v>104486</v>
      </c>
      <c r="W466" s="566"/>
      <c r="X466" s="567"/>
      <c r="Y466" s="989">
        <f t="shared" si="30"/>
        <v>3014243122</v>
      </c>
      <c r="Z466" s="812">
        <f t="shared" si="31"/>
        <v>3014</v>
      </c>
    </row>
    <row r="467" spans="1:26" ht="27" hidden="1" customHeight="1">
      <c r="A467" s="531"/>
      <c r="B467" s="531">
        <v>1007</v>
      </c>
      <c r="C467" s="529">
        <v>17</v>
      </c>
      <c r="D467" s="1027" t="s">
        <v>543</v>
      </c>
      <c r="E467" s="1028" t="s">
        <v>544</v>
      </c>
      <c r="F467" s="547">
        <v>-226123625271</v>
      </c>
      <c r="G467" s="547">
        <f>72411841-405047016</f>
        <v>-332635175</v>
      </c>
      <c r="H467" s="547"/>
      <c r="I467" s="547"/>
      <c r="J467" s="547"/>
      <c r="L467" s="547"/>
      <c r="M467" s="547"/>
      <c r="N467" s="547"/>
      <c r="O467" s="547"/>
      <c r="P467" s="547"/>
      <c r="Q467" s="547"/>
      <c r="R467" s="547"/>
      <c r="S467" s="989">
        <f t="shared" si="28"/>
        <v>-226456260446</v>
      </c>
      <c r="T467" s="547">
        <v>-159846098449</v>
      </c>
      <c r="U467" s="989">
        <f t="shared" si="29"/>
        <v>-226456</v>
      </c>
      <c r="V467" s="547">
        <v>-159846</v>
      </c>
      <c r="W467" s="566"/>
      <c r="X467" s="567"/>
      <c r="Y467" s="989">
        <f t="shared" si="30"/>
        <v>-226456260446</v>
      </c>
      <c r="Z467" s="812">
        <f t="shared" si="31"/>
        <v>-226456</v>
      </c>
    </row>
    <row r="468" spans="1:26" ht="27" customHeight="1">
      <c r="A468" s="531">
        <v>3214</v>
      </c>
      <c r="B468" s="531">
        <v>1007</v>
      </c>
      <c r="C468" s="529">
        <v>17</v>
      </c>
      <c r="D468" s="1027" t="s">
        <v>543</v>
      </c>
      <c r="E468" s="1028" t="s">
        <v>1442</v>
      </c>
      <c r="F468" s="547"/>
      <c r="G468" s="547"/>
      <c r="H468" s="547"/>
      <c r="I468" s="547"/>
      <c r="J468" s="547"/>
      <c r="K468" s="547"/>
      <c r="L468" s="547"/>
      <c r="M468" s="547"/>
      <c r="N468" s="547"/>
      <c r="O468" s="547">
        <v>-411768735439</v>
      </c>
      <c r="P468" s="547"/>
      <c r="Q468" s="547"/>
      <c r="R468" s="547"/>
      <c r="S468" s="989">
        <f t="shared" si="28"/>
        <v>-411768735439</v>
      </c>
      <c r="T468" s="547">
        <v>-681782501272</v>
      </c>
      <c r="U468" s="989">
        <f t="shared" si="29"/>
        <v>-411769</v>
      </c>
      <c r="V468" s="549">
        <v>-681783</v>
      </c>
      <c r="W468" s="566"/>
      <c r="X468" s="567"/>
      <c r="Y468" s="989">
        <f t="shared" si="30"/>
        <v>-411768735439</v>
      </c>
      <c r="Z468" s="812">
        <f t="shared" si="31"/>
        <v>-411769</v>
      </c>
    </row>
    <row r="469" spans="1:26" ht="27" hidden="1" customHeight="1">
      <c r="A469" s="531"/>
      <c r="B469" s="531">
        <v>1007</v>
      </c>
      <c r="C469" s="529">
        <v>17</v>
      </c>
      <c r="D469" s="1027" t="s">
        <v>545</v>
      </c>
      <c r="E469" s="1028" t="s">
        <v>510</v>
      </c>
      <c r="F469" s="547"/>
      <c r="G469" s="547"/>
      <c r="H469" s="547"/>
      <c r="I469" s="547"/>
      <c r="J469" s="547"/>
      <c r="K469" s="547"/>
      <c r="L469" s="547"/>
      <c r="M469" s="547"/>
      <c r="N469" s="547"/>
      <c r="O469" s="547"/>
      <c r="P469" s="547"/>
      <c r="Q469" s="547"/>
      <c r="R469" s="547"/>
      <c r="S469" s="989">
        <f t="shared" si="28"/>
        <v>0</v>
      </c>
      <c r="T469" s="547">
        <v>0</v>
      </c>
      <c r="U469" s="989">
        <f t="shared" si="29"/>
        <v>0</v>
      </c>
      <c r="V469" s="547">
        <v>0</v>
      </c>
      <c r="W469" s="566"/>
      <c r="X469" s="567"/>
      <c r="Y469" s="989">
        <f t="shared" si="30"/>
        <v>0</v>
      </c>
      <c r="Z469" s="812">
        <f t="shared" si="31"/>
        <v>0</v>
      </c>
    </row>
    <row r="470" spans="1:26" ht="27" hidden="1" customHeight="1">
      <c r="A470" s="531"/>
      <c r="B470" s="531">
        <v>1008</v>
      </c>
      <c r="C470" s="529">
        <v>17</v>
      </c>
      <c r="D470" s="1027" t="s">
        <v>511</v>
      </c>
      <c r="E470" s="1028" t="s">
        <v>512</v>
      </c>
      <c r="F470" s="547"/>
      <c r="G470" s="547"/>
      <c r="H470" s="547"/>
      <c r="I470" s="547"/>
      <c r="J470" s="547"/>
      <c r="K470" s="547"/>
      <c r="L470" s="547"/>
      <c r="M470" s="547"/>
      <c r="N470" s="547"/>
      <c r="O470" s="547"/>
      <c r="P470" s="547"/>
      <c r="Q470" s="547"/>
      <c r="R470" s="547"/>
      <c r="S470" s="989">
        <f t="shared" si="28"/>
        <v>0</v>
      </c>
      <c r="T470" s="547">
        <v>0</v>
      </c>
      <c r="U470" s="989">
        <f t="shared" si="29"/>
        <v>0</v>
      </c>
      <c r="V470" s="547">
        <v>0</v>
      </c>
      <c r="W470" s="566"/>
      <c r="X470" s="567"/>
      <c r="Y470" s="989">
        <f t="shared" si="30"/>
        <v>0</v>
      </c>
      <c r="Z470" s="812">
        <f t="shared" si="31"/>
        <v>0</v>
      </c>
    </row>
    <row r="471" spans="1:26" ht="27" hidden="1" customHeight="1">
      <c r="A471" s="531"/>
      <c r="B471" s="531">
        <v>1008</v>
      </c>
      <c r="C471" s="529">
        <v>17</v>
      </c>
      <c r="D471" s="1027">
        <v>90006721</v>
      </c>
      <c r="E471" s="1028" t="s">
        <v>1763</v>
      </c>
      <c r="F471" s="547">
        <v>-75126800</v>
      </c>
      <c r="G471" s="547"/>
      <c r="H471" s="547"/>
      <c r="I471" s="547">
        <v>75126800</v>
      </c>
      <c r="J471" s="547"/>
      <c r="K471" s="547"/>
      <c r="L471" s="547"/>
      <c r="M471" s="547"/>
      <c r="N471" s="547"/>
      <c r="O471" s="547"/>
      <c r="P471" s="547"/>
      <c r="Q471" s="547"/>
      <c r="R471" s="547"/>
      <c r="S471" s="989">
        <f t="shared" si="28"/>
        <v>0</v>
      </c>
      <c r="T471" s="547">
        <v>-304417188</v>
      </c>
      <c r="U471" s="989">
        <f t="shared" si="29"/>
        <v>0</v>
      </c>
      <c r="V471" s="547">
        <v>-304</v>
      </c>
      <c r="W471" s="566"/>
      <c r="X471" s="567"/>
      <c r="Y471" s="989">
        <f t="shared" si="30"/>
        <v>0</v>
      </c>
      <c r="Z471" s="812">
        <f t="shared" si="31"/>
        <v>0</v>
      </c>
    </row>
    <row r="472" spans="1:26" ht="27" hidden="1" customHeight="1">
      <c r="A472" s="531"/>
      <c r="B472" s="531">
        <v>1008</v>
      </c>
      <c r="C472" s="529">
        <v>17</v>
      </c>
      <c r="D472" s="1027" t="s">
        <v>513</v>
      </c>
      <c r="E472" s="1028" t="s">
        <v>279</v>
      </c>
      <c r="F472" s="547">
        <v>-136740534599</v>
      </c>
      <c r="G472" s="547">
        <f>36205920-457115652</f>
        <v>-420909732</v>
      </c>
      <c r="H472" s="547"/>
      <c r="I472" s="547">
        <v>-75126800</v>
      </c>
      <c r="J472" s="547"/>
      <c r="K472" s="547"/>
      <c r="L472" s="547"/>
      <c r="M472" s="547"/>
      <c r="N472" s="547"/>
      <c r="O472" s="547"/>
      <c r="P472" s="547"/>
      <c r="Q472" s="547"/>
      <c r="R472" s="547"/>
      <c r="S472" s="989">
        <f t="shared" si="28"/>
        <v>-137236571131</v>
      </c>
      <c r="T472" s="547">
        <v>-97202866342</v>
      </c>
      <c r="U472" s="989">
        <f t="shared" si="29"/>
        <v>-137237</v>
      </c>
      <c r="V472" s="547">
        <v>-97203</v>
      </c>
      <c r="W472" s="566"/>
      <c r="X472" s="567"/>
      <c r="Y472" s="989">
        <f t="shared" si="30"/>
        <v>-137236571131</v>
      </c>
      <c r="Z472" s="812">
        <f t="shared" si="31"/>
        <v>-137237</v>
      </c>
    </row>
    <row r="473" spans="1:26" ht="27" customHeight="1">
      <c r="A473" s="531">
        <v>3214</v>
      </c>
      <c r="B473" s="531">
        <v>1008</v>
      </c>
      <c r="C473" s="529">
        <v>17</v>
      </c>
      <c r="D473" s="1027" t="s">
        <v>513</v>
      </c>
      <c r="E473" s="1028" t="s">
        <v>1443</v>
      </c>
      <c r="F473" s="547"/>
      <c r="G473" s="547"/>
      <c r="H473" s="547"/>
      <c r="I473" s="547"/>
      <c r="J473" s="547"/>
      <c r="K473" s="547"/>
      <c r="L473" s="547"/>
      <c r="M473" s="547"/>
      <c r="N473" s="547"/>
      <c r="O473" s="547"/>
      <c r="P473" s="547"/>
      <c r="Q473" s="547"/>
      <c r="R473" s="547"/>
      <c r="S473" s="989">
        <f t="shared" si="28"/>
        <v>0</v>
      </c>
      <c r="T473" s="547">
        <v>-260550667542</v>
      </c>
      <c r="U473" s="989">
        <f t="shared" si="29"/>
        <v>0</v>
      </c>
      <c r="V473" s="549">
        <v>-260551</v>
      </c>
      <c r="W473" s="566"/>
      <c r="X473" s="567"/>
      <c r="Y473" s="989">
        <f t="shared" si="30"/>
        <v>0</v>
      </c>
      <c r="Z473" s="812">
        <f t="shared" si="31"/>
        <v>0</v>
      </c>
    </row>
    <row r="474" spans="1:26" ht="27" customHeight="1">
      <c r="A474" s="531">
        <v>3214</v>
      </c>
      <c r="B474" s="531">
        <v>1007</v>
      </c>
      <c r="C474" s="529">
        <v>17</v>
      </c>
      <c r="D474" s="1027" t="s">
        <v>1706</v>
      </c>
      <c r="E474" s="1028" t="s">
        <v>1707</v>
      </c>
      <c r="F474" s="547"/>
      <c r="G474" s="547"/>
      <c r="H474" s="547"/>
      <c r="I474" s="547"/>
      <c r="J474" s="547"/>
      <c r="K474" s="547"/>
      <c r="L474" s="547"/>
      <c r="M474" s="547"/>
      <c r="N474" s="547"/>
      <c r="O474" s="547"/>
      <c r="P474" s="547"/>
      <c r="Q474" s="547"/>
      <c r="R474" s="547"/>
      <c r="S474" s="989">
        <f t="shared" si="28"/>
        <v>0</v>
      </c>
      <c r="T474" s="547">
        <v>-15612102288</v>
      </c>
      <c r="U474" s="989">
        <f t="shared" si="29"/>
        <v>0</v>
      </c>
      <c r="V474" s="549">
        <v>-15612</v>
      </c>
      <c r="W474" s="566"/>
      <c r="X474" s="567"/>
      <c r="Y474" s="989">
        <f t="shared" si="30"/>
        <v>0</v>
      </c>
      <c r="Z474" s="812">
        <f t="shared" si="31"/>
        <v>0</v>
      </c>
    </row>
    <row r="475" spans="1:26" ht="27" hidden="1" customHeight="1">
      <c r="A475" s="531"/>
      <c r="B475" s="531">
        <v>1007</v>
      </c>
      <c r="C475" s="529">
        <v>17</v>
      </c>
      <c r="D475" s="1027" t="s">
        <v>499</v>
      </c>
      <c r="E475" s="1028" t="s">
        <v>694</v>
      </c>
      <c r="F475" s="547">
        <v>-14815806621</v>
      </c>
      <c r="G475" s="547">
        <v>-255626398</v>
      </c>
      <c r="H475" s="547"/>
      <c r="I475" s="547"/>
      <c r="J475" s="547"/>
      <c r="K475" s="547"/>
      <c r="L475" s="547"/>
      <c r="M475" s="547"/>
      <c r="N475" s="547"/>
      <c r="O475" s="547"/>
      <c r="P475" s="547"/>
      <c r="Q475" s="547"/>
      <c r="R475" s="547"/>
      <c r="S475" s="989">
        <f t="shared" si="28"/>
        <v>-15071433019</v>
      </c>
      <c r="T475" s="547">
        <v>-10644321955</v>
      </c>
      <c r="U475" s="989">
        <f t="shared" si="29"/>
        <v>-15071</v>
      </c>
      <c r="V475" s="547">
        <v>-10644</v>
      </c>
      <c r="W475" s="566"/>
      <c r="X475" s="567"/>
      <c r="Y475" s="989">
        <f t="shared" si="30"/>
        <v>-15071433019</v>
      </c>
      <c r="Z475" s="812">
        <f t="shared" si="31"/>
        <v>-15071</v>
      </c>
    </row>
    <row r="476" spans="1:26" ht="27" customHeight="1">
      <c r="A476" s="531">
        <v>3214</v>
      </c>
      <c r="B476" s="531">
        <v>1007</v>
      </c>
      <c r="C476" s="529">
        <v>17</v>
      </c>
      <c r="D476" s="1027" t="s">
        <v>499</v>
      </c>
      <c r="E476" s="1028" t="s">
        <v>1444</v>
      </c>
      <c r="F476" s="547"/>
      <c r="G476" s="547"/>
      <c r="H476" s="547"/>
      <c r="I476" s="547"/>
      <c r="J476" s="547"/>
      <c r="K476" s="547"/>
      <c r="L476" s="547"/>
      <c r="M476" s="547"/>
      <c r="N476" s="547"/>
      <c r="O476" s="547"/>
      <c r="P476" s="547"/>
      <c r="Q476" s="547"/>
      <c r="R476" s="547"/>
      <c r="S476" s="989">
        <f t="shared" si="28"/>
        <v>0</v>
      </c>
      <c r="T476" s="547">
        <v>-23246432138</v>
      </c>
      <c r="U476" s="989">
        <f t="shared" si="29"/>
        <v>0</v>
      </c>
      <c r="V476" s="549">
        <v>-23246</v>
      </c>
      <c r="W476" s="566"/>
      <c r="X476" s="567"/>
      <c r="Y476" s="989">
        <f t="shared" si="30"/>
        <v>0</v>
      </c>
      <c r="Z476" s="812">
        <f t="shared" si="31"/>
        <v>0</v>
      </c>
    </row>
    <row r="477" spans="1:26" ht="27" hidden="1" customHeight="1">
      <c r="A477" s="531"/>
      <c r="B477" s="531">
        <v>1018</v>
      </c>
      <c r="C477" s="529">
        <v>17</v>
      </c>
      <c r="D477" s="1027" t="s">
        <v>501</v>
      </c>
      <c r="E477" s="1028" t="s">
        <v>695</v>
      </c>
      <c r="F477" s="547">
        <v>-10000000</v>
      </c>
      <c r="G477" s="547"/>
      <c r="H477" s="547"/>
      <c r="I477" s="547"/>
      <c r="J477" s="547"/>
      <c r="K477" s="547"/>
      <c r="L477" s="547"/>
      <c r="M477" s="547"/>
      <c r="N477" s="547"/>
      <c r="O477" s="547"/>
      <c r="P477" s="547"/>
      <c r="Q477" s="547"/>
      <c r="R477" s="547"/>
      <c r="S477" s="989">
        <f t="shared" si="28"/>
        <v>-10000000</v>
      </c>
      <c r="T477" s="547">
        <v>-10000000</v>
      </c>
      <c r="U477" s="989">
        <f t="shared" si="29"/>
        <v>-10</v>
      </c>
      <c r="V477" s="547">
        <v>-10</v>
      </c>
      <c r="W477" s="566"/>
      <c r="X477" s="567"/>
      <c r="Y477" s="989">
        <f t="shared" si="30"/>
        <v>-10000000</v>
      </c>
      <c r="Z477" s="812">
        <f t="shared" si="31"/>
        <v>-10</v>
      </c>
    </row>
    <row r="478" spans="1:26" ht="27" hidden="1" customHeight="1">
      <c r="A478" s="531"/>
      <c r="B478" s="531">
        <v>1016</v>
      </c>
      <c r="C478" s="529">
        <v>17</v>
      </c>
      <c r="D478" s="1027" t="s">
        <v>503</v>
      </c>
      <c r="E478" s="1028" t="s">
        <v>504</v>
      </c>
      <c r="F478" s="547">
        <v>-66014235935</v>
      </c>
      <c r="G478" s="547">
        <v>4041261746</v>
      </c>
      <c r="H478" s="547">
        <v>-5715000000</v>
      </c>
      <c r="I478" s="547"/>
      <c r="J478" s="547">
        <f>40110337790-113258000</f>
        <v>39997079790</v>
      </c>
      <c r="K478" s="547"/>
      <c r="L478" s="547"/>
      <c r="M478" s="547"/>
      <c r="N478" s="547">
        <v>-35778943422</v>
      </c>
      <c r="O478" s="547"/>
      <c r="P478" s="547"/>
      <c r="Q478" s="547"/>
      <c r="R478" s="547"/>
      <c r="S478" s="989">
        <f t="shared" si="28"/>
        <v>-63469837821</v>
      </c>
      <c r="T478" s="547">
        <v>-121864986770</v>
      </c>
      <c r="U478" s="989">
        <f t="shared" si="29"/>
        <v>-63470</v>
      </c>
      <c r="V478" s="547">
        <v>-121865</v>
      </c>
      <c r="W478" s="566"/>
      <c r="X478" s="567"/>
      <c r="Y478" s="989">
        <f t="shared" si="30"/>
        <v>-63469837821</v>
      </c>
      <c r="Z478" s="812">
        <f t="shared" si="31"/>
        <v>-63470</v>
      </c>
    </row>
    <row r="479" spans="1:26" ht="27" hidden="1" customHeight="1">
      <c r="A479" s="531"/>
      <c r="B479" s="531">
        <v>1017</v>
      </c>
      <c r="C479" s="529">
        <v>17</v>
      </c>
      <c r="D479" s="1027" t="s">
        <v>697</v>
      </c>
      <c r="E479" s="1028" t="s">
        <v>696</v>
      </c>
      <c r="F479" s="547">
        <v>-72026721745</v>
      </c>
      <c r="G479" s="547">
        <f>844455017-139527489369</f>
        <v>-138683034352</v>
      </c>
      <c r="H479" s="547">
        <f>449900-10166471445</f>
        <v>-10166021545</v>
      </c>
      <c r="I479" s="547"/>
      <c r="J479" s="547"/>
      <c r="K479" s="547"/>
      <c r="L479" s="547"/>
      <c r="M479" s="547"/>
      <c r="N479" s="547">
        <f>549611239-3095410835</f>
        <v>-2545799596</v>
      </c>
      <c r="O479" s="547"/>
      <c r="P479" s="547"/>
      <c r="Q479" s="547"/>
      <c r="R479" s="547"/>
      <c r="S479" s="989">
        <f t="shared" si="28"/>
        <v>-223421577238</v>
      </c>
      <c r="T479" s="547">
        <v>-132457959350</v>
      </c>
      <c r="U479" s="989">
        <f t="shared" si="29"/>
        <v>-223422</v>
      </c>
      <c r="V479" s="547">
        <v>-132458</v>
      </c>
      <c r="W479" s="566"/>
      <c r="X479" s="567"/>
      <c r="Y479" s="989">
        <f t="shared" si="30"/>
        <v>-223421577238</v>
      </c>
      <c r="Z479" s="812">
        <f t="shared" si="31"/>
        <v>-223422</v>
      </c>
    </row>
    <row r="480" spans="1:26" ht="27" hidden="1" customHeight="1">
      <c r="A480" s="531"/>
      <c r="B480" s="531">
        <v>1007</v>
      </c>
      <c r="C480" s="529">
        <v>17</v>
      </c>
      <c r="D480" s="1027" t="s">
        <v>505</v>
      </c>
      <c r="E480" s="1028" t="s">
        <v>506</v>
      </c>
      <c r="F480" s="547">
        <v>-148542606055</v>
      </c>
      <c r="G480" s="547">
        <f>219066278-8719326666</f>
        <v>-8500260388</v>
      </c>
      <c r="H480" s="547">
        <f>1-1754010133</f>
        <v>-1754010132</v>
      </c>
      <c r="I480" s="547"/>
      <c r="J480" s="547"/>
      <c r="K480" s="547"/>
      <c r="L480" s="547"/>
      <c r="M480" s="547"/>
      <c r="N480" s="547"/>
      <c r="O480" s="547"/>
      <c r="P480" s="547"/>
      <c r="Q480" s="547"/>
      <c r="R480" s="547"/>
      <c r="S480" s="989">
        <f t="shared" si="28"/>
        <v>-158796876575</v>
      </c>
      <c r="T480" s="547">
        <v>-123817489021</v>
      </c>
      <c r="U480" s="989">
        <f t="shared" si="29"/>
        <v>-158797</v>
      </c>
      <c r="V480" s="547">
        <v>-123817</v>
      </c>
      <c r="W480" s="566"/>
      <c r="X480" s="567"/>
      <c r="Y480" s="989">
        <f t="shared" si="30"/>
        <v>-158796876575</v>
      </c>
      <c r="Z480" s="812">
        <f t="shared" si="31"/>
        <v>-158797</v>
      </c>
    </row>
    <row r="481" spans="1:26" ht="27" customHeight="1">
      <c r="A481" s="531">
        <v>3214</v>
      </c>
      <c r="B481" s="531">
        <v>1007</v>
      </c>
      <c r="C481" s="529">
        <v>17</v>
      </c>
      <c r="D481" s="1027" t="s">
        <v>507</v>
      </c>
      <c r="E481" s="1028" t="s">
        <v>185</v>
      </c>
      <c r="F481" s="547"/>
      <c r="G481" s="547"/>
      <c r="H481" s="547"/>
      <c r="I481" s="547"/>
      <c r="J481" s="547"/>
      <c r="K481" s="547"/>
      <c r="L481" s="547"/>
      <c r="M481" s="547"/>
      <c r="N481" s="547"/>
      <c r="O481" s="547"/>
      <c r="P481" s="547"/>
      <c r="Q481" s="547"/>
      <c r="R481" s="547"/>
      <c r="S481" s="989">
        <f t="shared" si="28"/>
        <v>0</v>
      </c>
      <c r="T481" s="547">
        <v>0</v>
      </c>
      <c r="U481" s="989">
        <f t="shared" si="29"/>
        <v>0</v>
      </c>
      <c r="V481" s="547">
        <v>0</v>
      </c>
      <c r="W481" s="566"/>
      <c r="X481" s="567"/>
      <c r="Y481" s="989">
        <f t="shared" si="30"/>
        <v>0</v>
      </c>
      <c r="Z481" s="812">
        <f t="shared" si="31"/>
        <v>0</v>
      </c>
    </row>
    <row r="482" spans="1:26" ht="27" hidden="1" customHeight="1">
      <c r="A482" s="531"/>
      <c r="B482" s="531">
        <v>1010</v>
      </c>
      <c r="C482" s="529">
        <v>17</v>
      </c>
      <c r="D482" s="1027" t="s">
        <v>186</v>
      </c>
      <c r="E482" s="1028" t="s">
        <v>187</v>
      </c>
      <c r="F482" s="547">
        <v>0</v>
      </c>
      <c r="G482" s="547"/>
      <c r="H482" s="547"/>
      <c r="I482" s="547"/>
      <c r="J482" s="547"/>
      <c r="K482" s="547"/>
      <c r="L482" s="547"/>
      <c r="M482" s="547"/>
      <c r="N482" s="547"/>
      <c r="O482" s="547"/>
      <c r="P482" s="547"/>
      <c r="Q482" s="547"/>
      <c r="R482" s="547"/>
      <c r="S482" s="989">
        <f t="shared" si="28"/>
        <v>0</v>
      </c>
      <c r="T482" s="547">
        <v>0</v>
      </c>
      <c r="U482" s="989">
        <f t="shared" si="29"/>
        <v>0</v>
      </c>
      <c r="V482" s="547">
        <v>0</v>
      </c>
      <c r="W482" s="566"/>
      <c r="X482" s="567"/>
      <c r="Y482" s="989">
        <f t="shared" si="30"/>
        <v>0</v>
      </c>
      <c r="Z482" s="812">
        <f t="shared" si="31"/>
        <v>0</v>
      </c>
    </row>
    <row r="483" spans="1:26" ht="27" hidden="1" customHeight="1">
      <c r="A483" s="531"/>
      <c r="B483" s="531">
        <v>1010</v>
      </c>
      <c r="C483" s="529">
        <v>17</v>
      </c>
      <c r="D483" s="1027" t="s">
        <v>188</v>
      </c>
      <c r="E483" s="1028" t="s">
        <v>748</v>
      </c>
      <c r="F483" s="547">
        <v>-160958648912</v>
      </c>
      <c r="G483" s="547">
        <f>375612375-5065498481</f>
        <v>-4689886106</v>
      </c>
      <c r="H483" s="547">
        <f>2772280-1289605395</f>
        <v>-1286833115</v>
      </c>
      <c r="I483" s="547"/>
      <c r="J483" s="547"/>
      <c r="K483" s="547"/>
      <c r="L483" s="547"/>
      <c r="M483" s="547"/>
      <c r="N483" s="547"/>
      <c r="O483" s="547"/>
      <c r="P483" s="547"/>
      <c r="Q483" s="547"/>
      <c r="R483" s="547"/>
      <c r="S483" s="989">
        <f t="shared" si="28"/>
        <v>-166935368133</v>
      </c>
      <c r="T483" s="547">
        <v>-109677046678</v>
      </c>
      <c r="U483" s="989">
        <f t="shared" si="29"/>
        <v>-166935</v>
      </c>
      <c r="V483" s="547">
        <v>-109677</v>
      </c>
      <c r="W483" s="566"/>
      <c r="X483" s="567"/>
      <c r="Y483" s="989">
        <f t="shared" si="30"/>
        <v>-166935368133</v>
      </c>
      <c r="Z483" s="812">
        <f t="shared" si="31"/>
        <v>-166935</v>
      </c>
    </row>
    <row r="484" spans="1:26" ht="27" hidden="1" customHeight="1">
      <c r="A484" s="531"/>
      <c r="B484" s="531">
        <v>1007</v>
      </c>
      <c r="C484" s="529">
        <v>17</v>
      </c>
      <c r="D484" s="1027" t="s">
        <v>190</v>
      </c>
      <c r="E484" s="1028" t="s">
        <v>191</v>
      </c>
      <c r="F484" s="547">
        <v>-7500890839</v>
      </c>
      <c r="G484" s="547">
        <f>113671500-175454400</f>
        <v>-61782900</v>
      </c>
      <c r="H484" s="547"/>
      <c r="I484" s="547"/>
      <c r="J484" s="547"/>
      <c r="K484" s="547"/>
      <c r="L484" s="547"/>
      <c r="M484" s="547"/>
      <c r="N484" s="547"/>
      <c r="O484" s="547"/>
      <c r="P484" s="547"/>
      <c r="Q484" s="547"/>
      <c r="R484" s="547"/>
      <c r="S484" s="989">
        <f t="shared" si="28"/>
        <v>-7562673739</v>
      </c>
      <c r="T484" s="547">
        <v>-5712722664</v>
      </c>
      <c r="U484" s="989">
        <f t="shared" si="29"/>
        <v>-7563</v>
      </c>
      <c r="V484" s="547">
        <v>-5713</v>
      </c>
      <c r="W484" s="566"/>
      <c r="X484" s="567"/>
      <c r="Y484" s="989">
        <f t="shared" si="30"/>
        <v>-7562673739</v>
      </c>
      <c r="Z484" s="812">
        <f t="shared" si="31"/>
        <v>-7563</v>
      </c>
    </row>
    <row r="485" spans="1:26" ht="27" customHeight="1">
      <c r="A485" s="531">
        <v>3214</v>
      </c>
      <c r="B485" s="531">
        <v>1007</v>
      </c>
      <c r="C485" s="529">
        <v>17</v>
      </c>
      <c r="D485" s="1027">
        <v>90006852</v>
      </c>
      <c r="E485" s="1028" t="s">
        <v>191</v>
      </c>
      <c r="F485" s="547"/>
      <c r="G485" s="547"/>
      <c r="H485" s="547"/>
      <c r="I485" s="547"/>
      <c r="J485" s="547"/>
      <c r="K485" s="547"/>
      <c r="L485" s="547"/>
      <c r="M485" s="547"/>
      <c r="N485" s="547"/>
      <c r="O485" s="547"/>
      <c r="P485" s="547"/>
      <c r="Q485" s="547"/>
      <c r="R485" s="547"/>
      <c r="S485" s="989">
        <f t="shared" si="28"/>
        <v>0</v>
      </c>
      <c r="T485" s="547">
        <v>0</v>
      </c>
      <c r="U485" s="989">
        <f t="shared" si="29"/>
        <v>0</v>
      </c>
      <c r="V485" s="547">
        <v>0</v>
      </c>
      <c r="W485" s="566"/>
      <c r="X485" s="567"/>
      <c r="Y485" s="989">
        <f t="shared" si="30"/>
        <v>0</v>
      </c>
      <c r="Z485" s="812">
        <f t="shared" si="31"/>
        <v>0</v>
      </c>
    </row>
    <row r="486" spans="1:26" ht="27" hidden="1" customHeight="1">
      <c r="A486" s="531"/>
      <c r="B486" s="531">
        <v>1017</v>
      </c>
      <c r="C486" s="529">
        <v>17</v>
      </c>
      <c r="D486" s="1027" t="s">
        <v>192</v>
      </c>
      <c r="E486" s="1028" t="s">
        <v>25</v>
      </c>
      <c r="F486" s="547">
        <v>-534792000</v>
      </c>
      <c r="G486" s="547">
        <v>255626398</v>
      </c>
      <c r="H486" s="547"/>
      <c r="I486" s="547"/>
      <c r="J486" s="547"/>
      <c r="K486" s="547"/>
      <c r="L486" s="547"/>
      <c r="M486" s="547"/>
      <c r="N486" s="547"/>
      <c r="O486" s="547"/>
      <c r="P486" s="547"/>
      <c r="Q486" s="547"/>
      <c r="R486" s="547"/>
      <c r="S486" s="989">
        <f t="shared" si="28"/>
        <v>-279165602</v>
      </c>
      <c r="T486" s="547">
        <v>-1794100000</v>
      </c>
      <c r="U486" s="989">
        <f t="shared" si="29"/>
        <v>-279</v>
      </c>
      <c r="V486" s="547">
        <v>-1794</v>
      </c>
      <c r="W486" s="566"/>
      <c r="X486" s="567"/>
      <c r="Y486" s="989">
        <f t="shared" si="30"/>
        <v>-279165602</v>
      </c>
      <c r="Z486" s="812">
        <f t="shared" si="31"/>
        <v>-279</v>
      </c>
    </row>
    <row r="487" spans="1:26" ht="27" hidden="1" customHeight="1">
      <c r="A487" s="531"/>
      <c r="B487" s="531">
        <v>302</v>
      </c>
      <c r="C487" s="529">
        <v>14</v>
      </c>
      <c r="D487" s="1027" t="s">
        <v>26</v>
      </c>
      <c r="E487" s="1028" t="s">
        <v>27</v>
      </c>
      <c r="F487" s="547">
        <v>1220000000</v>
      </c>
      <c r="G487" s="547"/>
      <c r="H487" s="547"/>
      <c r="I487" s="547"/>
      <c r="J487" s="547"/>
      <c r="K487" s="547"/>
      <c r="L487" s="547"/>
      <c r="M487" s="547"/>
      <c r="N487" s="547"/>
      <c r="O487" s="547"/>
      <c r="P487" s="547"/>
      <c r="Q487" s="547"/>
      <c r="R487" s="547"/>
      <c r="S487" s="989">
        <f t="shared" si="28"/>
        <v>1220000000</v>
      </c>
      <c r="T487" s="547">
        <v>1220000000</v>
      </c>
      <c r="U487" s="989">
        <f t="shared" si="29"/>
        <v>1220</v>
      </c>
      <c r="V487" s="547">
        <v>1220</v>
      </c>
      <c r="W487" s="566"/>
      <c r="X487" s="567"/>
      <c r="Y487" s="989">
        <f t="shared" si="30"/>
        <v>1220000000</v>
      </c>
      <c r="Z487" s="812">
        <f t="shared" si="31"/>
        <v>1220</v>
      </c>
    </row>
    <row r="488" spans="1:26" ht="27" hidden="1" customHeight="1">
      <c r="A488" s="531"/>
      <c r="B488" s="531">
        <v>302</v>
      </c>
      <c r="C488" s="529">
        <v>14</v>
      </c>
      <c r="D488" s="1027" t="s">
        <v>850</v>
      </c>
      <c r="E488" s="1028" t="s">
        <v>851</v>
      </c>
      <c r="F488" s="547"/>
      <c r="G488" s="547"/>
      <c r="H488" s="547"/>
      <c r="I488" s="547"/>
      <c r="J488" s="547"/>
      <c r="K488" s="547"/>
      <c r="L488" s="547"/>
      <c r="M488" s="547"/>
      <c r="N488" s="547"/>
      <c r="O488" s="547"/>
      <c r="P488" s="547"/>
      <c r="Q488" s="547"/>
      <c r="R488" s="547"/>
      <c r="S488" s="989">
        <f t="shared" si="28"/>
        <v>0</v>
      </c>
      <c r="T488" s="547">
        <v>0</v>
      </c>
      <c r="U488" s="989">
        <f t="shared" si="29"/>
        <v>0</v>
      </c>
      <c r="V488" s="547">
        <v>0</v>
      </c>
      <c r="W488" s="566"/>
      <c r="X488" s="567"/>
      <c r="Y488" s="989">
        <f t="shared" si="30"/>
        <v>0</v>
      </c>
      <c r="Z488" s="812">
        <f t="shared" si="31"/>
        <v>0</v>
      </c>
    </row>
    <row r="489" spans="1:26" ht="27" hidden="1" customHeight="1">
      <c r="A489" s="531"/>
      <c r="B489" s="531">
        <v>303</v>
      </c>
      <c r="C489" s="529">
        <v>14</v>
      </c>
      <c r="D489" s="1027" t="s">
        <v>28</v>
      </c>
      <c r="E489" s="1028" t="s">
        <v>29</v>
      </c>
      <c r="F489" s="547">
        <v>173200000</v>
      </c>
      <c r="G489" s="547"/>
      <c r="H489" s="547"/>
      <c r="I489" s="547"/>
      <c r="J489" s="547"/>
      <c r="K489" s="547"/>
      <c r="L489" s="547"/>
      <c r="M489" s="547"/>
      <c r="N489" s="547"/>
      <c r="O489" s="547"/>
      <c r="P489" s="547"/>
      <c r="Q489" s="547"/>
      <c r="R489" s="547"/>
      <c r="S489" s="989">
        <f t="shared" si="28"/>
        <v>173200000</v>
      </c>
      <c r="T489" s="547">
        <v>423353507</v>
      </c>
      <c r="U489" s="989">
        <f t="shared" si="29"/>
        <v>173</v>
      </c>
      <c r="V489" s="547">
        <v>423</v>
      </c>
      <c r="W489" s="566"/>
      <c r="X489" s="567"/>
      <c r="Y489" s="989">
        <f t="shared" si="30"/>
        <v>173200000</v>
      </c>
      <c r="Z489" s="812">
        <f t="shared" si="31"/>
        <v>173</v>
      </c>
    </row>
    <row r="490" spans="1:26" ht="29.25" hidden="1" customHeight="1">
      <c r="A490" s="531"/>
      <c r="B490" s="531">
        <v>1018</v>
      </c>
      <c r="C490" s="529">
        <v>17</v>
      </c>
      <c r="D490" s="1027" t="s">
        <v>30</v>
      </c>
      <c r="E490" s="1028" t="s">
        <v>31</v>
      </c>
      <c r="F490" s="547"/>
      <c r="G490" s="547"/>
      <c r="H490" s="547"/>
      <c r="I490" s="547"/>
      <c r="J490" s="547"/>
      <c r="K490" s="547"/>
      <c r="L490" s="547"/>
      <c r="M490" s="547"/>
      <c r="N490" s="547"/>
      <c r="O490" s="547"/>
      <c r="P490" s="547"/>
      <c r="Q490" s="547"/>
      <c r="R490" s="547"/>
      <c r="S490" s="989">
        <f t="shared" si="28"/>
        <v>0</v>
      </c>
      <c r="T490" s="547">
        <v>-45000</v>
      </c>
      <c r="U490" s="989">
        <f t="shared" si="29"/>
        <v>0</v>
      </c>
      <c r="V490" s="547">
        <v>0</v>
      </c>
      <c r="W490" s="566"/>
      <c r="X490" s="567"/>
      <c r="Y490" s="989">
        <f t="shared" si="30"/>
        <v>0</v>
      </c>
      <c r="Z490" s="812">
        <f t="shared" si="31"/>
        <v>0</v>
      </c>
    </row>
    <row r="491" spans="1:26" ht="27" hidden="1" customHeight="1">
      <c r="A491" s="531"/>
      <c r="B491" s="531">
        <v>303</v>
      </c>
      <c r="C491" s="529">
        <v>14</v>
      </c>
      <c r="D491" s="1027" t="s">
        <v>1154</v>
      </c>
      <c r="E491" s="1028" t="s">
        <v>1155</v>
      </c>
      <c r="F491" s="547">
        <v>180191757229</v>
      </c>
      <c r="G491" s="547">
        <f>50201215-126965137309</f>
        <v>-126914936094</v>
      </c>
      <c r="H491" s="547">
        <v>-53276821135</v>
      </c>
      <c r="I491" s="547"/>
      <c r="J491" s="547"/>
      <c r="K491" s="547"/>
      <c r="L491" s="547"/>
      <c r="M491" s="547"/>
      <c r="N491" s="547"/>
      <c r="O491" s="547"/>
      <c r="P491" s="547"/>
      <c r="Q491" s="547"/>
      <c r="R491" s="547"/>
      <c r="S491" s="989">
        <f t="shared" si="28"/>
        <v>0</v>
      </c>
      <c r="T491" s="547">
        <v>0</v>
      </c>
      <c r="U491" s="989">
        <f t="shared" si="29"/>
        <v>0</v>
      </c>
      <c r="V491" s="547">
        <v>0</v>
      </c>
      <c r="W491" s="566"/>
      <c r="X491" s="567"/>
      <c r="Y491" s="989">
        <f t="shared" si="30"/>
        <v>0</v>
      </c>
      <c r="Z491" s="812">
        <f t="shared" si="31"/>
        <v>0</v>
      </c>
    </row>
    <row r="492" spans="1:26" ht="27" hidden="1" customHeight="1">
      <c r="A492" s="531"/>
      <c r="B492" s="531">
        <v>303</v>
      </c>
      <c r="C492" s="529">
        <v>14</v>
      </c>
      <c r="D492" s="1027" t="s">
        <v>1156</v>
      </c>
      <c r="E492" s="1028" t="s">
        <v>1155</v>
      </c>
      <c r="F492" s="547">
        <v>-180191757229</v>
      </c>
      <c r="G492" s="547">
        <f>127085956709-171020615</f>
        <v>126914936094</v>
      </c>
      <c r="H492" s="547">
        <v>53276821135</v>
      </c>
      <c r="I492" s="547"/>
      <c r="J492" s="547"/>
      <c r="K492" s="547"/>
      <c r="L492" s="547"/>
      <c r="M492" s="547"/>
      <c r="N492" s="547"/>
      <c r="O492" s="547"/>
      <c r="P492" s="547"/>
      <c r="Q492" s="547"/>
      <c r="R492" s="547"/>
      <c r="S492" s="989">
        <f t="shared" si="28"/>
        <v>0</v>
      </c>
      <c r="T492" s="547">
        <v>0</v>
      </c>
      <c r="U492" s="989">
        <f t="shared" si="29"/>
        <v>0</v>
      </c>
      <c r="V492" s="547">
        <v>0</v>
      </c>
      <c r="W492" s="566"/>
      <c r="X492" s="567"/>
      <c r="Y492" s="989">
        <f t="shared" si="30"/>
        <v>0</v>
      </c>
      <c r="Z492" s="812">
        <f t="shared" si="31"/>
        <v>0</v>
      </c>
    </row>
    <row r="493" spans="1:26" ht="27" customHeight="1">
      <c r="A493" s="531">
        <v>3214</v>
      </c>
      <c r="B493" s="531">
        <v>302</v>
      </c>
      <c r="C493" s="529">
        <v>14</v>
      </c>
      <c r="D493" s="1027" t="s">
        <v>775</v>
      </c>
      <c r="E493" s="1028" t="s">
        <v>1432</v>
      </c>
      <c r="F493" s="547"/>
      <c r="G493" s="547"/>
      <c r="H493" s="547"/>
      <c r="I493" s="547"/>
      <c r="J493" s="547"/>
      <c r="K493" s="547"/>
      <c r="L493" s="547"/>
      <c r="M493" s="547"/>
      <c r="N493" s="547"/>
      <c r="O493" s="547"/>
      <c r="P493" s="547"/>
      <c r="Q493" s="547"/>
      <c r="R493" s="547"/>
      <c r="S493" s="989">
        <f t="shared" si="28"/>
        <v>0</v>
      </c>
      <c r="T493" s="547">
        <v>0</v>
      </c>
      <c r="U493" s="989">
        <f t="shared" si="29"/>
        <v>0</v>
      </c>
      <c r="V493" s="547">
        <v>0</v>
      </c>
      <c r="W493" s="566"/>
      <c r="X493" s="567"/>
      <c r="Y493" s="989">
        <f t="shared" si="30"/>
        <v>0</v>
      </c>
      <c r="Z493" s="812">
        <f t="shared" si="31"/>
        <v>0</v>
      </c>
    </row>
    <row r="494" spans="1:26" ht="26.25" hidden="1" customHeight="1">
      <c r="A494" s="531">
        <v>12</v>
      </c>
      <c r="B494" s="531">
        <v>907</v>
      </c>
      <c r="C494" s="529">
        <v>8</v>
      </c>
      <c r="D494" s="1027" t="s">
        <v>32</v>
      </c>
      <c r="E494" s="1028" t="s">
        <v>769</v>
      </c>
      <c r="F494" s="547">
        <v>7552883600</v>
      </c>
      <c r="G494" s="547"/>
      <c r="H494" s="547"/>
      <c r="I494" s="547"/>
      <c r="J494" s="547"/>
      <c r="K494" s="547"/>
      <c r="L494" s="547"/>
      <c r="M494" s="547"/>
      <c r="N494" s="547"/>
      <c r="O494" s="547"/>
      <c r="P494" s="547"/>
      <c r="Q494" s="547"/>
      <c r="R494" s="547"/>
      <c r="S494" s="989">
        <f t="shared" si="28"/>
        <v>7552883600</v>
      </c>
      <c r="T494" s="547">
        <v>7552883600</v>
      </c>
      <c r="U494" s="989">
        <f t="shared" si="29"/>
        <v>7553</v>
      </c>
      <c r="V494" s="547">
        <v>7553</v>
      </c>
      <c r="W494" s="566"/>
      <c r="X494" s="567"/>
      <c r="Y494" s="989">
        <f t="shared" si="30"/>
        <v>7552883600</v>
      </c>
      <c r="Z494" s="812">
        <f t="shared" si="31"/>
        <v>7553</v>
      </c>
    </row>
    <row r="495" spans="1:26" ht="27" customHeight="1">
      <c r="A495" s="531">
        <v>3214</v>
      </c>
      <c r="B495" s="531">
        <v>909</v>
      </c>
      <c r="C495" s="529">
        <v>8</v>
      </c>
      <c r="D495" s="1027" t="s">
        <v>32</v>
      </c>
      <c r="E495" s="1028" t="s">
        <v>1445</v>
      </c>
      <c r="F495" s="547"/>
      <c r="G495" s="547"/>
      <c r="H495" s="547"/>
      <c r="I495" s="547"/>
      <c r="J495" s="547"/>
      <c r="K495" s="547"/>
      <c r="L495" s="547"/>
      <c r="M495" s="547"/>
      <c r="N495" s="547"/>
      <c r="O495" s="547"/>
      <c r="P495" s="547"/>
      <c r="Q495" s="547"/>
      <c r="R495" s="547"/>
      <c r="S495" s="989">
        <f t="shared" si="28"/>
        <v>0</v>
      </c>
      <c r="T495" s="547">
        <v>0</v>
      </c>
      <c r="U495" s="989">
        <f t="shared" si="29"/>
        <v>0</v>
      </c>
      <c r="V495" s="547">
        <v>0</v>
      </c>
      <c r="W495" s="566"/>
      <c r="X495" s="567"/>
      <c r="Y495" s="989">
        <f t="shared" si="30"/>
        <v>0</v>
      </c>
      <c r="Z495" s="812">
        <f t="shared" si="31"/>
        <v>0</v>
      </c>
    </row>
    <row r="496" spans="1:26" ht="27" hidden="1" customHeight="1">
      <c r="A496" s="531"/>
      <c r="B496" s="531">
        <v>601</v>
      </c>
      <c r="C496" s="529">
        <v>12</v>
      </c>
      <c r="D496" s="1027" t="s">
        <v>34</v>
      </c>
      <c r="E496" s="1028" t="s">
        <v>35</v>
      </c>
      <c r="F496" s="547"/>
      <c r="G496" s="547"/>
      <c r="H496" s="547"/>
      <c r="I496" s="547"/>
      <c r="J496" s="547"/>
      <c r="K496" s="547"/>
      <c r="L496" s="547"/>
      <c r="M496" s="547"/>
      <c r="N496" s="547"/>
      <c r="O496" s="547"/>
      <c r="P496" s="547"/>
      <c r="Q496" s="547"/>
      <c r="R496" s="547"/>
      <c r="S496" s="989">
        <f t="shared" si="28"/>
        <v>0</v>
      </c>
      <c r="T496" s="547">
        <v>0</v>
      </c>
      <c r="U496" s="989">
        <f t="shared" si="29"/>
        <v>0</v>
      </c>
      <c r="V496" s="547">
        <v>0</v>
      </c>
      <c r="W496" s="566"/>
      <c r="X496" s="567"/>
      <c r="Y496" s="989">
        <f t="shared" si="30"/>
        <v>0</v>
      </c>
      <c r="Z496" s="812">
        <f t="shared" si="31"/>
        <v>0</v>
      </c>
    </row>
    <row r="497" spans="1:26" ht="27" hidden="1" customHeight="1">
      <c r="A497" s="531"/>
      <c r="B497" s="531">
        <v>301</v>
      </c>
      <c r="C497" s="529">
        <v>14</v>
      </c>
      <c r="D497" s="1027" t="s">
        <v>36</v>
      </c>
      <c r="E497" s="1028" t="s">
        <v>37</v>
      </c>
      <c r="F497" s="547">
        <v>1122979131</v>
      </c>
      <c r="G497" s="547"/>
      <c r="H497" s="547"/>
      <c r="I497" s="547"/>
      <c r="J497" s="547"/>
      <c r="K497" s="547"/>
      <c r="L497" s="547"/>
      <c r="M497" s="547"/>
      <c r="N497" s="547"/>
      <c r="O497" s="547"/>
      <c r="P497" s="547"/>
      <c r="Q497" s="547"/>
      <c r="R497" s="547"/>
      <c r="S497" s="989">
        <f t="shared" si="28"/>
        <v>1122979131</v>
      </c>
      <c r="T497" s="547">
        <v>3188529209</v>
      </c>
      <c r="U497" s="989">
        <f t="shared" si="29"/>
        <v>1123</v>
      </c>
      <c r="V497" s="547">
        <v>3189</v>
      </c>
      <c r="W497" s="566"/>
      <c r="X497" s="567"/>
      <c r="Y497" s="989">
        <f t="shared" si="30"/>
        <v>1122979131</v>
      </c>
      <c r="Z497" s="812">
        <f t="shared" si="31"/>
        <v>1123</v>
      </c>
    </row>
    <row r="498" spans="1:26" ht="27" hidden="1" customHeight="1">
      <c r="A498" s="531"/>
      <c r="B498" s="531">
        <v>301</v>
      </c>
      <c r="C498" s="529">
        <v>14</v>
      </c>
      <c r="D498" s="1027" t="s">
        <v>1691</v>
      </c>
      <c r="E498" s="1028" t="s">
        <v>1692</v>
      </c>
      <c r="F498" s="547">
        <v>1012653129426</v>
      </c>
      <c r="G498" s="547"/>
      <c r="H498" s="547"/>
      <c r="I498" s="547"/>
      <c r="J498" s="547"/>
      <c r="K498" s="547"/>
      <c r="L498" s="547"/>
      <c r="M498" s="547"/>
      <c r="N498" s="547">
        <v>78273372</v>
      </c>
      <c r="O498" s="547"/>
      <c r="P498" s="547"/>
      <c r="Q498" s="547"/>
      <c r="R498" s="547"/>
      <c r="S498" s="989">
        <f t="shared" si="28"/>
        <v>1012731402798</v>
      </c>
      <c r="T498" s="547">
        <v>682271073715</v>
      </c>
      <c r="U498" s="989">
        <f t="shared" si="29"/>
        <v>1012731</v>
      </c>
      <c r="V498" s="547">
        <v>682271</v>
      </c>
      <c r="W498" s="566"/>
      <c r="X498" s="567"/>
      <c r="Y498" s="989">
        <f t="shared" si="30"/>
        <v>1012731402798</v>
      </c>
      <c r="Z498" s="812">
        <f t="shared" si="31"/>
        <v>1012731</v>
      </c>
    </row>
    <row r="499" spans="1:26" ht="27" hidden="1" customHeight="1">
      <c r="A499" s="531"/>
      <c r="B499" s="531">
        <v>301</v>
      </c>
      <c r="C499" s="529">
        <v>14</v>
      </c>
      <c r="D499" s="1027">
        <v>90007112</v>
      </c>
      <c r="E499" s="1028" t="s">
        <v>1757</v>
      </c>
      <c r="F499" s="547">
        <v>664055576</v>
      </c>
      <c r="G499" s="547"/>
      <c r="H499" s="547"/>
      <c r="I499" s="547"/>
      <c r="J499" s="547"/>
      <c r="K499" s="547"/>
      <c r="L499" s="547"/>
      <c r="M499" s="547"/>
      <c r="N499" s="547"/>
      <c r="O499" s="547"/>
      <c r="P499" s="547"/>
      <c r="Q499" s="547"/>
      <c r="R499" s="547"/>
      <c r="S499" s="989">
        <f t="shared" si="28"/>
        <v>664055576</v>
      </c>
      <c r="T499" s="547">
        <v>0</v>
      </c>
      <c r="U499" s="989">
        <f t="shared" si="29"/>
        <v>664</v>
      </c>
      <c r="V499" s="547">
        <v>0</v>
      </c>
      <c r="W499" s="566"/>
      <c r="X499" s="567"/>
      <c r="Y499" s="989">
        <f t="shared" si="30"/>
        <v>664055576</v>
      </c>
      <c r="Z499" s="812">
        <f t="shared" si="31"/>
        <v>664</v>
      </c>
    </row>
    <row r="500" spans="1:26" ht="27" hidden="1" customHeight="1">
      <c r="A500" s="531"/>
      <c r="B500" s="531">
        <v>301</v>
      </c>
      <c r="C500" s="529">
        <v>14</v>
      </c>
      <c r="D500" s="1027" t="s">
        <v>1693</v>
      </c>
      <c r="E500" s="1028" t="s">
        <v>1694</v>
      </c>
      <c r="F500" s="547"/>
      <c r="G500" s="547"/>
      <c r="H500" s="547"/>
      <c r="I500" s="547"/>
      <c r="J500" s="547"/>
      <c r="K500" s="547"/>
      <c r="L500" s="547"/>
      <c r="M500" s="547"/>
      <c r="N500" s="547"/>
      <c r="O500" s="547"/>
      <c r="P500" s="547"/>
      <c r="Q500" s="547"/>
      <c r="R500" s="547"/>
      <c r="S500" s="989">
        <f t="shared" si="28"/>
        <v>0</v>
      </c>
      <c r="T500" s="547">
        <v>0</v>
      </c>
      <c r="U500" s="989">
        <f t="shared" si="29"/>
        <v>0</v>
      </c>
      <c r="V500" s="547">
        <v>0</v>
      </c>
      <c r="W500" s="566"/>
      <c r="X500" s="567"/>
      <c r="Y500" s="989">
        <f t="shared" si="30"/>
        <v>0</v>
      </c>
      <c r="Z500" s="812">
        <f t="shared" si="31"/>
        <v>0</v>
      </c>
    </row>
    <row r="501" spans="1:26" ht="27" hidden="1" customHeight="1">
      <c r="A501" s="531"/>
      <c r="B501" s="531">
        <v>301</v>
      </c>
      <c r="C501" s="529">
        <v>14</v>
      </c>
      <c r="D501" s="1027" t="s">
        <v>1596</v>
      </c>
      <c r="E501" s="1028" t="s">
        <v>37</v>
      </c>
      <c r="F501" s="547">
        <v>78273372</v>
      </c>
      <c r="G501" s="547"/>
      <c r="H501" s="547"/>
      <c r="I501" s="547"/>
      <c r="J501" s="547"/>
      <c r="K501" s="547"/>
      <c r="L501" s="547"/>
      <c r="M501" s="547"/>
      <c r="N501" s="547">
        <v>-78273372</v>
      </c>
      <c r="O501" s="547"/>
      <c r="P501" s="547"/>
      <c r="Q501" s="547"/>
      <c r="R501" s="547"/>
      <c r="S501" s="989">
        <f t="shared" si="28"/>
        <v>0</v>
      </c>
      <c r="T501" s="547">
        <v>0</v>
      </c>
      <c r="U501" s="989">
        <f t="shared" si="29"/>
        <v>0</v>
      </c>
      <c r="V501" s="547">
        <v>0</v>
      </c>
      <c r="W501" s="566"/>
      <c r="X501" s="567"/>
      <c r="Y501" s="989">
        <f t="shared" si="30"/>
        <v>0</v>
      </c>
      <c r="Z501" s="812">
        <f t="shared" si="31"/>
        <v>0</v>
      </c>
    </row>
    <row r="502" spans="1:26" ht="27" hidden="1" customHeight="1">
      <c r="A502" s="531"/>
      <c r="B502" s="531">
        <v>301</v>
      </c>
      <c r="C502" s="529">
        <v>14</v>
      </c>
      <c r="D502" s="1027" t="s">
        <v>38</v>
      </c>
      <c r="E502" s="1028" t="s">
        <v>624</v>
      </c>
      <c r="F502" s="547"/>
      <c r="G502" s="547"/>
      <c r="H502" s="547"/>
      <c r="I502" s="547"/>
      <c r="J502" s="547"/>
      <c r="K502" s="547"/>
      <c r="L502" s="547"/>
      <c r="M502" s="547"/>
      <c r="N502" s="547"/>
      <c r="O502" s="547"/>
      <c r="P502" s="547"/>
      <c r="Q502" s="547"/>
      <c r="R502" s="547"/>
      <c r="S502" s="989">
        <f t="shared" si="28"/>
        <v>0</v>
      </c>
      <c r="T502" s="547">
        <v>0</v>
      </c>
      <c r="U502" s="989">
        <f t="shared" si="29"/>
        <v>0</v>
      </c>
      <c r="V502" s="547">
        <v>0</v>
      </c>
      <c r="W502" s="566"/>
      <c r="X502" s="567"/>
      <c r="Y502" s="989">
        <f t="shared" si="30"/>
        <v>0</v>
      </c>
      <c r="Z502" s="812">
        <f t="shared" si="31"/>
        <v>0</v>
      </c>
    </row>
    <row r="503" spans="1:26" ht="27" hidden="1" customHeight="1">
      <c r="A503" s="531"/>
      <c r="B503" s="531"/>
      <c r="C503" s="529">
        <v>6</v>
      </c>
      <c r="D503" s="1027" t="s">
        <v>733</v>
      </c>
      <c r="E503" s="1028" t="s">
        <v>735</v>
      </c>
      <c r="F503" s="547">
        <v>20683387635738</v>
      </c>
      <c r="G503" s="547">
        <f>963246595810-991629728402</f>
        <v>-28383132592</v>
      </c>
      <c r="H503" s="547">
        <f>157211429916-122064561415</f>
        <v>35146868501</v>
      </c>
      <c r="I503" s="547">
        <f>34155597537-22328389469</f>
        <v>11827208068</v>
      </c>
      <c r="J503" s="547">
        <f>80250924163-986151016521</f>
        <v>-905900092358</v>
      </c>
      <c r="K503" s="547">
        <f>14752696007-1195579450</f>
        <v>13557116557</v>
      </c>
      <c r="L503" s="547">
        <f>387845858349-25932151458</f>
        <v>361913706891</v>
      </c>
      <c r="M503" s="547"/>
      <c r="N503" s="547">
        <f>90181850641-628961751376</f>
        <v>-538779900735</v>
      </c>
      <c r="O503" s="547">
        <f>959895545287-321102029586</f>
        <v>638793515701</v>
      </c>
      <c r="P503" s="547">
        <f>320000000000+14000000000+11448625045+25870560626+31574628962</f>
        <v>402893814633</v>
      </c>
      <c r="Q503" s="547"/>
      <c r="R503" s="547"/>
      <c r="S503" s="989">
        <f t="shared" si="28"/>
        <v>20674456740404</v>
      </c>
      <c r="T503" s="547">
        <v>15620786816046</v>
      </c>
      <c r="U503" s="989">
        <f t="shared" si="29"/>
        <v>20674457</v>
      </c>
      <c r="V503" s="547">
        <v>15620787</v>
      </c>
      <c r="W503" s="566"/>
      <c r="X503" s="566"/>
      <c r="Y503" s="989">
        <f t="shared" si="30"/>
        <v>20674456740404</v>
      </c>
      <c r="Z503" s="812">
        <f t="shared" si="31"/>
        <v>20674457</v>
      </c>
    </row>
    <row r="504" spans="1:26" ht="27" hidden="1" customHeight="1">
      <c r="A504" s="531"/>
      <c r="B504" s="531"/>
      <c r="C504" s="529">
        <v>6</v>
      </c>
      <c r="D504" s="1027" t="s">
        <v>1695</v>
      </c>
      <c r="E504" s="1028" t="s">
        <v>1696</v>
      </c>
      <c r="F504" s="547"/>
      <c r="G504" s="547"/>
      <c r="H504" s="683"/>
      <c r="I504" s="547"/>
      <c r="J504" s="547"/>
      <c r="K504" s="547"/>
      <c r="L504" s="547"/>
      <c r="M504" s="547"/>
      <c r="N504" s="547"/>
      <c r="O504" s="547"/>
      <c r="P504" s="547"/>
      <c r="Q504" s="547"/>
      <c r="R504" s="547"/>
      <c r="S504" s="989">
        <f t="shared" si="28"/>
        <v>0</v>
      </c>
      <c r="T504" s="547">
        <v>450000000</v>
      </c>
      <c r="U504" s="989">
        <f t="shared" si="29"/>
        <v>0</v>
      </c>
      <c r="V504" s="547">
        <v>450</v>
      </c>
      <c r="W504" s="566"/>
      <c r="X504" s="566"/>
      <c r="Y504" s="989">
        <f t="shared" si="30"/>
        <v>0</v>
      </c>
      <c r="Z504" s="812">
        <f t="shared" si="31"/>
        <v>0</v>
      </c>
    </row>
    <row r="505" spans="1:26" ht="27" hidden="1" customHeight="1">
      <c r="A505" s="531"/>
      <c r="B505" s="531">
        <v>205</v>
      </c>
      <c r="C505" s="529">
        <v>19</v>
      </c>
      <c r="D505" s="1027" t="s">
        <v>734</v>
      </c>
      <c r="E505" s="1028" t="s">
        <v>903</v>
      </c>
      <c r="F505" s="547">
        <v>13707576280</v>
      </c>
      <c r="G505" s="547"/>
      <c r="H505" s="547">
        <v>-10038312046</v>
      </c>
      <c r="I505" s="547"/>
      <c r="J505" s="547">
        <v>-3669264234</v>
      </c>
      <c r="K505" s="547"/>
      <c r="L505" s="547"/>
      <c r="M505" s="547"/>
      <c r="N505" s="547">
        <v>628948360931</v>
      </c>
      <c r="O505" s="547"/>
      <c r="P505" s="547">
        <v>171751075276</v>
      </c>
      <c r="Q505" s="547"/>
      <c r="R505" s="547"/>
      <c r="S505" s="989">
        <f t="shared" si="28"/>
        <v>800699436207</v>
      </c>
      <c r="T505" s="547">
        <v>3159302870</v>
      </c>
      <c r="U505" s="989">
        <f t="shared" si="29"/>
        <v>800699</v>
      </c>
      <c r="V505" s="547">
        <v>3159</v>
      </c>
      <c r="W505" s="566"/>
      <c r="X505" s="566"/>
      <c r="Y505" s="989">
        <f t="shared" si="30"/>
        <v>800699436207</v>
      </c>
      <c r="Z505" s="812">
        <f t="shared" si="31"/>
        <v>800699</v>
      </c>
    </row>
    <row r="506" spans="1:26" ht="27" hidden="1" customHeight="1">
      <c r="A506" s="531"/>
      <c r="B506" s="531">
        <v>202</v>
      </c>
      <c r="C506" s="529">
        <v>7</v>
      </c>
      <c r="D506" s="1027" t="s">
        <v>905</v>
      </c>
      <c r="E506" s="1028" t="s">
        <v>904</v>
      </c>
      <c r="F506" s="547">
        <v>-289480785317</v>
      </c>
      <c r="G506" s="547">
        <f>30000000-41794582787</f>
        <v>-41764582787</v>
      </c>
      <c r="H506" s="547">
        <f>63138918584-6063551646</f>
        <v>57075366938</v>
      </c>
      <c r="I506" s="547"/>
      <c r="J506" s="547"/>
      <c r="K506" s="547"/>
      <c r="L506" s="547">
        <f>5309803477-86876784</f>
        <v>5222926693</v>
      </c>
      <c r="M506" s="547"/>
      <c r="N506" s="547"/>
      <c r="O506" s="547">
        <v>-205849893</v>
      </c>
      <c r="P506" s="547"/>
      <c r="Q506" s="547"/>
      <c r="R506" s="547"/>
      <c r="S506" s="989">
        <f t="shared" si="28"/>
        <v>-269152924366</v>
      </c>
      <c r="T506" s="547">
        <v>-162592981344</v>
      </c>
      <c r="U506" s="989">
        <f t="shared" si="29"/>
        <v>-269153</v>
      </c>
      <c r="V506" s="547">
        <v>-162593</v>
      </c>
      <c r="W506" s="566"/>
      <c r="X506" s="566"/>
      <c r="Y506" s="989">
        <f t="shared" si="30"/>
        <v>-269152924366</v>
      </c>
      <c r="Z506" s="812">
        <f t="shared" si="31"/>
        <v>-269153</v>
      </c>
    </row>
    <row r="507" spans="1:26" ht="27" hidden="1" customHeight="1">
      <c r="A507" s="531">
        <v>7</v>
      </c>
      <c r="B507" s="531">
        <v>10040</v>
      </c>
      <c r="C507" s="529">
        <v>11</v>
      </c>
      <c r="D507" s="1027" t="s">
        <v>608</v>
      </c>
      <c r="E507" s="1028" t="s">
        <v>609</v>
      </c>
      <c r="F507" s="547">
        <v>-16878164835071</v>
      </c>
      <c r="G507" s="547">
        <f>7088220000-280344247142</f>
        <v>-273256027142</v>
      </c>
      <c r="H507" s="547">
        <v>-70156630744</v>
      </c>
      <c r="I507" s="547">
        <v>1305719468</v>
      </c>
      <c r="J507" s="547">
        <v>-109524475593</v>
      </c>
      <c r="K507" s="547"/>
      <c r="L507" s="547">
        <f>20670777259831-7992589419</f>
        <v>20662784670412</v>
      </c>
      <c r="M507" s="547"/>
      <c r="N507" s="547">
        <v>-122094347000</v>
      </c>
      <c r="O507" s="547">
        <f>8604262622-316202665008</f>
        <v>-307598402386</v>
      </c>
      <c r="P507" s="547">
        <v>-227303138</v>
      </c>
      <c r="Q507" s="547">
        <f>-1826155000000</f>
        <v>-1826155000000</v>
      </c>
      <c r="R507" s="547"/>
      <c r="S507" s="989">
        <f t="shared" si="28"/>
        <v>1076913368806</v>
      </c>
      <c r="T507" s="547">
        <v>-231903568850</v>
      </c>
      <c r="U507" s="989">
        <f t="shared" si="29"/>
        <v>1076913</v>
      </c>
      <c r="V507" s="547">
        <v>-231904</v>
      </c>
      <c r="W507" s="566"/>
      <c r="X507" s="566"/>
      <c r="Y507" s="989">
        <f t="shared" si="30"/>
        <v>1076913368806</v>
      </c>
      <c r="Z507" s="812">
        <f t="shared" si="31"/>
        <v>1076913</v>
      </c>
    </row>
    <row r="508" spans="1:26" ht="27" hidden="1" customHeight="1">
      <c r="A508" s="531"/>
      <c r="B508" s="531">
        <v>201</v>
      </c>
      <c r="C508" s="529">
        <v>7</v>
      </c>
      <c r="D508" s="1027" t="s">
        <v>737</v>
      </c>
      <c r="E508" s="1028" t="s">
        <v>736</v>
      </c>
      <c r="F508" s="547">
        <v>-105714146177</v>
      </c>
      <c r="G508" s="547"/>
      <c r="H508" s="547"/>
      <c r="I508" s="547"/>
      <c r="J508" s="547"/>
      <c r="K508" s="547"/>
      <c r="L508" s="547"/>
      <c r="M508" s="547"/>
      <c r="N508" s="547"/>
      <c r="O508" s="547"/>
      <c r="P508" s="547"/>
      <c r="Q508" s="547"/>
      <c r="R508" s="547"/>
      <c r="S508" s="989">
        <f t="shared" si="28"/>
        <v>-105714146177</v>
      </c>
      <c r="T508" s="547">
        <v>-165697455365</v>
      </c>
      <c r="U508" s="989">
        <f t="shared" si="29"/>
        <v>-105714</v>
      </c>
      <c r="V508" s="547">
        <v>-165697</v>
      </c>
      <c r="W508" s="566"/>
      <c r="X508" s="566"/>
      <c r="Y508" s="989">
        <f t="shared" si="30"/>
        <v>-105714146177</v>
      </c>
      <c r="Z508" s="812">
        <f t="shared" si="31"/>
        <v>-105714</v>
      </c>
    </row>
    <row r="509" spans="1:26" ht="27" hidden="1" customHeight="1">
      <c r="A509" s="531"/>
      <c r="B509" s="531"/>
      <c r="C509" s="529">
        <v>5</v>
      </c>
      <c r="D509" s="1027" t="s">
        <v>906</v>
      </c>
      <c r="E509" s="1028" t="s">
        <v>907</v>
      </c>
      <c r="F509" s="547">
        <v>-6197001135896</v>
      </c>
      <c r="G509" s="547">
        <v>-561648795657</v>
      </c>
      <c r="H509" s="547"/>
      <c r="I509" s="547"/>
      <c r="J509" s="547">
        <v>-2230011398877</v>
      </c>
      <c r="K509" s="547"/>
      <c r="L509" s="547"/>
      <c r="M509" s="547"/>
      <c r="N509" s="547"/>
      <c r="O509" s="547"/>
      <c r="P509" s="547"/>
      <c r="Q509" s="547"/>
      <c r="R509" s="547"/>
      <c r="S509" s="989">
        <f t="shared" si="28"/>
        <v>-8988661330430</v>
      </c>
      <c r="T509" s="547">
        <v>-6248083166484</v>
      </c>
      <c r="U509" s="989">
        <f t="shared" si="29"/>
        <v>-8988661</v>
      </c>
      <c r="V509" s="547">
        <v>-6248083</v>
      </c>
      <c r="W509" s="566"/>
      <c r="X509" s="566"/>
      <c r="Y509" s="989">
        <f t="shared" si="30"/>
        <v>-8988661330430</v>
      </c>
      <c r="Z509" s="812">
        <f t="shared" si="31"/>
        <v>-8988661</v>
      </c>
    </row>
    <row r="510" spans="1:26" ht="27" hidden="1" customHeight="1">
      <c r="A510" s="531"/>
      <c r="B510" s="531"/>
      <c r="C510" s="529">
        <v>5</v>
      </c>
      <c r="D510" s="1027" t="s">
        <v>908</v>
      </c>
      <c r="E510" s="1028" t="s">
        <v>909</v>
      </c>
      <c r="F510" s="547">
        <v>-7413864575876</v>
      </c>
      <c r="G510" s="547">
        <v>-486292853673</v>
      </c>
      <c r="H510" s="547">
        <f>13989404544-263875554859</f>
        <v>-249886150315</v>
      </c>
      <c r="I510" s="547"/>
      <c r="J510" s="547">
        <f>5426331328-2655642425245</f>
        <v>-2650216093917</v>
      </c>
      <c r="K510" s="547"/>
      <c r="L510" s="547"/>
      <c r="M510" s="547"/>
      <c r="N510" s="547"/>
      <c r="O510" s="547"/>
      <c r="P510" s="547"/>
      <c r="Q510" s="547"/>
      <c r="R510" s="547"/>
      <c r="S510" s="989">
        <f t="shared" si="28"/>
        <v>-10800259673781</v>
      </c>
      <c r="T510" s="547">
        <v>-7810142158055</v>
      </c>
      <c r="U510" s="989">
        <f t="shared" si="29"/>
        <v>-10800260</v>
      </c>
      <c r="V510" s="547">
        <v>-7810142</v>
      </c>
      <c r="W510" s="566"/>
      <c r="X510" s="566"/>
      <c r="Y510" s="989">
        <f t="shared" si="30"/>
        <v>-10800259673781</v>
      </c>
      <c r="Z510" s="812">
        <f t="shared" si="31"/>
        <v>-10800260</v>
      </c>
    </row>
    <row r="511" spans="1:26" ht="27" hidden="1" customHeight="1">
      <c r="A511" s="531"/>
      <c r="B511" s="531">
        <v>203</v>
      </c>
      <c r="C511" s="529">
        <v>7</v>
      </c>
      <c r="D511" s="1027" t="s">
        <v>738</v>
      </c>
      <c r="E511" s="1028" t="s">
        <v>910</v>
      </c>
      <c r="F511" s="547">
        <v>-169886914</v>
      </c>
      <c r="G511" s="547"/>
      <c r="H511" s="547"/>
      <c r="I511" s="547"/>
      <c r="J511" s="547"/>
      <c r="K511" s="547"/>
      <c r="L511" s="547"/>
      <c r="M511" s="547"/>
      <c r="N511" s="547"/>
      <c r="O511" s="547"/>
      <c r="P511" s="547"/>
      <c r="Q511" s="547"/>
      <c r="R511" s="547"/>
      <c r="S511" s="989">
        <f t="shared" si="28"/>
        <v>-169886914</v>
      </c>
      <c r="T511" s="547">
        <v>-5000000</v>
      </c>
      <c r="U511" s="989">
        <f t="shared" si="29"/>
        <v>-170</v>
      </c>
      <c r="V511" s="547">
        <v>-5</v>
      </c>
      <c r="W511" s="566"/>
      <c r="X511" s="566"/>
      <c r="Y511" s="989">
        <f t="shared" si="30"/>
        <v>-169886914</v>
      </c>
      <c r="Z511" s="812">
        <f t="shared" si="31"/>
        <v>-170</v>
      </c>
    </row>
    <row r="512" spans="1:26" ht="27" hidden="1" customHeight="1">
      <c r="A512" s="531"/>
      <c r="B512" s="1051">
        <v>406</v>
      </c>
      <c r="C512" s="529">
        <v>11</v>
      </c>
      <c r="D512" s="1027" t="s">
        <v>586</v>
      </c>
      <c r="E512" s="1028" t="s">
        <v>587</v>
      </c>
      <c r="F512" s="547">
        <v>3009089161</v>
      </c>
      <c r="G512" s="547">
        <v>-165620000</v>
      </c>
      <c r="H512" s="547"/>
      <c r="I512" s="547"/>
      <c r="J512" s="547">
        <v>21650000000</v>
      </c>
      <c r="K512" s="547">
        <v>-2780563681</v>
      </c>
      <c r="L512" s="547">
        <v>260626208</v>
      </c>
      <c r="M512" s="547"/>
      <c r="N512" s="547"/>
      <c r="O512" s="547">
        <f>445466534-260626208+1429187324</f>
        <v>1614027650</v>
      </c>
      <c r="P512" s="547"/>
      <c r="Q512" s="547"/>
      <c r="R512" s="547"/>
      <c r="S512" s="989">
        <f t="shared" si="28"/>
        <v>23587559338</v>
      </c>
      <c r="T512" s="547">
        <v>28661706646</v>
      </c>
      <c r="U512" s="989">
        <f t="shared" si="29"/>
        <v>23588</v>
      </c>
      <c r="V512" s="547">
        <v>28662</v>
      </c>
      <c r="W512" s="566"/>
      <c r="X512" s="566"/>
      <c r="Y512" s="989">
        <f t="shared" si="30"/>
        <v>23587559338</v>
      </c>
      <c r="Z512" s="812">
        <f t="shared" si="31"/>
        <v>23588</v>
      </c>
    </row>
    <row r="513" spans="1:26" ht="27" hidden="1" customHeight="1">
      <c r="A513" s="531"/>
      <c r="B513" s="531">
        <v>1011</v>
      </c>
      <c r="C513" s="529">
        <v>17</v>
      </c>
      <c r="D513" s="1027" t="s">
        <v>588</v>
      </c>
      <c r="E513" s="1028" t="s">
        <v>468</v>
      </c>
      <c r="F513" s="547">
        <v>-10710649866</v>
      </c>
      <c r="G513" s="547"/>
      <c r="H513" s="547"/>
      <c r="I513" s="547"/>
      <c r="J513" s="547"/>
      <c r="K513" s="547"/>
      <c r="L513" s="547">
        <v>-1666280531</v>
      </c>
      <c r="M513" s="547"/>
      <c r="N513" s="547"/>
      <c r="O513" s="547"/>
      <c r="P513" s="547"/>
      <c r="Q513" s="547"/>
      <c r="R513" s="547"/>
      <c r="S513" s="989">
        <f t="shared" si="28"/>
        <v>-12376930397</v>
      </c>
      <c r="T513" s="547">
        <v>-10044251519</v>
      </c>
      <c r="U513" s="989">
        <f t="shared" si="29"/>
        <v>-12377</v>
      </c>
      <c r="V513" s="547">
        <v>-10044</v>
      </c>
      <c r="W513" s="566"/>
      <c r="X513" s="566"/>
      <c r="Y513" s="989">
        <f t="shared" si="30"/>
        <v>-12376930397</v>
      </c>
      <c r="Z513" s="812">
        <f t="shared" si="31"/>
        <v>-12377</v>
      </c>
    </row>
    <row r="514" spans="1:26" ht="27" hidden="1" customHeight="1">
      <c r="A514" s="531"/>
      <c r="B514" s="531">
        <v>204</v>
      </c>
      <c r="C514" s="529">
        <v>5</v>
      </c>
      <c r="D514" s="1027" t="s">
        <v>747</v>
      </c>
      <c r="E514" s="1028" t="s">
        <v>746</v>
      </c>
      <c r="F514" s="547">
        <v>-51410325343</v>
      </c>
      <c r="G514" s="547">
        <v>-49248000</v>
      </c>
      <c r="H514" s="547">
        <v>-155580000</v>
      </c>
      <c r="I514" s="547"/>
      <c r="J514" s="547"/>
      <c r="K514" s="547"/>
      <c r="L514" s="547"/>
      <c r="M514" s="547"/>
      <c r="N514" s="547"/>
      <c r="O514" s="547"/>
      <c r="P514" s="547"/>
      <c r="Q514" s="547"/>
      <c r="R514" s="547"/>
      <c r="S514" s="989">
        <f t="shared" si="28"/>
        <v>-51615153343</v>
      </c>
      <c r="T514" s="547">
        <v>-51416832248</v>
      </c>
      <c r="U514" s="989">
        <f t="shared" si="29"/>
        <v>-51615</v>
      </c>
      <c r="V514" s="547">
        <v>-51417</v>
      </c>
      <c r="W514" s="566"/>
      <c r="X514" s="566"/>
      <c r="Y514" s="989">
        <f t="shared" si="30"/>
        <v>-51615153343</v>
      </c>
      <c r="Z514" s="812">
        <f t="shared" si="31"/>
        <v>-51615</v>
      </c>
    </row>
    <row r="515" spans="1:26" ht="27" hidden="1" customHeight="1">
      <c r="A515" s="531"/>
      <c r="B515" s="531"/>
      <c r="C515" s="529">
        <v>19</v>
      </c>
      <c r="D515" s="1027" t="s">
        <v>852</v>
      </c>
      <c r="E515" s="1028" t="s">
        <v>1040</v>
      </c>
      <c r="F515" s="547"/>
      <c r="G515" s="547"/>
      <c r="H515" s="547"/>
      <c r="I515" s="547"/>
      <c r="J515" s="547"/>
      <c r="K515" s="547"/>
      <c r="L515" s="547"/>
      <c r="M515" s="547"/>
      <c r="N515" s="547"/>
      <c r="O515" s="547"/>
      <c r="P515" s="547"/>
      <c r="Q515" s="547"/>
      <c r="R515" s="547"/>
      <c r="S515" s="989">
        <f t="shared" si="28"/>
        <v>0</v>
      </c>
      <c r="T515" s="547">
        <v>0</v>
      </c>
      <c r="U515" s="989">
        <f t="shared" si="29"/>
        <v>0</v>
      </c>
      <c r="V515" s="547">
        <v>0</v>
      </c>
      <c r="W515" s="566"/>
      <c r="X515" s="566"/>
      <c r="Y515" s="989">
        <f t="shared" si="30"/>
        <v>0</v>
      </c>
      <c r="Z515" s="812">
        <f t="shared" si="31"/>
        <v>0</v>
      </c>
    </row>
    <row r="516" spans="1:26" ht="27" hidden="1" customHeight="1">
      <c r="A516" s="531"/>
      <c r="B516" s="531"/>
      <c r="C516" s="529">
        <v>19</v>
      </c>
      <c r="D516" s="1027" t="s">
        <v>613</v>
      </c>
      <c r="E516" s="1028" t="s">
        <v>614</v>
      </c>
      <c r="F516" s="547">
        <v>2528745380410</v>
      </c>
      <c r="G516" s="547"/>
      <c r="H516" s="547"/>
      <c r="I516" s="547"/>
      <c r="J516" s="547"/>
      <c r="K516" s="547"/>
      <c r="L516" s="547"/>
      <c r="M516" s="547"/>
      <c r="N516" s="547"/>
      <c r="O516" s="547"/>
      <c r="P516" s="547"/>
      <c r="Q516" s="547"/>
      <c r="R516" s="547"/>
      <c r="S516" s="989">
        <f t="shared" si="28"/>
        <v>2528745380410</v>
      </c>
      <c r="T516" s="547">
        <v>1342286854990</v>
      </c>
      <c r="U516" s="989">
        <f t="shared" si="29"/>
        <v>2528745</v>
      </c>
      <c r="V516" s="547">
        <v>1342287</v>
      </c>
      <c r="W516" s="566"/>
      <c r="X516" s="566"/>
      <c r="Y516" s="989">
        <f t="shared" si="30"/>
        <v>2528745380410</v>
      </c>
      <c r="Z516" s="812">
        <f t="shared" si="31"/>
        <v>2528745</v>
      </c>
    </row>
    <row r="517" spans="1:26" ht="27" hidden="1" customHeight="1">
      <c r="A517" s="531"/>
      <c r="B517" s="531">
        <v>406</v>
      </c>
      <c r="C517" s="529">
        <v>11</v>
      </c>
      <c r="D517" s="1027" t="s">
        <v>1257</v>
      </c>
      <c r="E517" s="1028" t="s">
        <v>1029</v>
      </c>
      <c r="F517" s="547">
        <v>4432385243</v>
      </c>
      <c r="G517" s="547">
        <f>3673400838-6845719135</f>
        <v>-3172318297</v>
      </c>
      <c r="H517" s="547">
        <f>2150027417-3367942363</f>
        <v>-1217914946</v>
      </c>
      <c r="I517" s="547">
        <f>19656000-19656000</f>
        <v>0</v>
      </c>
      <c r="J517" s="547"/>
      <c r="K517" s="547"/>
      <c r="L517" s="547"/>
      <c r="M517" s="547"/>
      <c r="N517" s="547"/>
      <c r="O517" s="547"/>
      <c r="P517" s="547"/>
      <c r="Q517" s="547"/>
      <c r="R517" s="547"/>
      <c r="S517" s="989">
        <f t="shared" ref="S517:S558" si="32">SUM(F517:R517)</f>
        <v>42152000</v>
      </c>
      <c r="T517" s="547">
        <v>0</v>
      </c>
      <c r="U517" s="989">
        <f t="shared" ref="U517:U558" si="33">ROUND((S517/1000000),0)</f>
        <v>42</v>
      </c>
      <c r="V517" s="547">
        <v>0</v>
      </c>
      <c r="W517" s="566"/>
      <c r="X517" s="567"/>
      <c r="Y517" s="989">
        <f t="shared" si="30"/>
        <v>42152000</v>
      </c>
      <c r="Z517" s="812">
        <f t="shared" si="31"/>
        <v>42</v>
      </c>
    </row>
    <row r="518" spans="1:26" ht="27" hidden="1" customHeight="1">
      <c r="A518" s="531"/>
      <c r="B518" s="531">
        <v>1018</v>
      </c>
      <c r="C518" s="529">
        <v>17</v>
      </c>
      <c r="D518" s="1027" t="s">
        <v>1157</v>
      </c>
      <c r="E518" s="1028" t="s">
        <v>956</v>
      </c>
      <c r="F518" s="683">
        <v>6585104757</v>
      </c>
      <c r="G518" s="547">
        <f>72340437837-54845463315</f>
        <v>17494974522</v>
      </c>
      <c r="H518" s="547">
        <f>49754421480-73658760759</f>
        <v>-23904339279</v>
      </c>
      <c r="I518" s="547"/>
      <c r="J518" s="547"/>
      <c r="K518" s="547"/>
      <c r="L518" s="547"/>
      <c r="M518" s="547"/>
      <c r="N518" s="547"/>
      <c r="O518" s="547"/>
      <c r="P518" s="547"/>
      <c r="Q518" s="547"/>
      <c r="R518" s="547"/>
      <c r="S518" s="989">
        <f t="shared" si="32"/>
        <v>175740000</v>
      </c>
      <c r="T518" s="547">
        <v>0</v>
      </c>
      <c r="U518" s="989">
        <f t="shared" si="33"/>
        <v>176</v>
      </c>
      <c r="V518" s="547">
        <v>0</v>
      </c>
      <c r="W518" s="566"/>
      <c r="X518" s="567"/>
      <c r="Y518" s="989">
        <f t="shared" si="30"/>
        <v>175740000</v>
      </c>
      <c r="Z518" s="812">
        <f t="shared" si="31"/>
        <v>176</v>
      </c>
    </row>
    <row r="519" spans="1:26" ht="27" hidden="1" customHeight="1">
      <c r="A519" s="531"/>
      <c r="B519" s="531">
        <v>406</v>
      </c>
      <c r="C519" s="529">
        <v>11</v>
      </c>
      <c r="D519" s="1027" t="s">
        <v>1003</v>
      </c>
      <c r="E519" s="1028" t="s">
        <v>1258</v>
      </c>
      <c r="F519" s="547">
        <v>51986758</v>
      </c>
      <c r="G519" s="547">
        <f>298020406-352397991</f>
        <v>-54377585</v>
      </c>
      <c r="H519" s="547"/>
      <c r="I519" s="547">
        <f>352397991-352397991</f>
        <v>0</v>
      </c>
      <c r="J519" s="547"/>
      <c r="K519" s="547"/>
      <c r="L519" s="547"/>
      <c r="M519" s="547"/>
      <c r="N519" s="547"/>
      <c r="O519" s="547"/>
      <c r="P519" s="547"/>
      <c r="Q519" s="547"/>
      <c r="R519" s="547"/>
      <c r="S519" s="989">
        <f t="shared" si="32"/>
        <v>-2390827</v>
      </c>
      <c r="T519" s="547">
        <v>6320000</v>
      </c>
      <c r="U519" s="989">
        <f t="shared" si="33"/>
        <v>-2</v>
      </c>
      <c r="V519" s="547">
        <v>6</v>
      </c>
      <c r="W519" s="566"/>
      <c r="X519" s="567"/>
      <c r="Y519" s="989">
        <f t="shared" si="30"/>
        <v>-2390827</v>
      </c>
      <c r="Z519" s="812">
        <f t="shared" si="31"/>
        <v>-2</v>
      </c>
    </row>
    <row r="520" spans="1:26" ht="27" hidden="1" customHeight="1">
      <c r="A520" s="531"/>
      <c r="B520" s="531">
        <v>406</v>
      </c>
      <c r="C520" s="529">
        <v>11</v>
      </c>
      <c r="D520" s="1027" t="s">
        <v>1598</v>
      </c>
      <c r="E520" s="1028" t="s">
        <v>1597</v>
      </c>
      <c r="F520" s="683">
        <v>79134505</v>
      </c>
      <c r="G520" s="547">
        <f>237403515-237403515</f>
        <v>0</v>
      </c>
      <c r="H520" s="547">
        <f>79134505-158269010</f>
        <v>-79134505</v>
      </c>
      <c r="I520" s="547"/>
      <c r="J520" s="547"/>
      <c r="K520" s="547"/>
      <c r="L520" s="547"/>
      <c r="M520" s="547"/>
      <c r="N520" s="547"/>
      <c r="O520" s="547"/>
      <c r="P520" s="547"/>
      <c r="Q520" s="547"/>
      <c r="R520" s="547"/>
      <c r="S520" s="989">
        <f t="shared" si="32"/>
        <v>0</v>
      </c>
      <c r="T520" s="547">
        <v>0</v>
      </c>
      <c r="U520" s="989">
        <f t="shared" si="33"/>
        <v>0</v>
      </c>
      <c r="V520" s="547">
        <v>0</v>
      </c>
      <c r="W520" s="566"/>
      <c r="X520" s="567"/>
      <c r="Y520" s="989">
        <f t="shared" ref="Y520:Y558" si="34">S520+X520-W520</f>
        <v>0</v>
      </c>
      <c r="Z520" s="812">
        <f t="shared" ref="Z520:Z558" si="35">ROUND((Y520/1000000),0)</f>
        <v>0</v>
      </c>
    </row>
    <row r="521" spans="1:26" ht="27" hidden="1" customHeight="1">
      <c r="A521" s="531"/>
      <c r="B521" s="531">
        <v>406</v>
      </c>
      <c r="C521" s="529">
        <v>11</v>
      </c>
      <c r="D521" s="1027" t="s">
        <v>1259</v>
      </c>
      <c r="E521" s="1028" t="s">
        <v>1260</v>
      </c>
      <c r="F521" s="547">
        <v>132962240</v>
      </c>
      <c r="G521" s="547">
        <f>398097600-398097600</f>
        <v>0</v>
      </c>
      <c r="H521" s="547"/>
      <c r="I521" s="547"/>
      <c r="J521" s="547">
        <f>265398400-398097600</f>
        <v>-132699200</v>
      </c>
      <c r="K521" s="547"/>
      <c r="L521" s="547"/>
      <c r="M521" s="547"/>
      <c r="N521" s="547"/>
      <c r="O521" s="547"/>
      <c r="P521" s="547"/>
      <c r="Q521" s="547"/>
      <c r="R521" s="547"/>
      <c r="S521" s="989">
        <f t="shared" si="32"/>
        <v>263040</v>
      </c>
      <c r="T521" s="547">
        <v>263040</v>
      </c>
      <c r="U521" s="989">
        <f t="shared" si="33"/>
        <v>0</v>
      </c>
      <c r="V521" s="547">
        <v>0</v>
      </c>
      <c r="W521" s="566"/>
      <c r="X521" s="567"/>
      <c r="Y521" s="989">
        <f t="shared" si="34"/>
        <v>263040</v>
      </c>
      <c r="Z521" s="812">
        <f t="shared" si="35"/>
        <v>0</v>
      </c>
    </row>
    <row r="522" spans="1:26" ht="27" hidden="1" customHeight="1">
      <c r="A522" s="531"/>
      <c r="B522" s="531">
        <v>10040</v>
      </c>
      <c r="C522" s="529">
        <v>11</v>
      </c>
      <c r="D522" s="1027" t="s">
        <v>615</v>
      </c>
      <c r="E522" s="1028" t="s">
        <v>616</v>
      </c>
      <c r="F522" s="547">
        <v>-473188</v>
      </c>
      <c r="G522" s="547"/>
      <c r="H522" s="547"/>
      <c r="I522" s="547"/>
      <c r="J522" s="547"/>
      <c r="K522" s="547"/>
      <c r="L522" s="547"/>
      <c r="M522" s="547"/>
      <c r="N522" s="547"/>
      <c r="O522" s="547"/>
      <c r="P522" s="547"/>
      <c r="Q522" s="547"/>
      <c r="R522" s="547"/>
      <c r="S522" s="989">
        <f t="shared" si="32"/>
        <v>-473188</v>
      </c>
      <c r="T522" s="547">
        <v>-473188</v>
      </c>
      <c r="U522" s="989">
        <f t="shared" si="33"/>
        <v>0</v>
      </c>
      <c r="V522" s="547">
        <v>0</v>
      </c>
      <c r="W522" s="566"/>
      <c r="X522" s="567"/>
      <c r="Y522" s="989">
        <f t="shared" si="34"/>
        <v>-473188</v>
      </c>
      <c r="Z522" s="812">
        <f t="shared" si="35"/>
        <v>0</v>
      </c>
    </row>
    <row r="523" spans="1:26" ht="27" hidden="1" customHeight="1">
      <c r="A523" s="531"/>
      <c r="B523" s="531"/>
      <c r="C523" s="529">
        <v>20</v>
      </c>
      <c r="D523" s="1027" t="s">
        <v>617</v>
      </c>
      <c r="E523" s="1028" t="s">
        <v>618</v>
      </c>
      <c r="F523" s="547">
        <v>2619929964721</v>
      </c>
      <c r="G523" s="547">
        <f>2401918661-1570000000</f>
        <v>831918661</v>
      </c>
      <c r="H523" s="547"/>
      <c r="I523" s="547"/>
      <c r="J523" s="547"/>
      <c r="K523" s="547"/>
      <c r="L523" s="547"/>
      <c r="M523" s="547"/>
      <c r="N523" s="547"/>
      <c r="O523" s="547">
        <v>5919263464820</v>
      </c>
      <c r="P523" s="547"/>
      <c r="Q523" s="547"/>
      <c r="R523" s="547"/>
      <c r="S523" s="989">
        <f t="shared" si="32"/>
        <v>8540025348202</v>
      </c>
      <c r="T523" s="547">
        <v>4674491017231</v>
      </c>
      <c r="U523" s="989">
        <f t="shared" si="33"/>
        <v>8540025</v>
      </c>
      <c r="V523" s="547">
        <v>4674491</v>
      </c>
      <c r="W523" s="566"/>
      <c r="X523" s="567"/>
      <c r="Y523" s="989">
        <f t="shared" si="34"/>
        <v>8540025348202</v>
      </c>
      <c r="Z523" s="812">
        <f t="shared" si="35"/>
        <v>8540025</v>
      </c>
    </row>
    <row r="524" spans="1:26" ht="27" hidden="1" customHeight="1">
      <c r="A524" s="531"/>
      <c r="B524" s="531"/>
      <c r="C524" s="529">
        <v>20</v>
      </c>
      <c r="D524" s="1027" t="s">
        <v>1202</v>
      </c>
      <c r="E524" s="1028" t="s">
        <v>1203</v>
      </c>
      <c r="F524" s="547"/>
      <c r="G524" s="547"/>
      <c r="H524" s="547"/>
      <c r="I524" s="547"/>
      <c r="J524" s="547"/>
      <c r="K524" s="547"/>
      <c r="L524" s="547"/>
      <c r="M524" s="547"/>
      <c r="N524" s="547"/>
      <c r="O524" s="547">
        <f>2737216286908-16807784816</f>
        <v>2720408502092</v>
      </c>
      <c r="P524" s="547"/>
      <c r="Q524" s="547"/>
      <c r="R524" s="547"/>
      <c r="S524" s="989">
        <f t="shared" si="32"/>
        <v>2720408502092</v>
      </c>
      <c r="T524" s="547">
        <v>924831632104</v>
      </c>
      <c r="U524" s="989">
        <f t="shared" si="33"/>
        <v>2720409</v>
      </c>
      <c r="V524" s="547">
        <v>924832</v>
      </c>
      <c r="W524" s="566"/>
      <c r="X524" s="567"/>
      <c r="Y524" s="989">
        <f t="shared" si="34"/>
        <v>2720408502092</v>
      </c>
      <c r="Z524" s="812">
        <f t="shared" si="35"/>
        <v>2720409</v>
      </c>
    </row>
    <row r="525" spans="1:26" ht="27" hidden="1" customHeight="1">
      <c r="A525" s="531"/>
      <c r="B525" s="531"/>
      <c r="C525" s="529">
        <v>20</v>
      </c>
      <c r="D525" s="1027" t="s">
        <v>619</v>
      </c>
      <c r="E525" s="1028" t="s">
        <v>620</v>
      </c>
      <c r="F525" s="547">
        <v>-2619929964721</v>
      </c>
      <c r="G525" s="547">
        <f>1570000000-2401918661</f>
        <v>-831918661</v>
      </c>
      <c r="H525" s="547"/>
      <c r="I525" s="547"/>
      <c r="J525" s="547"/>
      <c r="K525" s="547"/>
      <c r="L525" s="547"/>
      <c r="M525" s="547"/>
      <c r="N525" s="547"/>
      <c r="O525" s="547">
        <v>-5919263464820</v>
      </c>
      <c r="P525" s="547"/>
      <c r="Q525" s="547"/>
      <c r="R525" s="547"/>
      <c r="S525" s="989">
        <f t="shared" si="32"/>
        <v>-8540025348202</v>
      </c>
      <c r="T525" s="547">
        <v>-4674491017231</v>
      </c>
      <c r="U525" s="989">
        <f t="shared" si="33"/>
        <v>-8540025</v>
      </c>
      <c r="V525" s="547">
        <v>-4674491</v>
      </c>
      <c r="W525" s="566"/>
      <c r="X525" s="567"/>
      <c r="Y525" s="989">
        <f t="shared" si="34"/>
        <v>-8540025348202</v>
      </c>
      <c r="Z525" s="812">
        <f t="shared" si="35"/>
        <v>-8540025</v>
      </c>
    </row>
    <row r="526" spans="1:26" ht="27" hidden="1" customHeight="1">
      <c r="A526" s="531"/>
      <c r="B526" s="531"/>
      <c r="C526" s="529">
        <v>20</v>
      </c>
      <c r="D526" s="1027" t="s">
        <v>1204</v>
      </c>
      <c r="E526" s="1028" t="s">
        <v>1205</v>
      </c>
      <c r="F526" s="547"/>
      <c r="G526" s="547"/>
      <c r="H526" s="547"/>
      <c r="I526" s="547"/>
      <c r="J526" s="547"/>
      <c r="K526" s="547"/>
      <c r="L526" s="547"/>
      <c r="M526" s="547"/>
      <c r="N526" s="547"/>
      <c r="O526" s="547">
        <f>16807784816-2737216286908</f>
        <v>-2720408502092</v>
      </c>
      <c r="P526" s="547"/>
      <c r="Q526" s="547"/>
      <c r="R526" s="547"/>
      <c r="S526" s="989">
        <f t="shared" si="32"/>
        <v>-2720408502092</v>
      </c>
      <c r="T526" s="547">
        <v>-924831632104</v>
      </c>
      <c r="U526" s="989">
        <f t="shared" si="33"/>
        <v>-2720409</v>
      </c>
      <c r="V526" s="547">
        <v>-924832</v>
      </c>
      <c r="W526" s="566"/>
      <c r="X526" s="567"/>
      <c r="Y526" s="989">
        <f t="shared" si="34"/>
        <v>-2720408502092</v>
      </c>
      <c r="Z526" s="812">
        <f t="shared" si="35"/>
        <v>-2720409</v>
      </c>
    </row>
    <row r="527" spans="1:26" ht="27" customHeight="1">
      <c r="A527" s="531">
        <v>3214</v>
      </c>
      <c r="B527" s="531"/>
      <c r="C527" s="529">
        <v>20</v>
      </c>
      <c r="D527" s="1027" t="s">
        <v>617</v>
      </c>
      <c r="E527" s="1028" t="s">
        <v>1618</v>
      </c>
      <c r="F527" s="547"/>
      <c r="G527" s="547"/>
      <c r="H527" s="547"/>
      <c r="I527" s="547"/>
      <c r="J527" s="547"/>
      <c r="K527" s="547"/>
      <c r="L527" s="547"/>
      <c r="M527" s="547"/>
      <c r="N527" s="547"/>
      <c r="O527" s="547"/>
      <c r="P527" s="547"/>
      <c r="Q527" s="547"/>
      <c r="R527" s="547"/>
      <c r="S527" s="989">
        <f t="shared" si="32"/>
        <v>0</v>
      </c>
      <c r="T527" s="547">
        <v>0</v>
      </c>
      <c r="U527" s="989">
        <f t="shared" si="33"/>
        <v>0</v>
      </c>
      <c r="V527" s="547">
        <v>0</v>
      </c>
      <c r="W527" s="566"/>
      <c r="X527" s="567"/>
      <c r="Y527" s="989">
        <f t="shared" si="34"/>
        <v>0</v>
      </c>
      <c r="Z527" s="812">
        <f t="shared" si="35"/>
        <v>0</v>
      </c>
    </row>
    <row r="528" spans="1:26" ht="27" customHeight="1">
      <c r="A528" s="531">
        <v>3214</v>
      </c>
      <c r="B528" s="531"/>
      <c r="C528" s="529">
        <v>20</v>
      </c>
      <c r="D528" s="1027" t="s">
        <v>1202</v>
      </c>
      <c r="E528" s="1028" t="s">
        <v>1619</v>
      </c>
      <c r="F528" s="547"/>
      <c r="G528" s="547"/>
      <c r="H528" s="547"/>
      <c r="I528" s="547"/>
      <c r="J528" s="547"/>
      <c r="K528" s="547"/>
      <c r="L528" s="547"/>
      <c r="M528" s="547"/>
      <c r="N528" s="547"/>
      <c r="O528" s="547"/>
      <c r="P528" s="547"/>
      <c r="Q528" s="547"/>
      <c r="R528" s="547"/>
      <c r="S528" s="989">
        <f t="shared" si="32"/>
        <v>0</v>
      </c>
      <c r="T528" s="547">
        <v>814075478461</v>
      </c>
      <c r="U528" s="989">
        <f t="shared" si="33"/>
        <v>0</v>
      </c>
      <c r="V528" s="547">
        <v>814075</v>
      </c>
      <c r="W528" s="566"/>
      <c r="X528" s="567"/>
      <c r="Y528" s="989">
        <f t="shared" si="34"/>
        <v>0</v>
      </c>
      <c r="Z528" s="812">
        <f t="shared" si="35"/>
        <v>0</v>
      </c>
    </row>
    <row r="529" spans="1:26" ht="27" customHeight="1">
      <c r="A529" s="531">
        <v>3214</v>
      </c>
      <c r="B529" s="531"/>
      <c r="C529" s="529">
        <v>20</v>
      </c>
      <c r="D529" s="1027" t="s">
        <v>619</v>
      </c>
      <c r="E529" s="1028" t="s">
        <v>1620</v>
      </c>
      <c r="F529" s="547"/>
      <c r="G529" s="547"/>
      <c r="H529" s="547"/>
      <c r="I529" s="547"/>
      <c r="J529" s="547"/>
      <c r="K529" s="547"/>
      <c r="L529" s="547"/>
      <c r="M529" s="547"/>
      <c r="N529" s="547"/>
      <c r="O529" s="547"/>
      <c r="P529" s="547"/>
      <c r="Q529" s="547"/>
      <c r="R529" s="547"/>
      <c r="S529" s="989">
        <f t="shared" si="32"/>
        <v>0</v>
      </c>
      <c r="T529" s="547">
        <v>0</v>
      </c>
      <c r="U529" s="989">
        <f t="shared" si="33"/>
        <v>0</v>
      </c>
      <c r="V529" s="547">
        <v>0</v>
      </c>
      <c r="W529" s="566"/>
      <c r="X529" s="567"/>
      <c r="Y529" s="989">
        <f t="shared" si="34"/>
        <v>0</v>
      </c>
      <c r="Z529" s="812">
        <f t="shared" si="35"/>
        <v>0</v>
      </c>
    </row>
    <row r="530" spans="1:26" ht="27" customHeight="1">
      <c r="A530" s="531">
        <v>3214</v>
      </c>
      <c r="B530" s="531"/>
      <c r="C530" s="529">
        <v>20</v>
      </c>
      <c r="D530" s="1027" t="s">
        <v>1204</v>
      </c>
      <c r="E530" s="1028" t="s">
        <v>1621</v>
      </c>
      <c r="F530" s="547"/>
      <c r="G530" s="547"/>
      <c r="H530" s="547"/>
      <c r="I530" s="547"/>
      <c r="J530" s="547"/>
      <c r="K530" s="547"/>
      <c r="L530" s="547"/>
      <c r="M530" s="547"/>
      <c r="N530" s="547"/>
      <c r="O530" s="547"/>
      <c r="P530" s="547"/>
      <c r="Q530" s="547"/>
      <c r="R530" s="547"/>
      <c r="S530" s="989">
        <f t="shared" si="32"/>
        <v>0</v>
      </c>
      <c r="T530" s="547">
        <v>-814075478461</v>
      </c>
      <c r="U530" s="989">
        <f t="shared" si="33"/>
        <v>0</v>
      </c>
      <c r="V530" s="547">
        <v>-814075</v>
      </c>
      <c r="W530" s="566"/>
      <c r="X530" s="567"/>
      <c r="Y530" s="989">
        <f t="shared" si="34"/>
        <v>0</v>
      </c>
      <c r="Z530" s="812">
        <f t="shared" si="35"/>
        <v>0</v>
      </c>
    </row>
    <row r="531" spans="1:26" ht="27" hidden="1" customHeight="1">
      <c r="A531" s="531"/>
      <c r="B531" s="531">
        <v>501</v>
      </c>
      <c r="C531" s="1123">
        <v>13</v>
      </c>
      <c r="D531" s="1027" t="s">
        <v>1266</v>
      </c>
      <c r="E531" s="1028" t="s">
        <v>1267</v>
      </c>
      <c r="F531" s="547"/>
      <c r="G531" s="547"/>
      <c r="H531" s="547"/>
      <c r="I531" s="547"/>
      <c r="J531" s="547"/>
      <c r="K531" s="547"/>
      <c r="L531" s="547"/>
      <c r="M531" s="547"/>
      <c r="N531" s="547"/>
      <c r="O531" s="547"/>
      <c r="P531" s="547"/>
      <c r="Q531" s="547"/>
      <c r="R531" s="547"/>
      <c r="S531" s="989">
        <f t="shared" si="32"/>
        <v>0</v>
      </c>
      <c r="T531" s="547">
        <v>993269557</v>
      </c>
      <c r="U531" s="989">
        <f t="shared" si="33"/>
        <v>0</v>
      </c>
      <c r="V531" s="547">
        <v>993</v>
      </c>
      <c r="W531" s="566"/>
      <c r="X531" s="567"/>
      <c r="Y531" s="989">
        <f t="shared" si="34"/>
        <v>0</v>
      </c>
      <c r="Z531" s="812">
        <f t="shared" si="35"/>
        <v>0</v>
      </c>
    </row>
    <row r="532" spans="1:26" ht="27" hidden="1" customHeight="1">
      <c r="A532" s="531"/>
      <c r="B532" s="531">
        <v>1018</v>
      </c>
      <c r="C532" s="529">
        <v>17</v>
      </c>
      <c r="D532" s="1027" t="s">
        <v>97</v>
      </c>
      <c r="E532" s="1028" t="s">
        <v>95</v>
      </c>
      <c r="F532" s="547"/>
      <c r="G532" s="547"/>
      <c r="H532" s="547"/>
      <c r="I532" s="547"/>
      <c r="J532" s="547"/>
      <c r="K532" s="547"/>
      <c r="L532" s="547"/>
      <c r="M532" s="547"/>
      <c r="N532" s="547"/>
      <c r="O532" s="547"/>
      <c r="P532" s="547"/>
      <c r="Q532" s="547"/>
      <c r="R532" s="547"/>
      <c r="S532" s="989">
        <f t="shared" si="32"/>
        <v>0</v>
      </c>
      <c r="T532" s="547">
        <v>0</v>
      </c>
      <c r="U532" s="989">
        <f t="shared" si="33"/>
        <v>0</v>
      </c>
      <c r="V532" s="547">
        <v>0</v>
      </c>
      <c r="W532" s="566"/>
      <c r="X532" s="567"/>
      <c r="Y532" s="989">
        <f t="shared" si="34"/>
        <v>0</v>
      </c>
      <c r="Z532" s="812">
        <f t="shared" si="35"/>
        <v>0</v>
      </c>
    </row>
    <row r="533" spans="1:26" ht="27" hidden="1" customHeight="1">
      <c r="A533" s="531"/>
      <c r="B533" s="531">
        <v>1018</v>
      </c>
      <c r="C533" s="529">
        <v>17</v>
      </c>
      <c r="D533" s="1027" t="s">
        <v>471</v>
      </c>
      <c r="E533" s="1028" t="s">
        <v>98</v>
      </c>
      <c r="F533" s="547"/>
      <c r="G533" s="547"/>
      <c r="H533" s="547"/>
      <c r="I533" s="547"/>
      <c r="J533" s="547"/>
      <c r="K533" s="547"/>
      <c r="L533" s="547"/>
      <c r="M533" s="547"/>
      <c r="N533" s="547"/>
      <c r="O533" s="547"/>
      <c r="P533" s="547"/>
      <c r="Q533" s="547"/>
      <c r="R533" s="547"/>
      <c r="S533" s="989">
        <f t="shared" si="32"/>
        <v>0</v>
      </c>
      <c r="T533" s="547">
        <v>0</v>
      </c>
      <c r="U533" s="989">
        <f t="shared" si="33"/>
        <v>0</v>
      </c>
      <c r="V533" s="547">
        <v>0</v>
      </c>
      <c r="W533" s="566"/>
      <c r="X533" s="567"/>
      <c r="Y533" s="989">
        <f t="shared" si="34"/>
        <v>0</v>
      </c>
      <c r="Z533" s="812">
        <f t="shared" si="35"/>
        <v>0</v>
      </c>
    </row>
    <row r="534" spans="1:26" ht="27" hidden="1" customHeight="1">
      <c r="A534" s="531"/>
      <c r="B534" s="531">
        <v>1018</v>
      </c>
      <c r="C534" s="529">
        <v>17</v>
      </c>
      <c r="D534" s="1027" t="s">
        <v>100</v>
      </c>
      <c r="E534" s="1028" t="s">
        <v>1612</v>
      </c>
      <c r="F534" s="547"/>
      <c r="G534" s="547"/>
      <c r="H534" s="547"/>
      <c r="I534" s="547"/>
      <c r="J534" s="547"/>
      <c r="K534" s="547"/>
      <c r="L534" s="547"/>
      <c r="M534" s="547"/>
      <c r="N534" s="547"/>
      <c r="O534" s="547"/>
      <c r="P534" s="547"/>
      <c r="Q534" s="547"/>
      <c r="R534" s="547"/>
      <c r="S534" s="989">
        <f t="shared" si="32"/>
        <v>0</v>
      </c>
      <c r="T534" s="547">
        <v>0</v>
      </c>
      <c r="U534" s="989">
        <f t="shared" si="33"/>
        <v>0</v>
      </c>
      <c r="V534" s="547">
        <v>0</v>
      </c>
      <c r="W534" s="566"/>
      <c r="X534" s="567"/>
      <c r="Y534" s="989">
        <f t="shared" si="34"/>
        <v>0</v>
      </c>
      <c r="Z534" s="812">
        <f t="shared" si="35"/>
        <v>0</v>
      </c>
    </row>
    <row r="535" spans="1:26" ht="27" hidden="1" customHeight="1">
      <c r="A535" s="531"/>
      <c r="B535" s="531">
        <v>1018</v>
      </c>
      <c r="C535" s="529">
        <v>17</v>
      </c>
      <c r="D535" s="1027" t="s">
        <v>1360</v>
      </c>
      <c r="E535" s="1028" t="s">
        <v>1613</v>
      </c>
      <c r="F535" s="547"/>
      <c r="G535" s="547"/>
      <c r="H535" s="547"/>
      <c r="I535" s="547"/>
      <c r="J535" s="547"/>
      <c r="K535" s="547"/>
      <c r="L535" s="547"/>
      <c r="M535" s="547"/>
      <c r="N535" s="547"/>
      <c r="O535" s="547"/>
      <c r="P535" s="547"/>
      <c r="Q535" s="547"/>
      <c r="R535" s="547"/>
      <c r="S535" s="989">
        <f t="shared" si="32"/>
        <v>0</v>
      </c>
      <c r="T535" s="547">
        <v>0</v>
      </c>
      <c r="U535" s="989">
        <f t="shared" si="33"/>
        <v>0</v>
      </c>
      <c r="V535" s="547">
        <v>0</v>
      </c>
      <c r="W535" s="566"/>
      <c r="X535" s="567"/>
      <c r="Y535" s="989">
        <f t="shared" si="34"/>
        <v>0</v>
      </c>
      <c r="Z535" s="812">
        <f t="shared" si="35"/>
        <v>0</v>
      </c>
    </row>
    <row r="536" spans="1:26" ht="27" hidden="1" customHeight="1">
      <c r="A536" s="1394"/>
      <c r="B536" s="531">
        <v>501</v>
      </c>
      <c r="C536" s="1123">
        <v>13</v>
      </c>
      <c r="D536" s="1027" t="s">
        <v>1595</v>
      </c>
      <c r="E536" s="1028" t="s">
        <v>1613</v>
      </c>
      <c r="F536" s="547"/>
      <c r="G536" s="547"/>
      <c r="H536" s="547"/>
      <c r="I536" s="547"/>
      <c r="J536" s="547"/>
      <c r="K536" s="547"/>
      <c r="L536" s="547"/>
      <c r="M536" s="547"/>
      <c r="N536" s="547"/>
      <c r="O536" s="547"/>
      <c r="P536" s="547"/>
      <c r="Q536" s="547"/>
      <c r="R536" s="547"/>
      <c r="S536" s="989">
        <f t="shared" si="32"/>
        <v>0</v>
      </c>
      <c r="T536" s="547">
        <v>0</v>
      </c>
      <c r="U536" s="989">
        <f t="shared" si="33"/>
        <v>0</v>
      </c>
      <c r="V536" s="547">
        <v>0</v>
      </c>
      <c r="W536" s="566"/>
      <c r="X536" s="567"/>
      <c r="Y536" s="989">
        <f t="shared" si="34"/>
        <v>0</v>
      </c>
      <c r="Z536" s="812">
        <f t="shared" si="35"/>
        <v>0</v>
      </c>
    </row>
    <row r="537" spans="1:26" ht="27" hidden="1" customHeight="1">
      <c r="A537" s="531"/>
      <c r="B537" s="531">
        <v>501</v>
      </c>
      <c r="C537" s="1123">
        <v>13</v>
      </c>
      <c r="D537" s="1027" t="s">
        <v>1572</v>
      </c>
      <c r="E537" s="1028" t="s">
        <v>1574</v>
      </c>
      <c r="F537" s="547"/>
      <c r="G537" s="547"/>
      <c r="H537" s="547"/>
      <c r="I537" s="547"/>
      <c r="J537" s="547"/>
      <c r="K537" s="547"/>
      <c r="L537" s="547"/>
      <c r="M537" s="547"/>
      <c r="N537" s="547"/>
      <c r="O537" s="547"/>
      <c r="P537" s="547"/>
      <c r="Q537" s="547"/>
      <c r="R537" s="547"/>
      <c r="S537" s="989">
        <f t="shared" si="32"/>
        <v>0</v>
      </c>
      <c r="T537" s="547">
        <v>0</v>
      </c>
      <c r="U537" s="989">
        <f t="shared" si="33"/>
        <v>0</v>
      </c>
      <c r="V537" s="547">
        <v>0</v>
      </c>
      <c r="W537" s="566"/>
      <c r="X537" s="567"/>
      <c r="Y537" s="989">
        <f t="shared" si="34"/>
        <v>0</v>
      </c>
      <c r="Z537" s="812">
        <f t="shared" si="35"/>
        <v>0</v>
      </c>
    </row>
    <row r="538" spans="1:26" ht="27" hidden="1" customHeight="1">
      <c r="A538" s="531"/>
      <c r="B538" s="531">
        <v>908</v>
      </c>
      <c r="C538" s="529">
        <v>8</v>
      </c>
      <c r="D538" s="1027" t="s">
        <v>1573</v>
      </c>
      <c r="E538" s="1028" t="s">
        <v>1575</v>
      </c>
      <c r="F538" s="547"/>
      <c r="G538" s="547"/>
      <c r="H538" s="547"/>
      <c r="I538" s="547"/>
      <c r="J538" s="547"/>
      <c r="K538" s="547"/>
      <c r="L538" s="547"/>
      <c r="M538" s="547"/>
      <c r="N538" s="547"/>
      <c r="O538" s="547"/>
      <c r="P538" s="547"/>
      <c r="Q538" s="547"/>
      <c r="R538" s="547"/>
      <c r="S538" s="989">
        <f t="shared" si="32"/>
        <v>0</v>
      </c>
      <c r="T538" s="547">
        <v>0</v>
      </c>
      <c r="U538" s="989">
        <f t="shared" si="33"/>
        <v>0</v>
      </c>
      <c r="V538" s="547">
        <v>0</v>
      </c>
      <c r="W538" s="566"/>
      <c r="X538" s="567"/>
      <c r="Y538" s="989">
        <f t="shared" si="34"/>
        <v>0</v>
      </c>
      <c r="Z538" s="812">
        <f t="shared" si="35"/>
        <v>0</v>
      </c>
    </row>
    <row r="539" spans="1:26" ht="27" hidden="1" customHeight="1">
      <c r="A539" s="1394"/>
      <c r="B539" s="531">
        <v>501</v>
      </c>
      <c r="C539" s="1123">
        <v>13</v>
      </c>
      <c r="D539" s="1027" t="s">
        <v>593</v>
      </c>
      <c r="E539" s="1028" t="s">
        <v>1614</v>
      </c>
      <c r="F539" s="547"/>
      <c r="G539" s="547"/>
      <c r="H539" s="547"/>
      <c r="I539" s="547"/>
      <c r="J539" s="547"/>
      <c r="K539" s="547"/>
      <c r="L539" s="547"/>
      <c r="M539" s="547"/>
      <c r="N539" s="547"/>
      <c r="O539" s="547"/>
      <c r="P539" s="547"/>
      <c r="Q539" s="547"/>
      <c r="R539" s="547"/>
      <c r="S539" s="989">
        <f t="shared" si="32"/>
        <v>0</v>
      </c>
      <c r="T539" s="547">
        <v>0</v>
      </c>
      <c r="U539" s="989">
        <f t="shared" si="33"/>
        <v>0</v>
      </c>
      <c r="V539" s="547">
        <v>0</v>
      </c>
      <c r="W539" s="566"/>
      <c r="X539" s="567"/>
      <c r="Y539" s="989">
        <f t="shared" si="34"/>
        <v>0</v>
      </c>
      <c r="Z539" s="812">
        <f t="shared" si="35"/>
        <v>0</v>
      </c>
    </row>
    <row r="540" spans="1:26" ht="27" hidden="1" customHeight="1">
      <c r="A540" s="1394"/>
      <c r="B540" s="531">
        <v>501</v>
      </c>
      <c r="C540" s="1123">
        <v>13</v>
      </c>
      <c r="D540" s="1027" t="s">
        <v>101</v>
      </c>
      <c r="E540" s="1028" t="s">
        <v>102</v>
      </c>
      <c r="F540" s="547"/>
      <c r="G540" s="547"/>
      <c r="H540" s="547"/>
      <c r="I540" s="547"/>
      <c r="J540" s="547"/>
      <c r="K540" s="547"/>
      <c r="L540" s="547"/>
      <c r="M540" s="547"/>
      <c r="N540" s="547"/>
      <c r="O540" s="547"/>
      <c r="P540" s="547"/>
      <c r="Q540" s="547"/>
      <c r="R540" s="547"/>
      <c r="S540" s="989">
        <f t="shared" si="32"/>
        <v>0</v>
      </c>
      <c r="T540" s="547">
        <v>0</v>
      </c>
      <c r="U540" s="989">
        <f t="shared" si="33"/>
        <v>0</v>
      </c>
      <c r="V540" s="547">
        <v>0</v>
      </c>
      <c r="W540" s="566"/>
      <c r="X540" s="567"/>
      <c r="Y540" s="989">
        <f t="shared" si="34"/>
        <v>0</v>
      </c>
      <c r="Z540" s="812">
        <f t="shared" si="35"/>
        <v>0</v>
      </c>
    </row>
    <row r="541" spans="1:26" ht="27" hidden="1" customHeight="1">
      <c r="A541" s="1394"/>
      <c r="B541" s="531">
        <v>501</v>
      </c>
      <c r="C541" s="1123">
        <v>13</v>
      </c>
      <c r="D541" s="1027" t="s">
        <v>1599</v>
      </c>
      <c r="E541" s="1028" t="s">
        <v>1600</v>
      </c>
      <c r="F541" s="547"/>
      <c r="G541" s="547"/>
      <c r="H541" s="547"/>
      <c r="I541" s="547"/>
      <c r="J541" s="547"/>
      <c r="K541" s="547"/>
      <c r="L541" s="547"/>
      <c r="M541" s="547"/>
      <c r="N541" s="547"/>
      <c r="O541" s="547"/>
      <c r="P541" s="547"/>
      <c r="Q541" s="547"/>
      <c r="R541" s="547"/>
      <c r="S541" s="989">
        <f t="shared" si="32"/>
        <v>0</v>
      </c>
      <c r="T541" s="547">
        <v>0</v>
      </c>
      <c r="U541" s="989">
        <f t="shared" si="33"/>
        <v>0</v>
      </c>
      <c r="V541" s="547">
        <v>0</v>
      </c>
      <c r="W541" s="566"/>
      <c r="X541" s="567"/>
      <c r="Y541" s="989">
        <f t="shared" si="34"/>
        <v>0</v>
      </c>
      <c r="Z541" s="812">
        <f t="shared" si="35"/>
        <v>0</v>
      </c>
    </row>
    <row r="542" spans="1:26" ht="27" hidden="1" customHeight="1">
      <c r="A542" s="1394"/>
      <c r="B542" s="531">
        <v>501</v>
      </c>
      <c r="C542" s="1123">
        <v>13</v>
      </c>
      <c r="D542" s="1027" t="s">
        <v>1362</v>
      </c>
      <c r="E542" s="1028" t="s">
        <v>1363</v>
      </c>
      <c r="F542" s="547"/>
      <c r="G542" s="547"/>
      <c r="H542" s="547"/>
      <c r="I542" s="547"/>
      <c r="J542" s="547"/>
      <c r="K542" s="547"/>
      <c r="L542" s="547"/>
      <c r="M542" s="547"/>
      <c r="N542" s="547"/>
      <c r="O542" s="547"/>
      <c r="P542" s="547"/>
      <c r="Q542" s="547"/>
      <c r="R542" s="547"/>
      <c r="S542" s="989">
        <f t="shared" si="32"/>
        <v>0</v>
      </c>
      <c r="T542" s="547">
        <v>0</v>
      </c>
      <c r="U542" s="989">
        <f t="shared" si="33"/>
        <v>0</v>
      </c>
      <c r="V542" s="547">
        <v>0</v>
      </c>
      <c r="W542" s="566"/>
      <c r="X542" s="567"/>
      <c r="Y542" s="989">
        <f t="shared" si="34"/>
        <v>0</v>
      </c>
      <c r="Z542" s="812">
        <f t="shared" si="35"/>
        <v>0</v>
      </c>
    </row>
    <row r="543" spans="1:26" ht="27" hidden="1" customHeight="1">
      <c r="A543" s="1394"/>
      <c r="B543" s="531">
        <v>501</v>
      </c>
      <c r="C543" s="1123">
        <v>13</v>
      </c>
      <c r="D543" s="1027" t="s">
        <v>1576</v>
      </c>
      <c r="E543" s="1028" t="s">
        <v>1582</v>
      </c>
      <c r="F543" s="547"/>
      <c r="G543" s="547"/>
      <c r="H543" s="547"/>
      <c r="I543" s="547"/>
      <c r="J543" s="547"/>
      <c r="K543" s="547"/>
      <c r="L543" s="547"/>
      <c r="M543" s="547"/>
      <c r="N543" s="547"/>
      <c r="O543" s="547"/>
      <c r="P543" s="547"/>
      <c r="Q543" s="547"/>
      <c r="R543" s="547"/>
      <c r="S543" s="989">
        <f t="shared" si="32"/>
        <v>0</v>
      </c>
      <c r="T543" s="547">
        <v>0</v>
      </c>
      <c r="U543" s="989">
        <f t="shared" si="33"/>
        <v>0</v>
      </c>
      <c r="V543" s="547">
        <v>0</v>
      </c>
      <c r="W543" s="566"/>
      <c r="X543" s="567"/>
      <c r="Y543" s="989">
        <f t="shared" si="34"/>
        <v>0</v>
      </c>
      <c r="Z543" s="812">
        <f t="shared" si="35"/>
        <v>0</v>
      </c>
    </row>
    <row r="544" spans="1:26" ht="27" hidden="1" customHeight="1">
      <c r="A544" s="1394"/>
      <c r="B544" s="531">
        <v>501</v>
      </c>
      <c r="C544" s="1123">
        <v>13</v>
      </c>
      <c r="D544" s="1027" t="s">
        <v>1577</v>
      </c>
      <c r="E544" s="1028" t="s">
        <v>1583</v>
      </c>
      <c r="F544" s="547"/>
      <c r="G544" s="547"/>
      <c r="H544" s="547"/>
      <c r="I544" s="547"/>
      <c r="J544" s="547"/>
      <c r="K544" s="547"/>
      <c r="L544" s="547"/>
      <c r="M544" s="547"/>
      <c r="N544" s="547"/>
      <c r="O544" s="547"/>
      <c r="P544" s="547"/>
      <c r="Q544" s="547"/>
      <c r="R544" s="547"/>
      <c r="S544" s="989">
        <f t="shared" si="32"/>
        <v>0</v>
      </c>
      <c r="T544" s="547">
        <v>0</v>
      </c>
      <c r="U544" s="989">
        <f t="shared" si="33"/>
        <v>0</v>
      </c>
      <c r="V544" s="547">
        <v>0</v>
      </c>
      <c r="W544" s="566"/>
      <c r="X544" s="567"/>
      <c r="Y544" s="989">
        <f t="shared" si="34"/>
        <v>0</v>
      </c>
      <c r="Z544" s="812">
        <f t="shared" si="35"/>
        <v>0</v>
      </c>
    </row>
    <row r="545" spans="1:26" ht="27" hidden="1" customHeight="1">
      <c r="A545" s="1394"/>
      <c r="B545" s="531">
        <v>501</v>
      </c>
      <c r="C545" s="1123">
        <v>13</v>
      </c>
      <c r="D545" s="1027" t="s">
        <v>1578</v>
      </c>
      <c r="E545" s="1028" t="s">
        <v>1584</v>
      </c>
      <c r="F545" s="547"/>
      <c r="G545" s="547"/>
      <c r="H545" s="547"/>
      <c r="I545" s="547"/>
      <c r="J545" s="547"/>
      <c r="K545" s="547"/>
      <c r="L545" s="547"/>
      <c r="M545" s="547"/>
      <c r="N545" s="547"/>
      <c r="O545" s="547"/>
      <c r="P545" s="547"/>
      <c r="Q545" s="547"/>
      <c r="R545" s="547"/>
      <c r="S545" s="989">
        <f t="shared" si="32"/>
        <v>0</v>
      </c>
      <c r="T545" s="547">
        <v>0</v>
      </c>
      <c r="U545" s="989">
        <f t="shared" si="33"/>
        <v>0</v>
      </c>
      <c r="V545" s="547">
        <v>0</v>
      </c>
      <c r="W545" s="566"/>
      <c r="X545" s="567"/>
      <c r="Y545" s="989">
        <f t="shared" si="34"/>
        <v>0</v>
      </c>
      <c r="Z545" s="812">
        <f t="shared" si="35"/>
        <v>0</v>
      </c>
    </row>
    <row r="546" spans="1:26" ht="27" hidden="1" customHeight="1">
      <c r="A546" s="1394"/>
      <c r="B546" s="531">
        <v>501</v>
      </c>
      <c r="C546" s="1123">
        <v>13</v>
      </c>
      <c r="D546" s="1027" t="s">
        <v>1579</v>
      </c>
      <c r="E546" s="1028" t="s">
        <v>1585</v>
      </c>
      <c r="F546" s="547"/>
      <c r="G546" s="547"/>
      <c r="H546" s="547"/>
      <c r="I546" s="547"/>
      <c r="J546" s="547"/>
      <c r="K546" s="547"/>
      <c r="L546" s="547"/>
      <c r="M546" s="547"/>
      <c r="N546" s="547"/>
      <c r="O546" s="547"/>
      <c r="P546" s="547"/>
      <c r="Q546" s="547"/>
      <c r="R546" s="547"/>
      <c r="S546" s="989">
        <f t="shared" si="32"/>
        <v>0</v>
      </c>
      <c r="T546" s="547">
        <v>0</v>
      </c>
      <c r="U546" s="989">
        <f t="shared" si="33"/>
        <v>0</v>
      </c>
      <c r="V546" s="547">
        <v>0</v>
      </c>
      <c r="W546" s="566"/>
      <c r="X546" s="567"/>
      <c r="Y546" s="989">
        <f t="shared" si="34"/>
        <v>0</v>
      </c>
      <c r="Z546" s="812">
        <f t="shared" si="35"/>
        <v>0</v>
      </c>
    </row>
    <row r="547" spans="1:26" ht="27" hidden="1" customHeight="1">
      <c r="A547" s="1394"/>
      <c r="B547" s="531">
        <v>501</v>
      </c>
      <c r="C547" s="1123">
        <v>13</v>
      </c>
      <c r="D547" s="1027" t="s">
        <v>1580</v>
      </c>
      <c r="E547" s="1028" t="s">
        <v>1586</v>
      </c>
      <c r="F547" s="547"/>
      <c r="G547" s="547"/>
      <c r="H547" s="547"/>
      <c r="I547" s="547"/>
      <c r="J547" s="547"/>
      <c r="K547" s="547"/>
      <c r="L547" s="547"/>
      <c r="M547" s="547"/>
      <c r="N547" s="547"/>
      <c r="O547" s="547"/>
      <c r="P547" s="547"/>
      <c r="Q547" s="547"/>
      <c r="R547" s="547"/>
      <c r="S547" s="989">
        <f t="shared" si="32"/>
        <v>0</v>
      </c>
      <c r="T547" s="547">
        <v>0</v>
      </c>
      <c r="U547" s="989">
        <f t="shared" si="33"/>
        <v>0</v>
      </c>
      <c r="V547" s="547">
        <v>0</v>
      </c>
      <c r="W547" s="566"/>
      <c r="X547" s="567"/>
      <c r="Y547" s="989">
        <f t="shared" si="34"/>
        <v>0</v>
      </c>
      <c r="Z547" s="812">
        <f t="shared" si="35"/>
        <v>0</v>
      </c>
    </row>
    <row r="548" spans="1:26" ht="27" hidden="1" customHeight="1">
      <c r="A548" s="531"/>
      <c r="B548" s="531">
        <v>1018</v>
      </c>
      <c r="C548" s="529">
        <v>17</v>
      </c>
      <c r="D548" s="1027" t="s">
        <v>912</v>
      </c>
      <c r="E548" s="1028" t="s">
        <v>1005</v>
      </c>
      <c r="F548" s="547"/>
      <c r="G548" s="547"/>
      <c r="H548" s="547"/>
      <c r="I548" s="547"/>
      <c r="J548" s="547"/>
      <c r="K548" s="547"/>
      <c r="L548" s="547"/>
      <c r="M548" s="547"/>
      <c r="N548" s="547"/>
      <c r="O548" s="547"/>
      <c r="P548" s="547"/>
      <c r="Q548" s="547"/>
      <c r="R548" s="547"/>
      <c r="S548" s="989">
        <f t="shared" si="32"/>
        <v>0</v>
      </c>
      <c r="T548" s="547">
        <v>0</v>
      </c>
      <c r="U548" s="989">
        <f t="shared" si="33"/>
        <v>0</v>
      </c>
      <c r="V548" s="547">
        <v>0</v>
      </c>
      <c r="W548" s="566"/>
      <c r="X548" s="567"/>
      <c r="Y548" s="989">
        <f t="shared" si="34"/>
        <v>0</v>
      </c>
      <c r="Z548" s="812">
        <f t="shared" si="35"/>
        <v>0</v>
      </c>
    </row>
    <row r="549" spans="1:26" ht="27" hidden="1" customHeight="1">
      <c r="A549" s="1394"/>
      <c r="B549" s="531">
        <v>501</v>
      </c>
      <c r="C549" s="1123">
        <v>13</v>
      </c>
      <c r="D549" s="1027" t="s">
        <v>1581</v>
      </c>
      <c r="E549" s="1028" t="s">
        <v>1587</v>
      </c>
      <c r="F549" s="547"/>
      <c r="G549" s="547"/>
      <c r="H549" s="547"/>
      <c r="I549" s="547"/>
      <c r="J549" s="547"/>
      <c r="K549" s="547"/>
      <c r="L549" s="547"/>
      <c r="M549" s="547"/>
      <c r="N549" s="547"/>
      <c r="O549" s="547"/>
      <c r="P549" s="547"/>
      <c r="Q549" s="547"/>
      <c r="R549" s="547"/>
      <c r="S549" s="989">
        <f t="shared" si="32"/>
        <v>0</v>
      </c>
      <c r="T549" s="547">
        <v>0</v>
      </c>
      <c r="U549" s="989">
        <f t="shared" si="33"/>
        <v>0</v>
      </c>
      <c r="V549" s="547">
        <v>0</v>
      </c>
      <c r="W549" s="566"/>
      <c r="X549" s="567"/>
      <c r="Y549" s="989">
        <f t="shared" si="34"/>
        <v>0</v>
      </c>
      <c r="Z549" s="812">
        <f t="shared" si="35"/>
        <v>0</v>
      </c>
    </row>
    <row r="550" spans="1:26" ht="27" hidden="1" customHeight="1">
      <c r="A550" s="1394"/>
      <c r="B550" s="531">
        <v>501</v>
      </c>
      <c r="C550" s="1123">
        <v>13</v>
      </c>
      <c r="D550" s="1027" t="s">
        <v>1025</v>
      </c>
      <c r="E550" s="1028" t="s">
        <v>1029</v>
      </c>
      <c r="F550" s="547"/>
      <c r="G550" s="547"/>
      <c r="H550" s="547"/>
      <c r="I550" s="547"/>
      <c r="J550" s="547"/>
      <c r="K550" s="547"/>
      <c r="L550" s="547"/>
      <c r="M550" s="547"/>
      <c r="N550" s="547"/>
      <c r="O550" s="547"/>
      <c r="P550" s="547"/>
      <c r="Q550" s="547"/>
      <c r="R550" s="547"/>
      <c r="S550" s="989">
        <f t="shared" si="32"/>
        <v>0</v>
      </c>
      <c r="T550" s="547">
        <v>0</v>
      </c>
      <c r="U550" s="989">
        <f t="shared" si="33"/>
        <v>0</v>
      </c>
      <c r="V550" s="547">
        <v>0</v>
      </c>
      <c r="W550" s="566"/>
      <c r="X550" s="567"/>
      <c r="Y550" s="989">
        <f t="shared" si="34"/>
        <v>0</v>
      </c>
      <c r="Z550" s="812">
        <f t="shared" si="35"/>
        <v>0</v>
      </c>
    </row>
    <row r="551" spans="1:26" ht="27" hidden="1" customHeight="1">
      <c r="A551" s="531"/>
      <c r="B551" s="531">
        <v>1018</v>
      </c>
      <c r="C551" s="529">
        <v>17</v>
      </c>
      <c r="D551" s="1027" t="s">
        <v>741</v>
      </c>
      <c r="E551" s="1028" t="s">
        <v>742</v>
      </c>
      <c r="F551" s="547"/>
      <c r="G551" s="547"/>
      <c r="H551" s="547"/>
      <c r="I551" s="547"/>
      <c r="J551" s="547"/>
      <c r="K551" s="547"/>
      <c r="L551" s="547"/>
      <c r="M551" s="547"/>
      <c r="N551" s="547"/>
      <c r="O551" s="547"/>
      <c r="P551" s="547"/>
      <c r="Q551" s="547"/>
      <c r="R551" s="547"/>
      <c r="S551" s="989">
        <f t="shared" si="32"/>
        <v>0</v>
      </c>
      <c r="T551" s="547">
        <v>0</v>
      </c>
      <c r="U551" s="989">
        <f t="shared" si="33"/>
        <v>0</v>
      </c>
      <c r="V551" s="547">
        <v>0</v>
      </c>
      <c r="W551" s="566"/>
      <c r="X551" s="567"/>
      <c r="Y551" s="989">
        <f t="shared" si="34"/>
        <v>0</v>
      </c>
      <c r="Z551" s="812">
        <f t="shared" si="35"/>
        <v>0</v>
      </c>
    </row>
    <row r="552" spans="1:26" ht="27" hidden="1" customHeight="1">
      <c r="A552" s="531"/>
      <c r="B552" s="531">
        <v>606</v>
      </c>
      <c r="C552" s="529">
        <v>12</v>
      </c>
      <c r="D552" s="1027" t="s">
        <v>621</v>
      </c>
      <c r="E552" s="1028" t="s">
        <v>1602</v>
      </c>
      <c r="F552" s="547"/>
      <c r="G552" s="547"/>
      <c r="H552" s="547"/>
      <c r="I552" s="547"/>
      <c r="J552" s="547"/>
      <c r="K552" s="547"/>
      <c r="L552" s="547"/>
      <c r="M552" s="547"/>
      <c r="N552" s="547"/>
      <c r="O552" s="547"/>
      <c r="P552" s="547"/>
      <c r="Q552" s="547"/>
      <c r="R552" s="547"/>
      <c r="S552" s="989">
        <f t="shared" si="32"/>
        <v>0</v>
      </c>
      <c r="T552" s="547">
        <v>476040101764</v>
      </c>
      <c r="U552" s="989">
        <f t="shared" si="33"/>
        <v>0</v>
      </c>
      <c r="V552" s="547">
        <v>476040</v>
      </c>
      <c r="W552" s="566"/>
      <c r="X552" s="567"/>
      <c r="Y552" s="989">
        <f t="shared" si="34"/>
        <v>0</v>
      </c>
      <c r="Z552" s="812">
        <f t="shared" si="35"/>
        <v>0</v>
      </c>
    </row>
    <row r="553" spans="1:26" ht="27" hidden="1" customHeight="1">
      <c r="A553" s="531"/>
      <c r="B553" s="531">
        <v>606</v>
      </c>
      <c r="C553" s="529">
        <v>12</v>
      </c>
      <c r="D553" s="1027" t="s">
        <v>623</v>
      </c>
      <c r="E553" s="1028" t="s">
        <v>1603</v>
      </c>
      <c r="F553" s="547"/>
      <c r="G553" s="547"/>
      <c r="H553" s="547"/>
      <c r="I553" s="547"/>
      <c r="J553" s="547"/>
      <c r="K553" s="547"/>
      <c r="L553" s="547"/>
      <c r="M553" s="547"/>
      <c r="N553" s="547"/>
      <c r="O553" s="547"/>
      <c r="P553" s="547"/>
      <c r="Q553" s="547"/>
      <c r="R553" s="547"/>
      <c r="S553" s="989">
        <f t="shared" si="32"/>
        <v>0</v>
      </c>
      <c r="T553" s="547">
        <v>-476040101764</v>
      </c>
      <c r="U553" s="989">
        <f t="shared" si="33"/>
        <v>0</v>
      </c>
      <c r="V553" s="547">
        <v>-476040</v>
      </c>
      <c r="W553" s="566"/>
      <c r="X553" s="567"/>
      <c r="Y553" s="989">
        <f t="shared" si="34"/>
        <v>0</v>
      </c>
      <c r="Z553" s="812">
        <f t="shared" si="35"/>
        <v>0</v>
      </c>
    </row>
    <row r="554" spans="1:26" ht="27" customHeight="1">
      <c r="A554" s="531">
        <v>3214</v>
      </c>
      <c r="B554" s="531">
        <v>606</v>
      </c>
      <c r="C554" s="529">
        <v>12</v>
      </c>
      <c r="D554" s="1027" t="s">
        <v>621</v>
      </c>
      <c r="E554" s="1028" t="s">
        <v>1622</v>
      </c>
      <c r="F554" s="547"/>
      <c r="G554" s="547"/>
      <c r="H554" s="547"/>
      <c r="I554" s="547"/>
      <c r="J554" s="547"/>
      <c r="K554" s="547"/>
      <c r="L554" s="547"/>
      <c r="M554" s="547"/>
      <c r="N554" s="547"/>
      <c r="O554" s="547">
        <v>2710470793895</v>
      </c>
      <c r="P554" s="547"/>
      <c r="Q554" s="547"/>
      <c r="R554" s="547"/>
      <c r="S554" s="989">
        <f t="shared" si="32"/>
        <v>2710470793895</v>
      </c>
      <c r="T554" s="547">
        <v>2078275697440</v>
      </c>
      <c r="U554" s="989">
        <f t="shared" si="33"/>
        <v>2710471</v>
      </c>
      <c r="V554" s="547">
        <v>2078276</v>
      </c>
      <c r="W554" s="566"/>
      <c r="X554" s="567"/>
      <c r="Y554" s="989">
        <f t="shared" si="34"/>
        <v>2710470793895</v>
      </c>
      <c r="Z554" s="812">
        <f t="shared" si="35"/>
        <v>2710471</v>
      </c>
    </row>
    <row r="555" spans="1:26" ht="27" customHeight="1">
      <c r="A555" s="531">
        <v>3214</v>
      </c>
      <c r="B555" s="531">
        <v>606</v>
      </c>
      <c r="C555" s="529">
        <v>12</v>
      </c>
      <c r="D555" s="1027" t="s">
        <v>623</v>
      </c>
      <c r="E555" s="1028" t="s">
        <v>1623</v>
      </c>
      <c r="F555" s="547"/>
      <c r="G555" s="547"/>
      <c r="H555" s="547"/>
      <c r="I555" s="547"/>
      <c r="J555" s="547"/>
      <c r="K555" s="547"/>
      <c r="L555" s="547"/>
      <c r="M555" s="547"/>
      <c r="N555" s="547"/>
      <c r="O555" s="547">
        <v>-2710470793895</v>
      </c>
      <c r="P555" s="547"/>
      <c r="Q555" s="547"/>
      <c r="R555" s="547"/>
      <c r="S555" s="989">
        <f t="shared" si="32"/>
        <v>-2710470793895</v>
      </c>
      <c r="T555" s="547">
        <v>-2078275697440</v>
      </c>
      <c r="U555" s="989">
        <f t="shared" si="33"/>
        <v>-2710471</v>
      </c>
      <c r="V555" s="547">
        <v>-2078276</v>
      </c>
      <c r="W555" s="566"/>
      <c r="X555" s="567"/>
      <c r="Y555" s="989">
        <f t="shared" si="34"/>
        <v>-2710470793895</v>
      </c>
      <c r="Z555" s="812">
        <f t="shared" si="35"/>
        <v>-2710471</v>
      </c>
    </row>
    <row r="556" spans="1:26" ht="27" hidden="1" customHeight="1">
      <c r="A556" s="531"/>
      <c r="B556" s="531"/>
      <c r="C556" s="529"/>
      <c r="D556" s="1027" t="s">
        <v>1588</v>
      </c>
      <c r="E556" s="1028" t="s">
        <v>1591</v>
      </c>
      <c r="F556" s="547"/>
      <c r="G556" s="547"/>
      <c r="H556" s="547"/>
      <c r="I556" s="547"/>
      <c r="J556" s="547"/>
      <c r="K556" s="547"/>
      <c r="L556" s="547"/>
      <c r="M556" s="547"/>
      <c r="N556" s="547"/>
      <c r="O556" s="547"/>
      <c r="P556" s="547"/>
      <c r="Q556" s="547"/>
      <c r="R556" s="547"/>
      <c r="S556" s="989">
        <f t="shared" si="32"/>
        <v>0</v>
      </c>
      <c r="T556" s="547">
        <v>0</v>
      </c>
      <c r="U556" s="989">
        <f t="shared" si="33"/>
        <v>0</v>
      </c>
      <c r="V556" s="547">
        <v>0</v>
      </c>
      <c r="W556" s="566"/>
      <c r="X556" s="567"/>
      <c r="Y556" s="989">
        <f t="shared" si="34"/>
        <v>0</v>
      </c>
      <c r="Z556" s="812">
        <f t="shared" si="35"/>
        <v>0</v>
      </c>
    </row>
    <row r="557" spans="1:26" ht="27" hidden="1" customHeight="1">
      <c r="A557" s="1394"/>
      <c r="B557" s="531">
        <v>501</v>
      </c>
      <c r="C557" s="1123">
        <v>13</v>
      </c>
      <c r="D557" s="1027" t="s">
        <v>1589</v>
      </c>
      <c r="E557" s="1028" t="s">
        <v>1592</v>
      </c>
      <c r="F557" s="547"/>
      <c r="G557" s="547"/>
      <c r="H557" s="547"/>
      <c r="I557" s="547"/>
      <c r="J557" s="547"/>
      <c r="K557" s="547"/>
      <c r="L557" s="547"/>
      <c r="M557" s="547"/>
      <c r="N557" s="547"/>
      <c r="O557" s="547"/>
      <c r="P557" s="547"/>
      <c r="Q557" s="547"/>
      <c r="R557" s="547"/>
      <c r="S557" s="989">
        <f t="shared" si="32"/>
        <v>0</v>
      </c>
      <c r="T557" s="547">
        <v>0</v>
      </c>
      <c r="U557" s="989">
        <f t="shared" si="33"/>
        <v>0</v>
      </c>
      <c r="V557" s="547">
        <v>0</v>
      </c>
      <c r="W557" s="566"/>
      <c r="X557" s="567"/>
      <c r="Y557" s="989">
        <f t="shared" si="34"/>
        <v>0</v>
      </c>
      <c r="Z557" s="812">
        <f t="shared" si="35"/>
        <v>0</v>
      </c>
    </row>
    <row r="558" spans="1:26" ht="27" hidden="1" customHeight="1">
      <c r="A558" s="1394"/>
      <c r="B558" s="531">
        <v>501</v>
      </c>
      <c r="C558" s="1123">
        <v>13</v>
      </c>
      <c r="D558" s="1027" t="s">
        <v>1590</v>
      </c>
      <c r="E558" s="1028" t="s">
        <v>1593</v>
      </c>
      <c r="F558" s="547"/>
      <c r="G558" s="547"/>
      <c r="H558" s="547"/>
      <c r="I558" s="547"/>
      <c r="J558" s="547"/>
      <c r="K558" s="547"/>
      <c r="L558" s="547"/>
      <c r="M558" s="547"/>
      <c r="N558" s="547"/>
      <c r="O558" s="547"/>
      <c r="P558" s="547"/>
      <c r="Q558" s="547"/>
      <c r="R558" s="547"/>
      <c r="S558" s="989">
        <f t="shared" si="32"/>
        <v>0</v>
      </c>
      <c r="T558" s="547">
        <v>0</v>
      </c>
      <c r="U558" s="989">
        <f t="shared" si="33"/>
        <v>0</v>
      </c>
      <c r="V558" s="1052">
        <v>0</v>
      </c>
      <c r="W558" s="566"/>
      <c r="X558" s="567"/>
      <c r="Y558" s="989">
        <f t="shared" si="34"/>
        <v>0</v>
      </c>
      <c r="Z558" s="812">
        <f t="shared" si="35"/>
        <v>0</v>
      </c>
    </row>
    <row r="559" spans="1:26" ht="22.5" hidden="1" customHeight="1">
      <c r="A559" s="531"/>
      <c r="B559" s="531"/>
      <c r="C559" s="529"/>
      <c r="D559" s="1027"/>
      <c r="E559" s="1028"/>
      <c r="F559" s="544"/>
      <c r="G559" s="544">
        <f t="shared" ref="G559:P559" si="36">SUM(G3:G558)</f>
        <v>0</v>
      </c>
      <c r="H559" s="544">
        <f t="shared" si="36"/>
        <v>0</v>
      </c>
      <c r="I559" s="544">
        <f t="shared" si="36"/>
        <v>0</v>
      </c>
      <c r="J559" s="544">
        <f t="shared" si="36"/>
        <v>0</v>
      </c>
      <c r="K559" s="544">
        <f t="shared" si="36"/>
        <v>0</v>
      </c>
      <c r="L559" s="544">
        <f t="shared" si="36"/>
        <v>0</v>
      </c>
      <c r="M559" s="544">
        <f t="shared" si="36"/>
        <v>0</v>
      </c>
      <c r="N559" s="544">
        <f t="shared" si="36"/>
        <v>0</v>
      </c>
      <c r="O559" s="544">
        <f t="shared" si="36"/>
        <v>0</v>
      </c>
      <c r="P559" s="544">
        <f t="shared" si="36"/>
        <v>0</v>
      </c>
      <c r="Q559" s="544">
        <f>SUM(Q3:Q558)</f>
        <v>0</v>
      </c>
      <c r="R559" s="544"/>
      <c r="S559" s="990">
        <f>SUBTOTAL(9,S3:S558)</f>
        <v>0</v>
      </c>
      <c r="T559" s="544">
        <v>0</v>
      </c>
      <c r="U559" s="991">
        <f>SUBTOTAL(9,U3:U558)</f>
        <v>0</v>
      </c>
      <c r="V559" s="544">
        <v>0</v>
      </c>
      <c r="W559" s="550"/>
      <c r="X559" s="550"/>
      <c r="Y559" s="991">
        <f>SUBTOTAL(9,Y3:Y558)</f>
        <v>0</v>
      </c>
      <c r="Z559" s="550">
        <f>SUBTOTAL(9,Z3:Z558)</f>
        <v>0</v>
      </c>
    </row>
    <row r="560" spans="1:26" ht="22.5">
      <c r="C560" s="545"/>
      <c r="D560" s="1034"/>
      <c r="F560" s="836">
        <f t="shared" ref="F560:P560" si="37">SUBTOTAL(9,F3:F558)</f>
        <v>0</v>
      </c>
      <c r="G560" s="836">
        <f t="shared" si="37"/>
        <v>0</v>
      </c>
      <c r="H560" s="836">
        <f t="shared" si="37"/>
        <v>0</v>
      </c>
      <c r="I560" s="836">
        <f t="shared" si="37"/>
        <v>-2477807488685</v>
      </c>
      <c r="J560" s="836">
        <f t="shared" si="37"/>
        <v>0</v>
      </c>
      <c r="K560" s="836">
        <f t="shared" si="37"/>
        <v>0</v>
      </c>
      <c r="L560" s="836">
        <f t="shared" si="37"/>
        <v>0</v>
      </c>
      <c r="M560" s="836">
        <f t="shared" si="37"/>
        <v>0</v>
      </c>
      <c r="N560" s="836">
        <f t="shared" si="37"/>
        <v>0</v>
      </c>
      <c r="O560" s="836">
        <f t="shared" si="37"/>
        <v>2477807488685</v>
      </c>
      <c r="P560" s="836">
        <f t="shared" si="37"/>
        <v>0</v>
      </c>
      <c r="Q560" s="1515"/>
      <c r="R560" s="836"/>
      <c r="S560" s="1008">
        <f>SUBTOTAL(9,S3:S558)</f>
        <v>0</v>
      </c>
      <c r="T560" s="1008">
        <f>SUBTOTAL(9,T3:T558)</f>
        <v>0</v>
      </c>
      <c r="U560" s="991">
        <f>SUBTOTAL(9,U3:U558)</f>
        <v>0</v>
      </c>
      <c r="V560" s="991">
        <f>SUBTOTAL(9,V3:V558)</f>
        <v>-1</v>
      </c>
      <c r="Y560" s="992"/>
      <c r="Z560" s="546"/>
    </row>
    <row r="561" spans="3:26" ht="22.5">
      <c r="C561" s="545"/>
      <c r="D561" s="1034"/>
      <c r="E561" s="547"/>
      <c r="F561" s="547"/>
      <c r="O561" s="835"/>
      <c r="S561" s="1009"/>
      <c r="T561" s="546"/>
      <c r="U561" s="992"/>
      <c r="V561" s="546"/>
      <c r="Y561" s="992"/>
      <c r="Z561" s="546"/>
    </row>
    <row r="562" spans="3:26" ht="22.5">
      <c r="C562" s="545"/>
      <c r="D562" s="1034"/>
      <c r="E562" s="1053"/>
      <c r="F562" s="547"/>
      <c r="S562" s="1009"/>
      <c r="T562" s="546"/>
      <c r="U562" s="992"/>
      <c r="V562" s="546"/>
      <c r="W562" s="835"/>
      <c r="Y562" s="992"/>
      <c r="Z562" s="546"/>
    </row>
    <row r="563" spans="3:26" ht="19.5" customHeight="1">
      <c r="C563" s="545"/>
      <c r="D563" s="1034"/>
      <c r="E563" s="1031"/>
      <c r="F563" s="546"/>
      <c r="G563" s="546"/>
      <c r="H563" s="546"/>
      <c r="I563" s="546"/>
      <c r="J563" s="546"/>
      <c r="K563" s="546"/>
      <c r="L563" s="546"/>
      <c r="M563" s="546"/>
      <c r="N563" s="546"/>
      <c r="O563" s="546"/>
      <c r="P563" s="546"/>
      <c r="R563" s="546"/>
      <c r="S563" s="1011"/>
      <c r="T563" s="561"/>
      <c r="U563" s="994"/>
      <c r="V563" s="561"/>
      <c r="W563" s="546"/>
      <c r="X563" s="546"/>
      <c r="Y563" s="994"/>
      <c r="Z563" s="561"/>
    </row>
    <row r="564" spans="3:26" ht="19.5" customHeight="1">
      <c r="C564" s="545"/>
      <c r="D564" s="1034"/>
      <c r="E564" s="1031"/>
      <c r="F564" s="546"/>
      <c r="G564" s="546"/>
      <c r="H564" s="546"/>
      <c r="I564" s="546"/>
      <c r="J564" s="546"/>
      <c r="K564" s="546"/>
      <c r="L564" s="546"/>
      <c r="M564" s="546"/>
      <c r="N564" s="546"/>
      <c r="O564" s="546"/>
      <c r="P564" s="546"/>
      <c r="R564" s="546"/>
      <c r="S564" s="1011"/>
      <c r="T564" s="561"/>
      <c r="U564" s="994"/>
      <c r="V564" s="561"/>
      <c r="W564" s="546"/>
      <c r="X564" s="546"/>
      <c r="Y564" s="994"/>
      <c r="Z564" s="561"/>
    </row>
    <row r="565" spans="3:26" ht="19.5" customHeight="1">
      <c r="C565" s="545"/>
      <c r="D565" s="1034"/>
      <c r="E565" s="1031"/>
      <c r="F565" s="546"/>
      <c r="G565" s="546"/>
      <c r="H565" s="546"/>
      <c r="I565" s="546"/>
      <c r="J565" s="546"/>
      <c r="K565" s="546"/>
      <c r="L565" s="546"/>
      <c r="M565" s="546"/>
      <c r="N565" s="546"/>
      <c r="O565" s="546"/>
      <c r="P565" s="546"/>
      <c r="R565" s="546"/>
      <c r="S565" s="1273"/>
      <c r="T565" s="560"/>
      <c r="U565" s="993"/>
      <c r="V565" s="560"/>
      <c r="W565" s="546"/>
      <c r="X565" s="546"/>
      <c r="Y565" s="993"/>
      <c r="Z565" s="560"/>
    </row>
    <row r="566" spans="3:26" ht="19.5" customHeight="1">
      <c r="C566" s="545"/>
      <c r="D566" s="1034"/>
      <c r="S566" s="1011"/>
      <c r="T566" s="561"/>
      <c r="U566" s="994"/>
      <c r="V566" s="561"/>
      <c r="Y566" s="994"/>
      <c r="Z566" s="561"/>
    </row>
    <row r="567" spans="3:26" ht="19.5" customHeight="1">
      <c r="C567" s="545"/>
      <c r="D567" s="1034"/>
      <c r="S567" s="1011"/>
      <c r="T567" s="561"/>
      <c r="U567" s="994"/>
      <c r="V567" s="561"/>
      <c r="Y567" s="994"/>
      <c r="Z567" s="561"/>
    </row>
    <row r="568" spans="3:26" ht="19.5" customHeight="1">
      <c r="C568" s="545"/>
      <c r="D568" s="1034"/>
      <c r="S568" s="1011"/>
      <c r="T568" s="561"/>
      <c r="U568" s="994"/>
      <c r="V568" s="561"/>
      <c r="Y568" s="994"/>
      <c r="Z568" s="561"/>
    </row>
    <row r="569" spans="3:26" ht="19.5" customHeight="1">
      <c r="C569" s="545"/>
      <c r="D569" s="1034"/>
      <c r="J569" s="545" t="s">
        <v>677</v>
      </c>
      <c r="S569" s="1011"/>
      <c r="T569" s="561"/>
      <c r="U569" s="994"/>
      <c r="V569" s="561"/>
      <c r="Y569" s="994"/>
      <c r="Z569" s="561"/>
    </row>
    <row r="570" spans="3:26" ht="19.5" customHeight="1">
      <c r="C570" s="545"/>
      <c r="D570" s="1034"/>
      <c r="S570" s="1011"/>
      <c r="T570" s="561"/>
      <c r="U570" s="994"/>
      <c r="V570" s="561"/>
      <c r="Y570" s="994"/>
      <c r="Z570" s="561"/>
    </row>
    <row r="571" spans="3:26" ht="19.5" customHeight="1">
      <c r="C571" s="545"/>
      <c r="D571" s="1034"/>
      <c r="S571" s="1011"/>
      <c r="T571" s="561"/>
      <c r="U571" s="994"/>
      <c r="V571" s="561"/>
      <c r="Y571" s="994"/>
      <c r="Z571" s="561"/>
    </row>
    <row r="572" spans="3:26" ht="19.5" customHeight="1">
      <c r="C572" s="545"/>
      <c r="D572" s="1034"/>
      <c r="S572" s="1011"/>
      <c r="T572" s="561"/>
      <c r="U572" s="994"/>
      <c r="V572" s="561"/>
      <c r="Y572" s="994"/>
      <c r="Z572" s="561"/>
    </row>
    <row r="573" spans="3:26" ht="19.5" customHeight="1">
      <c r="C573" s="545"/>
      <c r="D573" s="1034"/>
      <c r="S573" s="1011"/>
      <c r="T573" s="561"/>
      <c r="U573" s="994"/>
      <c r="V573" s="561"/>
      <c r="Y573" s="994"/>
      <c r="Z573" s="561"/>
    </row>
    <row r="574" spans="3:26" ht="19.5" customHeight="1">
      <c r="C574" s="545"/>
      <c r="D574" s="1034"/>
      <c r="S574" s="1011"/>
      <c r="T574" s="561"/>
      <c r="U574" s="994"/>
      <c r="V574" s="561"/>
      <c r="Y574" s="994"/>
      <c r="Z574" s="561"/>
    </row>
    <row r="575" spans="3:26" ht="19.5" customHeight="1">
      <c r="C575" s="545"/>
      <c r="D575" s="1034"/>
      <c r="S575" s="1009"/>
      <c r="T575" s="546"/>
      <c r="U575" s="992"/>
      <c r="V575" s="546"/>
      <c r="Y575" s="992"/>
      <c r="Z575" s="546"/>
    </row>
  </sheetData>
  <autoFilter ref="A1:Z559">
    <filterColumn colId="0">
      <filters>
        <filter val="3214"/>
      </filters>
    </filterColumn>
  </autoFilter>
  <mergeCells count="23">
    <mergeCell ref="Z1:Z2"/>
    <mergeCell ref="M1:M2"/>
    <mergeCell ref="N1:N2"/>
    <mergeCell ref="O1:O2"/>
    <mergeCell ref="P1:P2"/>
    <mergeCell ref="S1:S2"/>
    <mergeCell ref="T1:T2"/>
    <mergeCell ref="U1:U2"/>
    <mergeCell ref="V1:V2"/>
    <mergeCell ref="W1:W2"/>
    <mergeCell ref="X1:X2"/>
    <mergeCell ref="Y1:Y2"/>
    <mergeCell ref="L1:L2"/>
    <mergeCell ref="A1:A2"/>
    <mergeCell ref="B1:B2"/>
    <mergeCell ref="C1:C2"/>
    <mergeCell ref="E1:E2"/>
    <mergeCell ref="F1:F2"/>
    <mergeCell ref="G1:G2"/>
    <mergeCell ref="H1:H2"/>
    <mergeCell ref="I1:I2"/>
    <mergeCell ref="J1:J2"/>
    <mergeCell ref="K1:K2"/>
  </mergeCells>
  <printOptions horizontalCentered="1" verticalCentered="1"/>
  <pageMargins left="0" right="0" top="0" bottom="0" header="0" footer="0"/>
  <pageSetup paperSize="9" scale="55" orientation="portrait" r:id="rId1"/>
  <ignoredErrors>
    <ignoredError sqref="D51:D52 D46:D50 D89 D81 D103 D155 D164 D299 D325" numberStoredAsText="1"/>
  </ignoredErrors>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00CC"/>
  </sheetPr>
  <dimension ref="A1:N15"/>
  <sheetViews>
    <sheetView rightToLeft="1" zoomScaleNormal="100" workbookViewId="0">
      <selection activeCell="A3" sqref="A3:C3"/>
    </sheetView>
  </sheetViews>
  <sheetFormatPr defaultRowHeight="14.25"/>
  <sheetData>
    <row r="1" spans="1:14" ht="20.25">
      <c r="A1" s="1" t="s">
        <v>612</v>
      </c>
      <c r="B1" s="2"/>
      <c r="C1" s="2"/>
      <c r="D1" s="2"/>
      <c r="E1" s="2"/>
      <c r="F1" s="3"/>
      <c r="G1" s="3"/>
      <c r="H1" s="3"/>
      <c r="I1" s="3"/>
    </row>
    <row r="2" spans="1:14">
      <c r="A2" s="11" t="s">
        <v>1489</v>
      </c>
      <c r="B2" s="12"/>
      <c r="C2" s="12"/>
      <c r="D2" s="5"/>
      <c r="E2" s="5"/>
      <c r="F2" s="6"/>
      <c r="G2" s="6"/>
      <c r="H2" s="6"/>
      <c r="I2" s="14"/>
    </row>
    <row r="3" spans="1:14">
      <c r="A3" s="3858" t="s">
        <v>2208</v>
      </c>
      <c r="B3" s="3858"/>
      <c r="C3" s="3858"/>
      <c r="D3" s="5"/>
      <c r="E3" s="5"/>
      <c r="F3" s="13"/>
      <c r="G3" s="6"/>
      <c r="H3" s="6"/>
      <c r="I3" s="14"/>
    </row>
    <row r="4" spans="1:14">
      <c r="A4" s="4" t="s">
        <v>2209</v>
      </c>
      <c r="B4" s="5"/>
      <c r="C4" s="5"/>
      <c r="D4" s="5"/>
      <c r="E4" s="5"/>
      <c r="F4" s="6"/>
      <c r="G4" s="6"/>
      <c r="H4" s="6"/>
      <c r="I4" s="6"/>
    </row>
    <row r="5" spans="1:14">
      <c r="A5" s="7" t="s">
        <v>2210</v>
      </c>
      <c r="B5" s="8"/>
      <c r="C5" s="9" t="s">
        <v>2006</v>
      </c>
      <c r="D5" s="10"/>
      <c r="E5" s="5"/>
      <c r="F5" s="6"/>
      <c r="G5" s="6"/>
      <c r="H5" s="6"/>
      <c r="I5" s="6"/>
    </row>
    <row r="6" spans="1:14">
      <c r="A6" s="11" t="s">
        <v>2208</v>
      </c>
      <c r="B6" s="12"/>
      <c r="C6" s="12"/>
      <c r="D6" s="5"/>
      <c r="E6" s="5"/>
      <c r="F6" s="6"/>
      <c r="G6" s="6"/>
      <c r="H6" s="6"/>
      <c r="I6" s="6"/>
    </row>
    <row r="7" spans="1:14">
      <c r="A7" s="11" t="s">
        <v>2208</v>
      </c>
      <c r="B7" s="12"/>
      <c r="C7" s="12"/>
      <c r="D7" s="5"/>
      <c r="E7" s="5"/>
      <c r="F7" s="13"/>
      <c r="G7" s="6"/>
      <c r="H7" s="6"/>
      <c r="I7" s="14"/>
    </row>
    <row r="8" spans="1:14">
      <c r="A8" s="3859" t="s">
        <v>2210</v>
      </c>
      <c r="B8" s="3859"/>
      <c r="C8" s="1554" t="s">
        <v>2211</v>
      </c>
      <c r="D8" s="15"/>
      <c r="E8" s="5"/>
      <c r="F8" s="16"/>
      <c r="G8" s="6"/>
      <c r="H8" s="6"/>
      <c r="I8" s="14"/>
    </row>
    <row r="9" spans="1:14">
      <c r="A9" s="11" t="s">
        <v>1488</v>
      </c>
      <c r="B9" s="12"/>
      <c r="C9" s="12"/>
      <c r="D9" s="5"/>
      <c r="E9" s="5"/>
      <c r="F9" s="6"/>
      <c r="G9" s="6"/>
      <c r="H9" s="6"/>
      <c r="I9" s="14"/>
    </row>
    <row r="10" spans="1:14">
      <c r="A10" s="3859" t="s">
        <v>2212</v>
      </c>
      <c r="B10" s="3859"/>
      <c r="C10" s="17" t="s">
        <v>2007</v>
      </c>
      <c r="D10" s="17"/>
      <c r="E10" s="5"/>
      <c r="F10" s="6"/>
      <c r="G10" s="6"/>
      <c r="H10" s="6"/>
      <c r="I10" s="14"/>
    </row>
    <row r="11" spans="1:14">
      <c r="A11" s="4" t="s">
        <v>1408</v>
      </c>
      <c r="B11" s="5"/>
      <c r="C11" s="5"/>
      <c r="D11" s="5"/>
      <c r="E11" s="5"/>
      <c r="F11" s="6"/>
      <c r="G11" s="6"/>
      <c r="H11" s="6"/>
      <c r="I11" s="6"/>
    </row>
    <row r="12" spans="1:14" ht="26.25">
      <c r="A12" s="4"/>
      <c r="B12" s="5"/>
      <c r="C12" s="813" t="s">
        <v>2008</v>
      </c>
      <c r="D12" s="5"/>
      <c r="E12" s="5"/>
      <c r="F12" s="815" t="s">
        <v>2009</v>
      </c>
      <c r="G12" s="814"/>
      <c r="H12" s="814"/>
      <c r="I12" s="814"/>
      <c r="J12" s="814"/>
      <c r="K12" s="814"/>
      <c r="L12" s="814"/>
      <c r="M12" s="814"/>
      <c r="N12" s="814"/>
    </row>
    <row r="13" spans="1:14">
      <c r="A13" s="4"/>
      <c r="B13" s="5"/>
      <c r="C13" s="5"/>
      <c r="D13" s="5"/>
      <c r="E13" s="5"/>
      <c r="F13" s="6"/>
      <c r="G13" s="6"/>
      <c r="H13" s="6"/>
      <c r="I13" s="6"/>
    </row>
    <row r="14" spans="1:14" ht="26.25">
      <c r="A14" s="415" t="s">
        <v>2213</v>
      </c>
      <c r="B14" s="416"/>
      <c r="C14" s="415">
        <v>1400</v>
      </c>
    </row>
    <row r="15" spans="1:14" ht="19.5">
      <c r="A15" s="418" t="s">
        <v>675</v>
      </c>
      <c r="B15" s="418"/>
      <c r="C15" s="418" t="s">
        <v>675</v>
      </c>
    </row>
  </sheetData>
  <mergeCells count="3">
    <mergeCell ref="A3:C3"/>
    <mergeCell ref="A8:B8"/>
    <mergeCell ref="A10:B10"/>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249977111117893"/>
  </sheetPr>
  <dimension ref="A1:X247"/>
  <sheetViews>
    <sheetView rightToLeft="1" workbookViewId="0">
      <pane ySplit="3" topLeftCell="A31" activePane="bottomLeft" state="frozen"/>
      <selection pane="bottomLeft" activeCell="F50" sqref="F50"/>
    </sheetView>
  </sheetViews>
  <sheetFormatPr defaultRowHeight="14.25"/>
  <cols>
    <col min="1" max="2" width="1.25" customWidth="1"/>
    <col min="3" max="3" width="0.75" bestFit="1" customWidth="1"/>
    <col min="4" max="4" width="1.625" bestFit="1" customWidth="1"/>
    <col min="5" max="5" width="6.25" bestFit="1" customWidth="1"/>
    <col min="6" max="23" width="3" customWidth="1"/>
    <col min="24" max="24" width="1.375" bestFit="1" customWidth="1"/>
  </cols>
  <sheetData>
    <row r="1" spans="1:24" s="93" customFormat="1" ht="18.75" customHeight="1">
      <c r="A1" s="3864" t="s">
        <v>379</v>
      </c>
      <c r="B1" s="3866" t="s">
        <v>380</v>
      </c>
      <c r="C1" s="3868" t="s">
        <v>61</v>
      </c>
      <c r="D1" s="3862" t="s">
        <v>381</v>
      </c>
      <c r="E1" s="3871" t="s">
        <v>62</v>
      </c>
      <c r="F1" s="3860" t="s">
        <v>591</v>
      </c>
      <c r="G1" s="88" t="s">
        <v>383</v>
      </c>
      <c r="H1" s="89" t="s">
        <v>384</v>
      </c>
      <c r="I1" s="90" t="s">
        <v>385</v>
      </c>
      <c r="J1" s="91" t="s">
        <v>386</v>
      </c>
      <c r="K1" s="90" t="s">
        <v>387</v>
      </c>
      <c r="L1" s="90" t="s">
        <v>388</v>
      </c>
      <c r="M1" s="89" t="s">
        <v>520</v>
      </c>
      <c r="N1" s="89" t="s">
        <v>389</v>
      </c>
      <c r="O1" s="90" t="s">
        <v>96</v>
      </c>
      <c r="P1" s="90" t="s">
        <v>390</v>
      </c>
      <c r="Q1" s="90" t="s">
        <v>103</v>
      </c>
      <c r="R1" s="90" t="s">
        <v>404</v>
      </c>
      <c r="S1" s="89" t="s">
        <v>194</v>
      </c>
      <c r="T1" s="89" t="s">
        <v>530</v>
      </c>
      <c r="U1" s="89" t="s">
        <v>195</v>
      </c>
      <c r="V1" s="89" t="s">
        <v>202</v>
      </c>
      <c r="W1" s="92" t="s">
        <v>373</v>
      </c>
      <c r="X1" s="3860" t="s">
        <v>548</v>
      </c>
    </row>
    <row r="2" spans="1:24" s="93" customFormat="1" ht="18.75" customHeight="1">
      <c r="A2" s="3865"/>
      <c r="B2" s="3867"/>
      <c r="C2" s="3869"/>
      <c r="D2" s="3863"/>
      <c r="E2" s="3872"/>
      <c r="F2" s="3861"/>
      <c r="G2" s="94" t="s">
        <v>591</v>
      </c>
      <c r="H2" s="95" t="s">
        <v>591</v>
      </c>
      <c r="I2" s="95" t="s">
        <v>591</v>
      </c>
      <c r="J2" s="95" t="s">
        <v>591</v>
      </c>
      <c r="K2" s="95" t="s">
        <v>591</v>
      </c>
      <c r="L2" s="95" t="s">
        <v>591</v>
      </c>
      <c r="M2" s="95" t="s">
        <v>591</v>
      </c>
      <c r="N2" s="95" t="s">
        <v>591</v>
      </c>
      <c r="O2" s="95" t="s">
        <v>591</v>
      </c>
      <c r="P2" s="95" t="s">
        <v>591</v>
      </c>
      <c r="Q2" s="95" t="s">
        <v>591</v>
      </c>
      <c r="R2" s="95" t="s">
        <v>405</v>
      </c>
      <c r="S2" s="95" t="s">
        <v>591</v>
      </c>
      <c r="T2" s="95" t="s">
        <v>591</v>
      </c>
      <c r="U2" s="95" t="s">
        <v>591</v>
      </c>
      <c r="V2" s="95" t="s">
        <v>591</v>
      </c>
      <c r="W2" s="96" t="s">
        <v>591</v>
      </c>
      <c r="X2" s="3861"/>
    </row>
    <row r="3" spans="1:24" s="93" customFormat="1" ht="18.75" customHeight="1">
      <c r="A3" s="3865"/>
      <c r="B3" s="3867"/>
      <c r="C3" s="3870"/>
      <c r="D3" s="3863"/>
      <c r="E3" s="3872"/>
      <c r="F3" s="3861"/>
      <c r="G3" s="97">
        <v>4</v>
      </c>
      <c r="H3" s="98">
        <v>5</v>
      </c>
      <c r="I3" s="99">
        <v>6</v>
      </c>
      <c r="J3" s="100">
        <v>7</v>
      </c>
      <c r="K3" s="99">
        <v>8</v>
      </c>
      <c r="L3" s="101">
        <v>9</v>
      </c>
      <c r="M3" s="98">
        <v>10</v>
      </c>
      <c r="N3" s="98">
        <v>11</v>
      </c>
      <c r="O3" s="99">
        <v>13</v>
      </c>
      <c r="P3" s="98">
        <v>12</v>
      </c>
      <c r="Q3" s="98">
        <v>14</v>
      </c>
      <c r="R3" s="99">
        <v>15</v>
      </c>
      <c r="S3" s="98">
        <v>16</v>
      </c>
      <c r="T3" s="98">
        <v>17</v>
      </c>
      <c r="U3" s="98">
        <v>18</v>
      </c>
      <c r="V3" s="98">
        <v>19</v>
      </c>
      <c r="W3" s="102">
        <v>20</v>
      </c>
      <c r="X3" s="3861"/>
    </row>
    <row r="4" spans="1:24" ht="21.75" hidden="1">
      <c r="A4" s="69">
        <v>906</v>
      </c>
      <c r="B4" s="70">
        <v>9</v>
      </c>
      <c r="C4" s="71">
        <v>1</v>
      </c>
      <c r="D4" s="46" t="s">
        <v>374</v>
      </c>
      <c r="E4" s="72" t="s">
        <v>534</v>
      </c>
      <c r="F4" s="73">
        <v>649652766</v>
      </c>
      <c r="G4" s="73">
        <f>IF($B4=$G$3,$F4,0)</f>
        <v>0</v>
      </c>
      <c r="H4" s="73">
        <f>IF($B4=$H$3,$F4,0)</f>
        <v>0</v>
      </c>
      <c r="I4" s="73">
        <f>IF($B4=$I$3,$F4,0)</f>
        <v>0</v>
      </c>
      <c r="J4" s="73">
        <f>IF($B4=$J$3,$F4,0)</f>
        <v>0</v>
      </c>
      <c r="K4" s="73">
        <f>IF($B4=$K$3,$F4,0)</f>
        <v>0</v>
      </c>
      <c r="L4" s="73">
        <f>IF($B4=$L$3,$F4,0)</f>
        <v>649652766</v>
      </c>
      <c r="M4" s="73">
        <f>IF($B4=$M$3,$F4,0)</f>
        <v>0</v>
      </c>
      <c r="N4" s="73">
        <f>IF($B4=$N$3,$F4,0)</f>
        <v>0</v>
      </c>
      <c r="O4" s="73">
        <f>IF($B4=$O$3,$F4,0)</f>
        <v>0</v>
      </c>
      <c r="P4" s="73">
        <f>IF($B4=$P$3,$F4,0)</f>
        <v>0</v>
      </c>
      <c r="Q4" s="73">
        <f>IF($B4=$Q$3,$F4,0)</f>
        <v>0</v>
      </c>
      <c r="R4" s="73">
        <f>IF($B4=$R$3,$F4,0)</f>
        <v>0</v>
      </c>
      <c r="S4" s="73">
        <f>IF($B4=$S$3,$F4,0)</f>
        <v>0</v>
      </c>
      <c r="T4" s="73">
        <f>IF($B4=$T$3,$F4,0)</f>
        <v>0</v>
      </c>
      <c r="U4" s="73">
        <f>IF($B4=$U$3,$F4,0)</f>
        <v>0</v>
      </c>
      <c r="V4" s="73">
        <f>IF($B4=$V$3,$F4,0)</f>
        <v>0</v>
      </c>
      <c r="W4" s="73">
        <f>IF($B4=$W$3,$F4,0)</f>
        <v>0</v>
      </c>
      <c r="X4" s="74"/>
    </row>
    <row r="5" spans="1:24" ht="21.75" hidden="1">
      <c r="A5" s="75">
        <v>906</v>
      </c>
      <c r="B5" s="76">
        <v>9</v>
      </c>
      <c r="C5" s="77">
        <v>2</v>
      </c>
      <c r="D5" s="78" t="s">
        <v>375</v>
      </c>
      <c r="E5" s="79" t="s">
        <v>514</v>
      </c>
      <c r="F5" s="80">
        <v>34275121548</v>
      </c>
      <c r="G5" s="73">
        <f t="shared" ref="G5:G68" si="0">IF($B5=$G$3,$F5,0)</f>
        <v>0</v>
      </c>
      <c r="H5" s="73">
        <f t="shared" ref="H5:H68" si="1">IF($B5=$H$3,$F5,0)</f>
        <v>0</v>
      </c>
      <c r="I5" s="73">
        <f t="shared" ref="I5:I68" si="2">IF($B5=$I$3,$F5,0)</f>
        <v>0</v>
      </c>
      <c r="J5" s="73">
        <f t="shared" ref="J5:J68" si="3">IF($B5=$J$3,$F5,0)</f>
        <v>0</v>
      </c>
      <c r="K5" s="73">
        <f t="shared" ref="K5:K68" si="4">IF($B5=$K$3,$F5,0)</f>
        <v>0</v>
      </c>
      <c r="L5" s="73">
        <f t="shared" ref="L5:L68" si="5">IF($B5=$L$3,$F5,0)</f>
        <v>34275121548</v>
      </c>
      <c r="M5" s="73">
        <f t="shared" ref="M5:M68" si="6">IF($B5=$M$3,$F5,0)</f>
        <v>0</v>
      </c>
      <c r="N5" s="73">
        <f t="shared" ref="N5:N68" si="7">IF($B5=$N$3,$F5,0)</f>
        <v>0</v>
      </c>
      <c r="O5" s="73">
        <f t="shared" ref="O5:O68" si="8">IF($B5=$O$3,$F5,0)</f>
        <v>0</v>
      </c>
      <c r="P5" s="73">
        <f t="shared" ref="P5:P68" si="9">IF($B5=$P$3,$F5,0)</f>
        <v>0</v>
      </c>
      <c r="Q5" s="73">
        <f t="shared" ref="Q5:Q68" si="10">IF($B5=$Q$3,$F5,0)</f>
        <v>0</v>
      </c>
      <c r="R5" s="73">
        <f t="shared" ref="R5:R68" si="11">IF($B5=$R$3,$F5,0)</f>
        <v>0</v>
      </c>
      <c r="S5" s="73">
        <f t="shared" ref="S5:S68" si="12">IF($B5=$S$3,$F5,0)</f>
        <v>0</v>
      </c>
      <c r="T5" s="73">
        <f t="shared" ref="T5:T68" si="13">IF($B5=$T$3,$F5,0)</f>
        <v>0</v>
      </c>
      <c r="U5" s="73">
        <f t="shared" ref="U5:U68" si="14">IF($B5=$U$3,$F5,0)</f>
        <v>0</v>
      </c>
      <c r="V5" s="73">
        <f t="shared" ref="V5:V68" si="15">IF($B5=$V$3,$F5,0)</f>
        <v>0</v>
      </c>
      <c r="W5" s="73">
        <f t="shared" ref="W5:W68" si="16">IF($B5=$W$3,$F5,0)</f>
        <v>0</v>
      </c>
      <c r="X5" s="81"/>
    </row>
    <row r="6" spans="1:24" ht="21.75" hidden="1">
      <c r="A6" s="69">
        <v>906</v>
      </c>
      <c r="B6" s="70">
        <v>9</v>
      </c>
      <c r="C6" s="71">
        <v>3</v>
      </c>
      <c r="D6" s="46" t="s">
        <v>377</v>
      </c>
      <c r="E6" s="72" t="s">
        <v>233</v>
      </c>
      <c r="F6" s="73">
        <v>352832167325</v>
      </c>
      <c r="G6" s="73">
        <f t="shared" si="0"/>
        <v>0</v>
      </c>
      <c r="H6" s="73">
        <f t="shared" si="1"/>
        <v>0</v>
      </c>
      <c r="I6" s="73">
        <f t="shared" si="2"/>
        <v>0</v>
      </c>
      <c r="J6" s="73">
        <f t="shared" si="3"/>
        <v>0</v>
      </c>
      <c r="K6" s="73">
        <f t="shared" si="4"/>
        <v>0</v>
      </c>
      <c r="L6" s="73">
        <f t="shared" si="5"/>
        <v>352832167325</v>
      </c>
      <c r="M6" s="73">
        <f t="shared" si="6"/>
        <v>0</v>
      </c>
      <c r="N6" s="73">
        <f t="shared" si="7"/>
        <v>0</v>
      </c>
      <c r="O6" s="73">
        <f t="shared" si="8"/>
        <v>0</v>
      </c>
      <c r="P6" s="73">
        <f t="shared" si="9"/>
        <v>0</v>
      </c>
      <c r="Q6" s="73">
        <f t="shared" si="10"/>
        <v>0</v>
      </c>
      <c r="R6" s="73">
        <f t="shared" si="11"/>
        <v>0</v>
      </c>
      <c r="S6" s="73">
        <f t="shared" si="12"/>
        <v>0</v>
      </c>
      <c r="T6" s="73">
        <f t="shared" si="13"/>
        <v>0</v>
      </c>
      <c r="U6" s="73">
        <f t="shared" si="14"/>
        <v>0</v>
      </c>
      <c r="V6" s="73">
        <f t="shared" si="15"/>
        <v>0</v>
      </c>
      <c r="W6" s="73">
        <f t="shared" si="16"/>
        <v>0</v>
      </c>
      <c r="X6" s="74"/>
    </row>
    <row r="7" spans="1:24" ht="21.75" hidden="1">
      <c r="A7" s="75">
        <v>906</v>
      </c>
      <c r="B7" s="76">
        <v>9</v>
      </c>
      <c r="C7" s="77">
        <v>4</v>
      </c>
      <c r="D7" s="78" t="s">
        <v>250</v>
      </c>
      <c r="E7" s="79" t="s">
        <v>251</v>
      </c>
      <c r="F7" s="80">
        <v>1790934537</v>
      </c>
      <c r="G7" s="73">
        <f t="shared" si="0"/>
        <v>0</v>
      </c>
      <c r="H7" s="73">
        <f t="shared" si="1"/>
        <v>0</v>
      </c>
      <c r="I7" s="73">
        <f t="shared" si="2"/>
        <v>0</v>
      </c>
      <c r="J7" s="73">
        <f t="shared" si="3"/>
        <v>0</v>
      </c>
      <c r="K7" s="73">
        <f t="shared" si="4"/>
        <v>0</v>
      </c>
      <c r="L7" s="73">
        <f t="shared" si="5"/>
        <v>1790934537</v>
      </c>
      <c r="M7" s="73">
        <f t="shared" si="6"/>
        <v>0</v>
      </c>
      <c r="N7" s="73">
        <f t="shared" si="7"/>
        <v>0</v>
      </c>
      <c r="O7" s="73">
        <f t="shared" si="8"/>
        <v>0</v>
      </c>
      <c r="P7" s="73">
        <f t="shared" si="9"/>
        <v>0</v>
      </c>
      <c r="Q7" s="73">
        <f t="shared" si="10"/>
        <v>0</v>
      </c>
      <c r="R7" s="73">
        <f t="shared" si="11"/>
        <v>0</v>
      </c>
      <c r="S7" s="73">
        <f t="shared" si="12"/>
        <v>0</v>
      </c>
      <c r="T7" s="73">
        <f t="shared" si="13"/>
        <v>0</v>
      </c>
      <c r="U7" s="73">
        <f t="shared" si="14"/>
        <v>0</v>
      </c>
      <c r="V7" s="73">
        <f t="shared" si="15"/>
        <v>0</v>
      </c>
      <c r="W7" s="73">
        <f t="shared" si="16"/>
        <v>0</v>
      </c>
      <c r="X7" s="81"/>
    </row>
    <row r="8" spans="1:24" ht="21.75" hidden="1">
      <c r="A8" s="69">
        <v>906</v>
      </c>
      <c r="B8" s="70">
        <v>9</v>
      </c>
      <c r="C8" s="71">
        <v>5</v>
      </c>
      <c r="D8" s="46" t="s">
        <v>252</v>
      </c>
      <c r="E8" s="72" t="s">
        <v>533</v>
      </c>
      <c r="F8" s="73">
        <v>2579800000</v>
      </c>
      <c r="G8" s="73">
        <f t="shared" si="0"/>
        <v>0</v>
      </c>
      <c r="H8" s="73">
        <f t="shared" si="1"/>
        <v>0</v>
      </c>
      <c r="I8" s="73">
        <f t="shared" si="2"/>
        <v>0</v>
      </c>
      <c r="J8" s="73">
        <f t="shared" si="3"/>
        <v>0</v>
      </c>
      <c r="K8" s="73">
        <f t="shared" si="4"/>
        <v>0</v>
      </c>
      <c r="L8" s="73">
        <f t="shared" si="5"/>
        <v>2579800000</v>
      </c>
      <c r="M8" s="73">
        <f t="shared" si="6"/>
        <v>0</v>
      </c>
      <c r="N8" s="73">
        <f t="shared" si="7"/>
        <v>0</v>
      </c>
      <c r="O8" s="73">
        <f t="shared" si="8"/>
        <v>0</v>
      </c>
      <c r="P8" s="73">
        <f t="shared" si="9"/>
        <v>0</v>
      </c>
      <c r="Q8" s="73">
        <f t="shared" si="10"/>
        <v>0</v>
      </c>
      <c r="R8" s="73">
        <f t="shared" si="11"/>
        <v>0</v>
      </c>
      <c r="S8" s="73">
        <f t="shared" si="12"/>
        <v>0</v>
      </c>
      <c r="T8" s="73">
        <f t="shared" si="13"/>
        <v>0</v>
      </c>
      <c r="U8" s="73">
        <f t="shared" si="14"/>
        <v>0</v>
      </c>
      <c r="V8" s="73">
        <f t="shared" si="15"/>
        <v>0</v>
      </c>
      <c r="W8" s="73">
        <f t="shared" si="16"/>
        <v>0</v>
      </c>
      <c r="X8" s="74"/>
    </row>
    <row r="9" spans="1:24" ht="21.75" hidden="1">
      <c r="A9" s="75">
        <v>906</v>
      </c>
      <c r="B9" s="76">
        <v>9</v>
      </c>
      <c r="C9" s="77">
        <v>6</v>
      </c>
      <c r="D9" s="78" t="s">
        <v>339</v>
      </c>
      <c r="E9" s="79" t="s">
        <v>340</v>
      </c>
      <c r="F9" s="80">
        <v>1394250000</v>
      </c>
      <c r="G9" s="73">
        <f t="shared" si="0"/>
        <v>0</v>
      </c>
      <c r="H9" s="73">
        <f t="shared" si="1"/>
        <v>0</v>
      </c>
      <c r="I9" s="73">
        <f t="shared" si="2"/>
        <v>0</v>
      </c>
      <c r="J9" s="73">
        <f t="shared" si="3"/>
        <v>0</v>
      </c>
      <c r="K9" s="73">
        <f t="shared" si="4"/>
        <v>0</v>
      </c>
      <c r="L9" s="73">
        <f t="shared" si="5"/>
        <v>1394250000</v>
      </c>
      <c r="M9" s="73">
        <f t="shared" si="6"/>
        <v>0</v>
      </c>
      <c r="N9" s="73">
        <f t="shared" si="7"/>
        <v>0</v>
      </c>
      <c r="O9" s="73">
        <f t="shared" si="8"/>
        <v>0</v>
      </c>
      <c r="P9" s="73">
        <f t="shared" si="9"/>
        <v>0</v>
      </c>
      <c r="Q9" s="73">
        <f t="shared" si="10"/>
        <v>0</v>
      </c>
      <c r="R9" s="73">
        <f t="shared" si="11"/>
        <v>0</v>
      </c>
      <c r="S9" s="73">
        <f t="shared" si="12"/>
        <v>0</v>
      </c>
      <c r="T9" s="73">
        <f t="shared" si="13"/>
        <v>0</v>
      </c>
      <c r="U9" s="73">
        <f t="shared" si="14"/>
        <v>0</v>
      </c>
      <c r="V9" s="73">
        <f t="shared" si="15"/>
        <v>0</v>
      </c>
      <c r="W9" s="73">
        <f t="shared" si="16"/>
        <v>0</v>
      </c>
      <c r="X9" s="81"/>
    </row>
    <row r="10" spans="1:24" ht="21.75" hidden="1">
      <c r="A10" s="69">
        <v>906</v>
      </c>
      <c r="B10" s="70">
        <v>9</v>
      </c>
      <c r="C10" s="71">
        <v>7</v>
      </c>
      <c r="D10" s="46" t="s">
        <v>341</v>
      </c>
      <c r="E10" s="72" t="s">
        <v>398</v>
      </c>
      <c r="F10" s="73">
        <v>984971287403</v>
      </c>
      <c r="G10" s="73">
        <f t="shared" si="0"/>
        <v>0</v>
      </c>
      <c r="H10" s="73">
        <f t="shared" si="1"/>
        <v>0</v>
      </c>
      <c r="I10" s="73">
        <f t="shared" si="2"/>
        <v>0</v>
      </c>
      <c r="J10" s="73">
        <f t="shared" si="3"/>
        <v>0</v>
      </c>
      <c r="K10" s="73">
        <f t="shared" si="4"/>
        <v>0</v>
      </c>
      <c r="L10" s="73">
        <f t="shared" si="5"/>
        <v>984971287403</v>
      </c>
      <c r="M10" s="73">
        <f t="shared" si="6"/>
        <v>0</v>
      </c>
      <c r="N10" s="73">
        <f t="shared" si="7"/>
        <v>0</v>
      </c>
      <c r="O10" s="73">
        <f t="shared" si="8"/>
        <v>0</v>
      </c>
      <c r="P10" s="73">
        <f t="shared" si="9"/>
        <v>0</v>
      </c>
      <c r="Q10" s="73">
        <f t="shared" si="10"/>
        <v>0</v>
      </c>
      <c r="R10" s="73">
        <f t="shared" si="11"/>
        <v>0</v>
      </c>
      <c r="S10" s="73">
        <f t="shared" si="12"/>
        <v>0</v>
      </c>
      <c r="T10" s="73">
        <f t="shared" si="13"/>
        <v>0</v>
      </c>
      <c r="U10" s="73">
        <f t="shared" si="14"/>
        <v>0</v>
      </c>
      <c r="V10" s="73">
        <f t="shared" si="15"/>
        <v>0</v>
      </c>
      <c r="W10" s="73">
        <f t="shared" si="16"/>
        <v>0</v>
      </c>
      <c r="X10" s="74"/>
    </row>
    <row r="11" spans="1:24" ht="21.75" hidden="1">
      <c r="A11" s="75">
        <v>906</v>
      </c>
      <c r="B11" s="76">
        <v>9</v>
      </c>
      <c r="C11" s="77">
        <v>8</v>
      </c>
      <c r="D11" s="78" t="s">
        <v>399</v>
      </c>
      <c r="E11" s="79" t="s">
        <v>413</v>
      </c>
      <c r="F11" s="80">
        <v>347954281167</v>
      </c>
      <c r="G11" s="73">
        <f t="shared" si="0"/>
        <v>0</v>
      </c>
      <c r="H11" s="73">
        <f t="shared" si="1"/>
        <v>0</v>
      </c>
      <c r="I11" s="73">
        <f t="shared" si="2"/>
        <v>0</v>
      </c>
      <c r="J11" s="73">
        <f t="shared" si="3"/>
        <v>0</v>
      </c>
      <c r="K11" s="73">
        <f t="shared" si="4"/>
        <v>0</v>
      </c>
      <c r="L11" s="73">
        <f t="shared" si="5"/>
        <v>347954281167</v>
      </c>
      <c r="M11" s="73">
        <f t="shared" si="6"/>
        <v>0</v>
      </c>
      <c r="N11" s="73">
        <f t="shared" si="7"/>
        <v>0</v>
      </c>
      <c r="O11" s="73">
        <f t="shared" si="8"/>
        <v>0</v>
      </c>
      <c r="P11" s="73">
        <f t="shared" si="9"/>
        <v>0</v>
      </c>
      <c r="Q11" s="73">
        <f t="shared" si="10"/>
        <v>0</v>
      </c>
      <c r="R11" s="73">
        <f t="shared" si="11"/>
        <v>0</v>
      </c>
      <c r="S11" s="73">
        <f t="shared" si="12"/>
        <v>0</v>
      </c>
      <c r="T11" s="73">
        <f t="shared" si="13"/>
        <v>0</v>
      </c>
      <c r="U11" s="73">
        <f t="shared" si="14"/>
        <v>0</v>
      </c>
      <c r="V11" s="73">
        <f t="shared" si="15"/>
        <v>0</v>
      </c>
      <c r="W11" s="73">
        <f t="shared" si="16"/>
        <v>0</v>
      </c>
      <c r="X11" s="81"/>
    </row>
    <row r="12" spans="1:24" ht="21.75" hidden="1">
      <c r="A12" s="69">
        <v>906</v>
      </c>
      <c r="B12" s="70">
        <v>9</v>
      </c>
      <c r="C12" s="71">
        <v>9</v>
      </c>
      <c r="D12" s="46" t="s">
        <v>414</v>
      </c>
      <c r="E12" s="72" t="s">
        <v>234</v>
      </c>
      <c r="F12" s="73">
        <v>1929676128</v>
      </c>
      <c r="G12" s="73">
        <f t="shared" si="0"/>
        <v>0</v>
      </c>
      <c r="H12" s="73">
        <f t="shared" si="1"/>
        <v>0</v>
      </c>
      <c r="I12" s="73">
        <f t="shared" si="2"/>
        <v>0</v>
      </c>
      <c r="J12" s="73">
        <f t="shared" si="3"/>
        <v>0</v>
      </c>
      <c r="K12" s="73">
        <f t="shared" si="4"/>
        <v>0</v>
      </c>
      <c r="L12" s="73">
        <f t="shared" si="5"/>
        <v>1929676128</v>
      </c>
      <c r="M12" s="73">
        <f t="shared" si="6"/>
        <v>0</v>
      </c>
      <c r="N12" s="73">
        <f t="shared" si="7"/>
        <v>0</v>
      </c>
      <c r="O12" s="73">
        <f t="shared" si="8"/>
        <v>0</v>
      </c>
      <c r="P12" s="73">
        <f t="shared" si="9"/>
        <v>0</v>
      </c>
      <c r="Q12" s="73">
        <f t="shared" si="10"/>
        <v>0</v>
      </c>
      <c r="R12" s="73">
        <f t="shared" si="11"/>
        <v>0</v>
      </c>
      <c r="S12" s="73">
        <f t="shared" si="12"/>
        <v>0</v>
      </c>
      <c r="T12" s="73">
        <f t="shared" si="13"/>
        <v>0</v>
      </c>
      <c r="U12" s="73">
        <f t="shared" si="14"/>
        <v>0</v>
      </c>
      <c r="V12" s="73">
        <f t="shared" si="15"/>
        <v>0</v>
      </c>
      <c r="W12" s="73">
        <f t="shared" si="16"/>
        <v>0</v>
      </c>
      <c r="X12" s="74"/>
    </row>
    <row r="13" spans="1:24" ht="21.75" hidden="1">
      <c r="A13" s="75">
        <v>906</v>
      </c>
      <c r="B13" s="76">
        <v>9</v>
      </c>
      <c r="C13" s="77">
        <v>10</v>
      </c>
      <c r="D13" s="78" t="s">
        <v>415</v>
      </c>
      <c r="E13" s="79" t="s">
        <v>416</v>
      </c>
      <c r="F13" s="80">
        <v>9018898137</v>
      </c>
      <c r="G13" s="73">
        <f t="shared" si="0"/>
        <v>0</v>
      </c>
      <c r="H13" s="73">
        <f t="shared" si="1"/>
        <v>0</v>
      </c>
      <c r="I13" s="73">
        <f t="shared" si="2"/>
        <v>0</v>
      </c>
      <c r="J13" s="73">
        <f t="shared" si="3"/>
        <v>0</v>
      </c>
      <c r="K13" s="73">
        <f t="shared" si="4"/>
        <v>0</v>
      </c>
      <c r="L13" s="73">
        <f t="shared" si="5"/>
        <v>9018898137</v>
      </c>
      <c r="M13" s="73">
        <f t="shared" si="6"/>
        <v>0</v>
      </c>
      <c r="N13" s="73">
        <f t="shared" si="7"/>
        <v>0</v>
      </c>
      <c r="O13" s="73">
        <f t="shared" si="8"/>
        <v>0</v>
      </c>
      <c r="P13" s="73">
        <f t="shared" si="9"/>
        <v>0</v>
      </c>
      <c r="Q13" s="73">
        <f t="shared" si="10"/>
        <v>0</v>
      </c>
      <c r="R13" s="73">
        <f t="shared" si="11"/>
        <v>0</v>
      </c>
      <c r="S13" s="73">
        <f t="shared" si="12"/>
        <v>0</v>
      </c>
      <c r="T13" s="73">
        <f t="shared" si="13"/>
        <v>0</v>
      </c>
      <c r="U13" s="73">
        <f t="shared" si="14"/>
        <v>0</v>
      </c>
      <c r="V13" s="73">
        <f t="shared" si="15"/>
        <v>0</v>
      </c>
      <c r="W13" s="73">
        <f t="shared" si="16"/>
        <v>0</v>
      </c>
      <c r="X13" s="81"/>
    </row>
    <row r="14" spans="1:24" ht="21.75" hidden="1">
      <c r="A14" s="69">
        <v>906</v>
      </c>
      <c r="B14" s="70">
        <v>9</v>
      </c>
      <c r="C14" s="71">
        <v>11</v>
      </c>
      <c r="D14" s="46" t="s">
        <v>417</v>
      </c>
      <c r="E14" s="72" t="s">
        <v>231</v>
      </c>
      <c r="F14" s="73">
        <v>663668989</v>
      </c>
      <c r="G14" s="73">
        <f t="shared" si="0"/>
        <v>0</v>
      </c>
      <c r="H14" s="73">
        <f t="shared" si="1"/>
        <v>0</v>
      </c>
      <c r="I14" s="73">
        <f t="shared" si="2"/>
        <v>0</v>
      </c>
      <c r="J14" s="73">
        <f t="shared" si="3"/>
        <v>0</v>
      </c>
      <c r="K14" s="73">
        <f t="shared" si="4"/>
        <v>0</v>
      </c>
      <c r="L14" s="73">
        <f t="shared" si="5"/>
        <v>663668989</v>
      </c>
      <c r="M14" s="73">
        <f t="shared" si="6"/>
        <v>0</v>
      </c>
      <c r="N14" s="73">
        <f t="shared" si="7"/>
        <v>0</v>
      </c>
      <c r="O14" s="73">
        <f t="shared" si="8"/>
        <v>0</v>
      </c>
      <c r="P14" s="73">
        <f t="shared" si="9"/>
        <v>0</v>
      </c>
      <c r="Q14" s="73">
        <f t="shared" si="10"/>
        <v>0</v>
      </c>
      <c r="R14" s="73">
        <f t="shared" si="11"/>
        <v>0</v>
      </c>
      <c r="S14" s="73">
        <f t="shared" si="12"/>
        <v>0</v>
      </c>
      <c r="T14" s="73">
        <f t="shared" si="13"/>
        <v>0</v>
      </c>
      <c r="U14" s="73">
        <f t="shared" si="14"/>
        <v>0</v>
      </c>
      <c r="V14" s="73">
        <f t="shared" si="15"/>
        <v>0</v>
      </c>
      <c r="W14" s="73">
        <f t="shared" si="16"/>
        <v>0</v>
      </c>
      <c r="X14" s="74"/>
    </row>
    <row r="15" spans="1:24" ht="21.75" hidden="1">
      <c r="A15" s="75">
        <v>906</v>
      </c>
      <c r="B15" s="76">
        <v>9</v>
      </c>
      <c r="C15" s="77">
        <v>11</v>
      </c>
      <c r="D15" s="78" t="s">
        <v>402</v>
      </c>
      <c r="E15" s="79" t="s">
        <v>403</v>
      </c>
      <c r="F15" s="80">
        <v>-4926000000</v>
      </c>
      <c r="G15" s="73">
        <f t="shared" si="0"/>
        <v>0</v>
      </c>
      <c r="H15" s="73">
        <f t="shared" si="1"/>
        <v>0</v>
      </c>
      <c r="I15" s="73">
        <f t="shared" si="2"/>
        <v>0</v>
      </c>
      <c r="J15" s="73">
        <f t="shared" si="3"/>
        <v>0</v>
      </c>
      <c r="K15" s="73">
        <f t="shared" si="4"/>
        <v>0</v>
      </c>
      <c r="L15" s="73">
        <f t="shared" si="5"/>
        <v>-4926000000</v>
      </c>
      <c r="M15" s="73">
        <f t="shared" si="6"/>
        <v>0</v>
      </c>
      <c r="N15" s="73">
        <f t="shared" si="7"/>
        <v>0</v>
      </c>
      <c r="O15" s="73">
        <f t="shared" si="8"/>
        <v>0</v>
      </c>
      <c r="P15" s="73">
        <f t="shared" si="9"/>
        <v>0</v>
      </c>
      <c r="Q15" s="73">
        <f t="shared" si="10"/>
        <v>0</v>
      </c>
      <c r="R15" s="73">
        <f t="shared" si="11"/>
        <v>0</v>
      </c>
      <c r="S15" s="73">
        <f t="shared" si="12"/>
        <v>0</v>
      </c>
      <c r="T15" s="73">
        <f t="shared" si="13"/>
        <v>0</v>
      </c>
      <c r="U15" s="73">
        <f t="shared" si="14"/>
        <v>0</v>
      </c>
      <c r="V15" s="73">
        <f t="shared" si="15"/>
        <v>0</v>
      </c>
      <c r="W15" s="73">
        <f t="shared" si="16"/>
        <v>0</v>
      </c>
      <c r="X15" s="81"/>
    </row>
    <row r="16" spans="1:24" ht="21.75" hidden="1">
      <c r="A16" s="69">
        <v>906</v>
      </c>
      <c r="B16" s="70">
        <v>9</v>
      </c>
      <c r="C16" s="71">
        <v>12</v>
      </c>
      <c r="D16" s="46" t="s">
        <v>196</v>
      </c>
      <c r="E16" s="72" t="s">
        <v>24</v>
      </c>
      <c r="F16" s="73">
        <v>1135818750</v>
      </c>
      <c r="G16" s="73">
        <f t="shared" si="0"/>
        <v>0</v>
      </c>
      <c r="H16" s="73">
        <f t="shared" si="1"/>
        <v>0</v>
      </c>
      <c r="I16" s="73">
        <f t="shared" si="2"/>
        <v>0</v>
      </c>
      <c r="J16" s="73">
        <f t="shared" si="3"/>
        <v>0</v>
      </c>
      <c r="K16" s="73">
        <f t="shared" si="4"/>
        <v>0</v>
      </c>
      <c r="L16" s="73">
        <f t="shared" si="5"/>
        <v>1135818750</v>
      </c>
      <c r="M16" s="73">
        <f t="shared" si="6"/>
        <v>0</v>
      </c>
      <c r="N16" s="73">
        <f t="shared" si="7"/>
        <v>0</v>
      </c>
      <c r="O16" s="73">
        <f t="shared" si="8"/>
        <v>0</v>
      </c>
      <c r="P16" s="73">
        <f t="shared" si="9"/>
        <v>0</v>
      </c>
      <c r="Q16" s="73">
        <f t="shared" si="10"/>
        <v>0</v>
      </c>
      <c r="R16" s="73">
        <f t="shared" si="11"/>
        <v>0</v>
      </c>
      <c r="S16" s="73">
        <f t="shared" si="12"/>
        <v>0</v>
      </c>
      <c r="T16" s="73">
        <f t="shared" si="13"/>
        <v>0</v>
      </c>
      <c r="U16" s="73">
        <f t="shared" si="14"/>
        <v>0</v>
      </c>
      <c r="V16" s="73">
        <f t="shared" si="15"/>
        <v>0</v>
      </c>
      <c r="W16" s="73">
        <f t="shared" si="16"/>
        <v>0</v>
      </c>
      <c r="X16" s="74"/>
    </row>
    <row r="17" spans="1:24" ht="21.75" hidden="1">
      <c r="A17" s="75">
        <v>906</v>
      </c>
      <c r="B17" s="76">
        <v>9</v>
      </c>
      <c r="C17" s="77">
        <v>13</v>
      </c>
      <c r="D17" s="78" t="s">
        <v>199</v>
      </c>
      <c r="E17" s="79" t="s">
        <v>200</v>
      </c>
      <c r="F17" s="80">
        <v>3173060785879</v>
      </c>
      <c r="G17" s="73">
        <f t="shared" si="0"/>
        <v>0</v>
      </c>
      <c r="H17" s="73">
        <f t="shared" si="1"/>
        <v>0</v>
      </c>
      <c r="I17" s="73">
        <f t="shared" si="2"/>
        <v>0</v>
      </c>
      <c r="J17" s="73">
        <f t="shared" si="3"/>
        <v>0</v>
      </c>
      <c r="K17" s="73">
        <f t="shared" si="4"/>
        <v>0</v>
      </c>
      <c r="L17" s="73">
        <f t="shared" si="5"/>
        <v>3173060785879</v>
      </c>
      <c r="M17" s="73">
        <f t="shared" si="6"/>
        <v>0</v>
      </c>
      <c r="N17" s="73">
        <f t="shared" si="7"/>
        <v>0</v>
      </c>
      <c r="O17" s="73">
        <f t="shared" si="8"/>
        <v>0</v>
      </c>
      <c r="P17" s="73">
        <f t="shared" si="9"/>
        <v>0</v>
      </c>
      <c r="Q17" s="73">
        <f t="shared" si="10"/>
        <v>0</v>
      </c>
      <c r="R17" s="73">
        <f t="shared" si="11"/>
        <v>0</v>
      </c>
      <c r="S17" s="73">
        <f t="shared" si="12"/>
        <v>0</v>
      </c>
      <c r="T17" s="73">
        <f t="shared" si="13"/>
        <v>0</v>
      </c>
      <c r="U17" s="73">
        <f t="shared" si="14"/>
        <v>0</v>
      </c>
      <c r="V17" s="73">
        <f t="shared" si="15"/>
        <v>0</v>
      </c>
      <c r="W17" s="73">
        <f t="shared" si="16"/>
        <v>0</v>
      </c>
      <c r="X17" s="81"/>
    </row>
    <row r="18" spans="1:24" ht="21.75" hidden="1">
      <c r="A18" s="69">
        <v>906</v>
      </c>
      <c r="B18" s="70">
        <v>9</v>
      </c>
      <c r="C18" s="71">
        <v>13</v>
      </c>
      <c r="D18" s="46" t="s">
        <v>419</v>
      </c>
      <c r="E18" s="72" t="s">
        <v>420</v>
      </c>
      <c r="F18" s="73">
        <v>278664257</v>
      </c>
      <c r="G18" s="73">
        <f t="shared" si="0"/>
        <v>0</v>
      </c>
      <c r="H18" s="73">
        <f t="shared" si="1"/>
        <v>0</v>
      </c>
      <c r="I18" s="73">
        <f t="shared" si="2"/>
        <v>0</v>
      </c>
      <c r="J18" s="73">
        <f t="shared" si="3"/>
        <v>0</v>
      </c>
      <c r="K18" s="73">
        <f t="shared" si="4"/>
        <v>0</v>
      </c>
      <c r="L18" s="73">
        <f t="shared" si="5"/>
        <v>278664257</v>
      </c>
      <c r="M18" s="73">
        <f t="shared" si="6"/>
        <v>0</v>
      </c>
      <c r="N18" s="73">
        <f t="shared" si="7"/>
        <v>0</v>
      </c>
      <c r="O18" s="73">
        <f t="shared" si="8"/>
        <v>0</v>
      </c>
      <c r="P18" s="73">
        <f t="shared" si="9"/>
        <v>0</v>
      </c>
      <c r="Q18" s="73">
        <f t="shared" si="10"/>
        <v>0</v>
      </c>
      <c r="R18" s="73">
        <f t="shared" si="11"/>
        <v>0</v>
      </c>
      <c r="S18" s="73">
        <f t="shared" si="12"/>
        <v>0</v>
      </c>
      <c r="T18" s="73">
        <f t="shared" si="13"/>
        <v>0</v>
      </c>
      <c r="U18" s="73">
        <f t="shared" si="14"/>
        <v>0</v>
      </c>
      <c r="V18" s="73">
        <f t="shared" si="15"/>
        <v>0</v>
      </c>
      <c r="W18" s="73">
        <f t="shared" si="16"/>
        <v>0</v>
      </c>
      <c r="X18" s="74"/>
    </row>
    <row r="19" spans="1:24" ht="21.75" hidden="1">
      <c r="A19" s="75">
        <v>906</v>
      </c>
      <c r="B19" s="76">
        <v>9</v>
      </c>
      <c r="C19" s="77">
        <v>14</v>
      </c>
      <c r="D19" s="78" t="s">
        <v>421</v>
      </c>
      <c r="E19" s="79" t="s">
        <v>423</v>
      </c>
      <c r="F19" s="80">
        <v>51665188966</v>
      </c>
      <c r="G19" s="73">
        <f t="shared" si="0"/>
        <v>0</v>
      </c>
      <c r="H19" s="73">
        <f t="shared" si="1"/>
        <v>0</v>
      </c>
      <c r="I19" s="73">
        <f t="shared" si="2"/>
        <v>0</v>
      </c>
      <c r="J19" s="73">
        <f t="shared" si="3"/>
        <v>0</v>
      </c>
      <c r="K19" s="73">
        <f t="shared" si="4"/>
        <v>0</v>
      </c>
      <c r="L19" s="73">
        <f t="shared" si="5"/>
        <v>51665188966</v>
      </c>
      <c r="M19" s="73">
        <f t="shared" si="6"/>
        <v>0</v>
      </c>
      <c r="N19" s="73">
        <f t="shared" si="7"/>
        <v>0</v>
      </c>
      <c r="O19" s="73">
        <f t="shared" si="8"/>
        <v>0</v>
      </c>
      <c r="P19" s="73">
        <f t="shared" si="9"/>
        <v>0</v>
      </c>
      <c r="Q19" s="73">
        <f t="shared" si="10"/>
        <v>0</v>
      </c>
      <c r="R19" s="73">
        <f t="shared" si="11"/>
        <v>0</v>
      </c>
      <c r="S19" s="73">
        <f t="shared" si="12"/>
        <v>0</v>
      </c>
      <c r="T19" s="73">
        <f t="shared" si="13"/>
        <v>0</v>
      </c>
      <c r="U19" s="73">
        <f t="shared" si="14"/>
        <v>0</v>
      </c>
      <c r="V19" s="73">
        <f t="shared" si="15"/>
        <v>0</v>
      </c>
      <c r="W19" s="73">
        <f t="shared" si="16"/>
        <v>0</v>
      </c>
      <c r="X19" s="81"/>
    </row>
    <row r="20" spans="1:24" ht="21.75" hidden="1">
      <c r="A20" s="69">
        <v>906</v>
      </c>
      <c r="B20" s="70">
        <v>9</v>
      </c>
      <c r="C20" s="71">
        <v>15</v>
      </c>
      <c r="D20" s="46" t="s">
        <v>424</v>
      </c>
      <c r="E20" s="72" t="s">
        <v>198</v>
      </c>
      <c r="F20" s="73">
        <v>1044921042</v>
      </c>
      <c r="G20" s="73">
        <f t="shared" si="0"/>
        <v>0</v>
      </c>
      <c r="H20" s="73">
        <f t="shared" si="1"/>
        <v>0</v>
      </c>
      <c r="I20" s="73">
        <f t="shared" si="2"/>
        <v>0</v>
      </c>
      <c r="J20" s="73">
        <f t="shared" si="3"/>
        <v>0</v>
      </c>
      <c r="K20" s="73">
        <f t="shared" si="4"/>
        <v>0</v>
      </c>
      <c r="L20" s="73">
        <f t="shared" si="5"/>
        <v>1044921042</v>
      </c>
      <c r="M20" s="73">
        <f t="shared" si="6"/>
        <v>0</v>
      </c>
      <c r="N20" s="73">
        <f t="shared" si="7"/>
        <v>0</v>
      </c>
      <c r="O20" s="73">
        <f t="shared" si="8"/>
        <v>0</v>
      </c>
      <c r="P20" s="73">
        <f t="shared" si="9"/>
        <v>0</v>
      </c>
      <c r="Q20" s="73">
        <f t="shared" si="10"/>
        <v>0</v>
      </c>
      <c r="R20" s="73">
        <f t="shared" si="11"/>
        <v>0</v>
      </c>
      <c r="S20" s="73">
        <f t="shared" si="12"/>
        <v>0</v>
      </c>
      <c r="T20" s="73">
        <f t="shared" si="13"/>
        <v>0</v>
      </c>
      <c r="U20" s="73">
        <f t="shared" si="14"/>
        <v>0</v>
      </c>
      <c r="V20" s="73">
        <f t="shared" si="15"/>
        <v>0</v>
      </c>
      <c r="W20" s="73">
        <f t="shared" si="16"/>
        <v>0</v>
      </c>
      <c r="X20" s="74"/>
    </row>
    <row r="21" spans="1:24" ht="21.75" hidden="1">
      <c r="A21" s="69">
        <v>1212</v>
      </c>
      <c r="B21" s="76">
        <v>12</v>
      </c>
      <c r="C21" s="77">
        <v>16</v>
      </c>
      <c r="D21" s="78" t="s">
        <v>425</v>
      </c>
      <c r="E21" s="79" t="s">
        <v>426</v>
      </c>
      <c r="F21" s="80">
        <v>-4673516</v>
      </c>
      <c r="G21" s="73">
        <f t="shared" si="0"/>
        <v>0</v>
      </c>
      <c r="H21" s="73">
        <f t="shared" si="1"/>
        <v>0</v>
      </c>
      <c r="I21" s="73">
        <f t="shared" si="2"/>
        <v>0</v>
      </c>
      <c r="J21" s="73">
        <f t="shared" si="3"/>
        <v>0</v>
      </c>
      <c r="K21" s="73">
        <f t="shared" si="4"/>
        <v>0</v>
      </c>
      <c r="L21" s="73">
        <f t="shared" si="5"/>
        <v>0</v>
      </c>
      <c r="M21" s="73">
        <f t="shared" si="6"/>
        <v>0</v>
      </c>
      <c r="N21" s="73">
        <f t="shared" si="7"/>
        <v>0</v>
      </c>
      <c r="O21" s="73">
        <f t="shared" si="8"/>
        <v>0</v>
      </c>
      <c r="P21" s="73">
        <f t="shared" si="9"/>
        <v>-4673516</v>
      </c>
      <c r="Q21" s="73">
        <f t="shared" si="10"/>
        <v>0</v>
      </c>
      <c r="R21" s="73">
        <f t="shared" si="11"/>
        <v>0</v>
      </c>
      <c r="S21" s="73">
        <f t="shared" si="12"/>
        <v>0</v>
      </c>
      <c r="T21" s="73">
        <f t="shared" si="13"/>
        <v>0</v>
      </c>
      <c r="U21" s="73">
        <f t="shared" si="14"/>
        <v>0</v>
      </c>
      <c r="V21" s="73">
        <f t="shared" si="15"/>
        <v>0</v>
      </c>
      <c r="W21" s="73">
        <f t="shared" si="16"/>
        <v>0</v>
      </c>
      <c r="X21" s="81"/>
    </row>
    <row r="22" spans="1:24" ht="21.75">
      <c r="A22" s="69">
        <v>614</v>
      </c>
      <c r="B22" s="70">
        <v>6</v>
      </c>
      <c r="C22" s="71">
        <v>17</v>
      </c>
      <c r="D22" s="46" t="s">
        <v>607</v>
      </c>
      <c r="E22" s="72" t="s">
        <v>606</v>
      </c>
      <c r="F22" s="73">
        <v>89392812</v>
      </c>
      <c r="G22" s="73">
        <f t="shared" si="0"/>
        <v>0</v>
      </c>
      <c r="H22" s="73">
        <f t="shared" si="1"/>
        <v>0</v>
      </c>
      <c r="I22" s="73">
        <f t="shared" si="2"/>
        <v>89392812</v>
      </c>
      <c r="J22" s="73">
        <f t="shared" si="3"/>
        <v>0</v>
      </c>
      <c r="K22" s="73">
        <f t="shared" si="4"/>
        <v>0</v>
      </c>
      <c r="L22" s="73">
        <f t="shared" si="5"/>
        <v>0</v>
      </c>
      <c r="M22" s="73">
        <f t="shared" si="6"/>
        <v>0</v>
      </c>
      <c r="N22" s="73">
        <f t="shared" si="7"/>
        <v>0</v>
      </c>
      <c r="O22" s="73">
        <f t="shared" si="8"/>
        <v>0</v>
      </c>
      <c r="P22" s="73">
        <f t="shared" si="9"/>
        <v>0</v>
      </c>
      <c r="Q22" s="73">
        <f t="shared" si="10"/>
        <v>0</v>
      </c>
      <c r="R22" s="73">
        <f t="shared" si="11"/>
        <v>0</v>
      </c>
      <c r="S22" s="73">
        <f t="shared" si="12"/>
        <v>0</v>
      </c>
      <c r="T22" s="73">
        <f t="shared" si="13"/>
        <v>0</v>
      </c>
      <c r="U22" s="73">
        <f t="shared" si="14"/>
        <v>0</v>
      </c>
      <c r="V22" s="73">
        <f t="shared" si="15"/>
        <v>0</v>
      </c>
      <c r="W22" s="73">
        <f t="shared" si="16"/>
        <v>0</v>
      </c>
      <c r="X22" s="74"/>
    </row>
    <row r="23" spans="1:24" ht="21.75" hidden="1">
      <c r="A23" s="69">
        <v>1212</v>
      </c>
      <c r="B23" s="76">
        <v>12</v>
      </c>
      <c r="C23" s="77">
        <v>18</v>
      </c>
      <c r="D23" s="78" t="s">
        <v>427</v>
      </c>
      <c r="E23" s="79" t="s">
        <v>428</v>
      </c>
      <c r="F23" s="80">
        <v>-43352070</v>
      </c>
      <c r="G23" s="73">
        <f t="shared" si="0"/>
        <v>0</v>
      </c>
      <c r="H23" s="73">
        <f t="shared" si="1"/>
        <v>0</v>
      </c>
      <c r="I23" s="73">
        <f t="shared" si="2"/>
        <v>0</v>
      </c>
      <c r="J23" s="73">
        <f t="shared" si="3"/>
        <v>0</v>
      </c>
      <c r="K23" s="73">
        <f t="shared" si="4"/>
        <v>0</v>
      </c>
      <c r="L23" s="73">
        <f t="shared" si="5"/>
        <v>0</v>
      </c>
      <c r="M23" s="73">
        <f t="shared" si="6"/>
        <v>0</v>
      </c>
      <c r="N23" s="73">
        <f t="shared" si="7"/>
        <v>0</v>
      </c>
      <c r="O23" s="73">
        <f t="shared" si="8"/>
        <v>0</v>
      </c>
      <c r="P23" s="73">
        <f t="shared" si="9"/>
        <v>-43352070</v>
      </c>
      <c r="Q23" s="73">
        <f t="shared" si="10"/>
        <v>0</v>
      </c>
      <c r="R23" s="73">
        <f t="shared" si="11"/>
        <v>0</v>
      </c>
      <c r="S23" s="73">
        <f t="shared" si="12"/>
        <v>0</v>
      </c>
      <c r="T23" s="73">
        <f t="shared" si="13"/>
        <v>0</v>
      </c>
      <c r="U23" s="73">
        <f t="shared" si="14"/>
        <v>0</v>
      </c>
      <c r="V23" s="73">
        <f t="shared" si="15"/>
        <v>0</v>
      </c>
      <c r="W23" s="73">
        <f t="shared" si="16"/>
        <v>0</v>
      </c>
      <c r="X23" s="81"/>
    </row>
    <row r="24" spans="1:24" ht="21.75" hidden="1">
      <c r="A24" s="69">
        <v>1212</v>
      </c>
      <c r="B24" s="70">
        <v>12</v>
      </c>
      <c r="C24" s="71">
        <v>19</v>
      </c>
      <c r="D24" s="46" t="s">
        <v>429</v>
      </c>
      <c r="E24" s="72" t="s">
        <v>193</v>
      </c>
      <c r="F24" s="73">
        <v>-841000</v>
      </c>
      <c r="G24" s="73">
        <f t="shared" si="0"/>
        <v>0</v>
      </c>
      <c r="H24" s="73">
        <f t="shared" si="1"/>
        <v>0</v>
      </c>
      <c r="I24" s="73">
        <f t="shared" si="2"/>
        <v>0</v>
      </c>
      <c r="J24" s="73">
        <f t="shared" si="3"/>
        <v>0</v>
      </c>
      <c r="K24" s="73">
        <f t="shared" si="4"/>
        <v>0</v>
      </c>
      <c r="L24" s="73">
        <f t="shared" si="5"/>
        <v>0</v>
      </c>
      <c r="M24" s="73">
        <f t="shared" si="6"/>
        <v>0</v>
      </c>
      <c r="N24" s="73">
        <f t="shared" si="7"/>
        <v>0</v>
      </c>
      <c r="O24" s="73">
        <f t="shared" si="8"/>
        <v>0</v>
      </c>
      <c r="P24" s="73">
        <f t="shared" si="9"/>
        <v>-841000</v>
      </c>
      <c r="Q24" s="73">
        <f t="shared" si="10"/>
        <v>0</v>
      </c>
      <c r="R24" s="73">
        <f t="shared" si="11"/>
        <v>0</v>
      </c>
      <c r="S24" s="73">
        <f t="shared" si="12"/>
        <v>0</v>
      </c>
      <c r="T24" s="73">
        <f t="shared" si="13"/>
        <v>0</v>
      </c>
      <c r="U24" s="73">
        <f t="shared" si="14"/>
        <v>0</v>
      </c>
      <c r="V24" s="73">
        <f t="shared" si="15"/>
        <v>0</v>
      </c>
      <c r="W24" s="73">
        <f t="shared" si="16"/>
        <v>0</v>
      </c>
      <c r="X24" s="74"/>
    </row>
    <row r="25" spans="1:24" ht="21.75">
      <c r="A25" s="75">
        <v>614</v>
      </c>
      <c r="B25" s="76">
        <v>6</v>
      </c>
      <c r="C25" s="77">
        <v>20</v>
      </c>
      <c r="D25" s="78" t="s">
        <v>430</v>
      </c>
      <c r="E25" s="79" t="s">
        <v>431</v>
      </c>
      <c r="F25" s="80">
        <v>7520000</v>
      </c>
      <c r="G25" s="73">
        <f t="shared" si="0"/>
        <v>0</v>
      </c>
      <c r="H25" s="73">
        <f t="shared" si="1"/>
        <v>0</v>
      </c>
      <c r="I25" s="73">
        <f t="shared" si="2"/>
        <v>7520000</v>
      </c>
      <c r="J25" s="73">
        <f t="shared" si="3"/>
        <v>0</v>
      </c>
      <c r="K25" s="73">
        <f t="shared" si="4"/>
        <v>0</v>
      </c>
      <c r="L25" s="73">
        <f t="shared" si="5"/>
        <v>0</v>
      </c>
      <c r="M25" s="73">
        <f t="shared" si="6"/>
        <v>0</v>
      </c>
      <c r="N25" s="73">
        <f t="shared" si="7"/>
        <v>0</v>
      </c>
      <c r="O25" s="73">
        <f t="shared" si="8"/>
        <v>0</v>
      </c>
      <c r="P25" s="73">
        <f t="shared" si="9"/>
        <v>0</v>
      </c>
      <c r="Q25" s="73">
        <f t="shared" si="10"/>
        <v>0</v>
      </c>
      <c r="R25" s="73">
        <f t="shared" si="11"/>
        <v>0</v>
      </c>
      <c r="S25" s="73">
        <f t="shared" si="12"/>
        <v>0</v>
      </c>
      <c r="T25" s="73">
        <f t="shared" si="13"/>
        <v>0</v>
      </c>
      <c r="U25" s="73">
        <f t="shared" si="14"/>
        <v>0</v>
      </c>
      <c r="V25" s="73">
        <f t="shared" si="15"/>
        <v>0</v>
      </c>
      <c r="W25" s="73">
        <f t="shared" si="16"/>
        <v>0</v>
      </c>
      <c r="X25" s="81"/>
    </row>
    <row r="26" spans="1:24" ht="21.75">
      <c r="A26" s="69">
        <v>614</v>
      </c>
      <c r="B26" s="70">
        <v>6</v>
      </c>
      <c r="C26" s="71">
        <v>21</v>
      </c>
      <c r="D26" s="46" t="s">
        <v>432</v>
      </c>
      <c r="E26" s="72" t="s">
        <v>433</v>
      </c>
      <c r="F26" s="73">
        <v>77120000</v>
      </c>
      <c r="G26" s="73">
        <f t="shared" si="0"/>
        <v>0</v>
      </c>
      <c r="H26" s="73">
        <f t="shared" si="1"/>
        <v>0</v>
      </c>
      <c r="I26" s="73">
        <f t="shared" si="2"/>
        <v>77120000</v>
      </c>
      <c r="J26" s="73">
        <f t="shared" si="3"/>
        <v>0</v>
      </c>
      <c r="K26" s="73">
        <f t="shared" si="4"/>
        <v>0</v>
      </c>
      <c r="L26" s="73">
        <f t="shared" si="5"/>
        <v>0</v>
      </c>
      <c r="M26" s="73">
        <f t="shared" si="6"/>
        <v>0</v>
      </c>
      <c r="N26" s="73">
        <f t="shared" si="7"/>
        <v>0</v>
      </c>
      <c r="O26" s="73">
        <f t="shared" si="8"/>
        <v>0</v>
      </c>
      <c r="P26" s="73">
        <f t="shared" si="9"/>
        <v>0</v>
      </c>
      <c r="Q26" s="73">
        <f t="shared" si="10"/>
        <v>0</v>
      </c>
      <c r="R26" s="73">
        <f t="shared" si="11"/>
        <v>0</v>
      </c>
      <c r="S26" s="73">
        <f t="shared" si="12"/>
        <v>0</v>
      </c>
      <c r="T26" s="73">
        <f t="shared" si="13"/>
        <v>0</v>
      </c>
      <c r="U26" s="73">
        <f t="shared" si="14"/>
        <v>0</v>
      </c>
      <c r="V26" s="73">
        <f t="shared" si="15"/>
        <v>0</v>
      </c>
      <c r="W26" s="73">
        <f t="shared" si="16"/>
        <v>0</v>
      </c>
      <c r="X26" s="74"/>
    </row>
    <row r="27" spans="1:24" ht="21.75">
      <c r="A27" s="75">
        <v>614</v>
      </c>
      <c r="B27" s="76">
        <v>6</v>
      </c>
      <c r="C27" s="77">
        <v>22</v>
      </c>
      <c r="D27" s="78" t="s">
        <v>434</v>
      </c>
      <c r="E27" s="79" t="s">
        <v>435</v>
      </c>
      <c r="F27" s="80">
        <v>8173437</v>
      </c>
      <c r="G27" s="73">
        <f t="shared" si="0"/>
        <v>0</v>
      </c>
      <c r="H27" s="73">
        <f t="shared" si="1"/>
        <v>0</v>
      </c>
      <c r="I27" s="73">
        <f t="shared" si="2"/>
        <v>8173437</v>
      </c>
      <c r="J27" s="73">
        <f t="shared" si="3"/>
        <v>0</v>
      </c>
      <c r="K27" s="73">
        <f t="shared" si="4"/>
        <v>0</v>
      </c>
      <c r="L27" s="73">
        <f t="shared" si="5"/>
        <v>0</v>
      </c>
      <c r="M27" s="73">
        <f t="shared" si="6"/>
        <v>0</v>
      </c>
      <c r="N27" s="73">
        <f t="shared" si="7"/>
        <v>0</v>
      </c>
      <c r="O27" s="73">
        <f t="shared" si="8"/>
        <v>0</v>
      </c>
      <c r="P27" s="73">
        <f t="shared" si="9"/>
        <v>0</v>
      </c>
      <c r="Q27" s="73">
        <f t="shared" si="10"/>
        <v>0</v>
      </c>
      <c r="R27" s="73">
        <f t="shared" si="11"/>
        <v>0</v>
      </c>
      <c r="S27" s="73">
        <f t="shared" si="12"/>
        <v>0</v>
      </c>
      <c r="T27" s="73">
        <f t="shared" si="13"/>
        <v>0</v>
      </c>
      <c r="U27" s="73">
        <f t="shared" si="14"/>
        <v>0</v>
      </c>
      <c r="V27" s="73">
        <f t="shared" si="15"/>
        <v>0</v>
      </c>
      <c r="W27" s="73">
        <f t="shared" si="16"/>
        <v>0</v>
      </c>
      <c r="X27" s="81"/>
    </row>
    <row r="28" spans="1:24" ht="21.75">
      <c r="A28" s="69">
        <v>614</v>
      </c>
      <c r="B28" s="70">
        <v>6</v>
      </c>
      <c r="C28" s="71">
        <v>23</v>
      </c>
      <c r="D28" s="46" t="s">
        <v>436</v>
      </c>
      <c r="E28" s="72" t="s">
        <v>437</v>
      </c>
      <c r="F28" s="73">
        <v>41838</v>
      </c>
      <c r="G28" s="73">
        <f t="shared" si="0"/>
        <v>0</v>
      </c>
      <c r="H28" s="73">
        <f t="shared" si="1"/>
        <v>0</v>
      </c>
      <c r="I28" s="73">
        <f t="shared" si="2"/>
        <v>41838</v>
      </c>
      <c r="J28" s="73">
        <f t="shared" si="3"/>
        <v>0</v>
      </c>
      <c r="K28" s="73">
        <f t="shared" si="4"/>
        <v>0</v>
      </c>
      <c r="L28" s="73">
        <f t="shared" si="5"/>
        <v>0</v>
      </c>
      <c r="M28" s="73">
        <f t="shared" si="6"/>
        <v>0</v>
      </c>
      <c r="N28" s="73">
        <f t="shared" si="7"/>
        <v>0</v>
      </c>
      <c r="O28" s="73">
        <f t="shared" si="8"/>
        <v>0</v>
      </c>
      <c r="P28" s="73">
        <f t="shared" si="9"/>
        <v>0</v>
      </c>
      <c r="Q28" s="73">
        <f t="shared" si="10"/>
        <v>0</v>
      </c>
      <c r="R28" s="73">
        <f t="shared" si="11"/>
        <v>0</v>
      </c>
      <c r="S28" s="73">
        <f t="shared" si="12"/>
        <v>0</v>
      </c>
      <c r="T28" s="73">
        <f t="shared" si="13"/>
        <v>0</v>
      </c>
      <c r="U28" s="73">
        <f t="shared" si="14"/>
        <v>0</v>
      </c>
      <c r="V28" s="73">
        <f t="shared" si="15"/>
        <v>0</v>
      </c>
      <c r="W28" s="73">
        <f t="shared" si="16"/>
        <v>0</v>
      </c>
      <c r="X28" s="74"/>
    </row>
    <row r="29" spans="1:24" ht="21.75">
      <c r="A29" s="75">
        <v>614</v>
      </c>
      <c r="B29" s="76">
        <v>6</v>
      </c>
      <c r="C29" s="77">
        <v>24</v>
      </c>
      <c r="D29" s="78" t="s">
        <v>438</v>
      </c>
      <c r="E29" s="79" t="s">
        <v>176</v>
      </c>
      <c r="F29" s="80">
        <v>28594071</v>
      </c>
      <c r="G29" s="73">
        <f t="shared" si="0"/>
        <v>0</v>
      </c>
      <c r="H29" s="73">
        <f t="shared" si="1"/>
        <v>0</v>
      </c>
      <c r="I29" s="73">
        <f t="shared" si="2"/>
        <v>28594071</v>
      </c>
      <c r="J29" s="73">
        <f t="shared" si="3"/>
        <v>0</v>
      </c>
      <c r="K29" s="73">
        <f t="shared" si="4"/>
        <v>0</v>
      </c>
      <c r="L29" s="73">
        <f t="shared" si="5"/>
        <v>0</v>
      </c>
      <c r="M29" s="73">
        <f t="shared" si="6"/>
        <v>0</v>
      </c>
      <c r="N29" s="73">
        <f t="shared" si="7"/>
        <v>0</v>
      </c>
      <c r="O29" s="73">
        <f t="shared" si="8"/>
        <v>0</v>
      </c>
      <c r="P29" s="73">
        <f t="shared" si="9"/>
        <v>0</v>
      </c>
      <c r="Q29" s="73">
        <f t="shared" si="10"/>
        <v>0</v>
      </c>
      <c r="R29" s="73">
        <f t="shared" si="11"/>
        <v>0</v>
      </c>
      <c r="S29" s="73">
        <f t="shared" si="12"/>
        <v>0</v>
      </c>
      <c r="T29" s="73">
        <f t="shared" si="13"/>
        <v>0</v>
      </c>
      <c r="U29" s="73">
        <f t="shared" si="14"/>
        <v>0</v>
      </c>
      <c r="V29" s="73">
        <f t="shared" si="15"/>
        <v>0</v>
      </c>
      <c r="W29" s="73">
        <f t="shared" si="16"/>
        <v>0</v>
      </c>
      <c r="X29" s="81"/>
    </row>
    <row r="30" spans="1:24" ht="21.75">
      <c r="A30" s="69">
        <v>614</v>
      </c>
      <c r="B30" s="70">
        <v>6</v>
      </c>
      <c r="C30" s="71">
        <v>25</v>
      </c>
      <c r="D30" s="46" t="s">
        <v>472</v>
      </c>
      <c r="E30" s="72" t="s">
        <v>473</v>
      </c>
      <c r="F30" s="73">
        <v>1476158412</v>
      </c>
      <c r="G30" s="73">
        <f t="shared" si="0"/>
        <v>0</v>
      </c>
      <c r="H30" s="73">
        <f t="shared" si="1"/>
        <v>0</v>
      </c>
      <c r="I30" s="73">
        <f t="shared" si="2"/>
        <v>1476158412</v>
      </c>
      <c r="J30" s="73">
        <f t="shared" si="3"/>
        <v>0</v>
      </c>
      <c r="K30" s="73">
        <f t="shared" si="4"/>
        <v>0</v>
      </c>
      <c r="L30" s="73">
        <f t="shared" si="5"/>
        <v>0</v>
      </c>
      <c r="M30" s="73">
        <f t="shared" si="6"/>
        <v>0</v>
      </c>
      <c r="N30" s="73">
        <f t="shared" si="7"/>
        <v>0</v>
      </c>
      <c r="O30" s="73">
        <f t="shared" si="8"/>
        <v>0</v>
      </c>
      <c r="P30" s="73">
        <f t="shared" si="9"/>
        <v>0</v>
      </c>
      <c r="Q30" s="73">
        <f t="shared" si="10"/>
        <v>0</v>
      </c>
      <c r="R30" s="73">
        <f t="shared" si="11"/>
        <v>0</v>
      </c>
      <c r="S30" s="73">
        <f t="shared" si="12"/>
        <v>0</v>
      </c>
      <c r="T30" s="73">
        <f t="shared" si="13"/>
        <v>0</v>
      </c>
      <c r="U30" s="73">
        <f t="shared" si="14"/>
        <v>0</v>
      </c>
      <c r="V30" s="73">
        <f t="shared" si="15"/>
        <v>0</v>
      </c>
      <c r="W30" s="73">
        <f t="shared" si="16"/>
        <v>0</v>
      </c>
      <c r="X30" s="74"/>
    </row>
    <row r="31" spans="1:24" ht="21.75">
      <c r="A31" s="75">
        <v>614</v>
      </c>
      <c r="B31" s="76">
        <v>6</v>
      </c>
      <c r="C31" s="77">
        <v>26</v>
      </c>
      <c r="D31" s="78" t="s">
        <v>214</v>
      </c>
      <c r="E31" s="79" t="s">
        <v>473</v>
      </c>
      <c r="F31" s="80">
        <v>-24031239</v>
      </c>
      <c r="G31" s="73">
        <f t="shared" si="0"/>
        <v>0</v>
      </c>
      <c r="H31" s="73">
        <f t="shared" si="1"/>
        <v>0</v>
      </c>
      <c r="I31" s="73">
        <f t="shared" si="2"/>
        <v>-24031239</v>
      </c>
      <c r="J31" s="73">
        <f t="shared" si="3"/>
        <v>0</v>
      </c>
      <c r="K31" s="73">
        <f t="shared" si="4"/>
        <v>0</v>
      </c>
      <c r="L31" s="73">
        <f t="shared" si="5"/>
        <v>0</v>
      </c>
      <c r="M31" s="73">
        <f t="shared" si="6"/>
        <v>0</v>
      </c>
      <c r="N31" s="73">
        <f t="shared" si="7"/>
        <v>0</v>
      </c>
      <c r="O31" s="73">
        <f t="shared" si="8"/>
        <v>0</v>
      </c>
      <c r="P31" s="73">
        <f t="shared" si="9"/>
        <v>0</v>
      </c>
      <c r="Q31" s="73">
        <f t="shared" si="10"/>
        <v>0</v>
      </c>
      <c r="R31" s="73">
        <f t="shared" si="11"/>
        <v>0</v>
      </c>
      <c r="S31" s="73">
        <f t="shared" si="12"/>
        <v>0</v>
      </c>
      <c r="T31" s="73">
        <f t="shared" si="13"/>
        <v>0</v>
      </c>
      <c r="U31" s="73">
        <f t="shared" si="14"/>
        <v>0</v>
      </c>
      <c r="V31" s="73">
        <f t="shared" si="15"/>
        <v>0</v>
      </c>
      <c r="W31" s="73">
        <f t="shared" si="16"/>
        <v>0</v>
      </c>
      <c r="X31" s="81"/>
    </row>
    <row r="32" spans="1:24" ht="21.75">
      <c r="A32" s="69">
        <v>614</v>
      </c>
      <c r="B32" s="70">
        <v>6</v>
      </c>
      <c r="C32" s="71">
        <v>27</v>
      </c>
      <c r="D32" s="46" t="s">
        <v>214</v>
      </c>
      <c r="E32" s="72" t="s">
        <v>473</v>
      </c>
      <c r="F32" s="73">
        <v>24031239</v>
      </c>
      <c r="G32" s="73">
        <f t="shared" si="0"/>
        <v>0</v>
      </c>
      <c r="H32" s="73">
        <f t="shared" si="1"/>
        <v>0</v>
      </c>
      <c r="I32" s="73">
        <f t="shared" si="2"/>
        <v>24031239</v>
      </c>
      <c r="J32" s="73">
        <f t="shared" si="3"/>
        <v>0</v>
      </c>
      <c r="K32" s="73">
        <f t="shared" si="4"/>
        <v>0</v>
      </c>
      <c r="L32" s="73">
        <f t="shared" si="5"/>
        <v>0</v>
      </c>
      <c r="M32" s="73">
        <f t="shared" si="6"/>
        <v>0</v>
      </c>
      <c r="N32" s="73">
        <f t="shared" si="7"/>
        <v>0</v>
      </c>
      <c r="O32" s="73">
        <f t="shared" si="8"/>
        <v>0</v>
      </c>
      <c r="P32" s="73">
        <f t="shared" si="9"/>
        <v>0</v>
      </c>
      <c r="Q32" s="73">
        <f t="shared" si="10"/>
        <v>0</v>
      </c>
      <c r="R32" s="73">
        <f t="shared" si="11"/>
        <v>0</v>
      </c>
      <c r="S32" s="73">
        <f t="shared" si="12"/>
        <v>0</v>
      </c>
      <c r="T32" s="73">
        <f t="shared" si="13"/>
        <v>0</v>
      </c>
      <c r="U32" s="73">
        <f t="shared" si="14"/>
        <v>0</v>
      </c>
      <c r="V32" s="73">
        <f t="shared" si="15"/>
        <v>0</v>
      </c>
      <c r="W32" s="73">
        <f t="shared" si="16"/>
        <v>0</v>
      </c>
      <c r="X32" s="74"/>
    </row>
    <row r="33" spans="1:24" ht="21.75" hidden="1">
      <c r="A33" s="69">
        <v>1212</v>
      </c>
      <c r="B33" s="76">
        <v>12</v>
      </c>
      <c r="C33" s="77">
        <v>28</v>
      </c>
      <c r="D33" s="78" t="s">
        <v>127</v>
      </c>
      <c r="E33" s="79" t="s">
        <v>230</v>
      </c>
      <c r="F33" s="80">
        <v>-797708</v>
      </c>
      <c r="G33" s="73">
        <f t="shared" si="0"/>
        <v>0</v>
      </c>
      <c r="H33" s="73">
        <f t="shared" si="1"/>
        <v>0</v>
      </c>
      <c r="I33" s="73">
        <f t="shared" si="2"/>
        <v>0</v>
      </c>
      <c r="J33" s="73">
        <f t="shared" si="3"/>
        <v>0</v>
      </c>
      <c r="K33" s="73">
        <f t="shared" si="4"/>
        <v>0</v>
      </c>
      <c r="L33" s="73">
        <f t="shared" si="5"/>
        <v>0</v>
      </c>
      <c r="M33" s="73">
        <f t="shared" si="6"/>
        <v>0</v>
      </c>
      <c r="N33" s="73">
        <f t="shared" si="7"/>
        <v>0</v>
      </c>
      <c r="O33" s="73">
        <f t="shared" si="8"/>
        <v>0</v>
      </c>
      <c r="P33" s="73">
        <f t="shared" si="9"/>
        <v>-797708</v>
      </c>
      <c r="Q33" s="73">
        <f t="shared" si="10"/>
        <v>0</v>
      </c>
      <c r="R33" s="73">
        <f t="shared" si="11"/>
        <v>0</v>
      </c>
      <c r="S33" s="73">
        <f t="shared" si="12"/>
        <v>0</v>
      </c>
      <c r="T33" s="73">
        <f t="shared" si="13"/>
        <v>0</v>
      </c>
      <c r="U33" s="73">
        <f t="shared" si="14"/>
        <v>0</v>
      </c>
      <c r="V33" s="73">
        <f t="shared" si="15"/>
        <v>0</v>
      </c>
      <c r="W33" s="73">
        <f t="shared" si="16"/>
        <v>0</v>
      </c>
      <c r="X33" s="81"/>
    </row>
    <row r="34" spans="1:24" ht="21.75" hidden="1">
      <c r="A34" s="69">
        <v>1212</v>
      </c>
      <c r="B34" s="70">
        <v>12</v>
      </c>
      <c r="C34" s="71">
        <v>29</v>
      </c>
      <c r="D34" s="46" t="s">
        <v>128</v>
      </c>
      <c r="E34" s="72" t="s">
        <v>129</v>
      </c>
      <c r="F34" s="73">
        <v>-79358071</v>
      </c>
      <c r="G34" s="73">
        <f t="shared" si="0"/>
        <v>0</v>
      </c>
      <c r="H34" s="73">
        <f t="shared" si="1"/>
        <v>0</v>
      </c>
      <c r="I34" s="73">
        <f t="shared" si="2"/>
        <v>0</v>
      </c>
      <c r="J34" s="73">
        <f t="shared" si="3"/>
        <v>0</v>
      </c>
      <c r="K34" s="73">
        <f t="shared" si="4"/>
        <v>0</v>
      </c>
      <c r="L34" s="73">
        <f t="shared" si="5"/>
        <v>0</v>
      </c>
      <c r="M34" s="73">
        <f t="shared" si="6"/>
        <v>0</v>
      </c>
      <c r="N34" s="73">
        <f t="shared" si="7"/>
        <v>0</v>
      </c>
      <c r="O34" s="73">
        <f t="shared" si="8"/>
        <v>0</v>
      </c>
      <c r="P34" s="73">
        <f t="shared" si="9"/>
        <v>-79358071</v>
      </c>
      <c r="Q34" s="73">
        <f t="shared" si="10"/>
        <v>0</v>
      </c>
      <c r="R34" s="73">
        <f t="shared" si="11"/>
        <v>0</v>
      </c>
      <c r="S34" s="73">
        <f t="shared" si="12"/>
        <v>0</v>
      </c>
      <c r="T34" s="73">
        <f t="shared" si="13"/>
        <v>0</v>
      </c>
      <c r="U34" s="73">
        <f t="shared" si="14"/>
        <v>0</v>
      </c>
      <c r="V34" s="73">
        <f t="shared" si="15"/>
        <v>0</v>
      </c>
      <c r="W34" s="73">
        <f t="shared" si="16"/>
        <v>0</v>
      </c>
      <c r="X34" s="74"/>
    </row>
    <row r="35" spans="1:24" ht="21.75" hidden="1">
      <c r="A35" s="69">
        <v>1212</v>
      </c>
      <c r="B35" s="76">
        <v>12</v>
      </c>
      <c r="C35" s="77">
        <v>30</v>
      </c>
      <c r="D35" s="78" t="s">
        <v>130</v>
      </c>
      <c r="E35" s="79" t="s">
        <v>131</v>
      </c>
      <c r="F35" s="80">
        <v>-445357783</v>
      </c>
      <c r="G35" s="73">
        <f t="shared" si="0"/>
        <v>0</v>
      </c>
      <c r="H35" s="73">
        <f t="shared" si="1"/>
        <v>0</v>
      </c>
      <c r="I35" s="73">
        <f t="shared" si="2"/>
        <v>0</v>
      </c>
      <c r="J35" s="73">
        <f t="shared" si="3"/>
        <v>0</v>
      </c>
      <c r="K35" s="73">
        <f t="shared" si="4"/>
        <v>0</v>
      </c>
      <c r="L35" s="73">
        <f t="shared" si="5"/>
        <v>0</v>
      </c>
      <c r="M35" s="73">
        <f t="shared" si="6"/>
        <v>0</v>
      </c>
      <c r="N35" s="73">
        <f t="shared" si="7"/>
        <v>0</v>
      </c>
      <c r="O35" s="73">
        <f t="shared" si="8"/>
        <v>0</v>
      </c>
      <c r="P35" s="73">
        <f t="shared" si="9"/>
        <v>-445357783</v>
      </c>
      <c r="Q35" s="73">
        <f t="shared" si="10"/>
        <v>0</v>
      </c>
      <c r="R35" s="73">
        <f t="shared" si="11"/>
        <v>0</v>
      </c>
      <c r="S35" s="73">
        <f t="shared" si="12"/>
        <v>0</v>
      </c>
      <c r="T35" s="73">
        <f t="shared" si="13"/>
        <v>0</v>
      </c>
      <c r="U35" s="73">
        <f t="shared" si="14"/>
        <v>0</v>
      </c>
      <c r="V35" s="73">
        <f t="shared" si="15"/>
        <v>0</v>
      </c>
      <c r="W35" s="73">
        <f t="shared" si="16"/>
        <v>0</v>
      </c>
      <c r="X35" s="81"/>
    </row>
    <row r="36" spans="1:24" ht="21.75" hidden="1">
      <c r="A36" s="69">
        <v>1202</v>
      </c>
      <c r="B36" s="70">
        <v>12</v>
      </c>
      <c r="C36" s="71">
        <v>31</v>
      </c>
      <c r="D36" s="46" t="s">
        <v>132</v>
      </c>
      <c r="E36" s="72" t="s">
        <v>133</v>
      </c>
      <c r="F36" s="73">
        <v>-1499034102</v>
      </c>
      <c r="G36" s="73">
        <f t="shared" si="0"/>
        <v>0</v>
      </c>
      <c r="H36" s="73">
        <f t="shared" si="1"/>
        <v>0</v>
      </c>
      <c r="I36" s="73">
        <f t="shared" si="2"/>
        <v>0</v>
      </c>
      <c r="J36" s="73">
        <f t="shared" si="3"/>
        <v>0</v>
      </c>
      <c r="K36" s="73">
        <f t="shared" si="4"/>
        <v>0</v>
      </c>
      <c r="L36" s="73">
        <f t="shared" si="5"/>
        <v>0</v>
      </c>
      <c r="M36" s="73">
        <f t="shared" si="6"/>
        <v>0</v>
      </c>
      <c r="N36" s="73">
        <f t="shared" si="7"/>
        <v>0</v>
      </c>
      <c r="O36" s="73">
        <f t="shared" si="8"/>
        <v>0</v>
      </c>
      <c r="P36" s="73">
        <f t="shared" si="9"/>
        <v>-1499034102</v>
      </c>
      <c r="Q36" s="73">
        <f t="shared" si="10"/>
        <v>0</v>
      </c>
      <c r="R36" s="73">
        <f t="shared" si="11"/>
        <v>0</v>
      </c>
      <c r="S36" s="73">
        <f t="shared" si="12"/>
        <v>0</v>
      </c>
      <c r="T36" s="73">
        <f t="shared" si="13"/>
        <v>0</v>
      </c>
      <c r="U36" s="73">
        <f t="shared" si="14"/>
        <v>0</v>
      </c>
      <c r="V36" s="73">
        <f t="shared" si="15"/>
        <v>0</v>
      </c>
      <c r="W36" s="73">
        <f t="shared" si="16"/>
        <v>0</v>
      </c>
      <c r="X36" s="74"/>
    </row>
    <row r="37" spans="1:24" ht="21.75" hidden="1">
      <c r="A37" s="75">
        <v>1701</v>
      </c>
      <c r="B37" s="76">
        <v>17</v>
      </c>
      <c r="C37" s="77">
        <v>32</v>
      </c>
      <c r="D37" s="78" t="s">
        <v>134</v>
      </c>
      <c r="E37" s="79" t="s">
        <v>135</v>
      </c>
      <c r="F37" s="80">
        <v>-6704613423</v>
      </c>
      <c r="G37" s="73">
        <f t="shared" si="0"/>
        <v>0</v>
      </c>
      <c r="H37" s="73">
        <f t="shared" si="1"/>
        <v>0</v>
      </c>
      <c r="I37" s="73">
        <f t="shared" si="2"/>
        <v>0</v>
      </c>
      <c r="J37" s="73">
        <f t="shared" si="3"/>
        <v>0</v>
      </c>
      <c r="K37" s="73">
        <f t="shared" si="4"/>
        <v>0</v>
      </c>
      <c r="L37" s="73">
        <f t="shared" si="5"/>
        <v>0</v>
      </c>
      <c r="M37" s="73">
        <f t="shared" si="6"/>
        <v>0</v>
      </c>
      <c r="N37" s="73">
        <f t="shared" si="7"/>
        <v>0</v>
      </c>
      <c r="O37" s="73">
        <f t="shared" si="8"/>
        <v>0</v>
      </c>
      <c r="P37" s="73">
        <f t="shared" si="9"/>
        <v>0</v>
      </c>
      <c r="Q37" s="73">
        <f t="shared" si="10"/>
        <v>0</v>
      </c>
      <c r="R37" s="73">
        <f t="shared" si="11"/>
        <v>0</v>
      </c>
      <c r="S37" s="73">
        <f t="shared" si="12"/>
        <v>0</v>
      </c>
      <c r="T37" s="73">
        <f t="shared" si="13"/>
        <v>-6704613423</v>
      </c>
      <c r="U37" s="73">
        <f t="shared" si="14"/>
        <v>0</v>
      </c>
      <c r="V37" s="73">
        <f t="shared" si="15"/>
        <v>0</v>
      </c>
      <c r="W37" s="73">
        <f t="shared" si="16"/>
        <v>0</v>
      </c>
      <c r="X37" s="81"/>
    </row>
    <row r="38" spans="1:24" ht="21.75" hidden="1">
      <c r="A38" s="69">
        <v>1212</v>
      </c>
      <c r="B38" s="70">
        <v>12</v>
      </c>
      <c r="C38" s="71">
        <v>33</v>
      </c>
      <c r="D38" s="46" t="s">
        <v>136</v>
      </c>
      <c r="E38" s="72" t="s">
        <v>82</v>
      </c>
      <c r="F38" s="73">
        <v>-134820841</v>
      </c>
      <c r="G38" s="73">
        <f t="shared" si="0"/>
        <v>0</v>
      </c>
      <c r="H38" s="73">
        <f t="shared" si="1"/>
        <v>0</v>
      </c>
      <c r="I38" s="73">
        <f t="shared" si="2"/>
        <v>0</v>
      </c>
      <c r="J38" s="73">
        <f t="shared" si="3"/>
        <v>0</v>
      </c>
      <c r="K38" s="73">
        <f t="shared" si="4"/>
        <v>0</v>
      </c>
      <c r="L38" s="73">
        <f t="shared" si="5"/>
        <v>0</v>
      </c>
      <c r="M38" s="73">
        <f t="shared" si="6"/>
        <v>0</v>
      </c>
      <c r="N38" s="73">
        <f t="shared" si="7"/>
        <v>0</v>
      </c>
      <c r="O38" s="73">
        <f t="shared" si="8"/>
        <v>0</v>
      </c>
      <c r="P38" s="73">
        <f t="shared" si="9"/>
        <v>-134820841</v>
      </c>
      <c r="Q38" s="73">
        <f t="shared" si="10"/>
        <v>0</v>
      </c>
      <c r="R38" s="73">
        <f t="shared" si="11"/>
        <v>0</v>
      </c>
      <c r="S38" s="73">
        <f t="shared" si="12"/>
        <v>0</v>
      </c>
      <c r="T38" s="73">
        <f t="shared" si="13"/>
        <v>0</v>
      </c>
      <c r="U38" s="73">
        <f t="shared" si="14"/>
        <v>0</v>
      </c>
      <c r="V38" s="73">
        <f t="shared" si="15"/>
        <v>0</v>
      </c>
      <c r="W38" s="73">
        <f t="shared" si="16"/>
        <v>0</v>
      </c>
      <c r="X38" s="74"/>
    </row>
    <row r="39" spans="1:24" ht="21.75">
      <c r="A39" s="75">
        <v>614</v>
      </c>
      <c r="B39" s="76">
        <v>6</v>
      </c>
      <c r="C39" s="77">
        <v>35</v>
      </c>
      <c r="D39" s="78" t="s">
        <v>212</v>
      </c>
      <c r="E39" s="79" t="s">
        <v>213</v>
      </c>
      <c r="F39" s="80">
        <v>1002333</v>
      </c>
      <c r="G39" s="73">
        <f t="shared" si="0"/>
        <v>0</v>
      </c>
      <c r="H39" s="73">
        <f t="shared" si="1"/>
        <v>0</v>
      </c>
      <c r="I39" s="73">
        <f t="shared" si="2"/>
        <v>1002333</v>
      </c>
      <c r="J39" s="73">
        <f t="shared" si="3"/>
        <v>0</v>
      </c>
      <c r="K39" s="73">
        <f t="shared" si="4"/>
        <v>0</v>
      </c>
      <c r="L39" s="73">
        <f t="shared" si="5"/>
        <v>0</v>
      </c>
      <c r="M39" s="73">
        <f t="shared" si="6"/>
        <v>0</v>
      </c>
      <c r="N39" s="73">
        <f t="shared" si="7"/>
        <v>0</v>
      </c>
      <c r="O39" s="73">
        <f t="shared" si="8"/>
        <v>0</v>
      </c>
      <c r="P39" s="73">
        <f t="shared" si="9"/>
        <v>0</v>
      </c>
      <c r="Q39" s="73">
        <f t="shared" si="10"/>
        <v>0</v>
      </c>
      <c r="R39" s="73">
        <f t="shared" si="11"/>
        <v>0</v>
      </c>
      <c r="S39" s="73">
        <f t="shared" si="12"/>
        <v>0</v>
      </c>
      <c r="T39" s="73">
        <f t="shared" si="13"/>
        <v>0</v>
      </c>
      <c r="U39" s="73">
        <f t="shared" si="14"/>
        <v>0</v>
      </c>
      <c r="V39" s="73">
        <f t="shared" si="15"/>
        <v>0</v>
      </c>
      <c r="W39" s="73">
        <f t="shared" si="16"/>
        <v>0</v>
      </c>
      <c r="X39" s="81"/>
    </row>
    <row r="40" spans="1:24" ht="21.75">
      <c r="A40" s="69">
        <v>614</v>
      </c>
      <c r="B40" s="70">
        <v>6</v>
      </c>
      <c r="C40" s="71">
        <v>36</v>
      </c>
      <c r="D40" s="46" t="s">
        <v>84</v>
      </c>
      <c r="E40" s="72" t="s">
        <v>85</v>
      </c>
      <c r="F40" s="73">
        <v>71570477</v>
      </c>
      <c r="G40" s="73">
        <f t="shared" si="0"/>
        <v>0</v>
      </c>
      <c r="H40" s="73">
        <f t="shared" si="1"/>
        <v>0</v>
      </c>
      <c r="I40" s="73">
        <f t="shared" si="2"/>
        <v>71570477</v>
      </c>
      <c r="J40" s="73">
        <f t="shared" si="3"/>
        <v>0</v>
      </c>
      <c r="K40" s="73">
        <f t="shared" si="4"/>
        <v>0</v>
      </c>
      <c r="L40" s="73">
        <f t="shared" si="5"/>
        <v>0</v>
      </c>
      <c r="M40" s="73">
        <f t="shared" si="6"/>
        <v>0</v>
      </c>
      <c r="N40" s="73">
        <f t="shared" si="7"/>
        <v>0</v>
      </c>
      <c r="O40" s="73">
        <f t="shared" si="8"/>
        <v>0</v>
      </c>
      <c r="P40" s="73">
        <f t="shared" si="9"/>
        <v>0</v>
      </c>
      <c r="Q40" s="73">
        <f t="shared" si="10"/>
        <v>0</v>
      </c>
      <c r="R40" s="73">
        <f t="shared" si="11"/>
        <v>0</v>
      </c>
      <c r="S40" s="73">
        <f t="shared" si="12"/>
        <v>0</v>
      </c>
      <c r="T40" s="73">
        <f t="shared" si="13"/>
        <v>0</v>
      </c>
      <c r="U40" s="73">
        <f t="shared" si="14"/>
        <v>0</v>
      </c>
      <c r="V40" s="73">
        <f t="shared" si="15"/>
        <v>0</v>
      </c>
      <c r="W40" s="73">
        <f t="shared" si="16"/>
        <v>0</v>
      </c>
      <c r="X40" s="74"/>
    </row>
    <row r="41" spans="1:24" ht="21.75">
      <c r="A41" s="75">
        <v>605</v>
      </c>
      <c r="B41" s="76">
        <v>6</v>
      </c>
      <c r="C41" s="77">
        <v>37</v>
      </c>
      <c r="D41" s="78" t="s">
        <v>92</v>
      </c>
      <c r="E41" s="79" t="s">
        <v>179</v>
      </c>
      <c r="F41" s="80">
        <v>5333348</v>
      </c>
      <c r="G41" s="73">
        <f t="shared" si="0"/>
        <v>0</v>
      </c>
      <c r="H41" s="73">
        <f t="shared" si="1"/>
        <v>0</v>
      </c>
      <c r="I41" s="73">
        <f t="shared" si="2"/>
        <v>5333348</v>
      </c>
      <c r="J41" s="73">
        <f t="shared" si="3"/>
        <v>0</v>
      </c>
      <c r="K41" s="73">
        <f t="shared" si="4"/>
        <v>0</v>
      </c>
      <c r="L41" s="73">
        <f t="shared" si="5"/>
        <v>0</v>
      </c>
      <c r="M41" s="73">
        <f t="shared" si="6"/>
        <v>0</v>
      </c>
      <c r="N41" s="73">
        <f t="shared" si="7"/>
        <v>0</v>
      </c>
      <c r="O41" s="73">
        <f t="shared" si="8"/>
        <v>0</v>
      </c>
      <c r="P41" s="73">
        <f t="shared" si="9"/>
        <v>0</v>
      </c>
      <c r="Q41" s="73">
        <f t="shared" si="10"/>
        <v>0</v>
      </c>
      <c r="R41" s="73">
        <f t="shared" si="11"/>
        <v>0</v>
      </c>
      <c r="S41" s="73">
        <f t="shared" si="12"/>
        <v>0</v>
      </c>
      <c r="T41" s="73">
        <f t="shared" si="13"/>
        <v>0</v>
      </c>
      <c r="U41" s="73">
        <f t="shared" si="14"/>
        <v>0</v>
      </c>
      <c r="V41" s="73">
        <f t="shared" si="15"/>
        <v>0</v>
      </c>
      <c r="W41" s="73">
        <f t="shared" si="16"/>
        <v>0</v>
      </c>
      <c r="X41" s="81"/>
    </row>
    <row r="42" spans="1:24" ht="21.75">
      <c r="A42" s="69">
        <v>605</v>
      </c>
      <c r="B42" s="70">
        <v>6</v>
      </c>
      <c r="C42" s="71">
        <v>38</v>
      </c>
      <c r="D42" s="46" t="s">
        <v>216</v>
      </c>
      <c r="E42" s="72" t="s">
        <v>217</v>
      </c>
      <c r="F42" s="73">
        <v>12500007</v>
      </c>
      <c r="G42" s="73">
        <f t="shared" si="0"/>
        <v>0</v>
      </c>
      <c r="H42" s="73">
        <f t="shared" si="1"/>
        <v>0</v>
      </c>
      <c r="I42" s="73">
        <f t="shared" si="2"/>
        <v>12500007</v>
      </c>
      <c r="J42" s="73">
        <f t="shared" si="3"/>
        <v>0</v>
      </c>
      <c r="K42" s="73">
        <f t="shared" si="4"/>
        <v>0</v>
      </c>
      <c r="L42" s="73">
        <f t="shared" si="5"/>
        <v>0</v>
      </c>
      <c r="M42" s="73">
        <f t="shared" si="6"/>
        <v>0</v>
      </c>
      <c r="N42" s="73">
        <f t="shared" si="7"/>
        <v>0</v>
      </c>
      <c r="O42" s="73">
        <f t="shared" si="8"/>
        <v>0</v>
      </c>
      <c r="P42" s="73">
        <f t="shared" si="9"/>
        <v>0</v>
      </c>
      <c r="Q42" s="73">
        <f t="shared" si="10"/>
        <v>0</v>
      </c>
      <c r="R42" s="73">
        <f t="shared" si="11"/>
        <v>0</v>
      </c>
      <c r="S42" s="73">
        <f t="shared" si="12"/>
        <v>0</v>
      </c>
      <c r="T42" s="73">
        <f t="shared" si="13"/>
        <v>0</v>
      </c>
      <c r="U42" s="73">
        <f t="shared" si="14"/>
        <v>0</v>
      </c>
      <c r="V42" s="73">
        <f t="shared" si="15"/>
        <v>0</v>
      </c>
      <c r="W42" s="73">
        <f t="shared" si="16"/>
        <v>0</v>
      </c>
      <c r="X42" s="74"/>
    </row>
    <row r="43" spans="1:24" ht="21.75" hidden="1">
      <c r="A43" s="69">
        <v>1212</v>
      </c>
      <c r="B43" s="76">
        <v>12</v>
      </c>
      <c r="C43" s="77">
        <v>39</v>
      </c>
      <c r="D43" s="78" t="s">
        <v>562</v>
      </c>
      <c r="E43" s="79" t="s">
        <v>563</v>
      </c>
      <c r="F43" s="80">
        <v>-390608</v>
      </c>
      <c r="G43" s="73">
        <f t="shared" si="0"/>
        <v>0</v>
      </c>
      <c r="H43" s="73">
        <f t="shared" si="1"/>
        <v>0</v>
      </c>
      <c r="I43" s="73">
        <f t="shared" si="2"/>
        <v>0</v>
      </c>
      <c r="J43" s="73">
        <f t="shared" si="3"/>
        <v>0</v>
      </c>
      <c r="K43" s="73">
        <f t="shared" si="4"/>
        <v>0</v>
      </c>
      <c r="L43" s="73">
        <f t="shared" si="5"/>
        <v>0</v>
      </c>
      <c r="M43" s="73">
        <f t="shared" si="6"/>
        <v>0</v>
      </c>
      <c r="N43" s="73">
        <f t="shared" si="7"/>
        <v>0</v>
      </c>
      <c r="O43" s="73">
        <f t="shared" si="8"/>
        <v>0</v>
      </c>
      <c r="P43" s="73">
        <f t="shared" si="9"/>
        <v>-390608</v>
      </c>
      <c r="Q43" s="73">
        <f t="shared" si="10"/>
        <v>0</v>
      </c>
      <c r="R43" s="73">
        <f t="shared" si="11"/>
        <v>0</v>
      </c>
      <c r="S43" s="73">
        <f t="shared" si="12"/>
        <v>0</v>
      </c>
      <c r="T43" s="73">
        <f t="shared" si="13"/>
        <v>0</v>
      </c>
      <c r="U43" s="73">
        <f t="shared" si="14"/>
        <v>0</v>
      </c>
      <c r="V43" s="73">
        <f t="shared" si="15"/>
        <v>0</v>
      </c>
      <c r="W43" s="73">
        <f t="shared" si="16"/>
        <v>0</v>
      </c>
      <c r="X43" s="81"/>
    </row>
    <row r="44" spans="1:24" ht="21.75">
      <c r="A44" s="69">
        <v>605</v>
      </c>
      <c r="B44" s="70">
        <v>6</v>
      </c>
      <c r="C44" s="71">
        <v>40</v>
      </c>
      <c r="D44" s="46" t="s">
        <v>564</v>
      </c>
      <c r="E44" s="72" t="s">
        <v>183</v>
      </c>
      <c r="F44" s="73">
        <v>1163903515</v>
      </c>
      <c r="G44" s="73">
        <f t="shared" si="0"/>
        <v>0</v>
      </c>
      <c r="H44" s="73">
        <f t="shared" si="1"/>
        <v>0</v>
      </c>
      <c r="I44" s="73">
        <f t="shared" si="2"/>
        <v>1163903515</v>
      </c>
      <c r="J44" s="73">
        <f t="shared" si="3"/>
        <v>0</v>
      </c>
      <c r="K44" s="73">
        <f t="shared" si="4"/>
        <v>0</v>
      </c>
      <c r="L44" s="73">
        <f t="shared" si="5"/>
        <v>0</v>
      </c>
      <c r="M44" s="73">
        <f t="shared" si="6"/>
        <v>0</v>
      </c>
      <c r="N44" s="73">
        <f t="shared" si="7"/>
        <v>0</v>
      </c>
      <c r="O44" s="73">
        <f t="shared" si="8"/>
        <v>0</v>
      </c>
      <c r="P44" s="73">
        <f t="shared" si="9"/>
        <v>0</v>
      </c>
      <c r="Q44" s="73">
        <f t="shared" si="10"/>
        <v>0</v>
      </c>
      <c r="R44" s="73">
        <f t="shared" si="11"/>
        <v>0</v>
      </c>
      <c r="S44" s="73">
        <f t="shared" si="12"/>
        <v>0</v>
      </c>
      <c r="T44" s="73">
        <f t="shared" si="13"/>
        <v>0</v>
      </c>
      <c r="U44" s="73">
        <f t="shared" si="14"/>
        <v>0</v>
      </c>
      <c r="V44" s="73">
        <f t="shared" si="15"/>
        <v>0</v>
      </c>
      <c r="W44" s="73">
        <f t="shared" si="16"/>
        <v>0</v>
      </c>
      <c r="X44" s="74"/>
    </row>
    <row r="45" spans="1:24" ht="21.75">
      <c r="A45" s="75">
        <v>605</v>
      </c>
      <c r="B45" s="76">
        <v>6</v>
      </c>
      <c r="C45" s="77">
        <v>41</v>
      </c>
      <c r="D45" s="78" t="s">
        <v>184</v>
      </c>
      <c r="E45" s="79" t="s">
        <v>161</v>
      </c>
      <c r="F45" s="80">
        <v>4466742</v>
      </c>
      <c r="G45" s="73">
        <f t="shared" si="0"/>
        <v>0</v>
      </c>
      <c r="H45" s="73">
        <f t="shared" si="1"/>
        <v>0</v>
      </c>
      <c r="I45" s="73">
        <f t="shared" si="2"/>
        <v>4466742</v>
      </c>
      <c r="J45" s="73">
        <f t="shared" si="3"/>
        <v>0</v>
      </c>
      <c r="K45" s="73">
        <f t="shared" si="4"/>
        <v>0</v>
      </c>
      <c r="L45" s="73">
        <f t="shared" si="5"/>
        <v>0</v>
      </c>
      <c r="M45" s="73">
        <f t="shared" si="6"/>
        <v>0</v>
      </c>
      <c r="N45" s="73">
        <f t="shared" si="7"/>
        <v>0</v>
      </c>
      <c r="O45" s="73">
        <f t="shared" si="8"/>
        <v>0</v>
      </c>
      <c r="P45" s="73">
        <f t="shared" si="9"/>
        <v>0</v>
      </c>
      <c r="Q45" s="73">
        <f t="shared" si="10"/>
        <v>0</v>
      </c>
      <c r="R45" s="73">
        <f t="shared" si="11"/>
        <v>0</v>
      </c>
      <c r="S45" s="73">
        <f t="shared" si="12"/>
        <v>0</v>
      </c>
      <c r="T45" s="73">
        <f t="shared" si="13"/>
        <v>0</v>
      </c>
      <c r="U45" s="73">
        <f t="shared" si="14"/>
        <v>0</v>
      </c>
      <c r="V45" s="73">
        <f t="shared" si="15"/>
        <v>0</v>
      </c>
      <c r="W45" s="73">
        <f t="shared" si="16"/>
        <v>0</v>
      </c>
      <c r="X45" s="81"/>
    </row>
    <row r="46" spans="1:24" ht="21.75" hidden="1">
      <c r="A46" s="69">
        <v>1212</v>
      </c>
      <c r="B46" s="70">
        <v>12</v>
      </c>
      <c r="C46" s="71">
        <v>42</v>
      </c>
      <c r="D46" s="46" t="s">
        <v>479</v>
      </c>
      <c r="E46" s="72" t="s">
        <v>218</v>
      </c>
      <c r="F46" s="73">
        <v>-38861487</v>
      </c>
      <c r="G46" s="73">
        <f t="shared" si="0"/>
        <v>0</v>
      </c>
      <c r="H46" s="73">
        <f t="shared" si="1"/>
        <v>0</v>
      </c>
      <c r="I46" s="73">
        <f t="shared" si="2"/>
        <v>0</v>
      </c>
      <c r="J46" s="73">
        <f t="shared" si="3"/>
        <v>0</v>
      </c>
      <c r="K46" s="73">
        <f t="shared" si="4"/>
        <v>0</v>
      </c>
      <c r="L46" s="73">
        <f t="shared" si="5"/>
        <v>0</v>
      </c>
      <c r="M46" s="73">
        <f t="shared" si="6"/>
        <v>0</v>
      </c>
      <c r="N46" s="73">
        <f t="shared" si="7"/>
        <v>0</v>
      </c>
      <c r="O46" s="73">
        <f t="shared" si="8"/>
        <v>0</v>
      </c>
      <c r="P46" s="73">
        <f t="shared" si="9"/>
        <v>-38861487</v>
      </c>
      <c r="Q46" s="73">
        <f t="shared" si="10"/>
        <v>0</v>
      </c>
      <c r="R46" s="73">
        <f t="shared" si="11"/>
        <v>0</v>
      </c>
      <c r="S46" s="73">
        <f t="shared" si="12"/>
        <v>0</v>
      </c>
      <c r="T46" s="73">
        <f t="shared" si="13"/>
        <v>0</v>
      </c>
      <c r="U46" s="73">
        <f t="shared" si="14"/>
        <v>0</v>
      </c>
      <c r="V46" s="73">
        <f t="shared" si="15"/>
        <v>0</v>
      </c>
      <c r="W46" s="73">
        <f t="shared" si="16"/>
        <v>0</v>
      </c>
      <c r="X46" s="74"/>
    </row>
    <row r="47" spans="1:24" ht="21.75">
      <c r="A47" s="75">
        <v>605</v>
      </c>
      <c r="B47" s="76">
        <v>6</v>
      </c>
      <c r="C47" s="77">
        <v>43</v>
      </c>
      <c r="D47" s="78" t="s">
        <v>480</v>
      </c>
      <c r="E47" s="79" t="s">
        <v>219</v>
      </c>
      <c r="F47" s="80">
        <v>87756903</v>
      </c>
      <c r="G47" s="73">
        <f t="shared" si="0"/>
        <v>0</v>
      </c>
      <c r="H47" s="73">
        <f t="shared" si="1"/>
        <v>0</v>
      </c>
      <c r="I47" s="73">
        <f t="shared" si="2"/>
        <v>87756903</v>
      </c>
      <c r="J47" s="73">
        <f t="shared" si="3"/>
        <v>0</v>
      </c>
      <c r="K47" s="73">
        <f t="shared" si="4"/>
        <v>0</v>
      </c>
      <c r="L47" s="73">
        <f t="shared" si="5"/>
        <v>0</v>
      </c>
      <c r="M47" s="73">
        <f t="shared" si="6"/>
        <v>0</v>
      </c>
      <c r="N47" s="73">
        <f t="shared" si="7"/>
        <v>0</v>
      </c>
      <c r="O47" s="73">
        <f t="shared" si="8"/>
        <v>0</v>
      </c>
      <c r="P47" s="73">
        <f t="shared" si="9"/>
        <v>0</v>
      </c>
      <c r="Q47" s="73">
        <f t="shared" si="10"/>
        <v>0</v>
      </c>
      <c r="R47" s="73">
        <f t="shared" si="11"/>
        <v>0</v>
      </c>
      <c r="S47" s="73">
        <f t="shared" si="12"/>
        <v>0</v>
      </c>
      <c r="T47" s="73">
        <f t="shared" si="13"/>
        <v>0</v>
      </c>
      <c r="U47" s="73">
        <f t="shared" si="14"/>
        <v>0</v>
      </c>
      <c r="V47" s="73">
        <f t="shared" si="15"/>
        <v>0</v>
      </c>
      <c r="W47" s="73">
        <f t="shared" si="16"/>
        <v>0</v>
      </c>
      <c r="X47" s="81"/>
    </row>
    <row r="48" spans="1:24" ht="21.75">
      <c r="A48" s="69">
        <v>605</v>
      </c>
      <c r="B48" s="70">
        <v>6</v>
      </c>
      <c r="C48" s="71">
        <v>44</v>
      </c>
      <c r="D48" s="46" t="s">
        <v>220</v>
      </c>
      <c r="E48" s="72" t="s">
        <v>221</v>
      </c>
      <c r="F48" s="73">
        <v>24478984</v>
      </c>
      <c r="G48" s="73">
        <f t="shared" si="0"/>
        <v>0</v>
      </c>
      <c r="H48" s="73">
        <f t="shared" si="1"/>
        <v>0</v>
      </c>
      <c r="I48" s="73">
        <f t="shared" si="2"/>
        <v>24478984</v>
      </c>
      <c r="J48" s="73">
        <f t="shared" si="3"/>
        <v>0</v>
      </c>
      <c r="K48" s="73">
        <f t="shared" si="4"/>
        <v>0</v>
      </c>
      <c r="L48" s="73">
        <f t="shared" si="5"/>
        <v>0</v>
      </c>
      <c r="M48" s="73">
        <f t="shared" si="6"/>
        <v>0</v>
      </c>
      <c r="N48" s="73">
        <f t="shared" si="7"/>
        <v>0</v>
      </c>
      <c r="O48" s="73">
        <f t="shared" si="8"/>
        <v>0</v>
      </c>
      <c r="P48" s="73">
        <f t="shared" si="9"/>
        <v>0</v>
      </c>
      <c r="Q48" s="73">
        <f t="shared" si="10"/>
        <v>0</v>
      </c>
      <c r="R48" s="73">
        <f t="shared" si="11"/>
        <v>0</v>
      </c>
      <c r="S48" s="73">
        <f t="shared" si="12"/>
        <v>0</v>
      </c>
      <c r="T48" s="73">
        <f t="shared" si="13"/>
        <v>0</v>
      </c>
      <c r="U48" s="73">
        <f t="shared" si="14"/>
        <v>0</v>
      </c>
      <c r="V48" s="73">
        <f t="shared" si="15"/>
        <v>0</v>
      </c>
      <c r="W48" s="73">
        <f t="shared" si="16"/>
        <v>0</v>
      </c>
      <c r="X48" s="74"/>
    </row>
    <row r="49" spans="1:24" ht="21.75">
      <c r="A49" s="75">
        <v>605</v>
      </c>
      <c r="B49" s="76">
        <v>6</v>
      </c>
      <c r="C49" s="77">
        <v>45</v>
      </c>
      <c r="D49" s="78" t="s">
        <v>222</v>
      </c>
      <c r="E49" s="79" t="s">
        <v>223</v>
      </c>
      <c r="F49" s="80">
        <v>700000</v>
      </c>
      <c r="G49" s="73">
        <f t="shared" si="0"/>
        <v>0</v>
      </c>
      <c r="H49" s="73">
        <f t="shared" si="1"/>
        <v>0</v>
      </c>
      <c r="I49" s="73">
        <f t="shared" si="2"/>
        <v>700000</v>
      </c>
      <c r="J49" s="73">
        <f t="shared" si="3"/>
        <v>0</v>
      </c>
      <c r="K49" s="73">
        <f t="shared" si="4"/>
        <v>0</v>
      </c>
      <c r="L49" s="73">
        <f t="shared" si="5"/>
        <v>0</v>
      </c>
      <c r="M49" s="73">
        <f t="shared" si="6"/>
        <v>0</v>
      </c>
      <c r="N49" s="73">
        <f t="shared" si="7"/>
        <v>0</v>
      </c>
      <c r="O49" s="73">
        <f t="shared" si="8"/>
        <v>0</v>
      </c>
      <c r="P49" s="73">
        <f t="shared" si="9"/>
        <v>0</v>
      </c>
      <c r="Q49" s="73">
        <f t="shared" si="10"/>
        <v>0</v>
      </c>
      <c r="R49" s="73">
        <f t="shared" si="11"/>
        <v>0</v>
      </c>
      <c r="S49" s="73">
        <f t="shared" si="12"/>
        <v>0</v>
      </c>
      <c r="T49" s="73">
        <f t="shared" si="13"/>
        <v>0</v>
      </c>
      <c r="U49" s="73">
        <f t="shared" si="14"/>
        <v>0</v>
      </c>
      <c r="V49" s="73">
        <f t="shared" si="15"/>
        <v>0</v>
      </c>
      <c r="W49" s="73">
        <f t="shared" si="16"/>
        <v>0</v>
      </c>
      <c r="X49" s="81"/>
    </row>
    <row r="50" spans="1:24" ht="21.75">
      <c r="A50" s="69">
        <v>605</v>
      </c>
      <c r="B50" s="70">
        <v>6</v>
      </c>
      <c r="C50" s="71">
        <v>46</v>
      </c>
      <c r="D50" s="46" t="s">
        <v>483</v>
      </c>
      <c r="E50" s="72" t="s">
        <v>484</v>
      </c>
      <c r="F50" s="73">
        <v>35385000000</v>
      </c>
      <c r="G50" s="73">
        <f t="shared" si="0"/>
        <v>0</v>
      </c>
      <c r="H50" s="73">
        <f t="shared" si="1"/>
        <v>0</v>
      </c>
      <c r="I50" s="73">
        <f t="shared" si="2"/>
        <v>35385000000</v>
      </c>
      <c r="J50" s="73">
        <f t="shared" si="3"/>
        <v>0</v>
      </c>
      <c r="K50" s="73">
        <f t="shared" si="4"/>
        <v>0</v>
      </c>
      <c r="L50" s="73">
        <f t="shared" si="5"/>
        <v>0</v>
      </c>
      <c r="M50" s="73">
        <f t="shared" si="6"/>
        <v>0</v>
      </c>
      <c r="N50" s="73">
        <f t="shared" si="7"/>
        <v>0</v>
      </c>
      <c r="O50" s="73">
        <f t="shared" si="8"/>
        <v>0</v>
      </c>
      <c r="P50" s="73">
        <f t="shared" si="9"/>
        <v>0</v>
      </c>
      <c r="Q50" s="73">
        <f t="shared" si="10"/>
        <v>0</v>
      </c>
      <c r="R50" s="73">
        <f t="shared" si="11"/>
        <v>0</v>
      </c>
      <c r="S50" s="73">
        <f t="shared" si="12"/>
        <v>0</v>
      </c>
      <c r="T50" s="73">
        <f t="shared" si="13"/>
        <v>0</v>
      </c>
      <c r="U50" s="73">
        <f t="shared" si="14"/>
        <v>0</v>
      </c>
      <c r="V50" s="73">
        <f t="shared" si="15"/>
        <v>0</v>
      </c>
      <c r="W50" s="73">
        <f t="shared" si="16"/>
        <v>0</v>
      </c>
      <c r="X50" s="74"/>
    </row>
    <row r="51" spans="1:24" ht="21.75">
      <c r="A51" s="75">
        <v>605</v>
      </c>
      <c r="B51" s="76">
        <v>6</v>
      </c>
      <c r="C51" s="77">
        <v>47</v>
      </c>
      <c r="D51" s="78" t="s">
        <v>224</v>
      </c>
      <c r="E51" s="79" t="s">
        <v>474</v>
      </c>
      <c r="F51" s="80">
        <v>23978475</v>
      </c>
      <c r="G51" s="73">
        <f t="shared" si="0"/>
        <v>0</v>
      </c>
      <c r="H51" s="73">
        <f t="shared" si="1"/>
        <v>0</v>
      </c>
      <c r="I51" s="73">
        <f t="shared" si="2"/>
        <v>23978475</v>
      </c>
      <c r="J51" s="73">
        <f t="shared" si="3"/>
        <v>0</v>
      </c>
      <c r="K51" s="73">
        <f t="shared" si="4"/>
        <v>0</v>
      </c>
      <c r="L51" s="73">
        <f t="shared" si="5"/>
        <v>0</v>
      </c>
      <c r="M51" s="73">
        <f t="shared" si="6"/>
        <v>0</v>
      </c>
      <c r="N51" s="73">
        <f t="shared" si="7"/>
        <v>0</v>
      </c>
      <c r="O51" s="73">
        <f t="shared" si="8"/>
        <v>0</v>
      </c>
      <c r="P51" s="73">
        <f t="shared" si="9"/>
        <v>0</v>
      </c>
      <c r="Q51" s="73">
        <f t="shared" si="10"/>
        <v>0</v>
      </c>
      <c r="R51" s="73">
        <f t="shared" si="11"/>
        <v>0</v>
      </c>
      <c r="S51" s="73">
        <f t="shared" si="12"/>
        <v>0</v>
      </c>
      <c r="T51" s="73">
        <f t="shared" si="13"/>
        <v>0</v>
      </c>
      <c r="U51" s="73">
        <f t="shared" si="14"/>
        <v>0</v>
      </c>
      <c r="V51" s="73">
        <f t="shared" si="15"/>
        <v>0</v>
      </c>
      <c r="W51" s="73">
        <f t="shared" si="16"/>
        <v>0</v>
      </c>
      <c r="X51" s="81"/>
    </row>
    <row r="52" spans="1:24" ht="21.75">
      <c r="A52" s="69">
        <v>605</v>
      </c>
      <c r="B52" s="70">
        <v>6</v>
      </c>
      <c r="C52" s="71">
        <v>48</v>
      </c>
      <c r="D52" s="46" t="s">
        <v>2</v>
      </c>
      <c r="E52" s="72" t="s">
        <v>475</v>
      </c>
      <c r="F52" s="73">
        <v>118188793</v>
      </c>
      <c r="G52" s="73">
        <f t="shared" si="0"/>
        <v>0</v>
      </c>
      <c r="H52" s="73">
        <f t="shared" si="1"/>
        <v>0</v>
      </c>
      <c r="I52" s="73">
        <f t="shared" si="2"/>
        <v>118188793</v>
      </c>
      <c r="J52" s="73">
        <f t="shared" si="3"/>
        <v>0</v>
      </c>
      <c r="K52" s="73">
        <f t="shared" si="4"/>
        <v>0</v>
      </c>
      <c r="L52" s="73">
        <f t="shared" si="5"/>
        <v>0</v>
      </c>
      <c r="M52" s="73">
        <f t="shared" si="6"/>
        <v>0</v>
      </c>
      <c r="N52" s="73">
        <f t="shared" si="7"/>
        <v>0</v>
      </c>
      <c r="O52" s="73">
        <f t="shared" si="8"/>
        <v>0</v>
      </c>
      <c r="P52" s="73">
        <f t="shared" si="9"/>
        <v>0</v>
      </c>
      <c r="Q52" s="73">
        <f t="shared" si="10"/>
        <v>0</v>
      </c>
      <c r="R52" s="73">
        <f t="shared" si="11"/>
        <v>0</v>
      </c>
      <c r="S52" s="73">
        <f t="shared" si="12"/>
        <v>0</v>
      </c>
      <c r="T52" s="73">
        <f t="shared" si="13"/>
        <v>0</v>
      </c>
      <c r="U52" s="73">
        <f t="shared" si="14"/>
        <v>0</v>
      </c>
      <c r="V52" s="73">
        <f t="shared" si="15"/>
        <v>0</v>
      </c>
      <c r="W52" s="73">
        <f t="shared" si="16"/>
        <v>0</v>
      </c>
      <c r="X52" s="74"/>
    </row>
    <row r="53" spans="1:24" ht="21.75" hidden="1">
      <c r="A53" s="69">
        <v>1212</v>
      </c>
      <c r="B53" s="76">
        <v>12</v>
      </c>
      <c r="C53" s="77">
        <v>49</v>
      </c>
      <c r="D53" s="78" t="s">
        <v>476</v>
      </c>
      <c r="E53" s="79" t="s">
        <v>477</v>
      </c>
      <c r="F53" s="80">
        <v>-17875000</v>
      </c>
      <c r="G53" s="73">
        <f t="shared" si="0"/>
        <v>0</v>
      </c>
      <c r="H53" s="73">
        <f t="shared" si="1"/>
        <v>0</v>
      </c>
      <c r="I53" s="73">
        <f t="shared" si="2"/>
        <v>0</v>
      </c>
      <c r="J53" s="73">
        <f t="shared" si="3"/>
        <v>0</v>
      </c>
      <c r="K53" s="73">
        <f t="shared" si="4"/>
        <v>0</v>
      </c>
      <c r="L53" s="73">
        <f t="shared" si="5"/>
        <v>0</v>
      </c>
      <c r="M53" s="73">
        <f t="shared" si="6"/>
        <v>0</v>
      </c>
      <c r="N53" s="73">
        <f t="shared" si="7"/>
        <v>0</v>
      </c>
      <c r="O53" s="73">
        <f t="shared" si="8"/>
        <v>0</v>
      </c>
      <c r="P53" s="73">
        <f t="shared" si="9"/>
        <v>-17875000</v>
      </c>
      <c r="Q53" s="73">
        <f t="shared" si="10"/>
        <v>0</v>
      </c>
      <c r="R53" s="73">
        <f t="shared" si="11"/>
        <v>0</v>
      </c>
      <c r="S53" s="73">
        <f t="shared" si="12"/>
        <v>0</v>
      </c>
      <c r="T53" s="73">
        <f t="shared" si="13"/>
        <v>0</v>
      </c>
      <c r="U53" s="73">
        <f t="shared" si="14"/>
        <v>0</v>
      </c>
      <c r="V53" s="73">
        <f t="shared" si="15"/>
        <v>0</v>
      </c>
      <c r="W53" s="73">
        <f t="shared" si="16"/>
        <v>0</v>
      </c>
      <c r="X53" s="81"/>
    </row>
    <row r="54" spans="1:24" ht="21.75" hidden="1">
      <c r="A54" s="69">
        <v>1212</v>
      </c>
      <c r="B54" s="70">
        <v>12</v>
      </c>
      <c r="C54" s="71">
        <v>50</v>
      </c>
      <c r="D54" s="46" t="s">
        <v>4</v>
      </c>
      <c r="E54" s="72" t="s">
        <v>440</v>
      </c>
      <c r="F54" s="73">
        <v>-900874470</v>
      </c>
      <c r="G54" s="73">
        <f t="shared" si="0"/>
        <v>0</v>
      </c>
      <c r="H54" s="73">
        <f t="shared" si="1"/>
        <v>0</v>
      </c>
      <c r="I54" s="73">
        <f t="shared" si="2"/>
        <v>0</v>
      </c>
      <c r="J54" s="73">
        <f t="shared" si="3"/>
        <v>0</v>
      </c>
      <c r="K54" s="73">
        <f t="shared" si="4"/>
        <v>0</v>
      </c>
      <c r="L54" s="73">
        <f t="shared" si="5"/>
        <v>0</v>
      </c>
      <c r="M54" s="73">
        <f t="shared" si="6"/>
        <v>0</v>
      </c>
      <c r="N54" s="73">
        <f t="shared" si="7"/>
        <v>0</v>
      </c>
      <c r="O54" s="73">
        <f t="shared" si="8"/>
        <v>0</v>
      </c>
      <c r="P54" s="73">
        <f t="shared" si="9"/>
        <v>-900874470</v>
      </c>
      <c r="Q54" s="73">
        <f t="shared" si="10"/>
        <v>0</v>
      </c>
      <c r="R54" s="73">
        <f t="shared" si="11"/>
        <v>0</v>
      </c>
      <c r="S54" s="73">
        <f t="shared" si="12"/>
        <v>0</v>
      </c>
      <c r="T54" s="73">
        <f t="shared" si="13"/>
        <v>0</v>
      </c>
      <c r="U54" s="73">
        <f t="shared" si="14"/>
        <v>0</v>
      </c>
      <c r="V54" s="73">
        <f t="shared" si="15"/>
        <v>0</v>
      </c>
      <c r="W54" s="73">
        <f t="shared" si="16"/>
        <v>0</v>
      </c>
      <c r="X54" s="74"/>
    </row>
    <row r="55" spans="1:24" ht="21.75">
      <c r="A55" s="75">
        <v>605</v>
      </c>
      <c r="B55" s="76">
        <v>6</v>
      </c>
      <c r="C55" s="77">
        <v>51</v>
      </c>
      <c r="D55" s="78" t="s">
        <v>441</v>
      </c>
      <c r="E55" s="79" t="s">
        <v>442</v>
      </c>
      <c r="F55" s="80">
        <v>3457781228</v>
      </c>
      <c r="G55" s="73">
        <f t="shared" si="0"/>
        <v>0</v>
      </c>
      <c r="H55" s="73">
        <f t="shared" si="1"/>
        <v>0</v>
      </c>
      <c r="I55" s="73">
        <f t="shared" si="2"/>
        <v>3457781228</v>
      </c>
      <c r="J55" s="73">
        <f t="shared" si="3"/>
        <v>0</v>
      </c>
      <c r="K55" s="73">
        <f t="shared" si="4"/>
        <v>0</v>
      </c>
      <c r="L55" s="73">
        <f t="shared" si="5"/>
        <v>0</v>
      </c>
      <c r="M55" s="73">
        <f t="shared" si="6"/>
        <v>0</v>
      </c>
      <c r="N55" s="73">
        <f t="shared" si="7"/>
        <v>0</v>
      </c>
      <c r="O55" s="73">
        <f t="shared" si="8"/>
        <v>0</v>
      </c>
      <c r="P55" s="73">
        <f t="shared" si="9"/>
        <v>0</v>
      </c>
      <c r="Q55" s="73">
        <f t="shared" si="10"/>
        <v>0</v>
      </c>
      <c r="R55" s="73">
        <f t="shared" si="11"/>
        <v>0</v>
      </c>
      <c r="S55" s="73">
        <f t="shared" si="12"/>
        <v>0</v>
      </c>
      <c r="T55" s="73">
        <f t="shared" si="13"/>
        <v>0</v>
      </c>
      <c r="U55" s="73">
        <f t="shared" si="14"/>
        <v>0</v>
      </c>
      <c r="V55" s="73">
        <f t="shared" si="15"/>
        <v>0</v>
      </c>
      <c r="W55" s="73">
        <f t="shared" si="16"/>
        <v>0</v>
      </c>
      <c r="X55" s="81"/>
    </row>
    <row r="56" spans="1:24" ht="21.75">
      <c r="A56" s="69">
        <v>605</v>
      </c>
      <c r="B56" s="70">
        <v>6</v>
      </c>
      <c r="C56" s="71">
        <v>52</v>
      </c>
      <c r="D56" s="46" t="s">
        <v>6</v>
      </c>
      <c r="E56" s="72" t="s">
        <v>204</v>
      </c>
      <c r="F56" s="73">
        <v>4891495031</v>
      </c>
      <c r="G56" s="73">
        <f t="shared" si="0"/>
        <v>0</v>
      </c>
      <c r="H56" s="73">
        <f t="shared" si="1"/>
        <v>0</v>
      </c>
      <c r="I56" s="73">
        <f t="shared" si="2"/>
        <v>4891495031</v>
      </c>
      <c r="J56" s="73">
        <f t="shared" si="3"/>
        <v>0</v>
      </c>
      <c r="K56" s="73">
        <f t="shared" si="4"/>
        <v>0</v>
      </c>
      <c r="L56" s="73">
        <f t="shared" si="5"/>
        <v>0</v>
      </c>
      <c r="M56" s="73">
        <f t="shared" si="6"/>
        <v>0</v>
      </c>
      <c r="N56" s="73">
        <f t="shared" si="7"/>
        <v>0</v>
      </c>
      <c r="O56" s="73">
        <f t="shared" si="8"/>
        <v>0</v>
      </c>
      <c r="P56" s="73">
        <f t="shared" si="9"/>
        <v>0</v>
      </c>
      <c r="Q56" s="73">
        <f t="shared" si="10"/>
        <v>0</v>
      </c>
      <c r="R56" s="73">
        <f t="shared" si="11"/>
        <v>0</v>
      </c>
      <c r="S56" s="73">
        <f t="shared" si="12"/>
        <v>0</v>
      </c>
      <c r="T56" s="73">
        <f t="shared" si="13"/>
        <v>0</v>
      </c>
      <c r="U56" s="73">
        <f t="shared" si="14"/>
        <v>0</v>
      </c>
      <c r="V56" s="73">
        <f t="shared" si="15"/>
        <v>0</v>
      </c>
      <c r="W56" s="73">
        <f t="shared" si="16"/>
        <v>0</v>
      </c>
      <c r="X56" s="74"/>
    </row>
    <row r="57" spans="1:24" ht="21.75">
      <c r="A57" s="75">
        <v>605</v>
      </c>
      <c r="B57" s="76">
        <v>6</v>
      </c>
      <c r="C57" s="77">
        <v>53</v>
      </c>
      <c r="D57" s="78" t="s">
        <v>7</v>
      </c>
      <c r="E57" s="79" t="s">
        <v>180</v>
      </c>
      <c r="F57" s="80">
        <v>38583319</v>
      </c>
      <c r="G57" s="73">
        <f t="shared" si="0"/>
        <v>0</v>
      </c>
      <c r="H57" s="73">
        <f t="shared" si="1"/>
        <v>0</v>
      </c>
      <c r="I57" s="73">
        <f t="shared" si="2"/>
        <v>38583319</v>
      </c>
      <c r="J57" s="73">
        <f t="shared" si="3"/>
        <v>0</v>
      </c>
      <c r="K57" s="73">
        <f t="shared" si="4"/>
        <v>0</v>
      </c>
      <c r="L57" s="73">
        <f t="shared" si="5"/>
        <v>0</v>
      </c>
      <c r="M57" s="73">
        <f t="shared" si="6"/>
        <v>0</v>
      </c>
      <c r="N57" s="73">
        <f t="shared" si="7"/>
        <v>0</v>
      </c>
      <c r="O57" s="73">
        <f t="shared" si="8"/>
        <v>0</v>
      </c>
      <c r="P57" s="73">
        <f t="shared" si="9"/>
        <v>0</v>
      </c>
      <c r="Q57" s="73">
        <f t="shared" si="10"/>
        <v>0</v>
      </c>
      <c r="R57" s="73">
        <f t="shared" si="11"/>
        <v>0</v>
      </c>
      <c r="S57" s="73">
        <f t="shared" si="12"/>
        <v>0</v>
      </c>
      <c r="T57" s="73">
        <f t="shared" si="13"/>
        <v>0</v>
      </c>
      <c r="U57" s="73">
        <f t="shared" si="14"/>
        <v>0</v>
      </c>
      <c r="V57" s="73">
        <f t="shared" si="15"/>
        <v>0</v>
      </c>
      <c r="W57" s="73">
        <f t="shared" si="16"/>
        <v>0</v>
      </c>
      <c r="X57" s="81"/>
    </row>
    <row r="58" spans="1:24" ht="21.75" hidden="1">
      <c r="A58" s="69">
        <v>1212</v>
      </c>
      <c r="B58" s="70">
        <v>12</v>
      </c>
      <c r="C58" s="71">
        <v>54</v>
      </c>
      <c r="D58" s="46" t="s">
        <v>8</v>
      </c>
      <c r="E58" s="72" t="s">
        <v>203</v>
      </c>
      <c r="F58" s="73">
        <v>-182655177</v>
      </c>
      <c r="G58" s="73">
        <f t="shared" si="0"/>
        <v>0</v>
      </c>
      <c r="H58" s="73">
        <f t="shared" si="1"/>
        <v>0</v>
      </c>
      <c r="I58" s="73">
        <f t="shared" si="2"/>
        <v>0</v>
      </c>
      <c r="J58" s="73">
        <f t="shared" si="3"/>
        <v>0</v>
      </c>
      <c r="K58" s="73">
        <f t="shared" si="4"/>
        <v>0</v>
      </c>
      <c r="L58" s="73">
        <f t="shared" si="5"/>
        <v>0</v>
      </c>
      <c r="M58" s="73">
        <f t="shared" si="6"/>
        <v>0</v>
      </c>
      <c r="N58" s="73">
        <f t="shared" si="7"/>
        <v>0</v>
      </c>
      <c r="O58" s="73">
        <f t="shared" si="8"/>
        <v>0</v>
      </c>
      <c r="P58" s="73">
        <f t="shared" si="9"/>
        <v>-182655177</v>
      </c>
      <c r="Q58" s="73">
        <f t="shared" si="10"/>
        <v>0</v>
      </c>
      <c r="R58" s="73">
        <f t="shared" si="11"/>
        <v>0</v>
      </c>
      <c r="S58" s="73">
        <f t="shared" si="12"/>
        <v>0</v>
      </c>
      <c r="T58" s="73">
        <f t="shared" si="13"/>
        <v>0</v>
      </c>
      <c r="U58" s="73">
        <f t="shared" si="14"/>
        <v>0</v>
      </c>
      <c r="V58" s="73">
        <f t="shared" si="15"/>
        <v>0</v>
      </c>
      <c r="W58" s="73">
        <f t="shared" si="16"/>
        <v>0</v>
      </c>
      <c r="X58" s="74"/>
    </row>
    <row r="59" spans="1:24" ht="21.75">
      <c r="A59" s="75">
        <v>605</v>
      </c>
      <c r="B59" s="76">
        <v>6</v>
      </c>
      <c r="C59" s="77">
        <v>55</v>
      </c>
      <c r="D59" s="78" t="s">
        <v>549</v>
      </c>
      <c r="E59" s="79" t="s">
        <v>550</v>
      </c>
      <c r="F59" s="80">
        <v>12595481351</v>
      </c>
      <c r="G59" s="73">
        <f t="shared" si="0"/>
        <v>0</v>
      </c>
      <c r="H59" s="73">
        <f t="shared" si="1"/>
        <v>0</v>
      </c>
      <c r="I59" s="73">
        <f t="shared" si="2"/>
        <v>12595481351</v>
      </c>
      <c r="J59" s="73">
        <f t="shared" si="3"/>
        <v>0</v>
      </c>
      <c r="K59" s="73">
        <f t="shared" si="4"/>
        <v>0</v>
      </c>
      <c r="L59" s="73">
        <f t="shared" si="5"/>
        <v>0</v>
      </c>
      <c r="M59" s="73">
        <f t="shared" si="6"/>
        <v>0</v>
      </c>
      <c r="N59" s="73">
        <f t="shared" si="7"/>
        <v>0</v>
      </c>
      <c r="O59" s="73">
        <f t="shared" si="8"/>
        <v>0</v>
      </c>
      <c r="P59" s="73">
        <f t="shared" si="9"/>
        <v>0</v>
      </c>
      <c r="Q59" s="73">
        <f t="shared" si="10"/>
        <v>0</v>
      </c>
      <c r="R59" s="73">
        <f t="shared" si="11"/>
        <v>0</v>
      </c>
      <c r="S59" s="73">
        <f t="shared" si="12"/>
        <v>0</v>
      </c>
      <c r="T59" s="73">
        <f t="shared" si="13"/>
        <v>0</v>
      </c>
      <c r="U59" s="73">
        <f t="shared" si="14"/>
        <v>0</v>
      </c>
      <c r="V59" s="73">
        <f t="shared" si="15"/>
        <v>0</v>
      </c>
      <c r="W59" s="73">
        <f t="shared" si="16"/>
        <v>0</v>
      </c>
      <c r="X59" s="81"/>
    </row>
    <row r="60" spans="1:24" ht="21.75" hidden="1">
      <c r="A60" s="69">
        <v>1203</v>
      </c>
      <c r="B60" s="70">
        <v>12</v>
      </c>
      <c r="C60" s="71">
        <v>56</v>
      </c>
      <c r="D60" s="46" t="s">
        <v>9</v>
      </c>
      <c r="E60" s="72" t="s">
        <v>589</v>
      </c>
      <c r="F60" s="73">
        <v>-193201662770</v>
      </c>
      <c r="G60" s="73">
        <f t="shared" si="0"/>
        <v>0</v>
      </c>
      <c r="H60" s="73">
        <f t="shared" si="1"/>
        <v>0</v>
      </c>
      <c r="I60" s="73">
        <f t="shared" si="2"/>
        <v>0</v>
      </c>
      <c r="J60" s="73">
        <f t="shared" si="3"/>
        <v>0</v>
      </c>
      <c r="K60" s="73">
        <f t="shared" si="4"/>
        <v>0</v>
      </c>
      <c r="L60" s="73">
        <f t="shared" si="5"/>
        <v>0</v>
      </c>
      <c r="M60" s="73">
        <f t="shared" si="6"/>
        <v>0</v>
      </c>
      <c r="N60" s="73">
        <f t="shared" si="7"/>
        <v>0</v>
      </c>
      <c r="O60" s="73">
        <f t="shared" si="8"/>
        <v>0</v>
      </c>
      <c r="P60" s="73">
        <f t="shared" si="9"/>
        <v>-193201662770</v>
      </c>
      <c r="Q60" s="73">
        <f t="shared" si="10"/>
        <v>0</v>
      </c>
      <c r="R60" s="73">
        <f t="shared" si="11"/>
        <v>0</v>
      </c>
      <c r="S60" s="73">
        <f t="shared" si="12"/>
        <v>0</v>
      </c>
      <c r="T60" s="73">
        <f t="shared" si="13"/>
        <v>0</v>
      </c>
      <c r="U60" s="73">
        <f t="shared" si="14"/>
        <v>0</v>
      </c>
      <c r="V60" s="73">
        <f t="shared" si="15"/>
        <v>0</v>
      </c>
      <c r="W60" s="73">
        <f t="shared" si="16"/>
        <v>0</v>
      </c>
      <c r="X60" s="74"/>
    </row>
    <row r="61" spans="1:24" ht="21.75" hidden="1">
      <c r="A61" s="75">
        <v>1205</v>
      </c>
      <c r="B61" s="76">
        <v>12</v>
      </c>
      <c r="C61" s="77">
        <v>56</v>
      </c>
      <c r="D61" s="78" t="s">
        <v>9</v>
      </c>
      <c r="E61" s="79" t="s">
        <v>490</v>
      </c>
      <c r="F61" s="80">
        <v>-39729057103</v>
      </c>
      <c r="G61" s="73">
        <f t="shared" si="0"/>
        <v>0</v>
      </c>
      <c r="H61" s="73">
        <f t="shared" si="1"/>
        <v>0</v>
      </c>
      <c r="I61" s="73">
        <f t="shared" si="2"/>
        <v>0</v>
      </c>
      <c r="J61" s="73">
        <f t="shared" si="3"/>
        <v>0</v>
      </c>
      <c r="K61" s="73">
        <f t="shared" si="4"/>
        <v>0</v>
      </c>
      <c r="L61" s="73">
        <f t="shared" si="5"/>
        <v>0</v>
      </c>
      <c r="M61" s="73">
        <f t="shared" si="6"/>
        <v>0</v>
      </c>
      <c r="N61" s="73">
        <f t="shared" si="7"/>
        <v>0</v>
      </c>
      <c r="O61" s="73">
        <f t="shared" si="8"/>
        <v>0</v>
      </c>
      <c r="P61" s="73">
        <f t="shared" si="9"/>
        <v>-39729057103</v>
      </c>
      <c r="Q61" s="73">
        <f t="shared" si="10"/>
        <v>0</v>
      </c>
      <c r="R61" s="73">
        <f t="shared" si="11"/>
        <v>0</v>
      </c>
      <c r="S61" s="73">
        <f t="shared" si="12"/>
        <v>0</v>
      </c>
      <c r="T61" s="73">
        <f t="shared" si="13"/>
        <v>0</v>
      </c>
      <c r="U61" s="73">
        <f t="shared" si="14"/>
        <v>0</v>
      </c>
      <c r="V61" s="73">
        <f t="shared" si="15"/>
        <v>0</v>
      </c>
      <c r="W61" s="73">
        <f t="shared" si="16"/>
        <v>0</v>
      </c>
      <c r="X61" s="81"/>
    </row>
    <row r="62" spans="1:24" ht="21.75" hidden="1">
      <c r="A62" s="69">
        <v>1701</v>
      </c>
      <c r="B62" s="70">
        <v>17</v>
      </c>
      <c r="C62" s="71">
        <v>57</v>
      </c>
      <c r="D62" s="46" t="s">
        <v>9</v>
      </c>
      <c r="E62" s="72" t="s">
        <v>590</v>
      </c>
      <c r="F62" s="73">
        <v>-384447722314</v>
      </c>
      <c r="G62" s="73">
        <f t="shared" si="0"/>
        <v>0</v>
      </c>
      <c r="H62" s="73">
        <f t="shared" si="1"/>
        <v>0</v>
      </c>
      <c r="I62" s="73">
        <f t="shared" si="2"/>
        <v>0</v>
      </c>
      <c r="J62" s="73">
        <f t="shared" si="3"/>
        <v>0</v>
      </c>
      <c r="K62" s="73">
        <f t="shared" si="4"/>
        <v>0</v>
      </c>
      <c r="L62" s="73">
        <f t="shared" si="5"/>
        <v>0</v>
      </c>
      <c r="M62" s="73">
        <f t="shared" si="6"/>
        <v>0</v>
      </c>
      <c r="N62" s="73">
        <f t="shared" si="7"/>
        <v>0</v>
      </c>
      <c r="O62" s="73">
        <f t="shared" si="8"/>
        <v>0</v>
      </c>
      <c r="P62" s="73">
        <f t="shared" si="9"/>
        <v>0</v>
      </c>
      <c r="Q62" s="73">
        <f t="shared" si="10"/>
        <v>0</v>
      </c>
      <c r="R62" s="73">
        <f t="shared" si="11"/>
        <v>0</v>
      </c>
      <c r="S62" s="73">
        <f t="shared" si="12"/>
        <v>0</v>
      </c>
      <c r="T62" s="73">
        <f t="shared" si="13"/>
        <v>-384447722314</v>
      </c>
      <c r="U62" s="73">
        <f t="shared" si="14"/>
        <v>0</v>
      </c>
      <c r="V62" s="73">
        <f t="shared" si="15"/>
        <v>0</v>
      </c>
      <c r="W62" s="73">
        <f t="shared" si="16"/>
        <v>0</v>
      </c>
      <c r="X62" s="74"/>
    </row>
    <row r="63" spans="1:24" ht="21.75" hidden="1">
      <c r="A63" s="69">
        <v>1601</v>
      </c>
      <c r="B63" s="70">
        <v>16</v>
      </c>
      <c r="C63" s="71">
        <v>58</v>
      </c>
      <c r="D63" s="46" t="s">
        <v>9</v>
      </c>
      <c r="E63" s="82" t="s">
        <v>490</v>
      </c>
      <c r="F63" s="73">
        <v>-325280836414</v>
      </c>
      <c r="G63" s="73">
        <f t="shared" si="0"/>
        <v>0</v>
      </c>
      <c r="H63" s="73">
        <f t="shared" si="1"/>
        <v>0</v>
      </c>
      <c r="I63" s="73">
        <f t="shared" si="2"/>
        <v>0</v>
      </c>
      <c r="J63" s="73">
        <f t="shared" si="3"/>
        <v>0</v>
      </c>
      <c r="K63" s="73">
        <f t="shared" si="4"/>
        <v>0</v>
      </c>
      <c r="L63" s="73">
        <f t="shared" si="5"/>
        <v>0</v>
      </c>
      <c r="M63" s="73">
        <f t="shared" si="6"/>
        <v>0</v>
      </c>
      <c r="N63" s="73">
        <f t="shared" si="7"/>
        <v>0</v>
      </c>
      <c r="O63" s="73">
        <f t="shared" si="8"/>
        <v>0</v>
      </c>
      <c r="P63" s="73">
        <f t="shared" si="9"/>
        <v>0</v>
      </c>
      <c r="Q63" s="73">
        <f t="shared" si="10"/>
        <v>0</v>
      </c>
      <c r="R63" s="73">
        <f t="shared" si="11"/>
        <v>0</v>
      </c>
      <c r="S63" s="73">
        <f t="shared" si="12"/>
        <v>-325280836414</v>
      </c>
      <c r="T63" s="73">
        <f t="shared" si="13"/>
        <v>0</v>
      </c>
      <c r="U63" s="73">
        <f t="shared" si="14"/>
        <v>0</v>
      </c>
      <c r="V63" s="73">
        <f t="shared" si="15"/>
        <v>0</v>
      </c>
      <c r="W63" s="73">
        <f t="shared" si="16"/>
        <v>0</v>
      </c>
      <c r="X63" s="74"/>
    </row>
    <row r="64" spans="1:24" ht="21.75" hidden="1">
      <c r="A64" s="69">
        <v>1212</v>
      </c>
      <c r="B64" s="76">
        <v>12</v>
      </c>
      <c r="C64" s="77">
        <v>57</v>
      </c>
      <c r="D64" s="78" t="s">
        <v>11</v>
      </c>
      <c r="E64" s="79" t="s">
        <v>551</v>
      </c>
      <c r="F64" s="80">
        <v>-2216470</v>
      </c>
      <c r="G64" s="73">
        <f t="shared" si="0"/>
        <v>0</v>
      </c>
      <c r="H64" s="73">
        <f t="shared" si="1"/>
        <v>0</v>
      </c>
      <c r="I64" s="73">
        <f t="shared" si="2"/>
        <v>0</v>
      </c>
      <c r="J64" s="73">
        <f t="shared" si="3"/>
        <v>0</v>
      </c>
      <c r="K64" s="73">
        <f t="shared" si="4"/>
        <v>0</v>
      </c>
      <c r="L64" s="73">
        <f t="shared" si="5"/>
        <v>0</v>
      </c>
      <c r="M64" s="73">
        <f t="shared" si="6"/>
        <v>0</v>
      </c>
      <c r="N64" s="73">
        <f t="shared" si="7"/>
        <v>0</v>
      </c>
      <c r="O64" s="73">
        <f t="shared" si="8"/>
        <v>0</v>
      </c>
      <c r="P64" s="73">
        <f t="shared" si="9"/>
        <v>-2216470</v>
      </c>
      <c r="Q64" s="73">
        <f t="shared" si="10"/>
        <v>0</v>
      </c>
      <c r="R64" s="73">
        <f t="shared" si="11"/>
        <v>0</v>
      </c>
      <c r="S64" s="73">
        <f t="shared" si="12"/>
        <v>0</v>
      </c>
      <c r="T64" s="73">
        <f t="shared" si="13"/>
        <v>0</v>
      </c>
      <c r="U64" s="73">
        <f t="shared" si="14"/>
        <v>0</v>
      </c>
      <c r="V64" s="73">
        <f t="shared" si="15"/>
        <v>0</v>
      </c>
      <c r="W64" s="73">
        <f t="shared" si="16"/>
        <v>0</v>
      </c>
      <c r="X64" s="81"/>
    </row>
    <row r="65" spans="1:24" ht="21.75" hidden="1">
      <c r="A65" s="69">
        <v>1212</v>
      </c>
      <c r="B65" s="70">
        <v>12</v>
      </c>
      <c r="C65" s="71">
        <v>58</v>
      </c>
      <c r="D65" s="46" t="s">
        <v>12</v>
      </c>
      <c r="E65" s="72" t="s">
        <v>13</v>
      </c>
      <c r="F65" s="73">
        <v>-6115047</v>
      </c>
      <c r="G65" s="73">
        <f t="shared" si="0"/>
        <v>0</v>
      </c>
      <c r="H65" s="73">
        <f t="shared" si="1"/>
        <v>0</v>
      </c>
      <c r="I65" s="73">
        <f t="shared" si="2"/>
        <v>0</v>
      </c>
      <c r="J65" s="73">
        <f t="shared" si="3"/>
        <v>0</v>
      </c>
      <c r="K65" s="73">
        <f t="shared" si="4"/>
        <v>0</v>
      </c>
      <c r="L65" s="73">
        <f t="shared" si="5"/>
        <v>0</v>
      </c>
      <c r="M65" s="73">
        <f t="shared" si="6"/>
        <v>0</v>
      </c>
      <c r="N65" s="73">
        <f t="shared" si="7"/>
        <v>0</v>
      </c>
      <c r="O65" s="73">
        <f t="shared" si="8"/>
        <v>0</v>
      </c>
      <c r="P65" s="73">
        <f t="shared" si="9"/>
        <v>-6115047</v>
      </c>
      <c r="Q65" s="73">
        <f t="shared" si="10"/>
        <v>0</v>
      </c>
      <c r="R65" s="73">
        <f t="shared" si="11"/>
        <v>0</v>
      </c>
      <c r="S65" s="73">
        <f t="shared" si="12"/>
        <v>0</v>
      </c>
      <c r="T65" s="73">
        <f t="shared" si="13"/>
        <v>0</v>
      </c>
      <c r="U65" s="73">
        <f t="shared" si="14"/>
        <v>0</v>
      </c>
      <c r="V65" s="73">
        <f t="shared" si="15"/>
        <v>0</v>
      </c>
      <c r="W65" s="73">
        <f t="shared" si="16"/>
        <v>0</v>
      </c>
      <c r="X65" s="74"/>
    </row>
    <row r="66" spans="1:24" ht="21.75" hidden="1">
      <c r="A66" s="69">
        <v>1212</v>
      </c>
      <c r="B66" s="76">
        <v>12</v>
      </c>
      <c r="C66" s="77">
        <v>59</v>
      </c>
      <c r="D66" s="78" t="s">
        <v>14</v>
      </c>
      <c r="E66" s="79" t="s">
        <v>363</v>
      </c>
      <c r="F66" s="80">
        <v>-876311677</v>
      </c>
      <c r="G66" s="73">
        <f t="shared" si="0"/>
        <v>0</v>
      </c>
      <c r="H66" s="73">
        <f t="shared" si="1"/>
        <v>0</v>
      </c>
      <c r="I66" s="73">
        <f t="shared" si="2"/>
        <v>0</v>
      </c>
      <c r="J66" s="73">
        <f t="shared" si="3"/>
        <v>0</v>
      </c>
      <c r="K66" s="73">
        <f t="shared" si="4"/>
        <v>0</v>
      </c>
      <c r="L66" s="73">
        <f t="shared" si="5"/>
        <v>0</v>
      </c>
      <c r="M66" s="73">
        <f t="shared" si="6"/>
        <v>0</v>
      </c>
      <c r="N66" s="73">
        <f t="shared" si="7"/>
        <v>0</v>
      </c>
      <c r="O66" s="73">
        <f t="shared" si="8"/>
        <v>0</v>
      </c>
      <c r="P66" s="73">
        <f t="shared" si="9"/>
        <v>-876311677</v>
      </c>
      <c r="Q66" s="73">
        <f t="shared" si="10"/>
        <v>0</v>
      </c>
      <c r="R66" s="73">
        <f t="shared" si="11"/>
        <v>0</v>
      </c>
      <c r="S66" s="73">
        <f t="shared" si="12"/>
        <v>0</v>
      </c>
      <c r="T66" s="73">
        <f t="shared" si="13"/>
        <v>0</v>
      </c>
      <c r="U66" s="73">
        <f t="shared" si="14"/>
        <v>0</v>
      </c>
      <c r="V66" s="73">
        <f t="shared" si="15"/>
        <v>0</v>
      </c>
      <c r="W66" s="73">
        <f t="shared" si="16"/>
        <v>0</v>
      </c>
      <c r="X66" s="81"/>
    </row>
    <row r="67" spans="1:24" ht="21.75" hidden="1">
      <c r="A67" s="69">
        <v>1212</v>
      </c>
      <c r="B67" s="70">
        <v>12</v>
      </c>
      <c r="C67" s="71">
        <v>60</v>
      </c>
      <c r="D67" s="46" t="s">
        <v>15</v>
      </c>
      <c r="E67" s="72" t="s">
        <v>552</v>
      </c>
      <c r="F67" s="73">
        <v>-10696000</v>
      </c>
      <c r="G67" s="73">
        <f t="shared" si="0"/>
        <v>0</v>
      </c>
      <c r="H67" s="73">
        <f t="shared" si="1"/>
        <v>0</v>
      </c>
      <c r="I67" s="73">
        <f t="shared" si="2"/>
        <v>0</v>
      </c>
      <c r="J67" s="73">
        <f t="shared" si="3"/>
        <v>0</v>
      </c>
      <c r="K67" s="73">
        <f t="shared" si="4"/>
        <v>0</v>
      </c>
      <c r="L67" s="73">
        <f t="shared" si="5"/>
        <v>0</v>
      </c>
      <c r="M67" s="73">
        <f t="shared" si="6"/>
        <v>0</v>
      </c>
      <c r="N67" s="73">
        <f t="shared" si="7"/>
        <v>0</v>
      </c>
      <c r="O67" s="73">
        <f t="shared" si="8"/>
        <v>0</v>
      </c>
      <c r="P67" s="73">
        <f t="shared" si="9"/>
        <v>-10696000</v>
      </c>
      <c r="Q67" s="73">
        <f t="shared" si="10"/>
        <v>0</v>
      </c>
      <c r="R67" s="73">
        <f t="shared" si="11"/>
        <v>0</v>
      </c>
      <c r="S67" s="73">
        <f t="shared" si="12"/>
        <v>0</v>
      </c>
      <c r="T67" s="73">
        <f t="shared" si="13"/>
        <v>0</v>
      </c>
      <c r="U67" s="73">
        <f t="shared" si="14"/>
        <v>0</v>
      </c>
      <c r="V67" s="73">
        <f t="shared" si="15"/>
        <v>0</v>
      </c>
      <c r="W67" s="73">
        <f t="shared" si="16"/>
        <v>0</v>
      </c>
      <c r="X67" s="74"/>
    </row>
    <row r="68" spans="1:24" ht="21.75" hidden="1">
      <c r="A68" s="75">
        <v>1202</v>
      </c>
      <c r="B68" s="76">
        <v>12</v>
      </c>
      <c r="C68" s="77">
        <v>61</v>
      </c>
      <c r="D68" s="78" t="s">
        <v>39</v>
      </c>
      <c r="E68" s="79" t="s">
        <v>181</v>
      </c>
      <c r="F68" s="80">
        <v>-34816659226</v>
      </c>
      <c r="G68" s="73">
        <f t="shared" si="0"/>
        <v>0</v>
      </c>
      <c r="H68" s="73">
        <f t="shared" si="1"/>
        <v>0</v>
      </c>
      <c r="I68" s="73">
        <f t="shared" si="2"/>
        <v>0</v>
      </c>
      <c r="J68" s="73">
        <f t="shared" si="3"/>
        <v>0</v>
      </c>
      <c r="K68" s="73">
        <f t="shared" si="4"/>
        <v>0</v>
      </c>
      <c r="L68" s="73">
        <f t="shared" si="5"/>
        <v>0</v>
      </c>
      <c r="M68" s="73">
        <f t="shared" si="6"/>
        <v>0</v>
      </c>
      <c r="N68" s="73">
        <f t="shared" si="7"/>
        <v>0</v>
      </c>
      <c r="O68" s="73">
        <f t="shared" si="8"/>
        <v>0</v>
      </c>
      <c r="P68" s="73">
        <f t="shared" si="9"/>
        <v>-34816659226</v>
      </c>
      <c r="Q68" s="73">
        <f t="shared" si="10"/>
        <v>0</v>
      </c>
      <c r="R68" s="73">
        <f t="shared" si="11"/>
        <v>0</v>
      </c>
      <c r="S68" s="73">
        <f t="shared" si="12"/>
        <v>0</v>
      </c>
      <c r="T68" s="73">
        <f t="shared" si="13"/>
        <v>0</v>
      </c>
      <c r="U68" s="73">
        <f t="shared" si="14"/>
        <v>0</v>
      </c>
      <c r="V68" s="73">
        <f t="shared" si="15"/>
        <v>0</v>
      </c>
      <c r="W68" s="73">
        <f t="shared" si="16"/>
        <v>0</v>
      </c>
      <c r="X68" s="81"/>
    </row>
    <row r="69" spans="1:24" ht="21.75" hidden="1">
      <c r="A69" s="69">
        <v>1212</v>
      </c>
      <c r="B69" s="70">
        <v>12</v>
      </c>
      <c r="C69" s="71">
        <v>62</v>
      </c>
      <c r="D69" s="46" t="s">
        <v>40</v>
      </c>
      <c r="E69" s="72" t="s">
        <v>41</v>
      </c>
      <c r="F69" s="73">
        <v>-27174325</v>
      </c>
      <c r="G69" s="73">
        <f t="shared" ref="G69:G132" si="17">IF($B69=$G$3,$F69,0)</f>
        <v>0</v>
      </c>
      <c r="H69" s="73">
        <f t="shared" ref="H69:H132" si="18">IF($B69=$H$3,$F69,0)</f>
        <v>0</v>
      </c>
      <c r="I69" s="73">
        <f t="shared" ref="I69:I132" si="19">IF($B69=$I$3,$F69,0)</f>
        <v>0</v>
      </c>
      <c r="J69" s="73">
        <f t="shared" ref="J69:J132" si="20">IF($B69=$J$3,$F69,0)</f>
        <v>0</v>
      </c>
      <c r="K69" s="73">
        <f t="shared" ref="K69:K132" si="21">IF($B69=$K$3,$F69,0)</f>
        <v>0</v>
      </c>
      <c r="L69" s="73">
        <f t="shared" ref="L69:L132" si="22">IF($B69=$L$3,$F69,0)</f>
        <v>0</v>
      </c>
      <c r="M69" s="73">
        <f t="shared" ref="M69:M132" si="23">IF($B69=$M$3,$F69,0)</f>
        <v>0</v>
      </c>
      <c r="N69" s="73">
        <f t="shared" ref="N69:N132" si="24">IF($B69=$N$3,$F69,0)</f>
        <v>0</v>
      </c>
      <c r="O69" s="73">
        <f t="shared" ref="O69:O132" si="25">IF($B69=$O$3,$F69,0)</f>
        <v>0</v>
      </c>
      <c r="P69" s="73">
        <f t="shared" ref="P69:P132" si="26">IF($B69=$P$3,$F69,0)</f>
        <v>-27174325</v>
      </c>
      <c r="Q69" s="73">
        <f t="shared" ref="Q69:Q132" si="27">IF($B69=$Q$3,$F69,0)</f>
        <v>0</v>
      </c>
      <c r="R69" s="73">
        <f t="shared" ref="R69:R132" si="28">IF($B69=$R$3,$F69,0)</f>
        <v>0</v>
      </c>
      <c r="S69" s="73">
        <f t="shared" ref="S69:S132" si="29">IF($B69=$S$3,$F69,0)</f>
        <v>0</v>
      </c>
      <c r="T69" s="73">
        <f t="shared" ref="T69:T132" si="30">IF($B69=$T$3,$F69,0)</f>
        <v>0</v>
      </c>
      <c r="U69" s="73">
        <f t="shared" ref="U69:U132" si="31">IF($B69=$U$3,$F69,0)</f>
        <v>0</v>
      </c>
      <c r="V69" s="73">
        <f t="shared" ref="V69:V132" si="32">IF($B69=$V$3,$F69,0)</f>
        <v>0</v>
      </c>
      <c r="W69" s="73">
        <f t="shared" ref="W69:W132" si="33">IF($B69=$W$3,$F69,0)</f>
        <v>0</v>
      </c>
      <c r="X69" s="74"/>
    </row>
    <row r="70" spans="1:24" ht="21.75" hidden="1">
      <c r="A70" s="69">
        <v>1212</v>
      </c>
      <c r="B70" s="76">
        <v>12</v>
      </c>
      <c r="C70" s="77">
        <v>64</v>
      </c>
      <c r="D70" s="78" t="s">
        <v>42</v>
      </c>
      <c r="E70" s="79" t="s">
        <v>553</v>
      </c>
      <c r="F70" s="80">
        <v>-9770000</v>
      </c>
      <c r="G70" s="73">
        <f t="shared" si="17"/>
        <v>0</v>
      </c>
      <c r="H70" s="73">
        <f t="shared" si="18"/>
        <v>0</v>
      </c>
      <c r="I70" s="73">
        <f t="shared" si="19"/>
        <v>0</v>
      </c>
      <c r="J70" s="73">
        <f t="shared" si="20"/>
        <v>0</v>
      </c>
      <c r="K70" s="73">
        <f t="shared" si="21"/>
        <v>0</v>
      </c>
      <c r="L70" s="73">
        <f t="shared" si="22"/>
        <v>0</v>
      </c>
      <c r="M70" s="73">
        <f t="shared" si="23"/>
        <v>0</v>
      </c>
      <c r="N70" s="73">
        <f t="shared" si="24"/>
        <v>0</v>
      </c>
      <c r="O70" s="73">
        <f t="shared" si="25"/>
        <v>0</v>
      </c>
      <c r="P70" s="73">
        <f t="shared" si="26"/>
        <v>-9770000</v>
      </c>
      <c r="Q70" s="73">
        <f t="shared" si="27"/>
        <v>0</v>
      </c>
      <c r="R70" s="73">
        <f t="shared" si="28"/>
        <v>0</v>
      </c>
      <c r="S70" s="73">
        <f t="shared" si="29"/>
        <v>0</v>
      </c>
      <c r="T70" s="73">
        <f t="shared" si="30"/>
        <v>0</v>
      </c>
      <c r="U70" s="73">
        <f t="shared" si="31"/>
        <v>0</v>
      </c>
      <c r="V70" s="73">
        <f t="shared" si="32"/>
        <v>0</v>
      </c>
      <c r="W70" s="73">
        <f t="shared" si="33"/>
        <v>0</v>
      </c>
      <c r="X70" s="81"/>
    </row>
    <row r="71" spans="1:24" ht="21.75">
      <c r="A71" s="69">
        <v>605</v>
      </c>
      <c r="B71" s="70">
        <v>6</v>
      </c>
      <c r="C71" s="71">
        <v>66</v>
      </c>
      <c r="D71" s="46" t="s">
        <v>45</v>
      </c>
      <c r="E71" s="72" t="s">
        <v>46</v>
      </c>
      <c r="F71" s="73">
        <v>218665333</v>
      </c>
      <c r="G71" s="73">
        <f t="shared" si="17"/>
        <v>0</v>
      </c>
      <c r="H71" s="73">
        <f t="shared" si="18"/>
        <v>0</v>
      </c>
      <c r="I71" s="73">
        <f t="shared" si="19"/>
        <v>218665333</v>
      </c>
      <c r="J71" s="73">
        <f t="shared" si="20"/>
        <v>0</v>
      </c>
      <c r="K71" s="73">
        <f t="shared" si="21"/>
        <v>0</v>
      </c>
      <c r="L71" s="73">
        <f t="shared" si="22"/>
        <v>0</v>
      </c>
      <c r="M71" s="73">
        <f t="shared" si="23"/>
        <v>0</v>
      </c>
      <c r="N71" s="73">
        <f t="shared" si="24"/>
        <v>0</v>
      </c>
      <c r="O71" s="73">
        <f t="shared" si="25"/>
        <v>0</v>
      </c>
      <c r="P71" s="73">
        <f t="shared" si="26"/>
        <v>0</v>
      </c>
      <c r="Q71" s="73">
        <f t="shared" si="27"/>
        <v>0</v>
      </c>
      <c r="R71" s="73">
        <f t="shared" si="28"/>
        <v>0</v>
      </c>
      <c r="S71" s="73">
        <f t="shared" si="29"/>
        <v>0</v>
      </c>
      <c r="T71" s="73">
        <f t="shared" si="30"/>
        <v>0</v>
      </c>
      <c r="U71" s="73">
        <f t="shared" si="31"/>
        <v>0</v>
      </c>
      <c r="V71" s="73">
        <f t="shared" si="32"/>
        <v>0</v>
      </c>
      <c r="W71" s="73">
        <f t="shared" si="33"/>
        <v>0</v>
      </c>
      <c r="X71" s="74"/>
    </row>
    <row r="72" spans="1:24" ht="21.75" hidden="1">
      <c r="A72" s="69">
        <v>1212</v>
      </c>
      <c r="B72" s="76">
        <v>12</v>
      </c>
      <c r="C72" s="77">
        <v>67</v>
      </c>
      <c r="D72" s="78" t="s">
        <v>47</v>
      </c>
      <c r="E72" s="79" t="s">
        <v>555</v>
      </c>
      <c r="F72" s="80">
        <v>-510069470</v>
      </c>
      <c r="G72" s="73">
        <f t="shared" si="17"/>
        <v>0</v>
      </c>
      <c r="H72" s="73">
        <f t="shared" si="18"/>
        <v>0</v>
      </c>
      <c r="I72" s="73">
        <f t="shared" si="19"/>
        <v>0</v>
      </c>
      <c r="J72" s="73">
        <f t="shared" si="20"/>
        <v>0</v>
      </c>
      <c r="K72" s="73">
        <f t="shared" si="21"/>
        <v>0</v>
      </c>
      <c r="L72" s="73">
        <f t="shared" si="22"/>
        <v>0</v>
      </c>
      <c r="M72" s="73">
        <f t="shared" si="23"/>
        <v>0</v>
      </c>
      <c r="N72" s="73">
        <f t="shared" si="24"/>
        <v>0</v>
      </c>
      <c r="O72" s="73">
        <f t="shared" si="25"/>
        <v>0</v>
      </c>
      <c r="P72" s="73">
        <f t="shared" si="26"/>
        <v>-510069470</v>
      </c>
      <c r="Q72" s="73">
        <f t="shared" si="27"/>
        <v>0</v>
      </c>
      <c r="R72" s="73">
        <f t="shared" si="28"/>
        <v>0</v>
      </c>
      <c r="S72" s="73">
        <f t="shared" si="29"/>
        <v>0</v>
      </c>
      <c r="T72" s="73">
        <f t="shared" si="30"/>
        <v>0</v>
      </c>
      <c r="U72" s="73">
        <f t="shared" si="31"/>
        <v>0</v>
      </c>
      <c r="V72" s="73">
        <f t="shared" si="32"/>
        <v>0</v>
      </c>
      <c r="W72" s="73">
        <f t="shared" si="33"/>
        <v>0</v>
      </c>
      <c r="X72" s="81"/>
    </row>
    <row r="73" spans="1:24" ht="21.75">
      <c r="A73" s="69">
        <v>605</v>
      </c>
      <c r="B73" s="70">
        <v>6</v>
      </c>
      <c r="C73" s="71">
        <v>68</v>
      </c>
      <c r="D73" s="46" t="s">
        <v>556</v>
      </c>
      <c r="E73" s="72" t="s">
        <v>557</v>
      </c>
      <c r="F73" s="73">
        <v>3312000</v>
      </c>
      <c r="G73" s="73">
        <f t="shared" si="17"/>
        <v>0</v>
      </c>
      <c r="H73" s="73">
        <f t="shared" si="18"/>
        <v>0</v>
      </c>
      <c r="I73" s="73">
        <f t="shared" si="19"/>
        <v>3312000</v>
      </c>
      <c r="J73" s="73">
        <f t="shared" si="20"/>
        <v>0</v>
      </c>
      <c r="K73" s="73">
        <f t="shared" si="21"/>
        <v>0</v>
      </c>
      <c r="L73" s="73">
        <f t="shared" si="22"/>
        <v>0</v>
      </c>
      <c r="M73" s="73">
        <f t="shared" si="23"/>
        <v>0</v>
      </c>
      <c r="N73" s="73">
        <f t="shared" si="24"/>
        <v>0</v>
      </c>
      <c r="O73" s="73">
        <f t="shared" si="25"/>
        <v>0</v>
      </c>
      <c r="P73" s="73">
        <f t="shared" si="26"/>
        <v>0</v>
      </c>
      <c r="Q73" s="73">
        <f t="shared" si="27"/>
        <v>0</v>
      </c>
      <c r="R73" s="73">
        <f t="shared" si="28"/>
        <v>0</v>
      </c>
      <c r="S73" s="73">
        <f t="shared" si="29"/>
        <v>0</v>
      </c>
      <c r="T73" s="73">
        <f t="shared" si="30"/>
        <v>0</v>
      </c>
      <c r="U73" s="73">
        <f t="shared" si="31"/>
        <v>0</v>
      </c>
      <c r="V73" s="73">
        <f t="shared" si="32"/>
        <v>0</v>
      </c>
      <c r="W73" s="73">
        <f t="shared" si="33"/>
        <v>0</v>
      </c>
      <c r="X73" s="74"/>
    </row>
    <row r="74" spans="1:24" ht="21.75">
      <c r="A74" s="75">
        <v>611</v>
      </c>
      <c r="B74" s="76">
        <v>6</v>
      </c>
      <c r="C74" s="77">
        <v>69</v>
      </c>
      <c r="D74" s="78" t="s">
        <v>48</v>
      </c>
      <c r="E74" s="79" t="s">
        <v>49</v>
      </c>
      <c r="F74" s="80">
        <v>18619160000</v>
      </c>
      <c r="G74" s="73">
        <f t="shared" si="17"/>
        <v>0</v>
      </c>
      <c r="H74" s="73">
        <f t="shared" si="18"/>
        <v>0</v>
      </c>
      <c r="I74" s="73">
        <f t="shared" si="19"/>
        <v>18619160000</v>
      </c>
      <c r="J74" s="73">
        <f t="shared" si="20"/>
        <v>0</v>
      </c>
      <c r="K74" s="73">
        <f t="shared" si="21"/>
        <v>0</v>
      </c>
      <c r="L74" s="73">
        <f t="shared" si="22"/>
        <v>0</v>
      </c>
      <c r="M74" s="73">
        <f t="shared" si="23"/>
        <v>0</v>
      </c>
      <c r="N74" s="73">
        <f t="shared" si="24"/>
        <v>0</v>
      </c>
      <c r="O74" s="73">
        <f t="shared" si="25"/>
        <v>0</v>
      </c>
      <c r="P74" s="73">
        <f t="shared" si="26"/>
        <v>0</v>
      </c>
      <c r="Q74" s="73">
        <f t="shared" si="27"/>
        <v>0</v>
      </c>
      <c r="R74" s="73">
        <f t="shared" si="28"/>
        <v>0</v>
      </c>
      <c r="S74" s="73">
        <f t="shared" si="29"/>
        <v>0</v>
      </c>
      <c r="T74" s="73">
        <f t="shared" si="30"/>
        <v>0</v>
      </c>
      <c r="U74" s="73">
        <f t="shared" si="31"/>
        <v>0</v>
      </c>
      <c r="V74" s="73">
        <f t="shared" si="32"/>
        <v>0</v>
      </c>
      <c r="W74" s="73">
        <f t="shared" si="33"/>
        <v>0</v>
      </c>
      <c r="X74" s="81"/>
    </row>
    <row r="75" spans="1:24" ht="21.75" hidden="1">
      <c r="A75" s="69">
        <v>1204</v>
      </c>
      <c r="B75" s="70">
        <v>12</v>
      </c>
      <c r="C75" s="71">
        <v>70</v>
      </c>
      <c r="D75" s="46" t="s">
        <v>50</v>
      </c>
      <c r="E75" s="72" t="s">
        <v>205</v>
      </c>
      <c r="F75" s="73">
        <v>-29064592862</v>
      </c>
      <c r="G75" s="73">
        <f t="shared" si="17"/>
        <v>0</v>
      </c>
      <c r="H75" s="73">
        <f t="shared" si="18"/>
        <v>0</v>
      </c>
      <c r="I75" s="73">
        <f t="shared" si="19"/>
        <v>0</v>
      </c>
      <c r="J75" s="73">
        <f t="shared" si="20"/>
        <v>0</v>
      </c>
      <c r="K75" s="73">
        <f t="shared" si="21"/>
        <v>0</v>
      </c>
      <c r="L75" s="73">
        <f t="shared" si="22"/>
        <v>0</v>
      </c>
      <c r="M75" s="73">
        <f t="shared" si="23"/>
        <v>0</v>
      </c>
      <c r="N75" s="73">
        <f t="shared" si="24"/>
        <v>0</v>
      </c>
      <c r="O75" s="73">
        <f t="shared" si="25"/>
        <v>0</v>
      </c>
      <c r="P75" s="73">
        <f t="shared" si="26"/>
        <v>-29064592862</v>
      </c>
      <c r="Q75" s="73">
        <f t="shared" si="27"/>
        <v>0</v>
      </c>
      <c r="R75" s="73">
        <f t="shared" si="28"/>
        <v>0</v>
      </c>
      <c r="S75" s="73">
        <f t="shared" si="29"/>
        <v>0</v>
      </c>
      <c r="T75" s="73">
        <f t="shared" si="30"/>
        <v>0</v>
      </c>
      <c r="U75" s="73">
        <f t="shared" si="31"/>
        <v>0</v>
      </c>
      <c r="V75" s="73">
        <f t="shared" si="32"/>
        <v>0</v>
      </c>
      <c r="W75" s="73">
        <f t="shared" si="33"/>
        <v>0</v>
      </c>
      <c r="X75" s="74"/>
    </row>
    <row r="76" spans="1:24" ht="21.75" hidden="1">
      <c r="A76" s="69">
        <v>1204</v>
      </c>
      <c r="B76" s="76">
        <v>12</v>
      </c>
      <c r="C76" s="77">
        <v>71</v>
      </c>
      <c r="D76" s="78" t="s">
        <v>51</v>
      </c>
      <c r="E76" s="79" t="s">
        <v>155</v>
      </c>
      <c r="F76" s="80">
        <v>-151639493</v>
      </c>
      <c r="G76" s="73">
        <f t="shared" si="17"/>
        <v>0</v>
      </c>
      <c r="H76" s="73">
        <f t="shared" si="18"/>
        <v>0</v>
      </c>
      <c r="I76" s="73">
        <f t="shared" si="19"/>
        <v>0</v>
      </c>
      <c r="J76" s="73">
        <f t="shared" si="20"/>
        <v>0</v>
      </c>
      <c r="K76" s="73">
        <f t="shared" si="21"/>
        <v>0</v>
      </c>
      <c r="L76" s="73">
        <f t="shared" si="22"/>
        <v>0</v>
      </c>
      <c r="M76" s="73">
        <f t="shared" si="23"/>
        <v>0</v>
      </c>
      <c r="N76" s="73">
        <f t="shared" si="24"/>
        <v>0</v>
      </c>
      <c r="O76" s="73">
        <f t="shared" si="25"/>
        <v>0</v>
      </c>
      <c r="P76" s="73">
        <f t="shared" si="26"/>
        <v>-151639493</v>
      </c>
      <c r="Q76" s="73">
        <f t="shared" si="27"/>
        <v>0</v>
      </c>
      <c r="R76" s="73">
        <f t="shared" si="28"/>
        <v>0</v>
      </c>
      <c r="S76" s="73">
        <f t="shared" si="29"/>
        <v>0</v>
      </c>
      <c r="T76" s="73">
        <f t="shared" si="30"/>
        <v>0</v>
      </c>
      <c r="U76" s="73">
        <f t="shared" si="31"/>
        <v>0</v>
      </c>
      <c r="V76" s="73">
        <f t="shared" si="32"/>
        <v>0</v>
      </c>
      <c r="W76" s="73">
        <f t="shared" si="33"/>
        <v>0</v>
      </c>
      <c r="X76" s="81"/>
    </row>
    <row r="77" spans="1:24" ht="21.75" hidden="1">
      <c r="A77" s="69">
        <v>502</v>
      </c>
      <c r="B77" s="70">
        <v>5</v>
      </c>
      <c r="C77" s="71">
        <v>72</v>
      </c>
      <c r="D77" s="46" t="s">
        <v>52</v>
      </c>
      <c r="E77" s="72" t="s">
        <v>206</v>
      </c>
      <c r="F77" s="73">
        <v>297435157</v>
      </c>
      <c r="G77" s="73">
        <f t="shared" si="17"/>
        <v>0</v>
      </c>
      <c r="H77" s="73">
        <f t="shared" si="18"/>
        <v>297435157</v>
      </c>
      <c r="I77" s="73">
        <f t="shared" si="19"/>
        <v>0</v>
      </c>
      <c r="J77" s="73">
        <f t="shared" si="20"/>
        <v>0</v>
      </c>
      <c r="K77" s="73">
        <f t="shared" si="21"/>
        <v>0</v>
      </c>
      <c r="L77" s="73">
        <f t="shared" si="22"/>
        <v>0</v>
      </c>
      <c r="M77" s="73">
        <f t="shared" si="23"/>
        <v>0</v>
      </c>
      <c r="N77" s="73">
        <f t="shared" si="24"/>
        <v>0</v>
      </c>
      <c r="O77" s="73">
        <f t="shared" si="25"/>
        <v>0</v>
      </c>
      <c r="P77" s="73">
        <f t="shared" si="26"/>
        <v>0</v>
      </c>
      <c r="Q77" s="73">
        <f t="shared" si="27"/>
        <v>0</v>
      </c>
      <c r="R77" s="73">
        <f t="shared" si="28"/>
        <v>0</v>
      </c>
      <c r="S77" s="73">
        <f t="shared" si="29"/>
        <v>0</v>
      </c>
      <c r="T77" s="73">
        <f t="shared" si="30"/>
        <v>0</v>
      </c>
      <c r="U77" s="73">
        <f t="shared" si="31"/>
        <v>0</v>
      </c>
      <c r="V77" s="73">
        <f t="shared" si="32"/>
        <v>0</v>
      </c>
      <c r="W77" s="73">
        <f t="shared" si="33"/>
        <v>0</v>
      </c>
      <c r="X77" s="74"/>
    </row>
    <row r="78" spans="1:24" ht="21.75" hidden="1">
      <c r="A78" s="69">
        <v>502</v>
      </c>
      <c r="B78" s="76">
        <v>5</v>
      </c>
      <c r="C78" s="77">
        <v>73</v>
      </c>
      <c r="D78" s="78" t="s">
        <v>53</v>
      </c>
      <c r="E78" s="79" t="s">
        <v>465</v>
      </c>
      <c r="F78" s="80">
        <v>886726513</v>
      </c>
      <c r="G78" s="73">
        <f t="shared" si="17"/>
        <v>0</v>
      </c>
      <c r="H78" s="73">
        <f t="shared" si="18"/>
        <v>886726513</v>
      </c>
      <c r="I78" s="73">
        <f t="shared" si="19"/>
        <v>0</v>
      </c>
      <c r="J78" s="73">
        <f t="shared" si="20"/>
        <v>0</v>
      </c>
      <c r="K78" s="73">
        <f t="shared" si="21"/>
        <v>0</v>
      </c>
      <c r="L78" s="73">
        <f t="shared" si="22"/>
        <v>0</v>
      </c>
      <c r="M78" s="73">
        <f t="shared" si="23"/>
        <v>0</v>
      </c>
      <c r="N78" s="73">
        <f t="shared" si="24"/>
        <v>0</v>
      </c>
      <c r="O78" s="73">
        <f t="shared" si="25"/>
        <v>0</v>
      </c>
      <c r="P78" s="73">
        <f t="shared" si="26"/>
        <v>0</v>
      </c>
      <c r="Q78" s="73">
        <f t="shared" si="27"/>
        <v>0</v>
      </c>
      <c r="R78" s="73">
        <f t="shared" si="28"/>
        <v>0</v>
      </c>
      <c r="S78" s="73">
        <f t="shared" si="29"/>
        <v>0</v>
      </c>
      <c r="T78" s="73">
        <f t="shared" si="30"/>
        <v>0</v>
      </c>
      <c r="U78" s="73">
        <f t="shared" si="31"/>
        <v>0</v>
      </c>
      <c r="V78" s="73">
        <f t="shared" si="32"/>
        <v>0</v>
      </c>
      <c r="W78" s="73">
        <f t="shared" si="33"/>
        <v>0</v>
      </c>
      <c r="X78" s="81"/>
    </row>
    <row r="79" spans="1:24" ht="21.75" hidden="1">
      <c r="A79" s="69">
        <v>1204</v>
      </c>
      <c r="B79" s="70">
        <v>12</v>
      </c>
      <c r="C79" s="71">
        <v>74</v>
      </c>
      <c r="D79" s="46" t="s">
        <v>55</v>
      </c>
      <c r="E79" s="72" t="s">
        <v>547</v>
      </c>
      <c r="F79" s="73">
        <v>-74196739</v>
      </c>
      <c r="G79" s="73">
        <f t="shared" si="17"/>
        <v>0</v>
      </c>
      <c r="H79" s="73">
        <f t="shared" si="18"/>
        <v>0</v>
      </c>
      <c r="I79" s="73">
        <f t="shared" si="19"/>
        <v>0</v>
      </c>
      <c r="J79" s="73">
        <f t="shared" si="20"/>
        <v>0</v>
      </c>
      <c r="K79" s="73">
        <f t="shared" si="21"/>
        <v>0</v>
      </c>
      <c r="L79" s="73">
        <f t="shared" si="22"/>
        <v>0</v>
      </c>
      <c r="M79" s="73">
        <f t="shared" si="23"/>
        <v>0</v>
      </c>
      <c r="N79" s="73">
        <f t="shared" si="24"/>
        <v>0</v>
      </c>
      <c r="O79" s="73">
        <f t="shared" si="25"/>
        <v>0</v>
      </c>
      <c r="P79" s="73">
        <f t="shared" si="26"/>
        <v>-74196739</v>
      </c>
      <c r="Q79" s="73">
        <f t="shared" si="27"/>
        <v>0</v>
      </c>
      <c r="R79" s="73">
        <f t="shared" si="28"/>
        <v>0</v>
      </c>
      <c r="S79" s="73">
        <f t="shared" si="29"/>
        <v>0</v>
      </c>
      <c r="T79" s="73">
        <f t="shared" si="30"/>
        <v>0</v>
      </c>
      <c r="U79" s="73">
        <f t="shared" si="31"/>
        <v>0</v>
      </c>
      <c r="V79" s="73">
        <f t="shared" si="32"/>
        <v>0</v>
      </c>
      <c r="W79" s="73">
        <f t="shared" si="33"/>
        <v>0</v>
      </c>
      <c r="X79" s="74"/>
    </row>
    <row r="80" spans="1:24" ht="21.75" hidden="1">
      <c r="A80" s="69">
        <v>1204</v>
      </c>
      <c r="B80" s="76">
        <v>12</v>
      </c>
      <c r="C80" s="77">
        <v>75</v>
      </c>
      <c r="D80" s="78" t="s">
        <v>56</v>
      </c>
      <c r="E80" s="79" t="s">
        <v>597</v>
      </c>
      <c r="F80" s="80">
        <v>-1937100</v>
      </c>
      <c r="G80" s="73">
        <f t="shared" si="17"/>
        <v>0</v>
      </c>
      <c r="H80" s="73">
        <f t="shared" si="18"/>
        <v>0</v>
      </c>
      <c r="I80" s="73">
        <f t="shared" si="19"/>
        <v>0</v>
      </c>
      <c r="J80" s="73">
        <f t="shared" si="20"/>
        <v>0</v>
      </c>
      <c r="K80" s="73">
        <f t="shared" si="21"/>
        <v>0</v>
      </c>
      <c r="L80" s="73">
        <f t="shared" si="22"/>
        <v>0</v>
      </c>
      <c r="M80" s="73">
        <f t="shared" si="23"/>
        <v>0</v>
      </c>
      <c r="N80" s="73">
        <f t="shared" si="24"/>
        <v>0</v>
      </c>
      <c r="O80" s="73">
        <f t="shared" si="25"/>
        <v>0</v>
      </c>
      <c r="P80" s="73">
        <f t="shared" si="26"/>
        <v>-1937100</v>
      </c>
      <c r="Q80" s="73">
        <f t="shared" si="27"/>
        <v>0</v>
      </c>
      <c r="R80" s="73">
        <f t="shared" si="28"/>
        <v>0</v>
      </c>
      <c r="S80" s="73">
        <f t="shared" si="29"/>
        <v>0</v>
      </c>
      <c r="T80" s="73">
        <f t="shared" si="30"/>
        <v>0</v>
      </c>
      <c r="U80" s="73">
        <f t="shared" si="31"/>
        <v>0</v>
      </c>
      <c r="V80" s="73">
        <f t="shared" si="32"/>
        <v>0</v>
      </c>
      <c r="W80" s="73">
        <f t="shared" si="33"/>
        <v>0</v>
      </c>
      <c r="X80" s="81"/>
    </row>
    <row r="81" spans="1:24" ht="21.75" hidden="1">
      <c r="A81" s="69">
        <v>1204</v>
      </c>
      <c r="B81" s="70">
        <v>12</v>
      </c>
      <c r="C81" s="71">
        <v>76</v>
      </c>
      <c r="D81" s="46" t="s">
        <v>412</v>
      </c>
      <c r="E81" s="72" t="s">
        <v>17</v>
      </c>
      <c r="F81" s="73">
        <v>-46818517</v>
      </c>
      <c r="G81" s="73">
        <f t="shared" si="17"/>
        <v>0</v>
      </c>
      <c r="H81" s="73">
        <f t="shared" si="18"/>
        <v>0</v>
      </c>
      <c r="I81" s="73">
        <f t="shared" si="19"/>
        <v>0</v>
      </c>
      <c r="J81" s="73">
        <f t="shared" si="20"/>
        <v>0</v>
      </c>
      <c r="K81" s="73">
        <f t="shared" si="21"/>
        <v>0</v>
      </c>
      <c r="L81" s="73">
        <f t="shared" si="22"/>
        <v>0</v>
      </c>
      <c r="M81" s="73">
        <f t="shared" si="23"/>
        <v>0</v>
      </c>
      <c r="N81" s="73">
        <f t="shared" si="24"/>
        <v>0</v>
      </c>
      <c r="O81" s="73">
        <f t="shared" si="25"/>
        <v>0</v>
      </c>
      <c r="P81" s="73">
        <f t="shared" si="26"/>
        <v>-46818517</v>
      </c>
      <c r="Q81" s="73">
        <f t="shared" si="27"/>
        <v>0</v>
      </c>
      <c r="R81" s="73">
        <f t="shared" si="28"/>
        <v>0</v>
      </c>
      <c r="S81" s="73">
        <f t="shared" si="29"/>
        <v>0</v>
      </c>
      <c r="T81" s="73">
        <f t="shared" si="30"/>
        <v>0</v>
      </c>
      <c r="U81" s="73">
        <f t="shared" si="31"/>
        <v>0</v>
      </c>
      <c r="V81" s="73">
        <f t="shared" si="32"/>
        <v>0</v>
      </c>
      <c r="W81" s="73">
        <f t="shared" si="33"/>
        <v>0</v>
      </c>
      <c r="X81" s="74"/>
    </row>
    <row r="82" spans="1:24" ht="21.75" hidden="1">
      <c r="A82" s="69">
        <v>1204</v>
      </c>
      <c r="B82" s="76">
        <v>12</v>
      </c>
      <c r="C82" s="77">
        <v>77</v>
      </c>
      <c r="D82" s="78" t="s">
        <v>57</v>
      </c>
      <c r="E82" s="79" t="s">
        <v>137</v>
      </c>
      <c r="F82" s="80">
        <v>-223901935</v>
      </c>
      <c r="G82" s="73">
        <f t="shared" si="17"/>
        <v>0</v>
      </c>
      <c r="H82" s="73">
        <f t="shared" si="18"/>
        <v>0</v>
      </c>
      <c r="I82" s="73">
        <f t="shared" si="19"/>
        <v>0</v>
      </c>
      <c r="J82" s="73">
        <f t="shared" si="20"/>
        <v>0</v>
      </c>
      <c r="K82" s="73">
        <f t="shared" si="21"/>
        <v>0</v>
      </c>
      <c r="L82" s="73">
        <f t="shared" si="22"/>
        <v>0</v>
      </c>
      <c r="M82" s="73">
        <f t="shared" si="23"/>
        <v>0</v>
      </c>
      <c r="N82" s="73">
        <f t="shared" si="24"/>
        <v>0</v>
      </c>
      <c r="O82" s="73">
        <f t="shared" si="25"/>
        <v>0</v>
      </c>
      <c r="P82" s="73">
        <f t="shared" si="26"/>
        <v>-223901935</v>
      </c>
      <c r="Q82" s="73">
        <f t="shared" si="27"/>
        <v>0</v>
      </c>
      <c r="R82" s="73">
        <f t="shared" si="28"/>
        <v>0</v>
      </c>
      <c r="S82" s="73">
        <f t="shared" si="29"/>
        <v>0</v>
      </c>
      <c r="T82" s="73">
        <f t="shared" si="30"/>
        <v>0</v>
      </c>
      <c r="U82" s="73">
        <f t="shared" si="31"/>
        <v>0</v>
      </c>
      <c r="V82" s="73">
        <f t="shared" si="32"/>
        <v>0</v>
      </c>
      <c r="W82" s="73">
        <f t="shared" si="33"/>
        <v>0</v>
      </c>
      <c r="X82" s="81"/>
    </row>
    <row r="83" spans="1:24" ht="21.75" hidden="1">
      <c r="A83" s="69">
        <v>502</v>
      </c>
      <c r="B83" s="76">
        <v>5</v>
      </c>
      <c r="C83" s="71">
        <v>78</v>
      </c>
      <c r="D83" s="46" t="s">
        <v>58</v>
      </c>
      <c r="E83" s="72" t="s">
        <v>139</v>
      </c>
      <c r="F83" s="73">
        <v>2002668436</v>
      </c>
      <c r="G83" s="73">
        <f t="shared" si="17"/>
        <v>0</v>
      </c>
      <c r="H83" s="73">
        <f t="shared" si="18"/>
        <v>2002668436</v>
      </c>
      <c r="I83" s="73">
        <f t="shared" si="19"/>
        <v>0</v>
      </c>
      <c r="J83" s="73">
        <f t="shared" si="20"/>
        <v>0</v>
      </c>
      <c r="K83" s="73">
        <f t="shared" si="21"/>
        <v>0</v>
      </c>
      <c r="L83" s="73">
        <f t="shared" si="22"/>
        <v>0</v>
      </c>
      <c r="M83" s="73">
        <f t="shared" si="23"/>
        <v>0</v>
      </c>
      <c r="N83" s="73">
        <f t="shared" si="24"/>
        <v>0</v>
      </c>
      <c r="O83" s="73">
        <f t="shared" si="25"/>
        <v>0</v>
      </c>
      <c r="P83" s="73">
        <f t="shared" si="26"/>
        <v>0</v>
      </c>
      <c r="Q83" s="73">
        <f t="shared" si="27"/>
        <v>0</v>
      </c>
      <c r="R83" s="73">
        <f t="shared" si="28"/>
        <v>0</v>
      </c>
      <c r="S83" s="73">
        <f t="shared" si="29"/>
        <v>0</v>
      </c>
      <c r="T83" s="73">
        <f t="shared" si="30"/>
        <v>0</v>
      </c>
      <c r="U83" s="73">
        <f t="shared" si="31"/>
        <v>0</v>
      </c>
      <c r="V83" s="73">
        <f t="shared" si="32"/>
        <v>0</v>
      </c>
      <c r="W83" s="73">
        <f t="shared" si="33"/>
        <v>0</v>
      </c>
      <c r="X83" s="74"/>
    </row>
    <row r="84" spans="1:24" ht="21.75" hidden="1">
      <c r="A84" s="75">
        <v>1201</v>
      </c>
      <c r="B84" s="76">
        <v>12</v>
      </c>
      <c r="C84" s="77">
        <v>79</v>
      </c>
      <c r="D84" s="78" t="s">
        <v>59</v>
      </c>
      <c r="E84" s="79" t="s">
        <v>342</v>
      </c>
      <c r="F84" s="80">
        <v>-2181591077359</v>
      </c>
      <c r="G84" s="73">
        <f t="shared" si="17"/>
        <v>0</v>
      </c>
      <c r="H84" s="73">
        <f t="shared" si="18"/>
        <v>0</v>
      </c>
      <c r="I84" s="73">
        <f t="shared" si="19"/>
        <v>0</v>
      </c>
      <c r="J84" s="73">
        <f t="shared" si="20"/>
        <v>0</v>
      </c>
      <c r="K84" s="73">
        <f t="shared" si="21"/>
        <v>0</v>
      </c>
      <c r="L84" s="73">
        <f t="shared" si="22"/>
        <v>0</v>
      </c>
      <c r="M84" s="73">
        <f t="shared" si="23"/>
        <v>0</v>
      </c>
      <c r="N84" s="73">
        <f t="shared" si="24"/>
        <v>0</v>
      </c>
      <c r="O84" s="73">
        <f t="shared" si="25"/>
        <v>0</v>
      </c>
      <c r="P84" s="73">
        <f t="shared" si="26"/>
        <v>-2181591077359</v>
      </c>
      <c r="Q84" s="73">
        <f t="shared" si="27"/>
        <v>0</v>
      </c>
      <c r="R84" s="73">
        <f t="shared" si="28"/>
        <v>0</v>
      </c>
      <c r="S84" s="73">
        <f t="shared" si="29"/>
        <v>0</v>
      </c>
      <c r="T84" s="73">
        <f t="shared" si="30"/>
        <v>0</v>
      </c>
      <c r="U84" s="73">
        <f t="shared" si="31"/>
        <v>0</v>
      </c>
      <c r="V84" s="73">
        <f t="shared" si="32"/>
        <v>0</v>
      </c>
      <c r="W84" s="73">
        <f t="shared" si="33"/>
        <v>0</v>
      </c>
      <c r="X84" s="81"/>
    </row>
    <row r="85" spans="1:24" ht="21.75" hidden="1">
      <c r="A85" s="69">
        <v>1204</v>
      </c>
      <c r="B85" s="70">
        <v>12</v>
      </c>
      <c r="C85" s="71">
        <v>80</v>
      </c>
      <c r="D85" s="46" t="s">
        <v>378</v>
      </c>
      <c r="E85" s="72" t="s">
        <v>360</v>
      </c>
      <c r="F85" s="73">
        <v>-9686471</v>
      </c>
      <c r="G85" s="73">
        <f t="shared" si="17"/>
        <v>0</v>
      </c>
      <c r="H85" s="73">
        <f t="shared" si="18"/>
        <v>0</v>
      </c>
      <c r="I85" s="73">
        <f t="shared" si="19"/>
        <v>0</v>
      </c>
      <c r="J85" s="73">
        <f t="shared" si="20"/>
        <v>0</v>
      </c>
      <c r="K85" s="73">
        <f t="shared" si="21"/>
        <v>0</v>
      </c>
      <c r="L85" s="73">
        <f t="shared" si="22"/>
        <v>0</v>
      </c>
      <c r="M85" s="73">
        <f t="shared" si="23"/>
        <v>0</v>
      </c>
      <c r="N85" s="73">
        <f t="shared" si="24"/>
        <v>0</v>
      </c>
      <c r="O85" s="73">
        <f t="shared" si="25"/>
        <v>0</v>
      </c>
      <c r="P85" s="73">
        <f t="shared" si="26"/>
        <v>-9686471</v>
      </c>
      <c r="Q85" s="73">
        <f t="shared" si="27"/>
        <v>0</v>
      </c>
      <c r="R85" s="73">
        <f t="shared" si="28"/>
        <v>0</v>
      </c>
      <c r="S85" s="73">
        <f t="shared" si="29"/>
        <v>0</v>
      </c>
      <c r="T85" s="73">
        <f t="shared" si="30"/>
        <v>0</v>
      </c>
      <c r="U85" s="73">
        <f t="shared" si="31"/>
        <v>0</v>
      </c>
      <c r="V85" s="73">
        <f t="shared" si="32"/>
        <v>0</v>
      </c>
      <c r="W85" s="73">
        <f t="shared" si="33"/>
        <v>0</v>
      </c>
      <c r="X85" s="74"/>
    </row>
    <row r="86" spans="1:24" ht="21.75" hidden="1">
      <c r="A86" s="69">
        <v>502</v>
      </c>
      <c r="B86" s="76">
        <v>5</v>
      </c>
      <c r="C86" s="77">
        <v>81</v>
      </c>
      <c r="D86" s="78" t="s">
        <v>60</v>
      </c>
      <c r="E86" s="79" t="s">
        <v>140</v>
      </c>
      <c r="F86" s="80">
        <v>154817994176</v>
      </c>
      <c r="G86" s="73">
        <f t="shared" si="17"/>
        <v>0</v>
      </c>
      <c r="H86" s="73">
        <f t="shared" si="18"/>
        <v>154817994176</v>
      </c>
      <c r="I86" s="73">
        <f t="shared" si="19"/>
        <v>0</v>
      </c>
      <c r="J86" s="73">
        <f t="shared" si="20"/>
        <v>0</v>
      </c>
      <c r="K86" s="73">
        <f t="shared" si="21"/>
        <v>0</v>
      </c>
      <c r="L86" s="73">
        <f t="shared" si="22"/>
        <v>0</v>
      </c>
      <c r="M86" s="73">
        <f t="shared" si="23"/>
        <v>0</v>
      </c>
      <c r="N86" s="73">
        <f t="shared" si="24"/>
        <v>0</v>
      </c>
      <c r="O86" s="73">
        <f t="shared" si="25"/>
        <v>0</v>
      </c>
      <c r="P86" s="73">
        <f t="shared" si="26"/>
        <v>0</v>
      </c>
      <c r="Q86" s="73">
        <f t="shared" si="27"/>
        <v>0</v>
      </c>
      <c r="R86" s="73">
        <f t="shared" si="28"/>
        <v>0</v>
      </c>
      <c r="S86" s="73">
        <f t="shared" si="29"/>
        <v>0</v>
      </c>
      <c r="T86" s="73">
        <f t="shared" si="30"/>
        <v>0</v>
      </c>
      <c r="U86" s="73">
        <f t="shared" si="31"/>
        <v>0</v>
      </c>
      <c r="V86" s="73">
        <f t="shared" si="32"/>
        <v>0</v>
      </c>
      <c r="W86" s="73">
        <f t="shared" si="33"/>
        <v>0</v>
      </c>
      <c r="X86" s="81"/>
    </row>
    <row r="87" spans="1:24" ht="21.75" hidden="1">
      <c r="A87" s="69">
        <v>502</v>
      </c>
      <c r="B87" s="76">
        <v>5</v>
      </c>
      <c r="C87" s="71">
        <v>82</v>
      </c>
      <c r="D87" s="46" t="s">
        <v>565</v>
      </c>
      <c r="E87" s="72" t="s">
        <v>566</v>
      </c>
      <c r="F87" s="73">
        <v>95640000</v>
      </c>
      <c r="G87" s="73">
        <f t="shared" si="17"/>
        <v>0</v>
      </c>
      <c r="H87" s="73">
        <f t="shared" si="18"/>
        <v>95640000</v>
      </c>
      <c r="I87" s="73">
        <f t="shared" si="19"/>
        <v>0</v>
      </c>
      <c r="J87" s="73">
        <f t="shared" si="20"/>
        <v>0</v>
      </c>
      <c r="K87" s="73">
        <f t="shared" si="21"/>
        <v>0</v>
      </c>
      <c r="L87" s="73">
        <f t="shared" si="22"/>
        <v>0</v>
      </c>
      <c r="M87" s="73">
        <f t="shared" si="23"/>
        <v>0</v>
      </c>
      <c r="N87" s="73">
        <f t="shared" si="24"/>
        <v>0</v>
      </c>
      <c r="O87" s="73">
        <f t="shared" si="25"/>
        <v>0</v>
      </c>
      <c r="P87" s="73">
        <f t="shared" si="26"/>
        <v>0</v>
      </c>
      <c r="Q87" s="73">
        <f t="shared" si="27"/>
        <v>0</v>
      </c>
      <c r="R87" s="73">
        <f t="shared" si="28"/>
        <v>0</v>
      </c>
      <c r="S87" s="73">
        <f t="shared" si="29"/>
        <v>0</v>
      </c>
      <c r="T87" s="73">
        <f t="shared" si="30"/>
        <v>0</v>
      </c>
      <c r="U87" s="73">
        <f t="shared" si="31"/>
        <v>0</v>
      </c>
      <c r="V87" s="73">
        <f t="shared" si="32"/>
        <v>0</v>
      </c>
      <c r="W87" s="73">
        <f t="shared" si="33"/>
        <v>0</v>
      </c>
      <c r="X87" s="74"/>
    </row>
    <row r="88" spans="1:24" ht="21.75" hidden="1">
      <c r="A88" s="69">
        <v>502</v>
      </c>
      <c r="B88" s="76">
        <v>5</v>
      </c>
      <c r="C88" s="77">
        <v>84</v>
      </c>
      <c r="D88" s="78" t="s">
        <v>361</v>
      </c>
      <c r="E88" s="79" t="s">
        <v>253</v>
      </c>
      <c r="F88" s="80">
        <v>215180536</v>
      </c>
      <c r="G88" s="73">
        <f t="shared" si="17"/>
        <v>0</v>
      </c>
      <c r="H88" s="73">
        <f t="shared" si="18"/>
        <v>215180536</v>
      </c>
      <c r="I88" s="73">
        <f t="shared" si="19"/>
        <v>0</v>
      </c>
      <c r="J88" s="73">
        <f t="shared" si="20"/>
        <v>0</v>
      </c>
      <c r="K88" s="73">
        <f t="shared" si="21"/>
        <v>0</v>
      </c>
      <c r="L88" s="73">
        <f t="shared" si="22"/>
        <v>0</v>
      </c>
      <c r="M88" s="73">
        <f t="shared" si="23"/>
        <v>0</v>
      </c>
      <c r="N88" s="73">
        <f t="shared" si="24"/>
        <v>0</v>
      </c>
      <c r="O88" s="73">
        <f t="shared" si="25"/>
        <v>0</v>
      </c>
      <c r="P88" s="73">
        <f t="shared" si="26"/>
        <v>0</v>
      </c>
      <c r="Q88" s="73">
        <f t="shared" si="27"/>
        <v>0</v>
      </c>
      <c r="R88" s="73">
        <f t="shared" si="28"/>
        <v>0</v>
      </c>
      <c r="S88" s="73">
        <f t="shared" si="29"/>
        <v>0</v>
      </c>
      <c r="T88" s="73">
        <f t="shared" si="30"/>
        <v>0</v>
      </c>
      <c r="U88" s="73">
        <f t="shared" si="31"/>
        <v>0</v>
      </c>
      <c r="V88" s="73">
        <f t="shared" si="32"/>
        <v>0</v>
      </c>
      <c r="W88" s="73">
        <f t="shared" si="33"/>
        <v>0</v>
      </c>
      <c r="X88" s="81"/>
    </row>
    <row r="89" spans="1:24" ht="21.75" hidden="1">
      <c r="A89" s="69">
        <v>1301</v>
      </c>
      <c r="B89" s="70">
        <v>13</v>
      </c>
      <c r="C89" s="71">
        <v>85</v>
      </c>
      <c r="D89" s="46" t="s">
        <v>568</v>
      </c>
      <c r="E89" s="72" t="s">
        <v>153</v>
      </c>
      <c r="F89" s="73">
        <v>-6790861016</v>
      </c>
      <c r="G89" s="73">
        <f t="shared" si="17"/>
        <v>0</v>
      </c>
      <c r="H89" s="73">
        <f t="shared" si="18"/>
        <v>0</v>
      </c>
      <c r="I89" s="73">
        <f t="shared" si="19"/>
        <v>0</v>
      </c>
      <c r="J89" s="73">
        <f t="shared" si="20"/>
        <v>0</v>
      </c>
      <c r="K89" s="73">
        <f t="shared" si="21"/>
        <v>0</v>
      </c>
      <c r="L89" s="73">
        <f t="shared" si="22"/>
        <v>0</v>
      </c>
      <c r="M89" s="73">
        <f t="shared" si="23"/>
        <v>0</v>
      </c>
      <c r="N89" s="73">
        <f t="shared" si="24"/>
        <v>0</v>
      </c>
      <c r="O89" s="73">
        <f t="shared" si="25"/>
        <v>-6790861016</v>
      </c>
      <c r="P89" s="73">
        <f t="shared" si="26"/>
        <v>0</v>
      </c>
      <c r="Q89" s="73">
        <f t="shared" si="27"/>
        <v>0</v>
      </c>
      <c r="R89" s="73">
        <f t="shared" si="28"/>
        <v>0</v>
      </c>
      <c r="S89" s="73">
        <f t="shared" si="29"/>
        <v>0</v>
      </c>
      <c r="T89" s="73">
        <f t="shared" si="30"/>
        <v>0</v>
      </c>
      <c r="U89" s="73">
        <f t="shared" si="31"/>
        <v>0</v>
      </c>
      <c r="V89" s="73">
        <f t="shared" si="32"/>
        <v>0</v>
      </c>
      <c r="W89" s="73">
        <f t="shared" si="33"/>
        <v>0</v>
      </c>
      <c r="X89" s="74"/>
    </row>
    <row r="90" spans="1:24" ht="21.75" hidden="1">
      <c r="A90" s="69">
        <v>502</v>
      </c>
      <c r="B90" s="76">
        <v>5</v>
      </c>
      <c r="C90" s="77">
        <v>86</v>
      </c>
      <c r="D90" s="78" t="s">
        <v>254</v>
      </c>
      <c r="E90" s="79" t="s">
        <v>255</v>
      </c>
      <c r="F90" s="80">
        <v>54881162</v>
      </c>
      <c r="G90" s="73">
        <f t="shared" si="17"/>
        <v>0</v>
      </c>
      <c r="H90" s="73">
        <f t="shared" si="18"/>
        <v>54881162</v>
      </c>
      <c r="I90" s="73">
        <f t="shared" si="19"/>
        <v>0</v>
      </c>
      <c r="J90" s="73">
        <f t="shared" si="20"/>
        <v>0</v>
      </c>
      <c r="K90" s="73">
        <f t="shared" si="21"/>
        <v>0</v>
      </c>
      <c r="L90" s="73">
        <f t="shared" si="22"/>
        <v>0</v>
      </c>
      <c r="M90" s="73">
        <f t="shared" si="23"/>
        <v>0</v>
      </c>
      <c r="N90" s="73">
        <f t="shared" si="24"/>
        <v>0</v>
      </c>
      <c r="O90" s="73">
        <f t="shared" si="25"/>
        <v>0</v>
      </c>
      <c r="P90" s="73">
        <f t="shared" si="26"/>
        <v>0</v>
      </c>
      <c r="Q90" s="73">
        <f t="shared" si="27"/>
        <v>0</v>
      </c>
      <c r="R90" s="73">
        <f t="shared" si="28"/>
        <v>0</v>
      </c>
      <c r="S90" s="73">
        <f t="shared" si="29"/>
        <v>0</v>
      </c>
      <c r="T90" s="73">
        <f t="shared" si="30"/>
        <v>0</v>
      </c>
      <c r="U90" s="73">
        <f t="shared" si="31"/>
        <v>0</v>
      </c>
      <c r="V90" s="73">
        <f t="shared" si="32"/>
        <v>0</v>
      </c>
      <c r="W90" s="73">
        <f t="shared" si="33"/>
        <v>0</v>
      </c>
      <c r="X90" s="81"/>
    </row>
    <row r="91" spans="1:24" ht="21.75" hidden="1">
      <c r="A91" s="69">
        <v>502</v>
      </c>
      <c r="B91" s="76">
        <v>5</v>
      </c>
      <c r="C91" s="71">
        <v>87</v>
      </c>
      <c r="D91" s="46" t="s">
        <v>569</v>
      </c>
      <c r="E91" s="72" t="s">
        <v>154</v>
      </c>
      <c r="F91" s="73">
        <v>419574</v>
      </c>
      <c r="G91" s="73">
        <f t="shared" si="17"/>
        <v>0</v>
      </c>
      <c r="H91" s="73">
        <f t="shared" si="18"/>
        <v>419574</v>
      </c>
      <c r="I91" s="73">
        <f t="shared" si="19"/>
        <v>0</v>
      </c>
      <c r="J91" s="73">
        <f t="shared" si="20"/>
        <v>0</v>
      </c>
      <c r="K91" s="73">
        <f t="shared" si="21"/>
        <v>0</v>
      </c>
      <c r="L91" s="73">
        <f t="shared" si="22"/>
        <v>0</v>
      </c>
      <c r="M91" s="73">
        <f t="shared" si="23"/>
        <v>0</v>
      </c>
      <c r="N91" s="73">
        <f t="shared" si="24"/>
        <v>0</v>
      </c>
      <c r="O91" s="73">
        <f t="shared" si="25"/>
        <v>0</v>
      </c>
      <c r="P91" s="73">
        <f t="shared" si="26"/>
        <v>0</v>
      </c>
      <c r="Q91" s="73">
        <f t="shared" si="27"/>
        <v>0</v>
      </c>
      <c r="R91" s="73">
        <f t="shared" si="28"/>
        <v>0</v>
      </c>
      <c r="S91" s="73">
        <f t="shared" si="29"/>
        <v>0</v>
      </c>
      <c r="T91" s="73">
        <f t="shared" si="30"/>
        <v>0</v>
      </c>
      <c r="U91" s="73">
        <f t="shared" si="31"/>
        <v>0</v>
      </c>
      <c r="V91" s="73">
        <f t="shared" si="32"/>
        <v>0</v>
      </c>
      <c r="W91" s="73">
        <f t="shared" si="33"/>
        <v>0</v>
      </c>
      <c r="X91" s="74"/>
    </row>
    <row r="92" spans="1:24" ht="21.75" hidden="1">
      <c r="A92" s="69">
        <v>502</v>
      </c>
      <c r="B92" s="76">
        <v>5</v>
      </c>
      <c r="C92" s="77">
        <v>88</v>
      </c>
      <c r="D92" s="78" t="s">
        <v>570</v>
      </c>
      <c r="E92" s="79" t="s">
        <v>257</v>
      </c>
      <c r="F92" s="80">
        <v>43676429</v>
      </c>
      <c r="G92" s="73">
        <f t="shared" si="17"/>
        <v>0</v>
      </c>
      <c r="H92" s="73">
        <f t="shared" si="18"/>
        <v>43676429</v>
      </c>
      <c r="I92" s="73">
        <f t="shared" si="19"/>
        <v>0</v>
      </c>
      <c r="J92" s="73">
        <f t="shared" si="20"/>
        <v>0</v>
      </c>
      <c r="K92" s="73">
        <f t="shared" si="21"/>
        <v>0</v>
      </c>
      <c r="L92" s="73">
        <f t="shared" si="22"/>
        <v>0</v>
      </c>
      <c r="M92" s="73">
        <f t="shared" si="23"/>
        <v>0</v>
      </c>
      <c r="N92" s="73">
        <f t="shared" si="24"/>
        <v>0</v>
      </c>
      <c r="O92" s="73">
        <f t="shared" si="25"/>
        <v>0</v>
      </c>
      <c r="P92" s="73">
        <f t="shared" si="26"/>
        <v>0</v>
      </c>
      <c r="Q92" s="73">
        <f t="shared" si="27"/>
        <v>0</v>
      </c>
      <c r="R92" s="73">
        <f t="shared" si="28"/>
        <v>0</v>
      </c>
      <c r="S92" s="73">
        <f t="shared" si="29"/>
        <v>0</v>
      </c>
      <c r="T92" s="73">
        <f t="shared" si="30"/>
        <v>0</v>
      </c>
      <c r="U92" s="73">
        <f t="shared" si="31"/>
        <v>0</v>
      </c>
      <c r="V92" s="73">
        <f t="shared" si="32"/>
        <v>0</v>
      </c>
      <c r="W92" s="73">
        <f t="shared" si="33"/>
        <v>0</v>
      </c>
      <c r="X92" s="81"/>
    </row>
    <row r="93" spans="1:24" ht="21.75" hidden="1">
      <c r="A93" s="69">
        <v>502</v>
      </c>
      <c r="B93" s="76">
        <v>5</v>
      </c>
      <c r="C93" s="71">
        <v>89</v>
      </c>
      <c r="D93" s="46" t="s">
        <v>256</v>
      </c>
      <c r="E93" s="72" t="s">
        <v>258</v>
      </c>
      <c r="F93" s="73">
        <v>122500</v>
      </c>
      <c r="G93" s="73">
        <f t="shared" si="17"/>
        <v>0</v>
      </c>
      <c r="H93" s="73">
        <f t="shared" si="18"/>
        <v>122500</v>
      </c>
      <c r="I93" s="73">
        <f t="shared" si="19"/>
        <v>0</v>
      </c>
      <c r="J93" s="73">
        <f t="shared" si="20"/>
        <v>0</v>
      </c>
      <c r="K93" s="73">
        <f t="shared" si="21"/>
        <v>0</v>
      </c>
      <c r="L93" s="73">
        <f t="shared" si="22"/>
        <v>0</v>
      </c>
      <c r="M93" s="73">
        <f t="shared" si="23"/>
        <v>0</v>
      </c>
      <c r="N93" s="73">
        <f t="shared" si="24"/>
        <v>0</v>
      </c>
      <c r="O93" s="73">
        <f t="shared" si="25"/>
        <v>0</v>
      </c>
      <c r="P93" s="73">
        <f t="shared" si="26"/>
        <v>0</v>
      </c>
      <c r="Q93" s="73">
        <f t="shared" si="27"/>
        <v>0</v>
      </c>
      <c r="R93" s="73">
        <f t="shared" si="28"/>
        <v>0</v>
      </c>
      <c r="S93" s="73">
        <f t="shared" si="29"/>
        <v>0</v>
      </c>
      <c r="T93" s="73">
        <f t="shared" si="30"/>
        <v>0</v>
      </c>
      <c r="U93" s="73">
        <f t="shared" si="31"/>
        <v>0</v>
      </c>
      <c r="V93" s="73">
        <f t="shared" si="32"/>
        <v>0</v>
      </c>
      <c r="W93" s="73">
        <f t="shared" si="33"/>
        <v>0</v>
      </c>
      <c r="X93" s="74"/>
    </row>
    <row r="94" spans="1:24" ht="21.75" hidden="1">
      <c r="A94" s="69">
        <v>502</v>
      </c>
      <c r="B94" s="76">
        <v>5</v>
      </c>
      <c r="C94" s="77">
        <v>90</v>
      </c>
      <c r="D94" s="78" t="s">
        <v>571</v>
      </c>
      <c r="E94" s="79" t="s">
        <v>259</v>
      </c>
      <c r="F94" s="80">
        <v>7454442</v>
      </c>
      <c r="G94" s="73">
        <f t="shared" si="17"/>
        <v>0</v>
      </c>
      <c r="H94" s="73">
        <f t="shared" si="18"/>
        <v>7454442</v>
      </c>
      <c r="I94" s="73">
        <f t="shared" si="19"/>
        <v>0</v>
      </c>
      <c r="J94" s="73">
        <f t="shared" si="20"/>
        <v>0</v>
      </c>
      <c r="K94" s="73">
        <f t="shared" si="21"/>
        <v>0</v>
      </c>
      <c r="L94" s="73">
        <f t="shared" si="22"/>
        <v>0</v>
      </c>
      <c r="M94" s="73">
        <f t="shared" si="23"/>
        <v>0</v>
      </c>
      <c r="N94" s="73">
        <f t="shared" si="24"/>
        <v>0</v>
      </c>
      <c r="O94" s="73">
        <f t="shared" si="25"/>
        <v>0</v>
      </c>
      <c r="P94" s="73">
        <f t="shared" si="26"/>
        <v>0</v>
      </c>
      <c r="Q94" s="73">
        <f t="shared" si="27"/>
        <v>0</v>
      </c>
      <c r="R94" s="73">
        <f t="shared" si="28"/>
        <v>0</v>
      </c>
      <c r="S94" s="73">
        <f t="shared" si="29"/>
        <v>0</v>
      </c>
      <c r="T94" s="73">
        <f t="shared" si="30"/>
        <v>0</v>
      </c>
      <c r="U94" s="73">
        <f t="shared" si="31"/>
        <v>0</v>
      </c>
      <c r="V94" s="73">
        <f t="shared" si="32"/>
        <v>0</v>
      </c>
      <c r="W94" s="73">
        <f t="shared" si="33"/>
        <v>0</v>
      </c>
      <c r="X94" s="81"/>
    </row>
    <row r="95" spans="1:24" ht="21.75" hidden="1">
      <c r="A95" s="69">
        <v>502</v>
      </c>
      <c r="B95" s="76">
        <v>5</v>
      </c>
      <c r="C95" s="71">
        <v>92</v>
      </c>
      <c r="D95" s="46" t="s">
        <v>572</v>
      </c>
      <c r="E95" s="72" t="s">
        <v>168</v>
      </c>
      <c r="F95" s="73">
        <v>94153790</v>
      </c>
      <c r="G95" s="73">
        <f t="shared" si="17"/>
        <v>0</v>
      </c>
      <c r="H95" s="73">
        <f t="shared" si="18"/>
        <v>94153790</v>
      </c>
      <c r="I95" s="73">
        <f t="shared" si="19"/>
        <v>0</v>
      </c>
      <c r="J95" s="73">
        <f t="shared" si="20"/>
        <v>0</v>
      </c>
      <c r="K95" s="73">
        <f t="shared" si="21"/>
        <v>0</v>
      </c>
      <c r="L95" s="73">
        <f t="shared" si="22"/>
        <v>0</v>
      </c>
      <c r="M95" s="73">
        <f t="shared" si="23"/>
        <v>0</v>
      </c>
      <c r="N95" s="73">
        <f t="shared" si="24"/>
        <v>0</v>
      </c>
      <c r="O95" s="73">
        <f t="shared" si="25"/>
        <v>0</v>
      </c>
      <c r="P95" s="73">
        <f t="shared" si="26"/>
        <v>0</v>
      </c>
      <c r="Q95" s="73">
        <f t="shared" si="27"/>
        <v>0</v>
      </c>
      <c r="R95" s="73">
        <f t="shared" si="28"/>
        <v>0</v>
      </c>
      <c r="S95" s="73">
        <f t="shared" si="29"/>
        <v>0</v>
      </c>
      <c r="T95" s="73">
        <f t="shared" si="30"/>
        <v>0</v>
      </c>
      <c r="U95" s="73">
        <f t="shared" si="31"/>
        <v>0</v>
      </c>
      <c r="V95" s="73">
        <f t="shared" si="32"/>
        <v>0</v>
      </c>
      <c r="W95" s="73">
        <f t="shared" si="33"/>
        <v>0</v>
      </c>
      <c r="X95" s="74"/>
    </row>
    <row r="96" spans="1:24" ht="21.75" hidden="1">
      <c r="A96" s="69">
        <v>502</v>
      </c>
      <c r="B96" s="76">
        <v>5</v>
      </c>
      <c r="C96" s="77">
        <v>93</v>
      </c>
      <c r="D96" s="78" t="s">
        <v>573</v>
      </c>
      <c r="E96" s="79" t="s">
        <v>574</v>
      </c>
      <c r="F96" s="80">
        <v>750080</v>
      </c>
      <c r="G96" s="73">
        <f>IF($B96=$G$3,$F96,0)</f>
        <v>0</v>
      </c>
      <c r="H96" s="73">
        <f t="shared" si="18"/>
        <v>750080</v>
      </c>
      <c r="I96" s="73">
        <f t="shared" si="19"/>
        <v>0</v>
      </c>
      <c r="J96" s="73">
        <f t="shared" si="20"/>
        <v>0</v>
      </c>
      <c r="K96" s="73">
        <f t="shared" si="21"/>
        <v>0</v>
      </c>
      <c r="L96" s="73">
        <f t="shared" si="22"/>
        <v>0</v>
      </c>
      <c r="M96" s="73">
        <f t="shared" si="23"/>
        <v>0</v>
      </c>
      <c r="N96" s="73">
        <f t="shared" si="24"/>
        <v>0</v>
      </c>
      <c r="O96" s="73">
        <f t="shared" si="25"/>
        <v>0</v>
      </c>
      <c r="P96" s="73">
        <f t="shared" si="26"/>
        <v>0</v>
      </c>
      <c r="Q96" s="73">
        <f t="shared" si="27"/>
        <v>0</v>
      </c>
      <c r="R96" s="73">
        <f t="shared" si="28"/>
        <v>0</v>
      </c>
      <c r="S96" s="73">
        <f t="shared" si="29"/>
        <v>0</v>
      </c>
      <c r="T96" s="73">
        <f t="shared" si="30"/>
        <v>0</v>
      </c>
      <c r="U96" s="73">
        <f t="shared" si="31"/>
        <v>0</v>
      </c>
      <c r="V96" s="73">
        <f t="shared" si="32"/>
        <v>0</v>
      </c>
      <c r="W96" s="73">
        <f t="shared" si="33"/>
        <v>0</v>
      </c>
      <c r="X96" s="81"/>
    </row>
    <row r="97" spans="1:24" ht="21.75" hidden="1">
      <c r="A97" s="69">
        <v>502</v>
      </c>
      <c r="B97" s="76">
        <v>5</v>
      </c>
      <c r="C97" s="71">
        <v>94</v>
      </c>
      <c r="D97" s="46" t="s">
        <v>577</v>
      </c>
      <c r="E97" s="72" t="s">
        <v>578</v>
      </c>
      <c r="F97" s="73">
        <v>470625093</v>
      </c>
      <c r="G97" s="73">
        <f t="shared" si="17"/>
        <v>0</v>
      </c>
      <c r="H97" s="73">
        <f t="shared" si="18"/>
        <v>470625093</v>
      </c>
      <c r="I97" s="73">
        <f t="shared" si="19"/>
        <v>0</v>
      </c>
      <c r="J97" s="73">
        <f t="shared" si="20"/>
        <v>0</v>
      </c>
      <c r="K97" s="73">
        <f t="shared" si="21"/>
        <v>0</v>
      </c>
      <c r="L97" s="73">
        <f t="shared" si="22"/>
        <v>0</v>
      </c>
      <c r="M97" s="73">
        <f t="shared" si="23"/>
        <v>0</v>
      </c>
      <c r="N97" s="73">
        <f t="shared" si="24"/>
        <v>0</v>
      </c>
      <c r="O97" s="73">
        <f t="shared" si="25"/>
        <v>0</v>
      </c>
      <c r="P97" s="73">
        <f t="shared" si="26"/>
        <v>0</v>
      </c>
      <c r="Q97" s="73">
        <f t="shared" si="27"/>
        <v>0</v>
      </c>
      <c r="R97" s="73">
        <f t="shared" si="28"/>
        <v>0</v>
      </c>
      <c r="S97" s="73">
        <f t="shared" si="29"/>
        <v>0</v>
      </c>
      <c r="T97" s="73">
        <f t="shared" si="30"/>
        <v>0</v>
      </c>
      <c r="U97" s="73">
        <f t="shared" si="31"/>
        <v>0</v>
      </c>
      <c r="V97" s="73">
        <f t="shared" si="32"/>
        <v>0</v>
      </c>
      <c r="W97" s="73">
        <f t="shared" si="33"/>
        <v>0</v>
      </c>
      <c r="X97" s="74"/>
    </row>
    <row r="98" spans="1:24" ht="21.75" hidden="1">
      <c r="A98" s="69">
        <v>502</v>
      </c>
      <c r="B98" s="76">
        <v>5</v>
      </c>
      <c r="C98" s="77">
        <v>95</v>
      </c>
      <c r="D98" s="78" t="s">
        <v>579</v>
      </c>
      <c r="E98" s="79" t="s">
        <v>580</v>
      </c>
      <c r="F98" s="80">
        <v>5022970807</v>
      </c>
      <c r="G98" s="73">
        <f t="shared" si="17"/>
        <v>0</v>
      </c>
      <c r="H98" s="73">
        <f t="shared" si="18"/>
        <v>5022970807</v>
      </c>
      <c r="I98" s="73">
        <f t="shared" si="19"/>
        <v>0</v>
      </c>
      <c r="J98" s="73">
        <f t="shared" si="20"/>
        <v>0</v>
      </c>
      <c r="K98" s="73">
        <f t="shared" si="21"/>
        <v>0</v>
      </c>
      <c r="L98" s="73">
        <f t="shared" si="22"/>
        <v>0</v>
      </c>
      <c r="M98" s="73">
        <f t="shared" si="23"/>
        <v>0</v>
      </c>
      <c r="N98" s="73">
        <f t="shared" si="24"/>
        <v>0</v>
      </c>
      <c r="O98" s="73">
        <f t="shared" si="25"/>
        <v>0</v>
      </c>
      <c r="P98" s="73">
        <f t="shared" si="26"/>
        <v>0</v>
      </c>
      <c r="Q98" s="73">
        <f t="shared" si="27"/>
        <v>0</v>
      </c>
      <c r="R98" s="73">
        <f t="shared" si="28"/>
        <v>0</v>
      </c>
      <c r="S98" s="73">
        <f t="shared" si="29"/>
        <v>0</v>
      </c>
      <c r="T98" s="73">
        <f t="shared" si="30"/>
        <v>0</v>
      </c>
      <c r="U98" s="73">
        <f t="shared" si="31"/>
        <v>0</v>
      </c>
      <c r="V98" s="73">
        <f t="shared" si="32"/>
        <v>0</v>
      </c>
      <c r="W98" s="73">
        <f t="shared" si="33"/>
        <v>0</v>
      </c>
      <c r="X98" s="81"/>
    </row>
    <row r="99" spans="1:24" ht="21.75" hidden="1">
      <c r="A99" s="69">
        <v>502</v>
      </c>
      <c r="B99" s="76">
        <v>5</v>
      </c>
      <c r="C99" s="71">
        <v>96</v>
      </c>
      <c r="D99" s="46" t="s">
        <v>581</v>
      </c>
      <c r="E99" s="72" t="s">
        <v>169</v>
      </c>
      <c r="F99" s="73">
        <v>692390483</v>
      </c>
      <c r="G99" s="73">
        <f t="shared" si="17"/>
        <v>0</v>
      </c>
      <c r="H99" s="73">
        <f t="shared" si="18"/>
        <v>692390483</v>
      </c>
      <c r="I99" s="73">
        <f t="shared" si="19"/>
        <v>0</v>
      </c>
      <c r="J99" s="73">
        <f t="shared" si="20"/>
        <v>0</v>
      </c>
      <c r="K99" s="73">
        <f t="shared" si="21"/>
        <v>0</v>
      </c>
      <c r="L99" s="73">
        <f t="shared" si="22"/>
        <v>0</v>
      </c>
      <c r="M99" s="73">
        <f t="shared" si="23"/>
        <v>0</v>
      </c>
      <c r="N99" s="73">
        <f t="shared" si="24"/>
        <v>0</v>
      </c>
      <c r="O99" s="73">
        <f t="shared" si="25"/>
        <v>0</v>
      </c>
      <c r="P99" s="73">
        <f t="shared" si="26"/>
        <v>0</v>
      </c>
      <c r="Q99" s="73">
        <f t="shared" si="27"/>
        <v>0</v>
      </c>
      <c r="R99" s="73">
        <f t="shared" si="28"/>
        <v>0</v>
      </c>
      <c r="S99" s="73">
        <f t="shared" si="29"/>
        <v>0</v>
      </c>
      <c r="T99" s="73">
        <f t="shared" si="30"/>
        <v>0</v>
      </c>
      <c r="U99" s="73">
        <f t="shared" si="31"/>
        <v>0</v>
      </c>
      <c r="V99" s="73">
        <f t="shared" si="32"/>
        <v>0</v>
      </c>
      <c r="W99" s="73">
        <f t="shared" si="33"/>
        <v>0</v>
      </c>
      <c r="X99" s="74"/>
    </row>
    <row r="100" spans="1:24" ht="21.75" hidden="1">
      <c r="A100" s="69">
        <v>1204</v>
      </c>
      <c r="B100" s="76">
        <v>12</v>
      </c>
      <c r="C100" s="77">
        <v>97</v>
      </c>
      <c r="D100" s="78" t="s">
        <v>582</v>
      </c>
      <c r="E100" s="79" t="s">
        <v>583</v>
      </c>
      <c r="F100" s="80">
        <v>-522052</v>
      </c>
      <c r="G100" s="73">
        <f t="shared" si="17"/>
        <v>0</v>
      </c>
      <c r="H100" s="73">
        <f t="shared" si="18"/>
        <v>0</v>
      </c>
      <c r="I100" s="73">
        <f t="shared" si="19"/>
        <v>0</v>
      </c>
      <c r="J100" s="73">
        <f t="shared" si="20"/>
        <v>0</v>
      </c>
      <c r="K100" s="73">
        <f t="shared" si="21"/>
        <v>0</v>
      </c>
      <c r="L100" s="73">
        <f t="shared" si="22"/>
        <v>0</v>
      </c>
      <c r="M100" s="73">
        <f t="shared" si="23"/>
        <v>0</v>
      </c>
      <c r="N100" s="73">
        <f t="shared" si="24"/>
        <v>0</v>
      </c>
      <c r="O100" s="73">
        <f t="shared" si="25"/>
        <v>0</v>
      </c>
      <c r="P100" s="73">
        <f t="shared" si="26"/>
        <v>-522052</v>
      </c>
      <c r="Q100" s="73">
        <f t="shared" si="27"/>
        <v>0</v>
      </c>
      <c r="R100" s="73">
        <f t="shared" si="28"/>
        <v>0</v>
      </c>
      <c r="S100" s="73">
        <f t="shared" si="29"/>
        <v>0</v>
      </c>
      <c r="T100" s="73">
        <f t="shared" si="30"/>
        <v>0</v>
      </c>
      <c r="U100" s="73">
        <f t="shared" si="31"/>
        <v>0</v>
      </c>
      <c r="V100" s="73">
        <f t="shared" si="32"/>
        <v>0</v>
      </c>
      <c r="W100" s="73">
        <f t="shared" si="33"/>
        <v>0</v>
      </c>
      <c r="X100" s="81"/>
    </row>
    <row r="101" spans="1:24" ht="21.75" hidden="1">
      <c r="A101" s="69">
        <v>502</v>
      </c>
      <c r="B101" s="76">
        <v>5</v>
      </c>
      <c r="C101" s="71">
        <v>98</v>
      </c>
      <c r="D101" s="46" t="s">
        <v>260</v>
      </c>
      <c r="E101" s="72" t="s">
        <v>261</v>
      </c>
      <c r="F101" s="73">
        <v>46731768</v>
      </c>
      <c r="G101" s="73">
        <f t="shared" si="17"/>
        <v>0</v>
      </c>
      <c r="H101" s="73">
        <f t="shared" si="18"/>
        <v>46731768</v>
      </c>
      <c r="I101" s="73">
        <f t="shared" si="19"/>
        <v>0</v>
      </c>
      <c r="J101" s="73">
        <f t="shared" si="20"/>
        <v>0</v>
      </c>
      <c r="K101" s="73">
        <f t="shared" si="21"/>
        <v>0</v>
      </c>
      <c r="L101" s="73">
        <f t="shared" si="22"/>
        <v>0</v>
      </c>
      <c r="M101" s="73">
        <f t="shared" si="23"/>
        <v>0</v>
      </c>
      <c r="N101" s="73">
        <f t="shared" si="24"/>
        <v>0</v>
      </c>
      <c r="O101" s="73">
        <f t="shared" si="25"/>
        <v>0</v>
      </c>
      <c r="P101" s="73">
        <f t="shared" si="26"/>
        <v>0</v>
      </c>
      <c r="Q101" s="73">
        <f t="shared" si="27"/>
        <v>0</v>
      </c>
      <c r="R101" s="73">
        <f t="shared" si="28"/>
        <v>0</v>
      </c>
      <c r="S101" s="73">
        <f t="shared" si="29"/>
        <v>0</v>
      </c>
      <c r="T101" s="73">
        <f t="shared" si="30"/>
        <v>0</v>
      </c>
      <c r="U101" s="73">
        <f t="shared" si="31"/>
        <v>0</v>
      </c>
      <c r="V101" s="73">
        <f t="shared" si="32"/>
        <v>0</v>
      </c>
      <c r="W101" s="73">
        <f t="shared" si="33"/>
        <v>0</v>
      </c>
      <c r="X101" s="74"/>
    </row>
    <row r="102" spans="1:24" ht="21.75" hidden="1">
      <c r="A102" s="69">
        <v>1204</v>
      </c>
      <c r="B102" s="76">
        <v>12</v>
      </c>
      <c r="C102" s="77">
        <v>99</v>
      </c>
      <c r="D102" s="78" t="s">
        <v>262</v>
      </c>
      <c r="E102" s="79" t="s">
        <v>263</v>
      </c>
      <c r="F102" s="80">
        <v>-9755112</v>
      </c>
      <c r="G102" s="73">
        <f t="shared" si="17"/>
        <v>0</v>
      </c>
      <c r="H102" s="73">
        <f t="shared" si="18"/>
        <v>0</v>
      </c>
      <c r="I102" s="73">
        <f t="shared" si="19"/>
        <v>0</v>
      </c>
      <c r="J102" s="73">
        <f t="shared" si="20"/>
        <v>0</v>
      </c>
      <c r="K102" s="73">
        <f t="shared" si="21"/>
        <v>0</v>
      </c>
      <c r="L102" s="73">
        <f t="shared" si="22"/>
        <v>0</v>
      </c>
      <c r="M102" s="73">
        <f t="shared" si="23"/>
        <v>0</v>
      </c>
      <c r="N102" s="73">
        <f t="shared" si="24"/>
        <v>0</v>
      </c>
      <c r="O102" s="73">
        <f t="shared" si="25"/>
        <v>0</v>
      </c>
      <c r="P102" s="73">
        <f t="shared" si="26"/>
        <v>-9755112</v>
      </c>
      <c r="Q102" s="73">
        <f t="shared" si="27"/>
        <v>0</v>
      </c>
      <c r="R102" s="73">
        <f t="shared" si="28"/>
        <v>0</v>
      </c>
      <c r="S102" s="73">
        <f t="shared" si="29"/>
        <v>0</v>
      </c>
      <c r="T102" s="73">
        <f t="shared" si="30"/>
        <v>0</v>
      </c>
      <c r="U102" s="73">
        <f t="shared" si="31"/>
        <v>0</v>
      </c>
      <c r="V102" s="73">
        <f t="shared" si="32"/>
        <v>0</v>
      </c>
      <c r="W102" s="73">
        <f t="shared" si="33"/>
        <v>0</v>
      </c>
      <c r="X102" s="81"/>
    </row>
    <row r="103" spans="1:24" ht="21.75" hidden="1">
      <c r="A103" s="69">
        <v>502</v>
      </c>
      <c r="B103" s="76">
        <v>5</v>
      </c>
      <c r="C103" s="71">
        <v>100</v>
      </c>
      <c r="D103" s="46" t="s">
        <v>584</v>
      </c>
      <c r="E103" s="72" t="s">
        <v>585</v>
      </c>
      <c r="F103" s="73">
        <v>480000</v>
      </c>
      <c r="G103" s="73">
        <f t="shared" si="17"/>
        <v>0</v>
      </c>
      <c r="H103" s="73">
        <f t="shared" si="18"/>
        <v>480000</v>
      </c>
      <c r="I103" s="73">
        <f t="shared" si="19"/>
        <v>0</v>
      </c>
      <c r="J103" s="73">
        <f t="shared" si="20"/>
        <v>0</v>
      </c>
      <c r="K103" s="73">
        <f t="shared" si="21"/>
        <v>0</v>
      </c>
      <c r="L103" s="73">
        <f t="shared" si="22"/>
        <v>0</v>
      </c>
      <c r="M103" s="73">
        <f t="shared" si="23"/>
        <v>0</v>
      </c>
      <c r="N103" s="73">
        <f t="shared" si="24"/>
        <v>0</v>
      </c>
      <c r="O103" s="73">
        <f t="shared" si="25"/>
        <v>0</v>
      </c>
      <c r="P103" s="73">
        <f t="shared" si="26"/>
        <v>0</v>
      </c>
      <c r="Q103" s="73">
        <f t="shared" si="27"/>
        <v>0</v>
      </c>
      <c r="R103" s="73">
        <f t="shared" si="28"/>
        <v>0</v>
      </c>
      <c r="S103" s="73">
        <f t="shared" si="29"/>
        <v>0</v>
      </c>
      <c r="T103" s="73">
        <f t="shared" si="30"/>
        <v>0</v>
      </c>
      <c r="U103" s="73">
        <f t="shared" si="31"/>
        <v>0</v>
      </c>
      <c r="V103" s="73">
        <f t="shared" si="32"/>
        <v>0</v>
      </c>
      <c r="W103" s="73">
        <f t="shared" si="33"/>
        <v>0</v>
      </c>
      <c r="X103" s="74"/>
    </row>
    <row r="104" spans="1:24" ht="21.75" hidden="1">
      <c r="A104" s="69">
        <v>502</v>
      </c>
      <c r="B104" s="76">
        <v>5</v>
      </c>
      <c r="C104" s="77">
        <v>101</v>
      </c>
      <c r="D104" s="78" t="s">
        <v>546</v>
      </c>
      <c r="E104" s="79" t="s">
        <v>170</v>
      </c>
      <c r="F104" s="80">
        <v>215622522</v>
      </c>
      <c r="G104" s="73">
        <f t="shared" si="17"/>
        <v>0</v>
      </c>
      <c r="H104" s="73">
        <f t="shared" si="18"/>
        <v>215622522</v>
      </c>
      <c r="I104" s="73">
        <f t="shared" si="19"/>
        <v>0</v>
      </c>
      <c r="J104" s="73">
        <f t="shared" si="20"/>
        <v>0</v>
      </c>
      <c r="K104" s="73">
        <f t="shared" si="21"/>
        <v>0</v>
      </c>
      <c r="L104" s="73">
        <f t="shared" si="22"/>
        <v>0</v>
      </c>
      <c r="M104" s="73">
        <f t="shared" si="23"/>
        <v>0</v>
      </c>
      <c r="N104" s="73">
        <f t="shared" si="24"/>
        <v>0</v>
      </c>
      <c r="O104" s="73">
        <f t="shared" si="25"/>
        <v>0</v>
      </c>
      <c r="P104" s="73">
        <f t="shared" si="26"/>
        <v>0</v>
      </c>
      <c r="Q104" s="73">
        <f t="shared" si="27"/>
        <v>0</v>
      </c>
      <c r="R104" s="73">
        <f t="shared" si="28"/>
        <v>0</v>
      </c>
      <c r="S104" s="73">
        <f t="shared" si="29"/>
        <v>0</v>
      </c>
      <c r="T104" s="73">
        <f t="shared" si="30"/>
        <v>0</v>
      </c>
      <c r="U104" s="73">
        <f t="shared" si="31"/>
        <v>0</v>
      </c>
      <c r="V104" s="73">
        <f t="shared" si="32"/>
        <v>0</v>
      </c>
      <c r="W104" s="73">
        <f t="shared" si="33"/>
        <v>0</v>
      </c>
      <c r="X104" s="81"/>
    </row>
    <row r="105" spans="1:24" ht="21.75" hidden="1">
      <c r="A105" s="69">
        <v>502</v>
      </c>
      <c r="B105" s="76">
        <v>5</v>
      </c>
      <c r="C105" s="71">
        <v>102</v>
      </c>
      <c r="D105" s="46" t="s">
        <v>299</v>
      </c>
      <c r="E105" s="72" t="s">
        <v>300</v>
      </c>
      <c r="F105" s="73">
        <v>128326234</v>
      </c>
      <c r="G105" s="73">
        <f t="shared" si="17"/>
        <v>0</v>
      </c>
      <c r="H105" s="73">
        <f t="shared" si="18"/>
        <v>128326234</v>
      </c>
      <c r="I105" s="73">
        <f t="shared" si="19"/>
        <v>0</v>
      </c>
      <c r="J105" s="73">
        <f t="shared" si="20"/>
        <v>0</v>
      </c>
      <c r="K105" s="73">
        <f t="shared" si="21"/>
        <v>0</v>
      </c>
      <c r="L105" s="73">
        <f t="shared" si="22"/>
        <v>0</v>
      </c>
      <c r="M105" s="73">
        <f t="shared" si="23"/>
        <v>0</v>
      </c>
      <c r="N105" s="73">
        <f t="shared" si="24"/>
        <v>0</v>
      </c>
      <c r="O105" s="73">
        <f t="shared" si="25"/>
        <v>0</v>
      </c>
      <c r="P105" s="73">
        <f t="shared" si="26"/>
        <v>0</v>
      </c>
      <c r="Q105" s="73">
        <f t="shared" si="27"/>
        <v>0</v>
      </c>
      <c r="R105" s="73">
        <f t="shared" si="28"/>
        <v>0</v>
      </c>
      <c r="S105" s="73">
        <f t="shared" si="29"/>
        <v>0</v>
      </c>
      <c r="T105" s="73">
        <f t="shared" si="30"/>
        <v>0</v>
      </c>
      <c r="U105" s="73">
        <f t="shared" si="31"/>
        <v>0</v>
      </c>
      <c r="V105" s="73">
        <f t="shared" si="32"/>
        <v>0</v>
      </c>
      <c r="W105" s="73">
        <f t="shared" si="33"/>
        <v>0</v>
      </c>
      <c r="X105" s="74"/>
    </row>
    <row r="106" spans="1:24" ht="21.75" hidden="1">
      <c r="A106" s="69">
        <v>1204</v>
      </c>
      <c r="B106" s="76">
        <v>12</v>
      </c>
      <c r="C106" s="77">
        <v>103</v>
      </c>
      <c r="D106" s="78" t="s">
        <v>301</v>
      </c>
      <c r="E106" s="79" t="s">
        <v>302</v>
      </c>
      <c r="F106" s="80">
        <v>-25134871</v>
      </c>
      <c r="G106" s="73">
        <f t="shared" si="17"/>
        <v>0</v>
      </c>
      <c r="H106" s="73">
        <f t="shared" si="18"/>
        <v>0</v>
      </c>
      <c r="I106" s="73">
        <f t="shared" si="19"/>
        <v>0</v>
      </c>
      <c r="J106" s="73">
        <f t="shared" si="20"/>
        <v>0</v>
      </c>
      <c r="K106" s="73">
        <f t="shared" si="21"/>
        <v>0</v>
      </c>
      <c r="L106" s="73">
        <f t="shared" si="22"/>
        <v>0</v>
      </c>
      <c r="M106" s="73">
        <f t="shared" si="23"/>
        <v>0</v>
      </c>
      <c r="N106" s="73">
        <f t="shared" si="24"/>
        <v>0</v>
      </c>
      <c r="O106" s="73">
        <f t="shared" si="25"/>
        <v>0</v>
      </c>
      <c r="P106" s="73">
        <f t="shared" si="26"/>
        <v>-25134871</v>
      </c>
      <c r="Q106" s="73">
        <f t="shared" si="27"/>
        <v>0</v>
      </c>
      <c r="R106" s="73">
        <f t="shared" si="28"/>
        <v>0</v>
      </c>
      <c r="S106" s="73">
        <f t="shared" si="29"/>
        <v>0</v>
      </c>
      <c r="T106" s="73">
        <f t="shared" si="30"/>
        <v>0</v>
      </c>
      <c r="U106" s="73">
        <f t="shared" si="31"/>
        <v>0</v>
      </c>
      <c r="V106" s="73">
        <f t="shared" si="32"/>
        <v>0</v>
      </c>
      <c r="W106" s="73">
        <f t="shared" si="33"/>
        <v>0</v>
      </c>
      <c r="X106" s="81"/>
    </row>
    <row r="107" spans="1:24" ht="21.75" hidden="1">
      <c r="A107" s="69">
        <v>1204</v>
      </c>
      <c r="B107" s="70">
        <v>12</v>
      </c>
      <c r="C107" s="71">
        <v>104</v>
      </c>
      <c r="D107" s="46" t="s">
        <v>264</v>
      </c>
      <c r="E107" s="72" t="s">
        <v>265</v>
      </c>
      <c r="F107" s="73">
        <v>-34057183</v>
      </c>
      <c r="G107" s="73">
        <f t="shared" si="17"/>
        <v>0</v>
      </c>
      <c r="H107" s="73">
        <f t="shared" si="18"/>
        <v>0</v>
      </c>
      <c r="I107" s="73">
        <f t="shared" si="19"/>
        <v>0</v>
      </c>
      <c r="J107" s="73">
        <f t="shared" si="20"/>
        <v>0</v>
      </c>
      <c r="K107" s="73">
        <f t="shared" si="21"/>
        <v>0</v>
      </c>
      <c r="L107" s="73">
        <f t="shared" si="22"/>
        <v>0</v>
      </c>
      <c r="M107" s="73">
        <f t="shared" si="23"/>
        <v>0</v>
      </c>
      <c r="N107" s="73">
        <f t="shared" si="24"/>
        <v>0</v>
      </c>
      <c r="O107" s="73">
        <f t="shared" si="25"/>
        <v>0</v>
      </c>
      <c r="P107" s="73">
        <f t="shared" si="26"/>
        <v>-34057183</v>
      </c>
      <c r="Q107" s="73">
        <f t="shared" si="27"/>
        <v>0</v>
      </c>
      <c r="R107" s="73">
        <f t="shared" si="28"/>
        <v>0</v>
      </c>
      <c r="S107" s="73">
        <f t="shared" si="29"/>
        <v>0</v>
      </c>
      <c r="T107" s="73">
        <f t="shared" si="30"/>
        <v>0</v>
      </c>
      <c r="U107" s="73">
        <f t="shared" si="31"/>
        <v>0</v>
      </c>
      <c r="V107" s="73">
        <f t="shared" si="32"/>
        <v>0</v>
      </c>
      <c r="W107" s="73">
        <f t="shared" si="33"/>
        <v>0</v>
      </c>
      <c r="X107" s="74"/>
    </row>
    <row r="108" spans="1:24" ht="21.75" hidden="1">
      <c r="A108" s="69">
        <v>1204</v>
      </c>
      <c r="B108" s="76">
        <v>12</v>
      </c>
      <c r="C108" s="77">
        <v>105</v>
      </c>
      <c r="D108" s="78" t="s">
        <v>305</v>
      </c>
      <c r="E108" s="79" t="s">
        <v>172</v>
      </c>
      <c r="F108" s="80">
        <v>-2946634915</v>
      </c>
      <c r="G108" s="73">
        <f t="shared" si="17"/>
        <v>0</v>
      </c>
      <c r="H108" s="73">
        <f t="shared" si="18"/>
        <v>0</v>
      </c>
      <c r="I108" s="73">
        <f t="shared" si="19"/>
        <v>0</v>
      </c>
      <c r="J108" s="73">
        <f t="shared" si="20"/>
        <v>0</v>
      </c>
      <c r="K108" s="73">
        <f t="shared" si="21"/>
        <v>0</v>
      </c>
      <c r="L108" s="73">
        <f t="shared" si="22"/>
        <v>0</v>
      </c>
      <c r="M108" s="73">
        <f t="shared" si="23"/>
        <v>0</v>
      </c>
      <c r="N108" s="73">
        <f t="shared" si="24"/>
        <v>0</v>
      </c>
      <c r="O108" s="73">
        <f t="shared" si="25"/>
        <v>0</v>
      </c>
      <c r="P108" s="73">
        <f t="shared" si="26"/>
        <v>-2946634915</v>
      </c>
      <c r="Q108" s="73">
        <f t="shared" si="27"/>
        <v>0</v>
      </c>
      <c r="R108" s="73">
        <f t="shared" si="28"/>
        <v>0</v>
      </c>
      <c r="S108" s="73">
        <f t="shared" si="29"/>
        <v>0</v>
      </c>
      <c r="T108" s="73">
        <f t="shared" si="30"/>
        <v>0</v>
      </c>
      <c r="U108" s="73">
        <f t="shared" si="31"/>
        <v>0</v>
      </c>
      <c r="V108" s="73">
        <f t="shared" si="32"/>
        <v>0</v>
      </c>
      <c r="W108" s="73">
        <f t="shared" si="33"/>
        <v>0</v>
      </c>
      <c r="X108" s="81"/>
    </row>
    <row r="109" spans="1:24" ht="21.75" hidden="1">
      <c r="A109" s="69">
        <v>1204</v>
      </c>
      <c r="B109" s="70">
        <v>12</v>
      </c>
      <c r="C109" s="71">
        <v>106</v>
      </c>
      <c r="D109" s="46" t="s">
        <v>306</v>
      </c>
      <c r="E109" s="72" t="s">
        <v>307</v>
      </c>
      <c r="F109" s="73">
        <v>-79050116</v>
      </c>
      <c r="G109" s="73">
        <f t="shared" si="17"/>
        <v>0</v>
      </c>
      <c r="H109" s="73">
        <f t="shared" si="18"/>
        <v>0</v>
      </c>
      <c r="I109" s="73">
        <f t="shared" si="19"/>
        <v>0</v>
      </c>
      <c r="J109" s="73">
        <f t="shared" si="20"/>
        <v>0</v>
      </c>
      <c r="K109" s="73">
        <f t="shared" si="21"/>
        <v>0</v>
      </c>
      <c r="L109" s="73">
        <f t="shared" si="22"/>
        <v>0</v>
      </c>
      <c r="M109" s="73">
        <f t="shared" si="23"/>
        <v>0</v>
      </c>
      <c r="N109" s="73">
        <f t="shared" si="24"/>
        <v>0</v>
      </c>
      <c r="O109" s="73">
        <f t="shared" si="25"/>
        <v>0</v>
      </c>
      <c r="P109" s="73">
        <f t="shared" si="26"/>
        <v>-79050116</v>
      </c>
      <c r="Q109" s="73">
        <f t="shared" si="27"/>
        <v>0</v>
      </c>
      <c r="R109" s="73">
        <f t="shared" si="28"/>
        <v>0</v>
      </c>
      <c r="S109" s="73">
        <f t="shared" si="29"/>
        <v>0</v>
      </c>
      <c r="T109" s="73">
        <f t="shared" si="30"/>
        <v>0</v>
      </c>
      <c r="U109" s="73">
        <f t="shared" si="31"/>
        <v>0</v>
      </c>
      <c r="V109" s="73">
        <f t="shared" si="32"/>
        <v>0</v>
      </c>
      <c r="W109" s="73">
        <f t="shared" si="33"/>
        <v>0</v>
      </c>
      <c r="X109" s="74"/>
    </row>
    <row r="110" spans="1:24" ht="21.75" hidden="1">
      <c r="A110" s="69">
        <v>1204</v>
      </c>
      <c r="B110" s="76">
        <v>12</v>
      </c>
      <c r="C110" s="77">
        <v>107</v>
      </c>
      <c r="D110" s="78" t="s">
        <v>308</v>
      </c>
      <c r="E110" s="79" t="s">
        <v>309</v>
      </c>
      <c r="F110" s="80">
        <v>-123919862</v>
      </c>
      <c r="G110" s="73">
        <f t="shared" si="17"/>
        <v>0</v>
      </c>
      <c r="H110" s="73">
        <f t="shared" si="18"/>
        <v>0</v>
      </c>
      <c r="I110" s="73">
        <f t="shared" si="19"/>
        <v>0</v>
      </c>
      <c r="J110" s="73">
        <f t="shared" si="20"/>
        <v>0</v>
      </c>
      <c r="K110" s="73">
        <f t="shared" si="21"/>
        <v>0</v>
      </c>
      <c r="L110" s="73">
        <f t="shared" si="22"/>
        <v>0</v>
      </c>
      <c r="M110" s="73">
        <f t="shared" si="23"/>
        <v>0</v>
      </c>
      <c r="N110" s="73">
        <f t="shared" si="24"/>
        <v>0</v>
      </c>
      <c r="O110" s="73">
        <f t="shared" si="25"/>
        <v>0</v>
      </c>
      <c r="P110" s="73">
        <f t="shared" si="26"/>
        <v>-123919862</v>
      </c>
      <c r="Q110" s="73">
        <f t="shared" si="27"/>
        <v>0</v>
      </c>
      <c r="R110" s="73">
        <f t="shared" si="28"/>
        <v>0</v>
      </c>
      <c r="S110" s="73">
        <f t="shared" si="29"/>
        <v>0</v>
      </c>
      <c r="T110" s="73">
        <f t="shared" si="30"/>
        <v>0</v>
      </c>
      <c r="U110" s="73">
        <f t="shared" si="31"/>
        <v>0</v>
      </c>
      <c r="V110" s="73">
        <f t="shared" si="32"/>
        <v>0</v>
      </c>
      <c r="W110" s="73">
        <f t="shared" si="33"/>
        <v>0</v>
      </c>
      <c r="X110" s="81"/>
    </row>
    <row r="111" spans="1:24" ht="21.75" hidden="1">
      <c r="A111" s="69">
        <v>1204</v>
      </c>
      <c r="B111" s="70">
        <v>12</v>
      </c>
      <c r="C111" s="71">
        <v>108</v>
      </c>
      <c r="D111" s="46" t="s">
        <v>310</v>
      </c>
      <c r="E111" s="72" t="s">
        <v>108</v>
      </c>
      <c r="F111" s="73">
        <v>-154581722</v>
      </c>
      <c r="G111" s="73">
        <f t="shared" si="17"/>
        <v>0</v>
      </c>
      <c r="H111" s="73">
        <f t="shared" si="18"/>
        <v>0</v>
      </c>
      <c r="I111" s="73">
        <f t="shared" si="19"/>
        <v>0</v>
      </c>
      <c r="J111" s="73">
        <f t="shared" si="20"/>
        <v>0</v>
      </c>
      <c r="K111" s="73">
        <f t="shared" si="21"/>
        <v>0</v>
      </c>
      <c r="L111" s="73">
        <f t="shared" si="22"/>
        <v>0</v>
      </c>
      <c r="M111" s="73">
        <f t="shared" si="23"/>
        <v>0</v>
      </c>
      <c r="N111" s="73">
        <f t="shared" si="24"/>
        <v>0</v>
      </c>
      <c r="O111" s="73">
        <f t="shared" si="25"/>
        <v>0</v>
      </c>
      <c r="P111" s="73">
        <f t="shared" si="26"/>
        <v>-154581722</v>
      </c>
      <c r="Q111" s="73">
        <f t="shared" si="27"/>
        <v>0</v>
      </c>
      <c r="R111" s="73">
        <f t="shared" si="28"/>
        <v>0</v>
      </c>
      <c r="S111" s="73">
        <f t="shared" si="29"/>
        <v>0</v>
      </c>
      <c r="T111" s="73">
        <f t="shared" si="30"/>
        <v>0</v>
      </c>
      <c r="U111" s="73">
        <f t="shared" si="31"/>
        <v>0</v>
      </c>
      <c r="V111" s="73">
        <f t="shared" si="32"/>
        <v>0</v>
      </c>
      <c r="W111" s="73">
        <f t="shared" si="33"/>
        <v>0</v>
      </c>
      <c r="X111" s="74"/>
    </row>
    <row r="112" spans="1:24" ht="21.75" hidden="1">
      <c r="A112" s="69">
        <v>1204</v>
      </c>
      <c r="B112" s="76">
        <v>12</v>
      </c>
      <c r="C112" s="77">
        <v>109</v>
      </c>
      <c r="D112" s="78" t="s">
        <v>110</v>
      </c>
      <c r="E112" s="79" t="s">
        <v>174</v>
      </c>
      <c r="F112" s="80">
        <v>-27576959</v>
      </c>
      <c r="G112" s="73">
        <f t="shared" si="17"/>
        <v>0</v>
      </c>
      <c r="H112" s="73">
        <f t="shared" si="18"/>
        <v>0</v>
      </c>
      <c r="I112" s="73">
        <f t="shared" si="19"/>
        <v>0</v>
      </c>
      <c r="J112" s="73">
        <f t="shared" si="20"/>
        <v>0</v>
      </c>
      <c r="K112" s="73">
        <f t="shared" si="21"/>
        <v>0</v>
      </c>
      <c r="L112" s="73">
        <f t="shared" si="22"/>
        <v>0</v>
      </c>
      <c r="M112" s="73">
        <f t="shared" si="23"/>
        <v>0</v>
      </c>
      <c r="N112" s="73">
        <f t="shared" si="24"/>
        <v>0</v>
      </c>
      <c r="O112" s="73">
        <f t="shared" si="25"/>
        <v>0</v>
      </c>
      <c r="P112" s="73">
        <f t="shared" si="26"/>
        <v>-27576959</v>
      </c>
      <c r="Q112" s="73">
        <f t="shared" si="27"/>
        <v>0</v>
      </c>
      <c r="R112" s="73">
        <f t="shared" si="28"/>
        <v>0</v>
      </c>
      <c r="S112" s="73">
        <f t="shared" si="29"/>
        <v>0</v>
      </c>
      <c r="T112" s="73">
        <f t="shared" si="30"/>
        <v>0</v>
      </c>
      <c r="U112" s="73">
        <f t="shared" si="31"/>
        <v>0</v>
      </c>
      <c r="V112" s="73">
        <f t="shared" si="32"/>
        <v>0</v>
      </c>
      <c r="W112" s="73">
        <f t="shared" si="33"/>
        <v>0</v>
      </c>
      <c r="X112" s="81"/>
    </row>
    <row r="113" spans="1:24" ht="21.75" hidden="1">
      <c r="A113" s="69">
        <v>502</v>
      </c>
      <c r="B113" s="76">
        <v>5</v>
      </c>
      <c r="C113" s="71">
        <v>110</v>
      </c>
      <c r="D113" s="46" t="s">
        <v>335</v>
      </c>
      <c r="E113" s="72" t="s">
        <v>175</v>
      </c>
      <c r="F113" s="73">
        <v>25048443</v>
      </c>
      <c r="G113" s="73">
        <f t="shared" si="17"/>
        <v>0</v>
      </c>
      <c r="H113" s="73">
        <f t="shared" si="18"/>
        <v>25048443</v>
      </c>
      <c r="I113" s="73">
        <f t="shared" si="19"/>
        <v>0</v>
      </c>
      <c r="J113" s="73">
        <f t="shared" si="20"/>
        <v>0</v>
      </c>
      <c r="K113" s="73">
        <f t="shared" si="21"/>
        <v>0</v>
      </c>
      <c r="L113" s="73">
        <f t="shared" si="22"/>
        <v>0</v>
      </c>
      <c r="M113" s="73">
        <f t="shared" si="23"/>
        <v>0</v>
      </c>
      <c r="N113" s="73">
        <f t="shared" si="24"/>
        <v>0</v>
      </c>
      <c r="O113" s="73">
        <f t="shared" si="25"/>
        <v>0</v>
      </c>
      <c r="P113" s="73">
        <f t="shared" si="26"/>
        <v>0</v>
      </c>
      <c r="Q113" s="73">
        <f t="shared" si="27"/>
        <v>0</v>
      </c>
      <c r="R113" s="73">
        <f t="shared" si="28"/>
        <v>0</v>
      </c>
      <c r="S113" s="73">
        <f t="shared" si="29"/>
        <v>0</v>
      </c>
      <c r="T113" s="73">
        <f t="shared" si="30"/>
        <v>0</v>
      </c>
      <c r="U113" s="73">
        <f t="shared" si="31"/>
        <v>0</v>
      </c>
      <c r="V113" s="73">
        <f t="shared" si="32"/>
        <v>0</v>
      </c>
      <c r="W113" s="73">
        <f t="shared" si="33"/>
        <v>0</v>
      </c>
      <c r="X113" s="74"/>
    </row>
    <row r="114" spans="1:24" ht="21.75" hidden="1">
      <c r="A114" s="75">
        <v>503</v>
      </c>
      <c r="B114" s="76">
        <v>5</v>
      </c>
      <c r="C114" s="77">
        <v>111</v>
      </c>
      <c r="D114" s="78" t="s">
        <v>336</v>
      </c>
      <c r="E114" s="79" t="s">
        <v>337</v>
      </c>
      <c r="F114" s="80">
        <v>1364220000</v>
      </c>
      <c r="G114" s="73">
        <f t="shared" si="17"/>
        <v>0</v>
      </c>
      <c r="H114" s="73">
        <f t="shared" si="18"/>
        <v>1364220000</v>
      </c>
      <c r="I114" s="73">
        <f t="shared" si="19"/>
        <v>0</v>
      </c>
      <c r="J114" s="73">
        <f t="shared" si="20"/>
        <v>0</v>
      </c>
      <c r="K114" s="73">
        <f t="shared" si="21"/>
        <v>0</v>
      </c>
      <c r="L114" s="73">
        <f t="shared" si="22"/>
        <v>0</v>
      </c>
      <c r="M114" s="73">
        <f t="shared" si="23"/>
        <v>0</v>
      </c>
      <c r="N114" s="73">
        <f t="shared" si="24"/>
        <v>0</v>
      </c>
      <c r="O114" s="73">
        <f t="shared" si="25"/>
        <v>0</v>
      </c>
      <c r="P114" s="73">
        <f t="shared" si="26"/>
        <v>0</v>
      </c>
      <c r="Q114" s="73">
        <f t="shared" si="27"/>
        <v>0</v>
      </c>
      <c r="R114" s="73">
        <f t="shared" si="28"/>
        <v>0</v>
      </c>
      <c r="S114" s="73">
        <f t="shared" si="29"/>
        <v>0</v>
      </c>
      <c r="T114" s="73">
        <f t="shared" si="30"/>
        <v>0</v>
      </c>
      <c r="U114" s="73">
        <f t="shared" si="31"/>
        <v>0</v>
      </c>
      <c r="V114" s="73">
        <f t="shared" si="32"/>
        <v>0</v>
      </c>
      <c r="W114" s="73">
        <f t="shared" si="33"/>
        <v>0</v>
      </c>
      <c r="X114" s="81"/>
    </row>
    <row r="115" spans="1:24" ht="21.75" hidden="1">
      <c r="A115" s="69">
        <v>502</v>
      </c>
      <c r="B115" s="76">
        <v>5</v>
      </c>
      <c r="C115" s="71">
        <v>112</v>
      </c>
      <c r="D115" s="46" t="s">
        <v>336</v>
      </c>
      <c r="E115" s="72" t="s">
        <v>337</v>
      </c>
      <c r="F115" s="73">
        <v>5275275683</v>
      </c>
      <c r="G115" s="73">
        <f t="shared" si="17"/>
        <v>0</v>
      </c>
      <c r="H115" s="73">
        <f t="shared" si="18"/>
        <v>5275275683</v>
      </c>
      <c r="I115" s="73">
        <f t="shared" si="19"/>
        <v>0</v>
      </c>
      <c r="J115" s="73">
        <f t="shared" si="20"/>
        <v>0</v>
      </c>
      <c r="K115" s="73">
        <f t="shared" si="21"/>
        <v>0</v>
      </c>
      <c r="L115" s="73">
        <f t="shared" si="22"/>
        <v>0</v>
      </c>
      <c r="M115" s="73">
        <f t="shared" si="23"/>
        <v>0</v>
      </c>
      <c r="N115" s="73">
        <f t="shared" si="24"/>
        <v>0</v>
      </c>
      <c r="O115" s="73">
        <f t="shared" si="25"/>
        <v>0</v>
      </c>
      <c r="P115" s="73">
        <f t="shared" si="26"/>
        <v>0</v>
      </c>
      <c r="Q115" s="73">
        <f t="shared" si="27"/>
        <v>0</v>
      </c>
      <c r="R115" s="73">
        <f t="shared" si="28"/>
        <v>0</v>
      </c>
      <c r="S115" s="73">
        <f t="shared" si="29"/>
        <v>0</v>
      </c>
      <c r="T115" s="73">
        <f t="shared" si="30"/>
        <v>0</v>
      </c>
      <c r="U115" s="73">
        <f t="shared" si="31"/>
        <v>0</v>
      </c>
      <c r="V115" s="73">
        <f t="shared" si="32"/>
        <v>0</v>
      </c>
      <c r="W115" s="73">
        <f t="shared" si="33"/>
        <v>0</v>
      </c>
      <c r="X115" s="74"/>
    </row>
    <row r="116" spans="1:24" ht="21.75" hidden="1">
      <c r="A116" s="69">
        <v>502</v>
      </c>
      <c r="B116" s="76">
        <v>5</v>
      </c>
      <c r="C116" s="77">
        <v>113</v>
      </c>
      <c r="D116" s="78" t="s">
        <v>338</v>
      </c>
      <c r="E116" s="79" t="s">
        <v>152</v>
      </c>
      <c r="F116" s="80">
        <v>29941433814</v>
      </c>
      <c r="G116" s="73">
        <f t="shared" si="17"/>
        <v>0</v>
      </c>
      <c r="H116" s="73">
        <f t="shared" si="18"/>
        <v>29941433814</v>
      </c>
      <c r="I116" s="73">
        <f t="shared" si="19"/>
        <v>0</v>
      </c>
      <c r="J116" s="73">
        <f t="shared" si="20"/>
        <v>0</v>
      </c>
      <c r="K116" s="73">
        <f t="shared" si="21"/>
        <v>0</v>
      </c>
      <c r="L116" s="73">
        <f t="shared" si="22"/>
        <v>0</v>
      </c>
      <c r="M116" s="73">
        <f t="shared" si="23"/>
        <v>0</v>
      </c>
      <c r="N116" s="73">
        <f t="shared" si="24"/>
        <v>0</v>
      </c>
      <c r="O116" s="73">
        <f t="shared" si="25"/>
        <v>0</v>
      </c>
      <c r="P116" s="73">
        <f t="shared" si="26"/>
        <v>0</v>
      </c>
      <c r="Q116" s="73">
        <f t="shared" si="27"/>
        <v>0</v>
      </c>
      <c r="R116" s="73">
        <f t="shared" si="28"/>
        <v>0</v>
      </c>
      <c r="S116" s="73">
        <f t="shared" si="29"/>
        <v>0</v>
      </c>
      <c r="T116" s="73">
        <f t="shared" si="30"/>
        <v>0</v>
      </c>
      <c r="U116" s="73">
        <f t="shared" si="31"/>
        <v>0</v>
      </c>
      <c r="V116" s="73">
        <f t="shared" si="32"/>
        <v>0</v>
      </c>
      <c r="W116" s="73">
        <f t="shared" si="33"/>
        <v>0</v>
      </c>
      <c r="X116" s="81"/>
    </row>
    <row r="117" spans="1:24" ht="21.75" hidden="1">
      <c r="A117" s="69">
        <v>502</v>
      </c>
      <c r="B117" s="76">
        <v>5</v>
      </c>
      <c r="C117" s="71">
        <v>114</v>
      </c>
      <c r="D117" s="46" t="s">
        <v>527</v>
      </c>
      <c r="E117" s="72" t="s">
        <v>528</v>
      </c>
      <c r="F117" s="73">
        <v>4776546791</v>
      </c>
      <c r="G117" s="73">
        <f t="shared" si="17"/>
        <v>0</v>
      </c>
      <c r="H117" s="73">
        <f t="shared" si="18"/>
        <v>4776546791</v>
      </c>
      <c r="I117" s="73">
        <f t="shared" si="19"/>
        <v>0</v>
      </c>
      <c r="J117" s="73">
        <f t="shared" si="20"/>
        <v>0</v>
      </c>
      <c r="K117" s="73">
        <f t="shared" si="21"/>
        <v>0</v>
      </c>
      <c r="L117" s="73">
        <f t="shared" si="22"/>
        <v>0</v>
      </c>
      <c r="M117" s="73">
        <f t="shared" si="23"/>
        <v>0</v>
      </c>
      <c r="N117" s="73">
        <f t="shared" si="24"/>
        <v>0</v>
      </c>
      <c r="O117" s="73">
        <f t="shared" si="25"/>
        <v>0</v>
      </c>
      <c r="P117" s="73">
        <f t="shared" si="26"/>
        <v>0</v>
      </c>
      <c r="Q117" s="73">
        <f t="shared" si="27"/>
        <v>0</v>
      </c>
      <c r="R117" s="73">
        <f t="shared" si="28"/>
        <v>0</v>
      </c>
      <c r="S117" s="73">
        <f t="shared" si="29"/>
        <v>0</v>
      </c>
      <c r="T117" s="73">
        <f t="shared" si="30"/>
        <v>0</v>
      </c>
      <c r="U117" s="73">
        <f t="shared" si="31"/>
        <v>0</v>
      </c>
      <c r="V117" s="73">
        <f t="shared" si="32"/>
        <v>0</v>
      </c>
      <c r="W117" s="73">
        <f t="shared" si="33"/>
        <v>0</v>
      </c>
      <c r="X117" s="74"/>
    </row>
    <row r="118" spans="1:24" ht="21.75" hidden="1">
      <c r="A118" s="69">
        <v>502</v>
      </c>
      <c r="B118" s="76">
        <v>5</v>
      </c>
      <c r="C118" s="77">
        <v>115</v>
      </c>
      <c r="D118" s="78" t="s">
        <v>529</v>
      </c>
      <c r="E118" s="79" t="s">
        <v>156</v>
      </c>
      <c r="F118" s="80">
        <v>37336809018</v>
      </c>
      <c r="G118" s="73">
        <f t="shared" si="17"/>
        <v>0</v>
      </c>
      <c r="H118" s="73">
        <f t="shared" si="18"/>
        <v>37336809018</v>
      </c>
      <c r="I118" s="73">
        <f t="shared" si="19"/>
        <v>0</v>
      </c>
      <c r="J118" s="73">
        <f t="shared" si="20"/>
        <v>0</v>
      </c>
      <c r="K118" s="73">
        <f t="shared" si="21"/>
        <v>0</v>
      </c>
      <c r="L118" s="73">
        <f t="shared" si="22"/>
        <v>0</v>
      </c>
      <c r="M118" s="73">
        <f t="shared" si="23"/>
        <v>0</v>
      </c>
      <c r="N118" s="73">
        <f t="shared" si="24"/>
        <v>0</v>
      </c>
      <c r="O118" s="73">
        <f t="shared" si="25"/>
        <v>0</v>
      </c>
      <c r="P118" s="73">
        <f t="shared" si="26"/>
        <v>0</v>
      </c>
      <c r="Q118" s="73">
        <f t="shared" si="27"/>
        <v>0</v>
      </c>
      <c r="R118" s="73">
        <f t="shared" si="28"/>
        <v>0</v>
      </c>
      <c r="S118" s="73">
        <f t="shared" si="29"/>
        <v>0</v>
      </c>
      <c r="T118" s="73">
        <f t="shared" si="30"/>
        <v>0</v>
      </c>
      <c r="U118" s="73">
        <f t="shared" si="31"/>
        <v>0</v>
      </c>
      <c r="V118" s="73">
        <f t="shared" si="32"/>
        <v>0</v>
      </c>
      <c r="W118" s="73">
        <f t="shared" si="33"/>
        <v>0</v>
      </c>
      <c r="X118" s="81"/>
    </row>
    <row r="119" spans="1:24" ht="21.75" hidden="1">
      <c r="A119" s="69">
        <v>502</v>
      </c>
      <c r="B119" s="76">
        <v>5</v>
      </c>
      <c r="C119" s="71">
        <v>116</v>
      </c>
      <c r="D119" s="46" t="s">
        <v>157</v>
      </c>
      <c r="E119" s="72" t="s">
        <v>558</v>
      </c>
      <c r="F119" s="73">
        <v>35853669678</v>
      </c>
      <c r="G119" s="73">
        <f t="shared" si="17"/>
        <v>0</v>
      </c>
      <c r="H119" s="73">
        <f t="shared" si="18"/>
        <v>35853669678</v>
      </c>
      <c r="I119" s="73">
        <f t="shared" si="19"/>
        <v>0</v>
      </c>
      <c r="J119" s="73">
        <f t="shared" si="20"/>
        <v>0</v>
      </c>
      <c r="K119" s="73">
        <f t="shared" si="21"/>
        <v>0</v>
      </c>
      <c r="L119" s="73">
        <f t="shared" si="22"/>
        <v>0</v>
      </c>
      <c r="M119" s="73">
        <f t="shared" si="23"/>
        <v>0</v>
      </c>
      <c r="N119" s="73">
        <f t="shared" si="24"/>
        <v>0</v>
      </c>
      <c r="O119" s="73">
        <f t="shared" si="25"/>
        <v>0</v>
      </c>
      <c r="P119" s="73">
        <f t="shared" si="26"/>
        <v>0</v>
      </c>
      <c r="Q119" s="73">
        <f t="shared" si="27"/>
        <v>0</v>
      </c>
      <c r="R119" s="73">
        <f t="shared" si="28"/>
        <v>0</v>
      </c>
      <c r="S119" s="73">
        <f t="shared" si="29"/>
        <v>0</v>
      </c>
      <c r="T119" s="73">
        <f t="shared" si="30"/>
        <v>0</v>
      </c>
      <c r="U119" s="73">
        <f t="shared" si="31"/>
        <v>0</v>
      </c>
      <c r="V119" s="73">
        <f t="shared" si="32"/>
        <v>0</v>
      </c>
      <c r="W119" s="73">
        <f t="shared" si="33"/>
        <v>0</v>
      </c>
      <c r="X119" s="74"/>
    </row>
    <row r="120" spans="1:24" ht="21.75" hidden="1">
      <c r="A120" s="69">
        <v>1204</v>
      </c>
      <c r="B120" s="76">
        <v>12</v>
      </c>
      <c r="C120" s="77">
        <v>117</v>
      </c>
      <c r="D120" s="78" t="s">
        <v>158</v>
      </c>
      <c r="E120" s="79" t="s">
        <v>159</v>
      </c>
      <c r="F120" s="80">
        <v>-5175113244</v>
      </c>
      <c r="G120" s="73">
        <f t="shared" si="17"/>
        <v>0</v>
      </c>
      <c r="H120" s="73">
        <f t="shared" si="18"/>
        <v>0</v>
      </c>
      <c r="I120" s="73">
        <f t="shared" si="19"/>
        <v>0</v>
      </c>
      <c r="J120" s="73">
        <f t="shared" si="20"/>
        <v>0</v>
      </c>
      <c r="K120" s="73">
        <f t="shared" si="21"/>
        <v>0</v>
      </c>
      <c r="L120" s="73">
        <f t="shared" si="22"/>
        <v>0</v>
      </c>
      <c r="M120" s="73">
        <f t="shared" si="23"/>
        <v>0</v>
      </c>
      <c r="N120" s="73">
        <f t="shared" si="24"/>
        <v>0</v>
      </c>
      <c r="O120" s="73">
        <f t="shared" si="25"/>
        <v>0</v>
      </c>
      <c r="P120" s="73">
        <f t="shared" si="26"/>
        <v>-5175113244</v>
      </c>
      <c r="Q120" s="73">
        <f t="shared" si="27"/>
        <v>0</v>
      </c>
      <c r="R120" s="73">
        <f t="shared" si="28"/>
        <v>0</v>
      </c>
      <c r="S120" s="73">
        <f t="shared" si="29"/>
        <v>0</v>
      </c>
      <c r="T120" s="73">
        <f t="shared" si="30"/>
        <v>0</v>
      </c>
      <c r="U120" s="73">
        <f t="shared" si="31"/>
        <v>0</v>
      </c>
      <c r="V120" s="73">
        <f t="shared" si="32"/>
        <v>0</v>
      </c>
      <c r="W120" s="73">
        <f t="shared" si="33"/>
        <v>0</v>
      </c>
      <c r="X120" s="81"/>
    </row>
    <row r="121" spans="1:24" ht="21.75" hidden="1">
      <c r="A121" s="69">
        <v>1204</v>
      </c>
      <c r="B121" s="70">
        <v>12</v>
      </c>
      <c r="C121" s="71">
        <v>118</v>
      </c>
      <c r="D121" s="46" t="s">
        <v>521</v>
      </c>
      <c r="E121" s="72" t="s">
        <v>207</v>
      </c>
      <c r="F121" s="73">
        <v>-10866646312</v>
      </c>
      <c r="G121" s="73">
        <f t="shared" si="17"/>
        <v>0</v>
      </c>
      <c r="H121" s="73">
        <f t="shared" si="18"/>
        <v>0</v>
      </c>
      <c r="I121" s="73">
        <f t="shared" si="19"/>
        <v>0</v>
      </c>
      <c r="J121" s="73">
        <f t="shared" si="20"/>
        <v>0</v>
      </c>
      <c r="K121" s="73">
        <f t="shared" si="21"/>
        <v>0</v>
      </c>
      <c r="L121" s="73">
        <f t="shared" si="22"/>
        <v>0</v>
      </c>
      <c r="M121" s="73">
        <f t="shared" si="23"/>
        <v>0</v>
      </c>
      <c r="N121" s="73">
        <f t="shared" si="24"/>
        <v>0</v>
      </c>
      <c r="O121" s="73">
        <f t="shared" si="25"/>
        <v>0</v>
      </c>
      <c r="P121" s="73">
        <f t="shared" si="26"/>
        <v>-10866646312</v>
      </c>
      <c r="Q121" s="73">
        <f t="shared" si="27"/>
        <v>0</v>
      </c>
      <c r="R121" s="73">
        <f t="shared" si="28"/>
        <v>0</v>
      </c>
      <c r="S121" s="73">
        <f t="shared" si="29"/>
        <v>0</v>
      </c>
      <c r="T121" s="73">
        <f t="shared" si="30"/>
        <v>0</v>
      </c>
      <c r="U121" s="73">
        <f t="shared" si="31"/>
        <v>0</v>
      </c>
      <c r="V121" s="73">
        <f t="shared" si="32"/>
        <v>0</v>
      </c>
      <c r="W121" s="73">
        <f t="shared" si="33"/>
        <v>0</v>
      </c>
      <c r="X121" s="74"/>
    </row>
    <row r="122" spans="1:24" ht="21.75" hidden="1">
      <c r="A122" s="69">
        <v>502</v>
      </c>
      <c r="B122" s="76">
        <v>5</v>
      </c>
      <c r="C122" s="77">
        <v>119</v>
      </c>
      <c r="D122" s="78" t="s">
        <v>208</v>
      </c>
      <c r="E122" s="79" t="s">
        <v>209</v>
      </c>
      <c r="F122" s="80">
        <v>23390120700</v>
      </c>
      <c r="G122" s="73">
        <f t="shared" si="17"/>
        <v>0</v>
      </c>
      <c r="H122" s="73">
        <f t="shared" si="18"/>
        <v>23390120700</v>
      </c>
      <c r="I122" s="73">
        <f t="shared" si="19"/>
        <v>0</v>
      </c>
      <c r="J122" s="73">
        <f t="shared" si="20"/>
        <v>0</v>
      </c>
      <c r="K122" s="73">
        <f t="shared" si="21"/>
        <v>0</v>
      </c>
      <c r="L122" s="73">
        <f t="shared" si="22"/>
        <v>0</v>
      </c>
      <c r="M122" s="73">
        <f t="shared" si="23"/>
        <v>0</v>
      </c>
      <c r="N122" s="73">
        <f t="shared" si="24"/>
        <v>0</v>
      </c>
      <c r="O122" s="73">
        <f t="shared" si="25"/>
        <v>0</v>
      </c>
      <c r="P122" s="73">
        <f t="shared" si="26"/>
        <v>0</v>
      </c>
      <c r="Q122" s="73">
        <f t="shared" si="27"/>
        <v>0</v>
      </c>
      <c r="R122" s="73">
        <f t="shared" si="28"/>
        <v>0</v>
      </c>
      <c r="S122" s="73">
        <f t="shared" si="29"/>
        <v>0</v>
      </c>
      <c r="T122" s="73">
        <f t="shared" si="30"/>
        <v>0</v>
      </c>
      <c r="U122" s="73">
        <f t="shared" si="31"/>
        <v>0</v>
      </c>
      <c r="V122" s="73">
        <f t="shared" si="32"/>
        <v>0</v>
      </c>
      <c r="W122" s="73">
        <f t="shared" si="33"/>
        <v>0</v>
      </c>
      <c r="X122" s="81"/>
    </row>
    <row r="123" spans="1:24" ht="21.75" hidden="1">
      <c r="A123" s="69">
        <v>1204</v>
      </c>
      <c r="B123" s="70">
        <v>12</v>
      </c>
      <c r="C123" s="71">
        <v>120</v>
      </c>
      <c r="D123" s="46" t="s">
        <v>343</v>
      </c>
      <c r="E123" s="72" t="s">
        <v>344</v>
      </c>
      <c r="F123" s="73">
        <v>-5453834554</v>
      </c>
      <c r="G123" s="73">
        <f t="shared" si="17"/>
        <v>0</v>
      </c>
      <c r="H123" s="73">
        <f t="shared" si="18"/>
        <v>0</v>
      </c>
      <c r="I123" s="73">
        <f t="shared" si="19"/>
        <v>0</v>
      </c>
      <c r="J123" s="73">
        <f t="shared" si="20"/>
        <v>0</v>
      </c>
      <c r="K123" s="73">
        <f t="shared" si="21"/>
        <v>0</v>
      </c>
      <c r="L123" s="73">
        <f t="shared" si="22"/>
        <v>0</v>
      </c>
      <c r="M123" s="73">
        <f t="shared" si="23"/>
        <v>0</v>
      </c>
      <c r="N123" s="73">
        <f t="shared" si="24"/>
        <v>0</v>
      </c>
      <c r="O123" s="73">
        <f t="shared" si="25"/>
        <v>0</v>
      </c>
      <c r="P123" s="73">
        <f t="shared" si="26"/>
        <v>-5453834554</v>
      </c>
      <c r="Q123" s="73">
        <f t="shared" si="27"/>
        <v>0</v>
      </c>
      <c r="R123" s="73">
        <f t="shared" si="28"/>
        <v>0</v>
      </c>
      <c r="S123" s="73">
        <f t="shared" si="29"/>
        <v>0</v>
      </c>
      <c r="T123" s="73">
        <f t="shared" si="30"/>
        <v>0</v>
      </c>
      <c r="U123" s="73">
        <f t="shared" si="31"/>
        <v>0</v>
      </c>
      <c r="V123" s="73">
        <f t="shared" si="32"/>
        <v>0</v>
      </c>
      <c r="W123" s="73">
        <f t="shared" si="33"/>
        <v>0</v>
      </c>
      <c r="X123" s="74"/>
    </row>
    <row r="124" spans="1:24" ht="21.75" hidden="1">
      <c r="A124" s="69">
        <v>502</v>
      </c>
      <c r="B124" s="76">
        <v>5</v>
      </c>
      <c r="C124" s="77">
        <v>121</v>
      </c>
      <c r="D124" s="78" t="s">
        <v>266</v>
      </c>
      <c r="E124" s="79" t="s">
        <v>267</v>
      </c>
      <c r="F124" s="80">
        <v>1165350</v>
      </c>
      <c r="G124" s="73">
        <f t="shared" si="17"/>
        <v>0</v>
      </c>
      <c r="H124" s="73">
        <f t="shared" si="18"/>
        <v>1165350</v>
      </c>
      <c r="I124" s="73">
        <f t="shared" si="19"/>
        <v>0</v>
      </c>
      <c r="J124" s="73">
        <f t="shared" si="20"/>
        <v>0</v>
      </c>
      <c r="K124" s="73">
        <f t="shared" si="21"/>
        <v>0</v>
      </c>
      <c r="L124" s="73">
        <f t="shared" si="22"/>
        <v>0</v>
      </c>
      <c r="M124" s="73">
        <f t="shared" si="23"/>
        <v>0</v>
      </c>
      <c r="N124" s="73">
        <f t="shared" si="24"/>
        <v>0</v>
      </c>
      <c r="O124" s="73">
        <f t="shared" si="25"/>
        <v>0</v>
      </c>
      <c r="P124" s="73">
        <f t="shared" si="26"/>
        <v>0</v>
      </c>
      <c r="Q124" s="73">
        <f t="shared" si="27"/>
        <v>0</v>
      </c>
      <c r="R124" s="73">
        <f t="shared" si="28"/>
        <v>0</v>
      </c>
      <c r="S124" s="73">
        <f t="shared" si="29"/>
        <v>0</v>
      </c>
      <c r="T124" s="73">
        <f t="shared" si="30"/>
        <v>0</v>
      </c>
      <c r="U124" s="73">
        <f t="shared" si="31"/>
        <v>0</v>
      </c>
      <c r="V124" s="73">
        <f t="shared" si="32"/>
        <v>0</v>
      </c>
      <c r="W124" s="73">
        <f t="shared" si="33"/>
        <v>0</v>
      </c>
      <c r="X124" s="81"/>
    </row>
    <row r="125" spans="1:24" ht="21.75" hidden="1">
      <c r="A125" s="69">
        <v>1204</v>
      </c>
      <c r="B125" s="70">
        <v>12</v>
      </c>
      <c r="C125" s="71">
        <v>122</v>
      </c>
      <c r="D125" s="46" t="s">
        <v>393</v>
      </c>
      <c r="E125" s="72" t="s">
        <v>394</v>
      </c>
      <c r="F125" s="73">
        <v>-123595184</v>
      </c>
      <c r="G125" s="73">
        <f t="shared" si="17"/>
        <v>0</v>
      </c>
      <c r="H125" s="73">
        <f t="shared" si="18"/>
        <v>0</v>
      </c>
      <c r="I125" s="73">
        <f t="shared" si="19"/>
        <v>0</v>
      </c>
      <c r="J125" s="73">
        <f t="shared" si="20"/>
        <v>0</v>
      </c>
      <c r="K125" s="73">
        <f t="shared" si="21"/>
        <v>0</v>
      </c>
      <c r="L125" s="73">
        <f t="shared" si="22"/>
        <v>0</v>
      </c>
      <c r="M125" s="73">
        <f t="shared" si="23"/>
        <v>0</v>
      </c>
      <c r="N125" s="73">
        <f t="shared" si="24"/>
        <v>0</v>
      </c>
      <c r="O125" s="73">
        <f t="shared" si="25"/>
        <v>0</v>
      </c>
      <c r="P125" s="73">
        <f t="shared" si="26"/>
        <v>-123595184</v>
      </c>
      <c r="Q125" s="73">
        <f t="shared" si="27"/>
        <v>0</v>
      </c>
      <c r="R125" s="73">
        <f t="shared" si="28"/>
        <v>0</v>
      </c>
      <c r="S125" s="73">
        <f t="shared" si="29"/>
        <v>0</v>
      </c>
      <c r="T125" s="73">
        <f t="shared" si="30"/>
        <v>0</v>
      </c>
      <c r="U125" s="73">
        <f t="shared" si="31"/>
        <v>0</v>
      </c>
      <c r="V125" s="73">
        <f t="shared" si="32"/>
        <v>0</v>
      </c>
      <c r="W125" s="73">
        <f t="shared" si="33"/>
        <v>0</v>
      </c>
      <c r="X125" s="74"/>
    </row>
    <row r="126" spans="1:24" ht="21.75" hidden="1">
      <c r="A126" s="69">
        <v>502</v>
      </c>
      <c r="B126" s="76">
        <v>5</v>
      </c>
      <c r="C126" s="77">
        <v>122</v>
      </c>
      <c r="D126" s="78" t="s">
        <v>345</v>
      </c>
      <c r="E126" s="79" t="s">
        <v>346</v>
      </c>
      <c r="F126" s="80">
        <v>12499383</v>
      </c>
      <c r="G126" s="73">
        <f t="shared" si="17"/>
        <v>0</v>
      </c>
      <c r="H126" s="73">
        <f t="shared" si="18"/>
        <v>12499383</v>
      </c>
      <c r="I126" s="73">
        <f t="shared" si="19"/>
        <v>0</v>
      </c>
      <c r="J126" s="73">
        <f t="shared" si="20"/>
        <v>0</v>
      </c>
      <c r="K126" s="73">
        <f t="shared" si="21"/>
        <v>0</v>
      </c>
      <c r="L126" s="73">
        <f t="shared" si="22"/>
        <v>0</v>
      </c>
      <c r="M126" s="73">
        <f t="shared" si="23"/>
        <v>0</v>
      </c>
      <c r="N126" s="73">
        <f t="shared" si="24"/>
        <v>0</v>
      </c>
      <c r="O126" s="73">
        <f t="shared" si="25"/>
        <v>0</v>
      </c>
      <c r="P126" s="73">
        <f t="shared" si="26"/>
        <v>0</v>
      </c>
      <c r="Q126" s="73">
        <f t="shared" si="27"/>
        <v>0</v>
      </c>
      <c r="R126" s="73">
        <f t="shared" si="28"/>
        <v>0</v>
      </c>
      <c r="S126" s="73">
        <f t="shared" si="29"/>
        <v>0</v>
      </c>
      <c r="T126" s="73">
        <f t="shared" si="30"/>
        <v>0</v>
      </c>
      <c r="U126" s="73">
        <f t="shared" si="31"/>
        <v>0</v>
      </c>
      <c r="V126" s="73">
        <f t="shared" si="32"/>
        <v>0</v>
      </c>
      <c r="W126" s="73">
        <f t="shared" si="33"/>
        <v>0</v>
      </c>
      <c r="X126" s="81"/>
    </row>
    <row r="127" spans="1:24" ht="21.75" hidden="1">
      <c r="A127" s="69">
        <v>1204</v>
      </c>
      <c r="B127" s="70">
        <v>12</v>
      </c>
      <c r="C127" s="71">
        <v>123</v>
      </c>
      <c r="D127" s="46" t="s">
        <v>269</v>
      </c>
      <c r="E127" s="72" t="s">
        <v>268</v>
      </c>
      <c r="F127" s="73">
        <v>-145273768</v>
      </c>
      <c r="G127" s="73">
        <f t="shared" si="17"/>
        <v>0</v>
      </c>
      <c r="H127" s="73">
        <f t="shared" si="18"/>
        <v>0</v>
      </c>
      <c r="I127" s="73">
        <f t="shared" si="19"/>
        <v>0</v>
      </c>
      <c r="J127" s="73">
        <f t="shared" si="20"/>
        <v>0</v>
      </c>
      <c r="K127" s="73">
        <f t="shared" si="21"/>
        <v>0</v>
      </c>
      <c r="L127" s="73">
        <f t="shared" si="22"/>
        <v>0</v>
      </c>
      <c r="M127" s="73">
        <f t="shared" si="23"/>
        <v>0</v>
      </c>
      <c r="N127" s="73">
        <f t="shared" si="24"/>
        <v>0</v>
      </c>
      <c r="O127" s="73">
        <f t="shared" si="25"/>
        <v>0</v>
      </c>
      <c r="P127" s="73">
        <f t="shared" si="26"/>
        <v>-145273768</v>
      </c>
      <c r="Q127" s="73">
        <f t="shared" si="27"/>
        <v>0</v>
      </c>
      <c r="R127" s="73">
        <f t="shared" si="28"/>
        <v>0</v>
      </c>
      <c r="S127" s="73">
        <f t="shared" si="29"/>
        <v>0</v>
      </c>
      <c r="T127" s="73">
        <f t="shared" si="30"/>
        <v>0</v>
      </c>
      <c r="U127" s="73">
        <f t="shared" si="31"/>
        <v>0</v>
      </c>
      <c r="V127" s="73">
        <f t="shared" si="32"/>
        <v>0</v>
      </c>
      <c r="W127" s="73">
        <f t="shared" si="33"/>
        <v>0</v>
      </c>
      <c r="X127" s="74"/>
    </row>
    <row r="128" spans="1:24" ht="21.75" hidden="1">
      <c r="A128" s="69">
        <v>1204</v>
      </c>
      <c r="B128" s="76">
        <v>12</v>
      </c>
      <c r="C128" s="77">
        <v>124</v>
      </c>
      <c r="D128" s="78" t="s">
        <v>535</v>
      </c>
      <c r="E128" s="79" t="s">
        <v>64</v>
      </c>
      <c r="F128" s="80">
        <v>-50511300</v>
      </c>
      <c r="G128" s="73">
        <f t="shared" si="17"/>
        <v>0</v>
      </c>
      <c r="H128" s="73">
        <f t="shared" si="18"/>
        <v>0</v>
      </c>
      <c r="I128" s="73">
        <f t="shared" si="19"/>
        <v>0</v>
      </c>
      <c r="J128" s="73">
        <f t="shared" si="20"/>
        <v>0</v>
      </c>
      <c r="K128" s="73">
        <f t="shared" si="21"/>
        <v>0</v>
      </c>
      <c r="L128" s="73">
        <f t="shared" si="22"/>
        <v>0</v>
      </c>
      <c r="M128" s="73">
        <f t="shared" si="23"/>
        <v>0</v>
      </c>
      <c r="N128" s="73">
        <f t="shared" si="24"/>
        <v>0</v>
      </c>
      <c r="O128" s="73">
        <f t="shared" si="25"/>
        <v>0</v>
      </c>
      <c r="P128" s="73">
        <f t="shared" si="26"/>
        <v>-50511300</v>
      </c>
      <c r="Q128" s="73">
        <f t="shared" si="27"/>
        <v>0</v>
      </c>
      <c r="R128" s="73">
        <f t="shared" si="28"/>
        <v>0</v>
      </c>
      <c r="S128" s="73">
        <f t="shared" si="29"/>
        <v>0</v>
      </c>
      <c r="T128" s="73">
        <f t="shared" si="30"/>
        <v>0</v>
      </c>
      <c r="U128" s="73">
        <f t="shared" si="31"/>
        <v>0</v>
      </c>
      <c r="V128" s="73">
        <f t="shared" si="32"/>
        <v>0</v>
      </c>
      <c r="W128" s="73">
        <f t="shared" si="33"/>
        <v>0</v>
      </c>
      <c r="X128" s="81"/>
    </row>
    <row r="129" spans="1:24" ht="21.75" hidden="1">
      <c r="A129" s="69">
        <v>502</v>
      </c>
      <c r="B129" s="76">
        <v>5</v>
      </c>
      <c r="C129" s="71">
        <v>125</v>
      </c>
      <c r="D129" s="46" t="s">
        <v>270</v>
      </c>
      <c r="E129" s="72" t="s">
        <v>271</v>
      </c>
      <c r="F129" s="73">
        <v>1661000</v>
      </c>
      <c r="G129" s="73">
        <f t="shared" si="17"/>
        <v>0</v>
      </c>
      <c r="H129" s="73">
        <f t="shared" si="18"/>
        <v>1661000</v>
      </c>
      <c r="I129" s="73">
        <f t="shared" si="19"/>
        <v>0</v>
      </c>
      <c r="J129" s="73">
        <f t="shared" si="20"/>
        <v>0</v>
      </c>
      <c r="K129" s="73">
        <f t="shared" si="21"/>
        <v>0</v>
      </c>
      <c r="L129" s="73">
        <f t="shared" si="22"/>
        <v>0</v>
      </c>
      <c r="M129" s="73">
        <f t="shared" si="23"/>
        <v>0</v>
      </c>
      <c r="N129" s="73">
        <f t="shared" si="24"/>
        <v>0</v>
      </c>
      <c r="O129" s="73">
        <f t="shared" si="25"/>
        <v>0</v>
      </c>
      <c r="P129" s="73">
        <f t="shared" si="26"/>
        <v>0</v>
      </c>
      <c r="Q129" s="73">
        <f t="shared" si="27"/>
        <v>0</v>
      </c>
      <c r="R129" s="73">
        <f t="shared" si="28"/>
        <v>0</v>
      </c>
      <c r="S129" s="73">
        <f t="shared" si="29"/>
        <v>0</v>
      </c>
      <c r="T129" s="73">
        <f t="shared" si="30"/>
        <v>0</v>
      </c>
      <c r="U129" s="73">
        <f t="shared" si="31"/>
        <v>0</v>
      </c>
      <c r="V129" s="73">
        <f t="shared" si="32"/>
        <v>0</v>
      </c>
      <c r="W129" s="73">
        <f t="shared" si="33"/>
        <v>0</v>
      </c>
      <c r="X129" s="74"/>
    </row>
    <row r="130" spans="1:24" ht="21.75" hidden="1">
      <c r="A130" s="69">
        <v>1204</v>
      </c>
      <c r="B130" s="76">
        <v>12</v>
      </c>
      <c r="C130" s="77">
        <v>126</v>
      </c>
      <c r="D130" s="78" t="s">
        <v>349</v>
      </c>
      <c r="E130" s="79" t="s">
        <v>285</v>
      </c>
      <c r="F130" s="80">
        <v>-3363360720</v>
      </c>
      <c r="G130" s="73">
        <f t="shared" si="17"/>
        <v>0</v>
      </c>
      <c r="H130" s="73">
        <f t="shared" si="18"/>
        <v>0</v>
      </c>
      <c r="I130" s="73">
        <f t="shared" si="19"/>
        <v>0</v>
      </c>
      <c r="J130" s="73">
        <f t="shared" si="20"/>
        <v>0</v>
      </c>
      <c r="K130" s="73">
        <f t="shared" si="21"/>
        <v>0</v>
      </c>
      <c r="L130" s="73">
        <f t="shared" si="22"/>
        <v>0</v>
      </c>
      <c r="M130" s="73">
        <f t="shared" si="23"/>
        <v>0</v>
      </c>
      <c r="N130" s="73">
        <f t="shared" si="24"/>
        <v>0</v>
      </c>
      <c r="O130" s="73">
        <f t="shared" si="25"/>
        <v>0</v>
      </c>
      <c r="P130" s="73">
        <f t="shared" si="26"/>
        <v>-3363360720</v>
      </c>
      <c r="Q130" s="73">
        <f t="shared" si="27"/>
        <v>0</v>
      </c>
      <c r="R130" s="73">
        <f t="shared" si="28"/>
        <v>0</v>
      </c>
      <c r="S130" s="73">
        <f t="shared" si="29"/>
        <v>0</v>
      </c>
      <c r="T130" s="73">
        <f t="shared" si="30"/>
        <v>0</v>
      </c>
      <c r="U130" s="73">
        <f t="shared" si="31"/>
        <v>0</v>
      </c>
      <c r="V130" s="73">
        <f t="shared" si="32"/>
        <v>0</v>
      </c>
      <c r="W130" s="73">
        <f t="shared" si="33"/>
        <v>0</v>
      </c>
      <c r="X130" s="81"/>
    </row>
    <row r="131" spans="1:24" ht="21.75" hidden="1">
      <c r="A131" s="69">
        <v>1204</v>
      </c>
      <c r="B131" s="70">
        <v>12</v>
      </c>
      <c r="C131" s="71">
        <v>127</v>
      </c>
      <c r="D131" s="46" t="s">
        <v>272</v>
      </c>
      <c r="E131" s="72" t="s">
        <v>273</v>
      </c>
      <c r="F131" s="73">
        <v>-169516</v>
      </c>
      <c r="G131" s="73">
        <f t="shared" si="17"/>
        <v>0</v>
      </c>
      <c r="H131" s="73">
        <f t="shared" si="18"/>
        <v>0</v>
      </c>
      <c r="I131" s="73">
        <f t="shared" si="19"/>
        <v>0</v>
      </c>
      <c r="J131" s="73">
        <f t="shared" si="20"/>
        <v>0</v>
      </c>
      <c r="K131" s="73">
        <f t="shared" si="21"/>
        <v>0</v>
      </c>
      <c r="L131" s="73">
        <f t="shared" si="22"/>
        <v>0</v>
      </c>
      <c r="M131" s="73">
        <f t="shared" si="23"/>
        <v>0</v>
      </c>
      <c r="N131" s="73">
        <f t="shared" si="24"/>
        <v>0</v>
      </c>
      <c r="O131" s="73">
        <f t="shared" si="25"/>
        <v>0</v>
      </c>
      <c r="P131" s="73">
        <f t="shared" si="26"/>
        <v>-169516</v>
      </c>
      <c r="Q131" s="73">
        <f t="shared" si="27"/>
        <v>0</v>
      </c>
      <c r="R131" s="73">
        <f t="shared" si="28"/>
        <v>0</v>
      </c>
      <c r="S131" s="73">
        <f t="shared" si="29"/>
        <v>0</v>
      </c>
      <c r="T131" s="73">
        <f t="shared" si="30"/>
        <v>0</v>
      </c>
      <c r="U131" s="73">
        <f t="shared" si="31"/>
        <v>0</v>
      </c>
      <c r="V131" s="73">
        <f t="shared" si="32"/>
        <v>0</v>
      </c>
      <c r="W131" s="73">
        <f t="shared" si="33"/>
        <v>0</v>
      </c>
      <c r="X131" s="74"/>
    </row>
    <row r="132" spans="1:24" ht="21.75" hidden="1">
      <c r="A132" s="69">
        <v>502</v>
      </c>
      <c r="B132" s="76">
        <v>5</v>
      </c>
      <c r="C132" s="77">
        <v>128</v>
      </c>
      <c r="D132" s="78" t="s">
        <v>237</v>
      </c>
      <c r="E132" s="79" t="s">
        <v>238</v>
      </c>
      <c r="F132" s="80">
        <v>18010184</v>
      </c>
      <c r="G132" s="73">
        <f t="shared" si="17"/>
        <v>0</v>
      </c>
      <c r="H132" s="73">
        <f t="shared" si="18"/>
        <v>18010184</v>
      </c>
      <c r="I132" s="73">
        <f t="shared" si="19"/>
        <v>0</v>
      </c>
      <c r="J132" s="73">
        <f t="shared" si="20"/>
        <v>0</v>
      </c>
      <c r="K132" s="73">
        <f t="shared" si="21"/>
        <v>0</v>
      </c>
      <c r="L132" s="73">
        <f t="shared" si="22"/>
        <v>0</v>
      </c>
      <c r="M132" s="73">
        <f t="shared" si="23"/>
        <v>0</v>
      </c>
      <c r="N132" s="73">
        <f t="shared" si="24"/>
        <v>0</v>
      </c>
      <c r="O132" s="73">
        <f t="shared" si="25"/>
        <v>0</v>
      </c>
      <c r="P132" s="73">
        <f t="shared" si="26"/>
        <v>0</v>
      </c>
      <c r="Q132" s="73">
        <f t="shared" si="27"/>
        <v>0</v>
      </c>
      <c r="R132" s="73">
        <f t="shared" si="28"/>
        <v>0</v>
      </c>
      <c r="S132" s="73">
        <f t="shared" si="29"/>
        <v>0</v>
      </c>
      <c r="T132" s="73">
        <f t="shared" si="30"/>
        <v>0</v>
      </c>
      <c r="U132" s="73">
        <f t="shared" si="31"/>
        <v>0</v>
      </c>
      <c r="V132" s="73">
        <f t="shared" si="32"/>
        <v>0</v>
      </c>
      <c r="W132" s="73">
        <f t="shared" si="33"/>
        <v>0</v>
      </c>
      <c r="X132" s="81"/>
    </row>
    <row r="133" spans="1:24" ht="21.75" hidden="1">
      <c r="A133" s="69">
        <v>1204</v>
      </c>
      <c r="B133" s="70">
        <v>12</v>
      </c>
      <c r="C133" s="71">
        <v>129</v>
      </c>
      <c r="D133" s="46" t="s">
        <v>210</v>
      </c>
      <c r="E133" s="72" t="s">
        <v>211</v>
      </c>
      <c r="F133" s="73">
        <v>-75854536</v>
      </c>
      <c r="G133" s="73">
        <f t="shared" ref="G133:G196" si="34">IF($B133=$G$3,$F133,0)</f>
        <v>0</v>
      </c>
      <c r="H133" s="73">
        <f t="shared" ref="H133:H196" si="35">IF($B133=$H$3,$F133,0)</f>
        <v>0</v>
      </c>
      <c r="I133" s="73">
        <f t="shared" ref="I133:I196" si="36">IF($B133=$I$3,$F133,0)</f>
        <v>0</v>
      </c>
      <c r="J133" s="73">
        <f t="shared" ref="J133:J196" si="37">IF($B133=$J$3,$F133,0)</f>
        <v>0</v>
      </c>
      <c r="K133" s="73">
        <f t="shared" ref="K133:K196" si="38">IF($B133=$K$3,$F133,0)</f>
        <v>0</v>
      </c>
      <c r="L133" s="73">
        <f t="shared" ref="L133:L196" si="39">IF($B133=$L$3,$F133,0)</f>
        <v>0</v>
      </c>
      <c r="M133" s="73">
        <f t="shared" ref="M133:M196" si="40">IF($B133=$M$3,$F133,0)</f>
        <v>0</v>
      </c>
      <c r="N133" s="73">
        <f t="shared" ref="N133:N196" si="41">IF($B133=$N$3,$F133,0)</f>
        <v>0</v>
      </c>
      <c r="O133" s="73">
        <f t="shared" ref="O133:O196" si="42">IF($B133=$O$3,$F133,0)</f>
        <v>0</v>
      </c>
      <c r="P133" s="73">
        <f t="shared" ref="P133:P196" si="43">IF($B133=$P$3,$F133,0)</f>
        <v>-75854536</v>
      </c>
      <c r="Q133" s="73">
        <f t="shared" ref="Q133:Q196" si="44">IF($B133=$Q$3,$F133,0)</f>
        <v>0</v>
      </c>
      <c r="R133" s="73">
        <f t="shared" ref="R133:R196" si="45">IF($B133=$R$3,$F133,0)</f>
        <v>0</v>
      </c>
      <c r="S133" s="73">
        <f t="shared" ref="S133:S196" si="46">IF($B133=$S$3,$F133,0)</f>
        <v>0</v>
      </c>
      <c r="T133" s="73">
        <f t="shared" ref="T133:T196" si="47">IF($B133=$T$3,$F133,0)</f>
        <v>0</v>
      </c>
      <c r="U133" s="73">
        <f t="shared" ref="U133:U196" si="48">IF($B133=$U$3,$F133,0)</f>
        <v>0</v>
      </c>
      <c r="V133" s="73">
        <f t="shared" ref="V133:V196" si="49">IF($B133=$V$3,$F133,0)</f>
        <v>0</v>
      </c>
      <c r="W133" s="73">
        <f t="shared" ref="W133:W196" si="50">IF($B133=$W$3,$F133,0)</f>
        <v>0</v>
      </c>
      <c r="X133" s="74"/>
    </row>
    <row r="134" spans="1:24" ht="21.75" hidden="1">
      <c r="A134" s="69">
        <v>1204</v>
      </c>
      <c r="B134" s="76">
        <v>12</v>
      </c>
      <c r="C134" s="77">
        <v>130</v>
      </c>
      <c r="D134" s="78" t="s">
        <v>274</v>
      </c>
      <c r="E134" s="79" t="s">
        <v>276</v>
      </c>
      <c r="F134" s="80">
        <v>-58282162</v>
      </c>
      <c r="G134" s="73">
        <f t="shared" si="34"/>
        <v>0</v>
      </c>
      <c r="H134" s="73">
        <f t="shared" si="35"/>
        <v>0</v>
      </c>
      <c r="I134" s="73">
        <f t="shared" si="36"/>
        <v>0</v>
      </c>
      <c r="J134" s="73">
        <f t="shared" si="37"/>
        <v>0</v>
      </c>
      <c r="K134" s="73">
        <f t="shared" si="38"/>
        <v>0</v>
      </c>
      <c r="L134" s="73">
        <f t="shared" si="39"/>
        <v>0</v>
      </c>
      <c r="M134" s="73">
        <f t="shared" si="40"/>
        <v>0</v>
      </c>
      <c r="N134" s="73">
        <f t="shared" si="41"/>
        <v>0</v>
      </c>
      <c r="O134" s="73">
        <f t="shared" si="42"/>
        <v>0</v>
      </c>
      <c r="P134" s="73">
        <f t="shared" si="43"/>
        <v>-58282162</v>
      </c>
      <c r="Q134" s="73">
        <f t="shared" si="44"/>
        <v>0</v>
      </c>
      <c r="R134" s="73">
        <f t="shared" si="45"/>
        <v>0</v>
      </c>
      <c r="S134" s="73">
        <f t="shared" si="46"/>
        <v>0</v>
      </c>
      <c r="T134" s="73">
        <f t="shared" si="47"/>
        <v>0</v>
      </c>
      <c r="U134" s="73">
        <f t="shared" si="48"/>
        <v>0</v>
      </c>
      <c r="V134" s="73">
        <f t="shared" si="49"/>
        <v>0</v>
      </c>
      <c r="W134" s="73">
        <f t="shared" si="50"/>
        <v>0</v>
      </c>
      <c r="X134" s="81"/>
    </row>
    <row r="135" spans="1:24" ht="21.75" hidden="1">
      <c r="A135" s="69">
        <v>502</v>
      </c>
      <c r="B135" s="76">
        <v>5</v>
      </c>
      <c r="C135" s="71">
        <v>131</v>
      </c>
      <c r="D135" s="46" t="s">
        <v>65</v>
      </c>
      <c r="E135" s="72" t="s">
        <v>66</v>
      </c>
      <c r="F135" s="73">
        <v>12733049</v>
      </c>
      <c r="G135" s="73">
        <f t="shared" si="34"/>
        <v>0</v>
      </c>
      <c r="H135" s="73">
        <f t="shared" si="35"/>
        <v>12733049</v>
      </c>
      <c r="I135" s="73">
        <f t="shared" si="36"/>
        <v>0</v>
      </c>
      <c r="J135" s="73">
        <f t="shared" si="37"/>
        <v>0</v>
      </c>
      <c r="K135" s="73">
        <f t="shared" si="38"/>
        <v>0</v>
      </c>
      <c r="L135" s="73">
        <f t="shared" si="39"/>
        <v>0</v>
      </c>
      <c r="M135" s="73">
        <f t="shared" si="40"/>
        <v>0</v>
      </c>
      <c r="N135" s="73">
        <f t="shared" si="41"/>
        <v>0</v>
      </c>
      <c r="O135" s="73">
        <f t="shared" si="42"/>
        <v>0</v>
      </c>
      <c r="P135" s="73">
        <f t="shared" si="43"/>
        <v>0</v>
      </c>
      <c r="Q135" s="73">
        <f t="shared" si="44"/>
        <v>0</v>
      </c>
      <c r="R135" s="73">
        <f t="shared" si="45"/>
        <v>0</v>
      </c>
      <c r="S135" s="73">
        <f t="shared" si="46"/>
        <v>0</v>
      </c>
      <c r="T135" s="73">
        <f t="shared" si="47"/>
        <v>0</v>
      </c>
      <c r="U135" s="73">
        <f t="shared" si="48"/>
        <v>0</v>
      </c>
      <c r="V135" s="73">
        <f t="shared" si="49"/>
        <v>0</v>
      </c>
      <c r="W135" s="73">
        <f t="shared" si="50"/>
        <v>0</v>
      </c>
      <c r="X135" s="74"/>
    </row>
    <row r="136" spans="1:24" ht="21.75" hidden="1">
      <c r="A136" s="69">
        <v>502</v>
      </c>
      <c r="B136" s="76">
        <v>5</v>
      </c>
      <c r="C136" s="77">
        <v>132</v>
      </c>
      <c r="D136" s="78" t="s">
        <v>275</v>
      </c>
      <c r="E136" s="79" t="s">
        <v>67</v>
      </c>
      <c r="F136" s="80">
        <v>175195315</v>
      </c>
      <c r="G136" s="73">
        <f t="shared" si="34"/>
        <v>0</v>
      </c>
      <c r="H136" s="73">
        <f t="shared" si="35"/>
        <v>175195315</v>
      </c>
      <c r="I136" s="73">
        <f t="shared" si="36"/>
        <v>0</v>
      </c>
      <c r="J136" s="73">
        <f t="shared" si="37"/>
        <v>0</v>
      </c>
      <c r="K136" s="73">
        <f t="shared" si="38"/>
        <v>0</v>
      </c>
      <c r="L136" s="73">
        <f t="shared" si="39"/>
        <v>0</v>
      </c>
      <c r="M136" s="73">
        <f t="shared" si="40"/>
        <v>0</v>
      </c>
      <c r="N136" s="73">
        <f t="shared" si="41"/>
        <v>0</v>
      </c>
      <c r="O136" s="73">
        <f t="shared" si="42"/>
        <v>0</v>
      </c>
      <c r="P136" s="73">
        <f t="shared" si="43"/>
        <v>0</v>
      </c>
      <c r="Q136" s="73">
        <f t="shared" si="44"/>
        <v>0</v>
      </c>
      <c r="R136" s="73">
        <f t="shared" si="45"/>
        <v>0</v>
      </c>
      <c r="S136" s="73">
        <f t="shared" si="46"/>
        <v>0</v>
      </c>
      <c r="T136" s="73">
        <f t="shared" si="47"/>
        <v>0</v>
      </c>
      <c r="U136" s="73">
        <f t="shared" si="48"/>
        <v>0</v>
      </c>
      <c r="V136" s="73">
        <f t="shared" si="49"/>
        <v>0</v>
      </c>
      <c r="W136" s="73">
        <f t="shared" si="50"/>
        <v>0</v>
      </c>
      <c r="X136" s="81"/>
    </row>
    <row r="137" spans="1:24" ht="21.75" hidden="1">
      <c r="A137" s="69">
        <v>1204</v>
      </c>
      <c r="B137" s="70">
        <v>12</v>
      </c>
      <c r="C137" s="71">
        <v>133</v>
      </c>
      <c r="D137" s="46" t="s">
        <v>239</v>
      </c>
      <c r="E137" s="72" t="s">
        <v>240</v>
      </c>
      <c r="F137" s="73">
        <v>-1268247</v>
      </c>
      <c r="G137" s="73">
        <f t="shared" si="34"/>
        <v>0</v>
      </c>
      <c r="H137" s="73">
        <f t="shared" si="35"/>
        <v>0</v>
      </c>
      <c r="I137" s="73">
        <f t="shared" si="36"/>
        <v>0</v>
      </c>
      <c r="J137" s="73">
        <f t="shared" si="37"/>
        <v>0</v>
      </c>
      <c r="K137" s="73">
        <f t="shared" si="38"/>
        <v>0</v>
      </c>
      <c r="L137" s="73">
        <f t="shared" si="39"/>
        <v>0</v>
      </c>
      <c r="M137" s="73">
        <f t="shared" si="40"/>
        <v>0</v>
      </c>
      <c r="N137" s="73">
        <f t="shared" si="41"/>
        <v>0</v>
      </c>
      <c r="O137" s="73">
        <f t="shared" si="42"/>
        <v>0</v>
      </c>
      <c r="P137" s="73">
        <f t="shared" si="43"/>
        <v>-1268247</v>
      </c>
      <c r="Q137" s="73">
        <f t="shared" si="44"/>
        <v>0</v>
      </c>
      <c r="R137" s="73">
        <f t="shared" si="45"/>
        <v>0</v>
      </c>
      <c r="S137" s="73">
        <f t="shared" si="46"/>
        <v>0</v>
      </c>
      <c r="T137" s="73">
        <f t="shared" si="47"/>
        <v>0</v>
      </c>
      <c r="U137" s="73">
        <f t="shared" si="48"/>
        <v>0</v>
      </c>
      <c r="V137" s="73">
        <f t="shared" si="49"/>
        <v>0</v>
      </c>
      <c r="W137" s="73">
        <f t="shared" si="50"/>
        <v>0</v>
      </c>
      <c r="X137" s="74"/>
    </row>
    <row r="138" spans="1:24" ht="21.75" hidden="1">
      <c r="A138" s="69">
        <v>502</v>
      </c>
      <c r="B138" s="76">
        <v>5</v>
      </c>
      <c r="C138" s="77">
        <v>134</v>
      </c>
      <c r="D138" s="78" t="s">
        <v>241</v>
      </c>
      <c r="E138" s="79" t="s">
        <v>242</v>
      </c>
      <c r="F138" s="80">
        <v>395754938</v>
      </c>
      <c r="G138" s="73">
        <f t="shared" si="34"/>
        <v>0</v>
      </c>
      <c r="H138" s="73">
        <f t="shared" si="35"/>
        <v>395754938</v>
      </c>
      <c r="I138" s="73">
        <f t="shared" si="36"/>
        <v>0</v>
      </c>
      <c r="J138" s="73">
        <f t="shared" si="37"/>
        <v>0</v>
      </c>
      <c r="K138" s="73">
        <f t="shared" si="38"/>
        <v>0</v>
      </c>
      <c r="L138" s="73">
        <f t="shared" si="39"/>
        <v>0</v>
      </c>
      <c r="M138" s="73">
        <f t="shared" si="40"/>
        <v>0</v>
      </c>
      <c r="N138" s="73">
        <f t="shared" si="41"/>
        <v>0</v>
      </c>
      <c r="O138" s="73">
        <f t="shared" si="42"/>
        <v>0</v>
      </c>
      <c r="P138" s="73">
        <f t="shared" si="43"/>
        <v>0</v>
      </c>
      <c r="Q138" s="73">
        <f t="shared" si="44"/>
        <v>0</v>
      </c>
      <c r="R138" s="73">
        <f t="shared" si="45"/>
        <v>0</v>
      </c>
      <c r="S138" s="73">
        <f t="shared" si="46"/>
        <v>0</v>
      </c>
      <c r="T138" s="73">
        <f t="shared" si="47"/>
        <v>0</v>
      </c>
      <c r="U138" s="73">
        <f t="shared" si="48"/>
        <v>0</v>
      </c>
      <c r="V138" s="73">
        <f t="shared" si="49"/>
        <v>0</v>
      </c>
      <c r="W138" s="73">
        <f t="shared" si="50"/>
        <v>0</v>
      </c>
      <c r="X138" s="81"/>
    </row>
    <row r="139" spans="1:24" ht="21.75" hidden="1">
      <c r="A139" s="69">
        <v>502</v>
      </c>
      <c r="B139" s="76">
        <v>5</v>
      </c>
      <c r="C139" s="71">
        <v>135</v>
      </c>
      <c r="D139" s="46" t="s">
        <v>493</v>
      </c>
      <c r="E139" s="72" t="s">
        <v>494</v>
      </c>
      <c r="F139" s="73">
        <v>391302</v>
      </c>
      <c r="G139" s="73">
        <f t="shared" si="34"/>
        <v>0</v>
      </c>
      <c r="H139" s="73">
        <f t="shared" si="35"/>
        <v>391302</v>
      </c>
      <c r="I139" s="73">
        <f t="shared" si="36"/>
        <v>0</v>
      </c>
      <c r="J139" s="73">
        <f t="shared" si="37"/>
        <v>0</v>
      </c>
      <c r="K139" s="73">
        <f t="shared" si="38"/>
        <v>0</v>
      </c>
      <c r="L139" s="73">
        <f t="shared" si="39"/>
        <v>0</v>
      </c>
      <c r="M139" s="73">
        <f t="shared" si="40"/>
        <v>0</v>
      </c>
      <c r="N139" s="73">
        <f t="shared" si="41"/>
        <v>0</v>
      </c>
      <c r="O139" s="73">
        <f t="shared" si="42"/>
        <v>0</v>
      </c>
      <c r="P139" s="73">
        <f t="shared" si="43"/>
        <v>0</v>
      </c>
      <c r="Q139" s="73">
        <f t="shared" si="44"/>
        <v>0</v>
      </c>
      <c r="R139" s="73">
        <f t="shared" si="45"/>
        <v>0</v>
      </c>
      <c r="S139" s="73">
        <f t="shared" si="46"/>
        <v>0</v>
      </c>
      <c r="T139" s="73">
        <f t="shared" si="47"/>
        <v>0</v>
      </c>
      <c r="U139" s="73">
        <f t="shared" si="48"/>
        <v>0</v>
      </c>
      <c r="V139" s="73">
        <f t="shared" si="49"/>
        <v>0</v>
      </c>
      <c r="W139" s="73">
        <f t="shared" si="50"/>
        <v>0</v>
      </c>
      <c r="X139" s="74"/>
    </row>
    <row r="140" spans="1:24" ht="21.75" hidden="1">
      <c r="A140" s="69">
        <v>502</v>
      </c>
      <c r="B140" s="76">
        <v>5</v>
      </c>
      <c r="C140" s="77">
        <v>136</v>
      </c>
      <c r="D140" s="78" t="s">
        <v>560</v>
      </c>
      <c r="E140" s="79" t="s">
        <v>115</v>
      </c>
      <c r="F140" s="80">
        <v>225941742</v>
      </c>
      <c r="G140" s="73">
        <f t="shared" si="34"/>
        <v>0</v>
      </c>
      <c r="H140" s="73">
        <f t="shared" si="35"/>
        <v>225941742</v>
      </c>
      <c r="I140" s="73">
        <f t="shared" si="36"/>
        <v>0</v>
      </c>
      <c r="J140" s="73">
        <f t="shared" si="37"/>
        <v>0</v>
      </c>
      <c r="K140" s="73">
        <f t="shared" si="38"/>
        <v>0</v>
      </c>
      <c r="L140" s="73">
        <f t="shared" si="39"/>
        <v>0</v>
      </c>
      <c r="M140" s="73">
        <f t="shared" si="40"/>
        <v>0</v>
      </c>
      <c r="N140" s="73">
        <f t="shared" si="41"/>
        <v>0</v>
      </c>
      <c r="O140" s="73">
        <f t="shared" si="42"/>
        <v>0</v>
      </c>
      <c r="P140" s="73">
        <f t="shared" si="43"/>
        <v>0</v>
      </c>
      <c r="Q140" s="73">
        <f t="shared" si="44"/>
        <v>0</v>
      </c>
      <c r="R140" s="73">
        <f t="shared" si="45"/>
        <v>0</v>
      </c>
      <c r="S140" s="73">
        <f t="shared" si="46"/>
        <v>0</v>
      </c>
      <c r="T140" s="73">
        <f t="shared" si="47"/>
        <v>0</v>
      </c>
      <c r="U140" s="73">
        <f t="shared" si="48"/>
        <v>0</v>
      </c>
      <c r="V140" s="73">
        <f t="shared" si="49"/>
        <v>0</v>
      </c>
      <c r="W140" s="73">
        <f t="shared" si="50"/>
        <v>0</v>
      </c>
      <c r="X140" s="81"/>
    </row>
    <row r="141" spans="1:24" ht="21.75" hidden="1">
      <c r="A141" s="69">
        <v>1212</v>
      </c>
      <c r="B141" s="70">
        <v>12</v>
      </c>
      <c r="C141" s="71">
        <v>137</v>
      </c>
      <c r="D141" s="46" t="s">
        <v>116</v>
      </c>
      <c r="E141" s="72" t="s">
        <v>117</v>
      </c>
      <c r="F141" s="73">
        <v>-3492336</v>
      </c>
      <c r="G141" s="73">
        <f t="shared" si="34"/>
        <v>0</v>
      </c>
      <c r="H141" s="73">
        <f t="shared" si="35"/>
        <v>0</v>
      </c>
      <c r="I141" s="73">
        <f t="shared" si="36"/>
        <v>0</v>
      </c>
      <c r="J141" s="73">
        <f t="shared" si="37"/>
        <v>0</v>
      </c>
      <c r="K141" s="73">
        <f t="shared" si="38"/>
        <v>0</v>
      </c>
      <c r="L141" s="73">
        <f t="shared" si="39"/>
        <v>0</v>
      </c>
      <c r="M141" s="73">
        <f t="shared" si="40"/>
        <v>0</v>
      </c>
      <c r="N141" s="73">
        <f t="shared" si="41"/>
        <v>0</v>
      </c>
      <c r="O141" s="73">
        <f t="shared" si="42"/>
        <v>0</v>
      </c>
      <c r="P141" s="73">
        <f t="shared" si="43"/>
        <v>-3492336</v>
      </c>
      <c r="Q141" s="73">
        <f t="shared" si="44"/>
        <v>0</v>
      </c>
      <c r="R141" s="73">
        <f t="shared" si="45"/>
        <v>0</v>
      </c>
      <c r="S141" s="73">
        <f t="shared" si="46"/>
        <v>0</v>
      </c>
      <c r="T141" s="73">
        <f t="shared" si="47"/>
        <v>0</v>
      </c>
      <c r="U141" s="73">
        <f t="shared" si="48"/>
        <v>0</v>
      </c>
      <c r="V141" s="73">
        <f t="shared" si="49"/>
        <v>0</v>
      </c>
      <c r="W141" s="73">
        <f t="shared" si="50"/>
        <v>0</v>
      </c>
      <c r="X141" s="74"/>
    </row>
    <row r="142" spans="1:24" ht="21.75" hidden="1">
      <c r="A142" s="69">
        <v>1212</v>
      </c>
      <c r="B142" s="76">
        <v>12</v>
      </c>
      <c r="C142" s="77">
        <v>138</v>
      </c>
      <c r="D142" s="78" t="s">
        <v>485</v>
      </c>
      <c r="E142" s="79" t="s">
        <v>68</v>
      </c>
      <c r="F142" s="80">
        <v>-47508657</v>
      </c>
      <c r="G142" s="73">
        <f t="shared" si="34"/>
        <v>0</v>
      </c>
      <c r="H142" s="73">
        <f t="shared" si="35"/>
        <v>0</v>
      </c>
      <c r="I142" s="73">
        <f t="shared" si="36"/>
        <v>0</v>
      </c>
      <c r="J142" s="73">
        <f t="shared" si="37"/>
        <v>0</v>
      </c>
      <c r="K142" s="73">
        <f t="shared" si="38"/>
        <v>0</v>
      </c>
      <c r="L142" s="73">
        <f t="shared" si="39"/>
        <v>0</v>
      </c>
      <c r="M142" s="73">
        <f t="shared" si="40"/>
        <v>0</v>
      </c>
      <c r="N142" s="73">
        <f t="shared" si="41"/>
        <v>0</v>
      </c>
      <c r="O142" s="73">
        <f t="shared" si="42"/>
        <v>0</v>
      </c>
      <c r="P142" s="73">
        <f t="shared" si="43"/>
        <v>-47508657</v>
      </c>
      <c r="Q142" s="73">
        <f t="shared" si="44"/>
        <v>0</v>
      </c>
      <c r="R142" s="73">
        <f t="shared" si="45"/>
        <v>0</v>
      </c>
      <c r="S142" s="73">
        <f t="shared" si="46"/>
        <v>0</v>
      </c>
      <c r="T142" s="73">
        <f t="shared" si="47"/>
        <v>0</v>
      </c>
      <c r="U142" s="73">
        <f t="shared" si="48"/>
        <v>0</v>
      </c>
      <c r="V142" s="73">
        <f t="shared" si="49"/>
        <v>0</v>
      </c>
      <c r="W142" s="73">
        <f t="shared" si="50"/>
        <v>0</v>
      </c>
      <c r="X142" s="81"/>
    </row>
    <row r="143" spans="1:24" ht="21.75" hidden="1">
      <c r="A143" s="69">
        <v>1212</v>
      </c>
      <c r="B143" s="70">
        <v>12</v>
      </c>
      <c r="C143" s="71">
        <v>139</v>
      </c>
      <c r="D143" s="46" t="s">
        <v>487</v>
      </c>
      <c r="E143" s="72" t="s">
        <v>488</v>
      </c>
      <c r="F143" s="73">
        <v>-1192500</v>
      </c>
      <c r="G143" s="73">
        <f t="shared" si="34"/>
        <v>0</v>
      </c>
      <c r="H143" s="73">
        <f t="shared" si="35"/>
        <v>0</v>
      </c>
      <c r="I143" s="73">
        <f t="shared" si="36"/>
        <v>0</v>
      </c>
      <c r="J143" s="73">
        <f t="shared" si="37"/>
        <v>0</v>
      </c>
      <c r="K143" s="73">
        <f t="shared" si="38"/>
        <v>0</v>
      </c>
      <c r="L143" s="73">
        <f t="shared" si="39"/>
        <v>0</v>
      </c>
      <c r="M143" s="73">
        <f t="shared" si="40"/>
        <v>0</v>
      </c>
      <c r="N143" s="73">
        <f t="shared" si="41"/>
        <v>0</v>
      </c>
      <c r="O143" s="73">
        <f t="shared" si="42"/>
        <v>0</v>
      </c>
      <c r="P143" s="73">
        <f t="shared" si="43"/>
        <v>-1192500</v>
      </c>
      <c r="Q143" s="73">
        <f t="shared" si="44"/>
        <v>0</v>
      </c>
      <c r="R143" s="73">
        <f t="shared" si="45"/>
        <v>0</v>
      </c>
      <c r="S143" s="73">
        <f t="shared" si="46"/>
        <v>0</v>
      </c>
      <c r="T143" s="73">
        <f t="shared" si="47"/>
        <v>0</v>
      </c>
      <c r="U143" s="73">
        <f t="shared" si="48"/>
        <v>0</v>
      </c>
      <c r="V143" s="73">
        <f t="shared" si="49"/>
        <v>0</v>
      </c>
      <c r="W143" s="73">
        <f t="shared" si="50"/>
        <v>0</v>
      </c>
      <c r="X143" s="74"/>
    </row>
    <row r="144" spans="1:24" ht="21.75" hidden="1">
      <c r="A144" s="69">
        <v>1212</v>
      </c>
      <c r="B144" s="76">
        <v>12</v>
      </c>
      <c r="C144" s="77">
        <v>140</v>
      </c>
      <c r="D144" s="78" t="s">
        <v>277</v>
      </c>
      <c r="E144" s="79" t="s">
        <v>278</v>
      </c>
      <c r="F144" s="80">
        <v>-8024085</v>
      </c>
      <c r="G144" s="73">
        <f t="shared" si="34"/>
        <v>0</v>
      </c>
      <c r="H144" s="73">
        <f t="shared" si="35"/>
        <v>0</v>
      </c>
      <c r="I144" s="73">
        <f t="shared" si="36"/>
        <v>0</v>
      </c>
      <c r="J144" s="73">
        <f t="shared" si="37"/>
        <v>0</v>
      </c>
      <c r="K144" s="73">
        <f t="shared" si="38"/>
        <v>0</v>
      </c>
      <c r="L144" s="73">
        <f t="shared" si="39"/>
        <v>0</v>
      </c>
      <c r="M144" s="73">
        <f t="shared" si="40"/>
        <v>0</v>
      </c>
      <c r="N144" s="73">
        <f t="shared" si="41"/>
        <v>0</v>
      </c>
      <c r="O144" s="73">
        <f t="shared" si="42"/>
        <v>0</v>
      </c>
      <c r="P144" s="73">
        <f t="shared" si="43"/>
        <v>-8024085</v>
      </c>
      <c r="Q144" s="73">
        <f t="shared" si="44"/>
        <v>0</v>
      </c>
      <c r="R144" s="73">
        <f t="shared" si="45"/>
        <v>0</v>
      </c>
      <c r="S144" s="73">
        <f t="shared" si="46"/>
        <v>0</v>
      </c>
      <c r="T144" s="73">
        <f t="shared" si="47"/>
        <v>0</v>
      </c>
      <c r="U144" s="73">
        <f t="shared" si="48"/>
        <v>0</v>
      </c>
      <c r="V144" s="73">
        <f t="shared" si="49"/>
        <v>0</v>
      </c>
      <c r="W144" s="73">
        <f t="shared" si="50"/>
        <v>0</v>
      </c>
      <c r="X144" s="81"/>
    </row>
    <row r="145" spans="1:24" ht="21.75">
      <c r="A145" s="69">
        <v>614</v>
      </c>
      <c r="B145" s="70">
        <v>6</v>
      </c>
      <c r="C145" s="71">
        <v>141</v>
      </c>
      <c r="D145" s="46" t="s">
        <v>489</v>
      </c>
      <c r="E145" s="72" t="s">
        <v>292</v>
      </c>
      <c r="F145" s="73">
        <v>71320783</v>
      </c>
      <c r="G145" s="73">
        <f t="shared" si="34"/>
        <v>0</v>
      </c>
      <c r="H145" s="73">
        <f t="shared" si="35"/>
        <v>0</v>
      </c>
      <c r="I145" s="73">
        <f t="shared" si="36"/>
        <v>71320783</v>
      </c>
      <c r="J145" s="73">
        <f t="shared" si="37"/>
        <v>0</v>
      </c>
      <c r="K145" s="73">
        <f t="shared" si="38"/>
        <v>0</v>
      </c>
      <c r="L145" s="73">
        <f t="shared" si="39"/>
        <v>0</v>
      </c>
      <c r="M145" s="73">
        <f t="shared" si="40"/>
        <v>0</v>
      </c>
      <c r="N145" s="73">
        <f t="shared" si="41"/>
        <v>0</v>
      </c>
      <c r="O145" s="73">
        <f t="shared" si="42"/>
        <v>0</v>
      </c>
      <c r="P145" s="73">
        <f t="shared" si="43"/>
        <v>0</v>
      </c>
      <c r="Q145" s="73">
        <f t="shared" si="44"/>
        <v>0</v>
      </c>
      <c r="R145" s="73">
        <f t="shared" si="45"/>
        <v>0</v>
      </c>
      <c r="S145" s="73">
        <f t="shared" si="46"/>
        <v>0</v>
      </c>
      <c r="T145" s="73">
        <f t="shared" si="47"/>
        <v>0</v>
      </c>
      <c r="U145" s="73">
        <f t="shared" si="48"/>
        <v>0</v>
      </c>
      <c r="V145" s="73">
        <f t="shared" si="49"/>
        <v>0</v>
      </c>
      <c r="W145" s="73">
        <f t="shared" si="50"/>
        <v>0</v>
      </c>
      <c r="X145" s="74"/>
    </row>
    <row r="146" spans="1:24" ht="21.75">
      <c r="A146" s="75">
        <v>611</v>
      </c>
      <c r="B146" s="76">
        <v>6</v>
      </c>
      <c r="C146" s="77">
        <v>142</v>
      </c>
      <c r="D146" s="78" t="s">
        <v>293</v>
      </c>
      <c r="E146" s="79" t="s">
        <v>467</v>
      </c>
      <c r="F146" s="80">
        <v>12195337816</v>
      </c>
      <c r="G146" s="73">
        <f t="shared" si="34"/>
        <v>0</v>
      </c>
      <c r="H146" s="73">
        <f t="shared" si="35"/>
        <v>0</v>
      </c>
      <c r="I146" s="73">
        <f t="shared" si="36"/>
        <v>12195337816</v>
      </c>
      <c r="J146" s="73">
        <f t="shared" si="37"/>
        <v>0</v>
      </c>
      <c r="K146" s="73">
        <f t="shared" si="38"/>
        <v>0</v>
      </c>
      <c r="L146" s="73">
        <f t="shared" si="39"/>
        <v>0</v>
      </c>
      <c r="M146" s="73">
        <f t="shared" si="40"/>
        <v>0</v>
      </c>
      <c r="N146" s="73">
        <f t="shared" si="41"/>
        <v>0</v>
      </c>
      <c r="O146" s="73">
        <f t="shared" si="42"/>
        <v>0</v>
      </c>
      <c r="P146" s="73">
        <f t="shared" si="43"/>
        <v>0</v>
      </c>
      <c r="Q146" s="73">
        <f t="shared" si="44"/>
        <v>0</v>
      </c>
      <c r="R146" s="73">
        <f t="shared" si="45"/>
        <v>0</v>
      </c>
      <c r="S146" s="73">
        <f t="shared" si="46"/>
        <v>0</v>
      </c>
      <c r="T146" s="73">
        <f t="shared" si="47"/>
        <v>0</v>
      </c>
      <c r="U146" s="73">
        <f t="shared" si="48"/>
        <v>0</v>
      </c>
      <c r="V146" s="73">
        <f t="shared" si="49"/>
        <v>0</v>
      </c>
      <c r="W146" s="73">
        <f t="shared" si="50"/>
        <v>0</v>
      </c>
      <c r="X146" s="81"/>
    </row>
    <row r="147" spans="1:24" ht="21.75" hidden="1">
      <c r="A147" s="69">
        <v>801</v>
      </c>
      <c r="B147" s="70">
        <v>8</v>
      </c>
      <c r="C147" s="71">
        <v>142</v>
      </c>
      <c r="D147" s="46" t="s">
        <v>401</v>
      </c>
      <c r="E147" s="72" t="s">
        <v>448</v>
      </c>
      <c r="F147" s="73">
        <v>-6090000000</v>
      </c>
      <c r="G147" s="73">
        <f t="shared" si="34"/>
        <v>0</v>
      </c>
      <c r="H147" s="73">
        <f t="shared" si="35"/>
        <v>0</v>
      </c>
      <c r="I147" s="73">
        <f t="shared" si="36"/>
        <v>0</v>
      </c>
      <c r="J147" s="73">
        <f t="shared" si="37"/>
        <v>0</v>
      </c>
      <c r="K147" s="73">
        <f t="shared" si="38"/>
        <v>-6090000000</v>
      </c>
      <c r="L147" s="73">
        <f t="shared" si="39"/>
        <v>0</v>
      </c>
      <c r="M147" s="73">
        <f t="shared" si="40"/>
        <v>0</v>
      </c>
      <c r="N147" s="73">
        <f t="shared" si="41"/>
        <v>0</v>
      </c>
      <c r="O147" s="73">
        <f t="shared" si="42"/>
        <v>0</v>
      </c>
      <c r="P147" s="73">
        <f t="shared" si="43"/>
        <v>0</v>
      </c>
      <c r="Q147" s="73">
        <f t="shared" si="44"/>
        <v>0</v>
      </c>
      <c r="R147" s="73">
        <f t="shared" si="45"/>
        <v>0</v>
      </c>
      <c r="S147" s="73">
        <f t="shared" si="46"/>
        <v>0</v>
      </c>
      <c r="T147" s="73">
        <f t="shared" si="47"/>
        <v>0</v>
      </c>
      <c r="U147" s="73">
        <f t="shared" si="48"/>
        <v>0</v>
      </c>
      <c r="V147" s="73">
        <f t="shared" si="49"/>
        <v>0</v>
      </c>
      <c r="W147" s="73">
        <f t="shared" si="50"/>
        <v>0</v>
      </c>
      <c r="X147" s="74"/>
    </row>
    <row r="148" spans="1:24" ht="21.75" hidden="1">
      <c r="A148" s="75">
        <v>701</v>
      </c>
      <c r="B148" s="76">
        <v>7</v>
      </c>
      <c r="C148" s="77">
        <v>143</v>
      </c>
      <c r="D148" s="78" t="s">
        <v>449</v>
      </c>
      <c r="E148" s="79" t="s">
        <v>448</v>
      </c>
      <c r="F148" s="80">
        <v>-3706355229</v>
      </c>
      <c r="G148" s="73">
        <f t="shared" si="34"/>
        <v>0</v>
      </c>
      <c r="H148" s="73">
        <f t="shared" si="35"/>
        <v>0</v>
      </c>
      <c r="I148" s="73">
        <f t="shared" si="36"/>
        <v>0</v>
      </c>
      <c r="J148" s="73">
        <f t="shared" si="37"/>
        <v>-3706355229</v>
      </c>
      <c r="K148" s="73">
        <f t="shared" si="38"/>
        <v>0</v>
      </c>
      <c r="L148" s="73">
        <f t="shared" si="39"/>
        <v>0</v>
      </c>
      <c r="M148" s="73">
        <f t="shared" si="40"/>
        <v>0</v>
      </c>
      <c r="N148" s="73">
        <f t="shared" si="41"/>
        <v>0</v>
      </c>
      <c r="O148" s="73">
        <f t="shared" si="42"/>
        <v>0</v>
      </c>
      <c r="P148" s="73">
        <f t="shared" si="43"/>
        <v>0</v>
      </c>
      <c r="Q148" s="73">
        <f t="shared" si="44"/>
        <v>0</v>
      </c>
      <c r="R148" s="73">
        <f t="shared" si="45"/>
        <v>0</v>
      </c>
      <c r="S148" s="73">
        <f t="shared" si="46"/>
        <v>0</v>
      </c>
      <c r="T148" s="73">
        <f t="shared" si="47"/>
        <v>0</v>
      </c>
      <c r="U148" s="73">
        <f t="shared" si="48"/>
        <v>0</v>
      </c>
      <c r="V148" s="73">
        <f t="shared" si="49"/>
        <v>0</v>
      </c>
      <c r="W148" s="73">
        <f t="shared" si="50"/>
        <v>0</v>
      </c>
      <c r="X148" s="81"/>
    </row>
    <row r="149" spans="1:24" ht="21.75" hidden="1">
      <c r="A149" s="69">
        <v>701</v>
      </c>
      <c r="B149" s="70">
        <v>7</v>
      </c>
      <c r="C149" s="71">
        <v>144</v>
      </c>
      <c r="D149" s="46" t="s">
        <v>452</v>
      </c>
      <c r="E149" s="72" t="s">
        <v>453</v>
      </c>
      <c r="F149" s="73">
        <v>45277712</v>
      </c>
      <c r="G149" s="73">
        <f t="shared" si="34"/>
        <v>0</v>
      </c>
      <c r="H149" s="73">
        <f t="shared" si="35"/>
        <v>0</v>
      </c>
      <c r="I149" s="73">
        <f t="shared" si="36"/>
        <v>0</v>
      </c>
      <c r="J149" s="73">
        <f t="shared" si="37"/>
        <v>45277712</v>
      </c>
      <c r="K149" s="73">
        <f t="shared" si="38"/>
        <v>0</v>
      </c>
      <c r="L149" s="73">
        <f t="shared" si="39"/>
        <v>0</v>
      </c>
      <c r="M149" s="73">
        <f t="shared" si="40"/>
        <v>0</v>
      </c>
      <c r="N149" s="73">
        <f t="shared" si="41"/>
        <v>0</v>
      </c>
      <c r="O149" s="73">
        <f t="shared" si="42"/>
        <v>0</v>
      </c>
      <c r="P149" s="73">
        <f t="shared" si="43"/>
        <v>0</v>
      </c>
      <c r="Q149" s="73">
        <f t="shared" si="44"/>
        <v>0</v>
      </c>
      <c r="R149" s="73">
        <f t="shared" si="45"/>
        <v>0</v>
      </c>
      <c r="S149" s="73">
        <f t="shared" si="46"/>
        <v>0</v>
      </c>
      <c r="T149" s="73">
        <f t="shared" si="47"/>
        <v>0</v>
      </c>
      <c r="U149" s="73">
        <f t="shared" si="48"/>
        <v>0</v>
      </c>
      <c r="V149" s="73">
        <f t="shared" si="49"/>
        <v>0</v>
      </c>
      <c r="W149" s="73">
        <f t="shared" si="50"/>
        <v>0</v>
      </c>
      <c r="X149" s="74"/>
    </row>
    <row r="150" spans="1:24" ht="21.75" hidden="1">
      <c r="A150" s="75">
        <v>801</v>
      </c>
      <c r="B150" s="76">
        <v>8</v>
      </c>
      <c r="C150" s="77">
        <v>145</v>
      </c>
      <c r="D150" s="78" t="s">
        <v>469</v>
      </c>
      <c r="E150" s="79" t="s">
        <v>470</v>
      </c>
      <c r="F150" s="80">
        <v>-1486218975</v>
      </c>
      <c r="G150" s="73">
        <f t="shared" si="34"/>
        <v>0</v>
      </c>
      <c r="H150" s="73">
        <f t="shared" si="35"/>
        <v>0</v>
      </c>
      <c r="I150" s="73">
        <f t="shared" si="36"/>
        <v>0</v>
      </c>
      <c r="J150" s="73">
        <f t="shared" si="37"/>
        <v>0</v>
      </c>
      <c r="K150" s="73">
        <f t="shared" si="38"/>
        <v>-1486218975</v>
      </c>
      <c r="L150" s="73">
        <f t="shared" si="39"/>
        <v>0</v>
      </c>
      <c r="M150" s="73">
        <f t="shared" si="40"/>
        <v>0</v>
      </c>
      <c r="N150" s="73">
        <f t="shared" si="41"/>
        <v>0</v>
      </c>
      <c r="O150" s="73">
        <f t="shared" si="42"/>
        <v>0</v>
      </c>
      <c r="P150" s="73">
        <f t="shared" si="43"/>
        <v>0</v>
      </c>
      <c r="Q150" s="73">
        <f t="shared" si="44"/>
        <v>0</v>
      </c>
      <c r="R150" s="73">
        <f t="shared" si="45"/>
        <v>0</v>
      </c>
      <c r="S150" s="73">
        <f t="shared" si="46"/>
        <v>0</v>
      </c>
      <c r="T150" s="73">
        <f t="shared" si="47"/>
        <v>0</v>
      </c>
      <c r="U150" s="73">
        <f t="shared" si="48"/>
        <v>0</v>
      </c>
      <c r="V150" s="73">
        <f t="shared" si="49"/>
        <v>0</v>
      </c>
      <c r="W150" s="73">
        <f t="shared" si="50"/>
        <v>0</v>
      </c>
      <c r="X150" s="81"/>
    </row>
    <row r="151" spans="1:24" ht="21.75" hidden="1">
      <c r="A151" s="69">
        <v>701</v>
      </c>
      <c r="B151" s="70">
        <v>7</v>
      </c>
      <c r="C151" s="71">
        <v>146</v>
      </c>
      <c r="D151" s="46" t="s">
        <v>460</v>
      </c>
      <c r="E151" s="72" t="s">
        <v>461</v>
      </c>
      <c r="F151" s="73">
        <v>1225745289457</v>
      </c>
      <c r="G151" s="73">
        <f t="shared" si="34"/>
        <v>0</v>
      </c>
      <c r="H151" s="73">
        <f t="shared" si="35"/>
        <v>0</v>
      </c>
      <c r="I151" s="73">
        <f t="shared" si="36"/>
        <v>0</v>
      </c>
      <c r="J151" s="73">
        <f t="shared" si="37"/>
        <v>1225745289457</v>
      </c>
      <c r="K151" s="73">
        <f t="shared" si="38"/>
        <v>0</v>
      </c>
      <c r="L151" s="73">
        <f t="shared" si="39"/>
        <v>0</v>
      </c>
      <c r="M151" s="73">
        <f t="shared" si="40"/>
        <v>0</v>
      </c>
      <c r="N151" s="73">
        <f t="shared" si="41"/>
        <v>0</v>
      </c>
      <c r="O151" s="73">
        <f t="shared" si="42"/>
        <v>0</v>
      </c>
      <c r="P151" s="73">
        <f t="shared" si="43"/>
        <v>0</v>
      </c>
      <c r="Q151" s="73">
        <f t="shared" si="44"/>
        <v>0</v>
      </c>
      <c r="R151" s="73">
        <f t="shared" si="45"/>
        <v>0</v>
      </c>
      <c r="S151" s="73">
        <f t="shared" si="46"/>
        <v>0</v>
      </c>
      <c r="T151" s="73">
        <f t="shared" si="47"/>
        <v>0</v>
      </c>
      <c r="U151" s="73">
        <f t="shared" si="48"/>
        <v>0</v>
      </c>
      <c r="V151" s="73">
        <f t="shared" si="49"/>
        <v>0</v>
      </c>
      <c r="W151" s="73">
        <f t="shared" si="50"/>
        <v>0</v>
      </c>
      <c r="X151" s="74"/>
    </row>
    <row r="152" spans="1:24" ht="21.75" hidden="1">
      <c r="A152" s="75">
        <v>908</v>
      </c>
      <c r="B152" s="76">
        <v>9</v>
      </c>
      <c r="C152" s="77">
        <v>147</v>
      </c>
      <c r="D152" s="78" t="s">
        <v>462</v>
      </c>
      <c r="E152" s="79" t="s">
        <v>463</v>
      </c>
      <c r="F152" s="80">
        <v>508597428076</v>
      </c>
      <c r="G152" s="73">
        <f t="shared" si="34"/>
        <v>0</v>
      </c>
      <c r="H152" s="73">
        <f t="shared" si="35"/>
        <v>0</v>
      </c>
      <c r="I152" s="73">
        <f t="shared" si="36"/>
        <v>0</v>
      </c>
      <c r="J152" s="73">
        <f t="shared" si="37"/>
        <v>0</v>
      </c>
      <c r="K152" s="73">
        <f t="shared" si="38"/>
        <v>0</v>
      </c>
      <c r="L152" s="73">
        <f t="shared" si="39"/>
        <v>508597428076</v>
      </c>
      <c r="M152" s="73">
        <f t="shared" si="40"/>
        <v>0</v>
      </c>
      <c r="N152" s="73">
        <f t="shared" si="41"/>
        <v>0</v>
      </c>
      <c r="O152" s="73">
        <f t="shared" si="42"/>
        <v>0</v>
      </c>
      <c r="P152" s="73">
        <f t="shared" si="43"/>
        <v>0</v>
      </c>
      <c r="Q152" s="73">
        <f t="shared" si="44"/>
        <v>0</v>
      </c>
      <c r="R152" s="73">
        <f t="shared" si="45"/>
        <v>0</v>
      </c>
      <c r="S152" s="73">
        <f t="shared" si="46"/>
        <v>0</v>
      </c>
      <c r="T152" s="73">
        <f t="shared" si="47"/>
        <v>0</v>
      </c>
      <c r="U152" s="73">
        <f t="shared" si="48"/>
        <v>0</v>
      </c>
      <c r="V152" s="73">
        <f t="shared" si="49"/>
        <v>0</v>
      </c>
      <c r="W152" s="73">
        <f t="shared" si="50"/>
        <v>0</v>
      </c>
      <c r="X152" s="81"/>
    </row>
    <row r="153" spans="1:24" ht="21.75" hidden="1">
      <c r="A153" s="69">
        <v>706</v>
      </c>
      <c r="B153" s="70">
        <v>7</v>
      </c>
      <c r="C153" s="71">
        <v>148</v>
      </c>
      <c r="D153" s="46" t="s">
        <v>395</v>
      </c>
      <c r="E153" s="72" t="s">
        <v>396</v>
      </c>
      <c r="F153" s="73">
        <v>-307310198</v>
      </c>
      <c r="G153" s="73">
        <f t="shared" si="34"/>
        <v>0</v>
      </c>
      <c r="H153" s="73">
        <f t="shared" si="35"/>
        <v>0</v>
      </c>
      <c r="I153" s="73">
        <f t="shared" si="36"/>
        <v>0</v>
      </c>
      <c r="J153" s="73">
        <f t="shared" si="37"/>
        <v>-307310198</v>
      </c>
      <c r="K153" s="73">
        <f t="shared" si="38"/>
        <v>0</v>
      </c>
      <c r="L153" s="73">
        <f t="shared" si="39"/>
        <v>0</v>
      </c>
      <c r="M153" s="73">
        <f t="shared" si="40"/>
        <v>0</v>
      </c>
      <c r="N153" s="73">
        <f t="shared" si="41"/>
        <v>0</v>
      </c>
      <c r="O153" s="73">
        <f t="shared" si="42"/>
        <v>0</v>
      </c>
      <c r="P153" s="73">
        <f t="shared" si="43"/>
        <v>0</v>
      </c>
      <c r="Q153" s="73">
        <f t="shared" si="44"/>
        <v>0</v>
      </c>
      <c r="R153" s="73">
        <f t="shared" si="45"/>
        <v>0</v>
      </c>
      <c r="S153" s="73">
        <f t="shared" si="46"/>
        <v>0</v>
      </c>
      <c r="T153" s="73">
        <f t="shared" si="47"/>
        <v>0</v>
      </c>
      <c r="U153" s="73">
        <f t="shared" si="48"/>
        <v>0</v>
      </c>
      <c r="V153" s="73">
        <f t="shared" si="49"/>
        <v>0</v>
      </c>
      <c r="W153" s="73">
        <f t="shared" si="50"/>
        <v>0</v>
      </c>
      <c r="X153" s="74"/>
    </row>
    <row r="154" spans="1:24" ht="21.75" hidden="1">
      <c r="A154" s="69">
        <v>706</v>
      </c>
      <c r="B154" s="76">
        <v>7</v>
      </c>
      <c r="C154" s="77">
        <v>149</v>
      </c>
      <c r="D154" s="78" t="s">
        <v>282</v>
      </c>
      <c r="E154" s="79" t="s">
        <v>283</v>
      </c>
      <c r="F154" s="80">
        <v>1644629417</v>
      </c>
      <c r="G154" s="73">
        <f t="shared" si="34"/>
        <v>0</v>
      </c>
      <c r="H154" s="73">
        <f t="shared" si="35"/>
        <v>0</v>
      </c>
      <c r="I154" s="73">
        <f t="shared" si="36"/>
        <v>0</v>
      </c>
      <c r="J154" s="73">
        <f t="shared" si="37"/>
        <v>1644629417</v>
      </c>
      <c r="K154" s="73">
        <f t="shared" si="38"/>
        <v>0</v>
      </c>
      <c r="L154" s="73">
        <f t="shared" si="39"/>
        <v>0</v>
      </c>
      <c r="M154" s="73">
        <f t="shared" si="40"/>
        <v>0</v>
      </c>
      <c r="N154" s="73">
        <f t="shared" si="41"/>
        <v>0</v>
      </c>
      <c r="O154" s="73">
        <f t="shared" si="42"/>
        <v>0</v>
      </c>
      <c r="P154" s="73">
        <f t="shared" si="43"/>
        <v>0</v>
      </c>
      <c r="Q154" s="73">
        <f t="shared" si="44"/>
        <v>0</v>
      </c>
      <c r="R154" s="73">
        <f t="shared" si="45"/>
        <v>0</v>
      </c>
      <c r="S154" s="73">
        <f t="shared" si="46"/>
        <v>0</v>
      </c>
      <c r="T154" s="73">
        <f t="shared" si="47"/>
        <v>0</v>
      </c>
      <c r="U154" s="73">
        <f t="shared" si="48"/>
        <v>0</v>
      </c>
      <c r="V154" s="73">
        <f t="shared" si="49"/>
        <v>0</v>
      </c>
      <c r="W154" s="73">
        <f t="shared" si="50"/>
        <v>0</v>
      </c>
      <c r="X154" s="81"/>
    </row>
    <row r="155" spans="1:24" ht="21.75" hidden="1">
      <c r="A155" s="69">
        <v>706</v>
      </c>
      <c r="B155" s="70">
        <v>7</v>
      </c>
      <c r="C155" s="71">
        <v>150</v>
      </c>
      <c r="D155" s="46" t="s">
        <v>76</v>
      </c>
      <c r="E155" s="72" t="s">
        <v>77</v>
      </c>
      <c r="F155" s="73">
        <v>84363</v>
      </c>
      <c r="G155" s="73">
        <f t="shared" si="34"/>
        <v>0</v>
      </c>
      <c r="H155" s="73">
        <f t="shared" si="35"/>
        <v>0</v>
      </c>
      <c r="I155" s="73">
        <f t="shared" si="36"/>
        <v>0</v>
      </c>
      <c r="J155" s="73">
        <f t="shared" si="37"/>
        <v>84363</v>
      </c>
      <c r="K155" s="73">
        <f t="shared" si="38"/>
        <v>0</v>
      </c>
      <c r="L155" s="73">
        <f t="shared" si="39"/>
        <v>0</v>
      </c>
      <c r="M155" s="73">
        <f t="shared" si="40"/>
        <v>0</v>
      </c>
      <c r="N155" s="73">
        <f t="shared" si="41"/>
        <v>0</v>
      </c>
      <c r="O155" s="73">
        <f t="shared" si="42"/>
        <v>0</v>
      </c>
      <c r="P155" s="73">
        <f t="shared" si="43"/>
        <v>0</v>
      </c>
      <c r="Q155" s="73">
        <f t="shared" si="44"/>
        <v>0</v>
      </c>
      <c r="R155" s="73">
        <f t="shared" si="45"/>
        <v>0</v>
      </c>
      <c r="S155" s="73">
        <f t="shared" si="46"/>
        <v>0</v>
      </c>
      <c r="T155" s="73">
        <f t="shared" si="47"/>
        <v>0</v>
      </c>
      <c r="U155" s="73">
        <f t="shared" si="48"/>
        <v>0</v>
      </c>
      <c r="V155" s="73">
        <f t="shared" si="49"/>
        <v>0</v>
      </c>
      <c r="W155" s="73">
        <f t="shared" si="50"/>
        <v>0</v>
      </c>
      <c r="X155" s="74"/>
    </row>
    <row r="156" spans="1:24" ht="21.75" hidden="1">
      <c r="A156" s="69">
        <v>706</v>
      </c>
      <c r="B156" s="76">
        <v>7</v>
      </c>
      <c r="C156" s="77">
        <v>151</v>
      </c>
      <c r="D156" s="78" t="s">
        <v>464</v>
      </c>
      <c r="E156" s="79" t="s">
        <v>311</v>
      </c>
      <c r="F156" s="80">
        <v>-818629503</v>
      </c>
      <c r="G156" s="73">
        <f t="shared" si="34"/>
        <v>0</v>
      </c>
      <c r="H156" s="73">
        <f t="shared" si="35"/>
        <v>0</v>
      </c>
      <c r="I156" s="73">
        <f t="shared" si="36"/>
        <v>0</v>
      </c>
      <c r="J156" s="73">
        <f t="shared" si="37"/>
        <v>-818629503</v>
      </c>
      <c r="K156" s="73">
        <f t="shared" si="38"/>
        <v>0</v>
      </c>
      <c r="L156" s="73">
        <f t="shared" si="39"/>
        <v>0</v>
      </c>
      <c r="M156" s="73">
        <f t="shared" si="40"/>
        <v>0</v>
      </c>
      <c r="N156" s="73">
        <f t="shared" si="41"/>
        <v>0</v>
      </c>
      <c r="O156" s="73">
        <f t="shared" si="42"/>
        <v>0</v>
      </c>
      <c r="P156" s="73">
        <f t="shared" si="43"/>
        <v>0</v>
      </c>
      <c r="Q156" s="73">
        <f t="shared" si="44"/>
        <v>0</v>
      </c>
      <c r="R156" s="73">
        <f t="shared" si="45"/>
        <v>0</v>
      </c>
      <c r="S156" s="73">
        <f t="shared" si="46"/>
        <v>0</v>
      </c>
      <c r="T156" s="73">
        <f t="shared" si="47"/>
        <v>0</v>
      </c>
      <c r="U156" s="73">
        <f t="shared" si="48"/>
        <v>0</v>
      </c>
      <c r="V156" s="73">
        <f t="shared" si="49"/>
        <v>0</v>
      </c>
      <c r="W156" s="73">
        <f t="shared" si="50"/>
        <v>0</v>
      </c>
      <c r="X156" s="81"/>
    </row>
    <row r="157" spans="1:24" ht="21.75" hidden="1">
      <c r="A157" s="69">
        <v>706</v>
      </c>
      <c r="B157" s="70">
        <v>7</v>
      </c>
      <c r="C157" s="71">
        <v>152</v>
      </c>
      <c r="D157" s="46" t="s">
        <v>594</v>
      </c>
      <c r="E157" s="72" t="s">
        <v>314</v>
      </c>
      <c r="F157" s="73">
        <v>-216479252</v>
      </c>
      <c r="G157" s="73">
        <f t="shared" si="34"/>
        <v>0</v>
      </c>
      <c r="H157" s="73">
        <f t="shared" si="35"/>
        <v>0</v>
      </c>
      <c r="I157" s="73">
        <f t="shared" si="36"/>
        <v>0</v>
      </c>
      <c r="J157" s="73">
        <f t="shared" si="37"/>
        <v>-216479252</v>
      </c>
      <c r="K157" s="73">
        <f t="shared" si="38"/>
        <v>0</v>
      </c>
      <c r="L157" s="73">
        <f t="shared" si="39"/>
        <v>0</v>
      </c>
      <c r="M157" s="73">
        <f t="shared" si="40"/>
        <v>0</v>
      </c>
      <c r="N157" s="73">
        <f t="shared" si="41"/>
        <v>0</v>
      </c>
      <c r="O157" s="73">
        <f t="shared" si="42"/>
        <v>0</v>
      </c>
      <c r="P157" s="73">
        <f t="shared" si="43"/>
        <v>0</v>
      </c>
      <c r="Q157" s="73">
        <f t="shared" si="44"/>
        <v>0</v>
      </c>
      <c r="R157" s="73">
        <f t="shared" si="45"/>
        <v>0</v>
      </c>
      <c r="S157" s="73">
        <f t="shared" si="46"/>
        <v>0</v>
      </c>
      <c r="T157" s="73">
        <f t="shared" si="47"/>
        <v>0</v>
      </c>
      <c r="U157" s="73">
        <f t="shared" si="48"/>
        <v>0</v>
      </c>
      <c r="V157" s="73">
        <f t="shared" si="49"/>
        <v>0</v>
      </c>
      <c r="W157" s="73">
        <f t="shared" si="50"/>
        <v>0</v>
      </c>
      <c r="X157" s="74"/>
    </row>
    <row r="158" spans="1:24" ht="21.75" hidden="1">
      <c r="A158" s="69">
        <v>706</v>
      </c>
      <c r="B158" s="76">
        <v>7</v>
      </c>
      <c r="C158" s="77">
        <v>153</v>
      </c>
      <c r="D158" s="78" t="s">
        <v>595</v>
      </c>
      <c r="E158" s="79" t="s">
        <v>315</v>
      </c>
      <c r="F158" s="80">
        <v>4049999</v>
      </c>
      <c r="G158" s="73">
        <f t="shared" si="34"/>
        <v>0</v>
      </c>
      <c r="H158" s="73">
        <f t="shared" si="35"/>
        <v>0</v>
      </c>
      <c r="I158" s="73">
        <f t="shared" si="36"/>
        <v>0</v>
      </c>
      <c r="J158" s="73">
        <f t="shared" si="37"/>
        <v>4049999</v>
      </c>
      <c r="K158" s="73">
        <f t="shared" si="38"/>
        <v>0</v>
      </c>
      <c r="L158" s="73">
        <f t="shared" si="39"/>
        <v>0</v>
      </c>
      <c r="M158" s="73">
        <f t="shared" si="40"/>
        <v>0</v>
      </c>
      <c r="N158" s="73">
        <f t="shared" si="41"/>
        <v>0</v>
      </c>
      <c r="O158" s="73">
        <f t="shared" si="42"/>
        <v>0</v>
      </c>
      <c r="P158" s="73">
        <f t="shared" si="43"/>
        <v>0</v>
      </c>
      <c r="Q158" s="73">
        <f t="shared" si="44"/>
        <v>0</v>
      </c>
      <c r="R158" s="73">
        <f t="shared" si="45"/>
        <v>0</v>
      </c>
      <c r="S158" s="73">
        <f t="shared" si="46"/>
        <v>0</v>
      </c>
      <c r="T158" s="73">
        <f t="shared" si="47"/>
        <v>0</v>
      </c>
      <c r="U158" s="73">
        <f t="shared" si="48"/>
        <v>0</v>
      </c>
      <c r="V158" s="73">
        <f t="shared" si="49"/>
        <v>0</v>
      </c>
      <c r="W158" s="73">
        <f t="shared" si="50"/>
        <v>0</v>
      </c>
      <c r="X158" s="81"/>
    </row>
    <row r="159" spans="1:24" ht="21.75" hidden="1">
      <c r="A159" s="69">
        <v>706</v>
      </c>
      <c r="B159" s="70">
        <v>7</v>
      </c>
      <c r="C159" s="71">
        <v>154</v>
      </c>
      <c r="D159" s="46" t="s">
        <v>333</v>
      </c>
      <c r="E159" s="72" t="s">
        <v>334</v>
      </c>
      <c r="F159" s="73">
        <v>-748507</v>
      </c>
      <c r="G159" s="73">
        <f t="shared" si="34"/>
        <v>0</v>
      </c>
      <c r="H159" s="73">
        <f t="shared" si="35"/>
        <v>0</v>
      </c>
      <c r="I159" s="73">
        <f t="shared" si="36"/>
        <v>0</v>
      </c>
      <c r="J159" s="73">
        <f t="shared" si="37"/>
        <v>-748507</v>
      </c>
      <c r="K159" s="73">
        <f t="shared" si="38"/>
        <v>0</v>
      </c>
      <c r="L159" s="73">
        <f t="shared" si="39"/>
        <v>0</v>
      </c>
      <c r="M159" s="73">
        <f t="shared" si="40"/>
        <v>0</v>
      </c>
      <c r="N159" s="73">
        <f t="shared" si="41"/>
        <v>0</v>
      </c>
      <c r="O159" s="73">
        <f t="shared" si="42"/>
        <v>0</v>
      </c>
      <c r="P159" s="73">
        <f t="shared" si="43"/>
        <v>0</v>
      </c>
      <c r="Q159" s="73">
        <f t="shared" si="44"/>
        <v>0</v>
      </c>
      <c r="R159" s="73">
        <f t="shared" si="45"/>
        <v>0</v>
      </c>
      <c r="S159" s="73">
        <f t="shared" si="46"/>
        <v>0</v>
      </c>
      <c r="T159" s="73">
        <f t="shared" si="47"/>
        <v>0</v>
      </c>
      <c r="U159" s="73">
        <f t="shared" si="48"/>
        <v>0</v>
      </c>
      <c r="V159" s="73">
        <f t="shared" si="49"/>
        <v>0</v>
      </c>
      <c r="W159" s="73">
        <f t="shared" si="50"/>
        <v>0</v>
      </c>
      <c r="X159" s="74"/>
    </row>
    <row r="160" spans="1:24" ht="21.75" hidden="1">
      <c r="A160" s="69">
        <v>706</v>
      </c>
      <c r="B160" s="76">
        <v>7</v>
      </c>
      <c r="C160" s="77">
        <v>155</v>
      </c>
      <c r="D160" s="78" t="s">
        <v>596</v>
      </c>
      <c r="E160" s="79" t="s">
        <v>318</v>
      </c>
      <c r="F160" s="80">
        <v>25101107988</v>
      </c>
      <c r="G160" s="73">
        <f t="shared" si="34"/>
        <v>0</v>
      </c>
      <c r="H160" s="73">
        <f t="shared" si="35"/>
        <v>0</v>
      </c>
      <c r="I160" s="73">
        <f t="shared" si="36"/>
        <v>0</v>
      </c>
      <c r="J160" s="73">
        <f t="shared" si="37"/>
        <v>25101107988</v>
      </c>
      <c r="K160" s="73">
        <f t="shared" si="38"/>
        <v>0</v>
      </c>
      <c r="L160" s="73">
        <f t="shared" si="39"/>
        <v>0</v>
      </c>
      <c r="M160" s="73">
        <f t="shared" si="40"/>
        <v>0</v>
      </c>
      <c r="N160" s="73">
        <f t="shared" si="41"/>
        <v>0</v>
      </c>
      <c r="O160" s="73">
        <f t="shared" si="42"/>
        <v>0</v>
      </c>
      <c r="P160" s="73">
        <f t="shared" si="43"/>
        <v>0</v>
      </c>
      <c r="Q160" s="73">
        <f t="shared" si="44"/>
        <v>0</v>
      </c>
      <c r="R160" s="73">
        <f t="shared" si="45"/>
        <v>0</v>
      </c>
      <c r="S160" s="73">
        <f t="shared" si="46"/>
        <v>0</v>
      </c>
      <c r="T160" s="73">
        <f t="shared" si="47"/>
        <v>0</v>
      </c>
      <c r="U160" s="73">
        <f t="shared" si="48"/>
        <v>0</v>
      </c>
      <c r="V160" s="73">
        <f t="shared" si="49"/>
        <v>0</v>
      </c>
      <c r="W160" s="73">
        <f t="shared" si="50"/>
        <v>0</v>
      </c>
      <c r="X160" s="81"/>
    </row>
    <row r="161" spans="1:24" ht="21.75" hidden="1">
      <c r="A161" s="69">
        <v>801</v>
      </c>
      <c r="B161" s="70">
        <v>8</v>
      </c>
      <c r="C161" s="71">
        <v>156</v>
      </c>
      <c r="D161" s="46" t="s">
        <v>319</v>
      </c>
      <c r="E161" s="72" t="s">
        <v>320</v>
      </c>
      <c r="F161" s="73">
        <v>27841483892</v>
      </c>
      <c r="G161" s="73">
        <f t="shared" si="34"/>
        <v>0</v>
      </c>
      <c r="H161" s="73">
        <f t="shared" si="35"/>
        <v>0</v>
      </c>
      <c r="I161" s="73">
        <f t="shared" si="36"/>
        <v>0</v>
      </c>
      <c r="J161" s="73">
        <f t="shared" si="37"/>
        <v>0</v>
      </c>
      <c r="K161" s="73">
        <f t="shared" si="38"/>
        <v>27841483892</v>
      </c>
      <c r="L161" s="73">
        <f t="shared" si="39"/>
        <v>0</v>
      </c>
      <c r="M161" s="73">
        <f t="shared" si="40"/>
        <v>0</v>
      </c>
      <c r="N161" s="73">
        <f t="shared" si="41"/>
        <v>0</v>
      </c>
      <c r="O161" s="73">
        <f t="shared" si="42"/>
        <v>0</v>
      </c>
      <c r="P161" s="73">
        <f t="shared" si="43"/>
        <v>0</v>
      </c>
      <c r="Q161" s="73">
        <f t="shared" si="44"/>
        <v>0</v>
      </c>
      <c r="R161" s="73">
        <f t="shared" si="45"/>
        <v>0</v>
      </c>
      <c r="S161" s="73">
        <f t="shared" si="46"/>
        <v>0</v>
      </c>
      <c r="T161" s="73">
        <f t="shared" si="47"/>
        <v>0</v>
      </c>
      <c r="U161" s="73">
        <f t="shared" si="48"/>
        <v>0</v>
      </c>
      <c r="V161" s="73">
        <f t="shared" si="49"/>
        <v>0</v>
      </c>
      <c r="W161" s="73">
        <f t="shared" si="50"/>
        <v>0</v>
      </c>
      <c r="X161" s="74"/>
    </row>
    <row r="162" spans="1:24" ht="21.75" hidden="1">
      <c r="A162" s="75">
        <v>803</v>
      </c>
      <c r="B162" s="76">
        <v>8</v>
      </c>
      <c r="C162" s="77">
        <v>157</v>
      </c>
      <c r="D162" s="78" t="s">
        <v>319</v>
      </c>
      <c r="E162" s="79" t="s">
        <v>320</v>
      </c>
      <c r="F162" s="80">
        <v>15311179216</v>
      </c>
      <c r="G162" s="73">
        <f t="shared" si="34"/>
        <v>0</v>
      </c>
      <c r="H162" s="73">
        <f t="shared" si="35"/>
        <v>0</v>
      </c>
      <c r="I162" s="73">
        <f t="shared" si="36"/>
        <v>0</v>
      </c>
      <c r="J162" s="73">
        <f t="shared" si="37"/>
        <v>0</v>
      </c>
      <c r="K162" s="73">
        <f t="shared" si="38"/>
        <v>15311179216</v>
      </c>
      <c r="L162" s="73">
        <f t="shared" si="39"/>
        <v>0</v>
      </c>
      <c r="M162" s="73">
        <f t="shared" si="40"/>
        <v>0</v>
      </c>
      <c r="N162" s="73">
        <f t="shared" si="41"/>
        <v>0</v>
      </c>
      <c r="O162" s="73">
        <f t="shared" si="42"/>
        <v>0</v>
      </c>
      <c r="P162" s="73">
        <f t="shared" si="43"/>
        <v>0</v>
      </c>
      <c r="Q162" s="73">
        <f t="shared" si="44"/>
        <v>0</v>
      </c>
      <c r="R162" s="73">
        <f t="shared" si="45"/>
        <v>0</v>
      </c>
      <c r="S162" s="73">
        <f t="shared" si="46"/>
        <v>0</v>
      </c>
      <c r="T162" s="73">
        <f t="shared" si="47"/>
        <v>0</v>
      </c>
      <c r="U162" s="73">
        <f t="shared" si="48"/>
        <v>0</v>
      </c>
      <c r="V162" s="73">
        <f t="shared" si="49"/>
        <v>0</v>
      </c>
      <c r="W162" s="73">
        <f t="shared" si="50"/>
        <v>0</v>
      </c>
      <c r="X162" s="81"/>
    </row>
    <row r="163" spans="1:24" ht="21.75" hidden="1">
      <c r="A163" s="69">
        <v>805</v>
      </c>
      <c r="B163" s="70">
        <v>8</v>
      </c>
      <c r="C163" s="71">
        <v>158</v>
      </c>
      <c r="D163" s="46" t="s">
        <v>321</v>
      </c>
      <c r="E163" s="72" t="s">
        <v>322</v>
      </c>
      <c r="F163" s="73">
        <v>1369384101</v>
      </c>
      <c r="G163" s="73">
        <f t="shared" si="34"/>
        <v>0</v>
      </c>
      <c r="H163" s="73">
        <f t="shared" si="35"/>
        <v>0</v>
      </c>
      <c r="I163" s="73">
        <f t="shared" si="36"/>
        <v>0</v>
      </c>
      <c r="J163" s="73">
        <f t="shared" si="37"/>
        <v>0</v>
      </c>
      <c r="K163" s="73">
        <f t="shared" si="38"/>
        <v>1369384101</v>
      </c>
      <c r="L163" s="73">
        <f t="shared" si="39"/>
        <v>0</v>
      </c>
      <c r="M163" s="73">
        <f t="shared" si="40"/>
        <v>0</v>
      </c>
      <c r="N163" s="73">
        <f t="shared" si="41"/>
        <v>0</v>
      </c>
      <c r="O163" s="73">
        <f t="shared" si="42"/>
        <v>0</v>
      </c>
      <c r="P163" s="73">
        <f t="shared" si="43"/>
        <v>0</v>
      </c>
      <c r="Q163" s="73">
        <f t="shared" si="44"/>
        <v>0</v>
      </c>
      <c r="R163" s="73">
        <f t="shared" si="45"/>
        <v>0</v>
      </c>
      <c r="S163" s="73">
        <f t="shared" si="46"/>
        <v>0</v>
      </c>
      <c r="T163" s="73">
        <f t="shared" si="47"/>
        <v>0</v>
      </c>
      <c r="U163" s="73">
        <f t="shared" si="48"/>
        <v>0</v>
      </c>
      <c r="V163" s="73">
        <f t="shared" si="49"/>
        <v>0</v>
      </c>
      <c r="W163" s="73">
        <f t="shared" si="50"/>
        <v>0</v>
      </c>
      <c r="X163" s="74"/>
    </row>
    <row r="164" spans="1:24" ht="21.75" hidden="1">
      <c r="A164" s="75">
        <v>907</v>
      </c>
      <c r="B164" s="76">
        <v>9</v>
      </c>
      <c r="C164" s="77">
        <v>159</v>
      </c>
      <c r="D164" s="78" t="s">
        <v>323</v>
      </c>
      <c r="E164" s="79" t="s">
        <v>324</v>
      </c>
      <c r="F164" s="80">
        <v>220455629811</v>
      </c>
      <c r="G164" s="73">
        <f t="shared" si="34"/>
        <v>0</v>
      </c>
      <c r="H164" s="73">
        <f t="shared" si="35"/>
        <v>0</v>
      </c>
      <c r="I164" s="73">
        <f t="shared" si="36"/>
        <v>0</v>
      </c>
      <c r="J164" s="73">
        <f t="shared" si="37"/>
        <v>0</v>
      </c>
      <c r="K164" s="73">
        <f t="shared" si="38"/>
        <v>0</v>
      </c>
      <c r="L164" s="73">
        <f t="shared" si="39"/>
        <v>220455629811</v>
      </c>
      <c r="M164" s="73">
        <f t="shared" si="40"/>
        <v>0</v>
      </c>
      <c r="N164" s="73">
        <f t="shared" si="41"/>
        <v>0</v>
      </c>
      <c r="O164" s="73">
        <f t="shared" si="42"/>
        <v>0</v>
      </c>
      <c r="P164" s="73">
        <f t="shared" si="43"/>
        <v>0</v>
      </c>
      <c r="Q164" s="73">
        <f t="shared" si="44"/>
        <v>0</v>
      </c>
      <c r="R164" s="73">
        <f t="shared" si="45"/>
        <v>0</v>
      </c>
      <c r="S164" s="73">
        <f t="shared" si="46"/>
        <v>0</v>
      </c>
      <c r="T164" s="73">
        <f t="shared" si="47"/>
        <v>0</v>
      </c>
      <c r="U164" s="73">
        <f t="shared" si="48"/>
        <v>0</v>
      </c>
      <c r="V164" s="73">
        <f t="shared" si="49"/>
        <v>0</v>
      </c>
      <c r="W164" s="73">
        <f t="shared" si="50"/>
        <v>0</v>
      </c>
      <c r="X164" s="81"/>
    </row>
    <row r="165" spans="1:24" ht="21.75" hidden="1">
      <c r="A165" s="69">
        <v>1801</v>
      </c>
      <c r="B165" s="70">
        <v>18</v>
      </c>
      <c r="C165" s="71">
        <v>160</v>
      </c>
      <c r="D165" s="46" t="s">
        <v>327</v>
      </c>
      <c r="E165" s="72" t="s">
        <v>328</v>
      </c>
      <c r="F165" s="73">
        <v>-12000000000000</v>
      </c>
      <c r="G165" s="73">
        <f t="shared" si="34"/>
        <v>0</v>
      </c>
      <c r="H165" s="73">
        <f t="shared" si="35"/>
        <v>0</v>
      </c>
      <c r="I165" s="73">
        <f t="shared" si="36"/>
        <v>0</v>
      </c>
      <c r="J165" s="73">
        <f t="shared" si="37"/>
        <v>0</v>
      </c>
      <c r="K165" s="73">
        <f t="shared" si="38"/>
        <v>0</v>
      </c>
      <c r="L165" s="73">
        <f t="shared" si="39"/>
        <v>0</v>
      </c>
      <c r="M165" s="73">
        <f t="shared" si="40"/>
        <v>0</v>
      </c>
      <c r="N165" s="73">
        <f t="shared" si="41"/>
        <v>0</v>
      </c>
      <c r="O165" s="73">
        <f t="shared" si="42"/>
        <v>0</v>
      </c>
      <c r="P165" s="73">
        <f t="shared" si="43"/>
        <v>0</v>
      </c>
      <c r="Q165" s="73">
        <f t="shared" si="44"/>
        <v>0</v>
      </c>
      <c r="R165" s="73">
        <f t="shared" si="45"/>
        <v>0</v>
      </c>
      <c r="S165" s="73">
        <f t="shared" si="46"/>
        <v>0</v>
      </c>
      <c r="T165" s="73">
        <f t="shared" si="47"/>
        <v>0</v>
      </c>
      <c r="U165" s="73">
        <f t="shared" si="48"/>
        <v>-12000000000000</v>
      </c>
      <c r="V165" s="73">
        <f t="shared" si="49"/>
        <v>0</v>
      </c>
      <c r="W165" s="73">
        <f t="shared" si="50"/>
        <v>0</v>
      </c>
      <c r="X165" s="74"/>
    </row>
    <row r="166" spans="1:24" ht="21.75" hidden="1">
      <c r="A166" s="75">
        <v>1901</v>
      </c>
      <c r="B166" s="76">
        <v>19</v>
      </c>
      <c r="C166" s="77">
        <v>161</v>
      </c>
      <c r="D166" s="78" t="s">
        <v>329</v>
      </c>
      <c r="E166" s="79" t="s">
        <v>330</v>
      </c>
      <c r="F166" s="80">
        <v>-500000</v>
      </c>
      <c r="G166" s="73">
        <f t="shared" si="34"/>
        <v>0</v>
      </c>
      <c r="H166" s="73">
        <f t="shared" si="35"/>
        <v>0</v>
      </c>
      <c r="I166" s="73">
        <f t="shared" si="36"/>
        <v>0</v>
      </c>
      <c r="J166" s="73">
        <f t="shared" si="37"/>
        <v>0</v>
      </c>
      <c r="K166" s="73">
        <f t="shared" si="38"/>
        <v>0</v>
      </c>
      <c r="L166" s="73">
        <f t="shared" si="39"/>
        <v>0</v>
      </c>
      <c r="M166" s="73">
        <f t="shared" si="40"/>
        <v>0</v>
      </c>
      <c r="N166" s="73">
        <f t="shared" si="41"/>
        <v>0</v>
      </c>
      <c r="O166" s="73">
        <f t="shared" si="42"/>
        <v>0</v>
      </c>
      <c r="P166" s="73">
        <f t="shared" si="43"/>
        <v>0</v>
      </c>
      <c r="Q166" s="73">
        <f t="shared" si="44"/>
        <v>0</v>
      </c>
      <c r="R166" s="73">
        <f t="shared" si="45"/>
        <v>0</v>
      </c>
      <c r="S166" s="73">
        <f t="shared" si="46"/>
        <v>0</v>
      </c>
      <c r="T166" s="73">
        <f t="shared" si="47"/>
        <v>0</v>
      </c>
      <c r="U166" s="73">
        <f t="shared" si="48"/>
        <v>0</v>
      </c>
      <c r="V166" s="73">
        <f t="shared" si="49"/>
        <v>-500000</v>
      </c>
      <c r="W166" s="73">
        <f t="shared" si="50"/>
        <v>0</v>
      </c>
      <c r="X166" s="81"/>
    </row>
    <row r="167" spans="1:24" ht="21.75" hidden="1">
      <c r="A167" s="69">
        <v>1901</v>
      </c>
      <c r="B167" s="70">
        <v>19</v>
      </c>
      <c r="C167" s="71">
        <v>162</v>
      </c>
      <c r="D167" s="46" t="s">
        <v>331</v>
      </c>
      <c r="E167" s="72" t="s">
        <v>332</v>
      </c>
      <c r="F167" s="73">
        <v>-8876565944</v>
      </c>
      <c r="G167" s="73">
        <f t="shared" si="34"/>
        <v>0</v>
      </c>
      <c r="H167" s="73">
        <f t="shared" si="35"/>
        <v>0</v>
      </c>
      <c r="I167" s="73">
        <f t="shared" si="36"/>
        <v>0</v>
      </c>
      <c r="J167" s="73">
        <f t="shared" si="37"/>
        <v>0</v>
      </c>
      <c r="K167" s="73">
        <f t="shared" si="38"/>
        <v>0</v>
      </c>
      <c r="L167" s="73">
        <f t="shared" si="39"/>
        <v>0</v>
      </c>
      <c r="M167" s="73">
        <f t="shared" si="40"/>
        <v>0</v>
      </c>
      <c r="N167" s="73">
        <f t="shared" si="41"/>
        <v>0</v>
      </c>
      <c r="O167" s="73">
        <f t="shared" si="42"/>
        <v>0</v>
      </c>
      <c r="P167" s="73">
        <f t="shared" si="43"/>
        <v>0</v>
      </c>
      <c r="Q167" s="73">
        <f t="shared" si="44"/>
        <v>0</v>
      </c>
      <c r="R167" s="73">
        <f t="shared" si="45"/>
        <v>0</v>
      </c>
      <c r="S167" s="73">
        <f t="shared" si="46"/>
        <v>0</v>
      </c>
      <c r="T167" s="73">
        <f t="shared" si="47"/>
        <v>0</v>
      </c>
      <c r="U167" s="73">
        <f t="shared" si="48"/>
        <v>0</v>
      </c>
      <c r="V167" s="73">
        <f t="shared" si="49"/>
        <v>-8876565944</v>
      </c>
      <c r="W167" s="73">
        <f t="shared" si="50"/>
        <v>0</v>
      </c>
      <c r="X167" s="74"/>
    </row>
    <row r="168" spans="1:24" ht="21.75" hidden="1">
      <c r="A168" s="75">
        <v>1601</v>
      </c>
      <c r="B168" s="76">
        <v>16</v>
      </c>
      <c r="C168" s="77">
        <v>163</v>
      </c>
      <c r="D168" s="78" t="s">
        <v>391</v>
      </c>
      <c r="E168" s="79" t="s">
        <v>392</v>
      </c>
      <c r="F168" s="80">
        <v>0</v>
      </c>
      <c r="G168" s="73">
        <f t="shared" si="34"/>
        <v>0</v>
      </c>
      <c r="H168" s="73">
        <f t="shared" si="35"/>
        <v>0</v>
      </c>
      <c r="I168" s="73">
        <f t="shared" si="36"/>
        <v>0</v>
      </c>
      <c r="J168" s="73">
        <f t="shared" si="37"/>
        <v>0</v>
      </c>
      <c r="K168" s="73">
        <f t="shared" si="38"/>
        <v>0</v>
      </c>
      <c r="L168" s="73">
        <f t="shared" si="39"/>
        <v>0</v>
      </c>
      <c r="M168" s="73">
        <f t="shared" si="40"/>
        <v>0</v>
      </c>
      <c r="N168" s="73">
        <f t="shared" si="41"/>
        <v>0</v>
      </c>
      <c r="O168" s="73">
        <f t="shared" si="42"/>
        <v>0</v>
      </c>
      <c r="P168" s="73">
        <f t="shared" si="43"/>
        <v>0</v>
      </c>
      <c r="Q168" s="73">
        <f t="shared" si="44"/>
        <v>0</v>
      </c>
      <c r="R168" s="73">
        <f t="shared" si="45"/>
        <v>0</v>
      </c>
      <c r="S168" s="73">
        <f t="shared" si="46"/>
        <v>0</v>
      </c>
      <c r="T168" s="73">
        <f t="shared" si="47"/>
        <v>0</v>
      </c>
      <c r="U168" s="73">
        <f t="shared" si="48"/>
        <v>0</v>
      </c>
      <c r="V168" s="73">
        <f t="shared" si="49"/>
        <v>0</v>
      </c>
      <c r="W168" s="73">
        <f t="shared" si="50"/>
        <v>0</v>
      </c>
      <c r="X168" s="81"/>
    </row>
    <row r="169" spans="1:24" ht="21.75" hidden="1">
      <c r="A169" s="69">
        <v>901</v>
      </c>
      <c r="B169" s="70">
        <v>9</v>
      </c>
      <c r="C169" s="71">
        <v>164</v>
      </c>
      <c r="D169" s="46" t="s">
        <v>112</v>
      </c>
      <c r="E169" s="72" t="s">
        <v>113</v>
      </c>
      <c r="F169" s="73">
        <v>1022028311474</v>
      </c>
      <c r="G169" s="73">
        <f t="shared" si="34"/>
        <v>0</v>
      </c>
      <c r="H169" s="73">
        <f t="shared" si="35"/>
        <v>0</v>
      </c>
      <c r="I169" s="73">
        <f t="shared" si="36"/>
        <v>0</v>
      </c>
      <c r="J169" s="73">
        <f t="shared" si="37"/>
        <v>0</v>
      </c>
      <c r="K169" s="73">
        <f t="shared" si="38"/>
        <v>0</v>
      </c>
      <c r="L169" s="73">
        <f t="shared" si="39"/>
        <v>1022028311474</v>
      </c>
      <c r="M169" s="73">
        <f t="shared" si="40"/>
        <v>0</v>
      </c>
      <c r="N169" s="73">
        <f t="shared" si="41"/>
        <v>0</v>
      </c>
      <c r="O169" s="73">
        <f t="shared" si="42"/>
        <v>0</v>
      </c>
      <c r="P169" s="73">
        <f t="shared" si="43"/>
        <v>0</v>
      </c>
      <c r="Q169" s="73">
        <f t="shared" si="44"/>
        <v>0</v>
      </c>
      <c r="R169" s="73">
        <f t="shared" si="45"/>
        <v>0</v>
      </c>
      <c r="S169" s="73">
        <f t="shared" si="46"/>
        <v>0</v>
      </c>
      <c r="T169" s="73">
        <f t="shared" si="47"/>
        <v>0</v>
      </c>
      <c r="U169" s="73">
        <f t="shared" si="48"/>
        <v>0</v>
      </c>
      <c r="V169" s="73">
        <f t="shared" si="49"/>
        <v>0</v>
      </c>
      <c r="W169" s="73">
        <f t="shared" si="50"/>
        <v>0</v>
      </c>
      <c r="X169" s="74"/>
    </row>
    <row r="170" spans="1:24" ht="21.75" hidden="1">
      <c r="A170" s="75">
        <v>902</v>
      </c>
      <c r="B170" s="76">
        <v>9</v>
      </c>
      <c r="C170" s="77">
        <v>165</v>
      </c>
      <c r="D170" s="78" t="s">
        <v>114</v>
      </c>
      <c r="E170" s="79" t="s">
        <v>104</v>
      </c>
      <c r="F170" s="80">
        <v>13932235776432</v>
      </c>
      <c r="G170" s="73">
        <f t="shared" si="34"/>
        <v>0</v>
      </c>
      <c r="H170" s="73">
        <f t="shared" si="35"/>
        <v>0</v>
      </c>
      <c r="I170" s="73">
        <f t="shared" si="36"/>
        <v>0</v>
      </c>
      <c r="J170" s="73">
        <f t="shared" si="37"/>
        <v>0</v>
      </c>
      <c r="K170" s="73">
        <f t="shared" si="38"/>
        <v>0</v>
      </c>
      <c r="L170" s="73">
        <f t="shared" si="39"/>
        <v>13932235776432</v>
      </c>
      <c r="M170" s="73">
        <f t="shared" si="40"/>
        <v>0</v>
      </c>
      <c r="N170" s="73">
        <f t="shared" si="41"/>
        <v>0</v>
      </c>
      <c r="O170" s="73">
        <f t="shared" si="42"/>
        <v>0</v>
      </c>
      <c r="P170" s="73">
        <f t="shared" si="43"/>
        <v>0</v>
      </c>
      <c r="Q170" s="73">
        <f t="shared" si="44"/>
        <v>0</v>
      </c>
      <c r="R170" s="73">
        <f t="shared" si="45"/>
        <v>0</v>
      </c>
      <c r="S170" s="73">
        <f t="shared" si="46"/>
        <v>0</v>
      </c>
      <c r="T170" s="73">
        <f t="shared" si="47"/>
        <v>0</v>
      </c>
      <c r="U170" s="73">
        <f t="shared" si="48"/>
        <v>0</v>
      </c>
      <c r="V170" s="73">
        <f t="shared" si="49"/>
        <v>0</v>
      </c>
      <c r="W170" s="73">
        <f t="shared" si="50"/>
        <v>0</v>
      </c>
      <c r="X170" s="81"/>
    </row>
    <row r="171" spans="1:24" ht="21.75" hidden="1">
      <c r="A171" s="69">
        <v>903</v>
      </c>
      <c r="B171" s="70">
        <v>9</v>
      </c>
      <c r="C171" s="71">
        <v>166</v>
      </c>
      <c r="D171" s="46" t="s">
        <v>105</v>
      </c>
      <c r="E171" s="72" t="s">
        <v>106</v>
      </c>
      <c r="F171" s="73">
        <v>338362562763</v>
      </c>
      <c r="G171" s="73">
        <f t="shared" si="34"/>
        <v>0</v>
      </c>
      <c r="H171" s="73">
        <f t="shared" si="35"/>
        <v>0</v>
      </c>
      <c r="I171" s="73">
        <f t="shared" si="36"/>
        <v>0</v>
      </c>
      <c r="J171" s="73">
        <f t="shared" si="37"/>
        <v>0</v>
      </c>
      <c r="K171" s="73">
        <f t="shared" si="38"/>
        <v>0</v>
      </c>
      <c r="L171" s="73">
        <f t="shared" si="39"/>
        <v>338362562763</v>
      </c>
      <c r="M171" s="73">
        <f t="shared" si="40"/>
        <v>0</v>
      </c>
      <c r="N171" s="73">
        <f t="shared" si="41"/>
        <v>0</v>
      </c>
      <c r="O171" s="73">
        <f t="shared" si="42"/>
        <v>0</v>
      </c>
      <c r="P171" s="73">
        <f t="shared" si="43"/>
        <v>0</v>
      </c>
      <c r="Q171" s="73">
        <f t="shared" si="44"/>
        <v>0</v>
      </c>
      <c r="R171" s="73">
        <f t="shared" si="45"/>
        <v>0</v>
      </c>
      <c r="S171" s="73">
        <f t="shared" si="46"/>
        <v>0</v>
      </c>
      <c r="T171" s="73">
        <f t="shared" si="47"/>
        <v>0</v>
      </c>
      <c r="U171" s="73">
        <f t="shared" si="48"/>
        <v>0</v>
      </c>
      <c r="V171" s="73">
        <f t="shared" si="49"/>
        <v>0</v>
      </c>
      <c r="W171" s="73">
        <f t="shared" si="50"/>
        <v>0</v>
      </c>
      <c r="X171" s="74"/>
    </row>
    <row r="172" spans="1:24" ht="21.75" hidden="1">
      <c r="A172" s="75">
        <v>905</v>
      </c>
      <c r="B172" s="76">
        <v>9</v>
      </c>
      <c r="C172" s="77">
        <v>167</v>
      </c>
      <c r="D172" s="78" t="s">
        <v>107</v>
      </c>
      <c r="E172" s="79" t="s">
        <v>148</v>
      </c>
      <c r="F172" s="80">
        <v>324731380283</v>
      </c>
      <c r="G172" s="73">
        <f t="shared" si="34"/>
        <v>0</v>
      </c>
      <c r="H172" s="73">
        <f t="shared" si="35"/>
        <v>0</v>
      </c>
      <c r="I172" s="73">
        <f t="shared" si="36"/>
        <v>0</v>
      </c>
      <c r="J172" s="73">
        <f t="shared" si="37"/>
        <v>0</v>
      </c>
      <c r="K172" s="73">
        <f t="shared" si="38"/>
        <v>0</v>
      </c>
      <c r="L172" s="73">
        <f t="shared" si="39"/>
        <v>324731380283</v>
      </c>
      <c r="M172" s="73">
        <f t="shared" si="40"/>
        <v>0</v>
      </c>
      <c r="N172" s="73">
        <f t="shared" si="41"/>
        <v>0</v>
      </c>
      <c r="O172" s="73">
        <f t="shared" si="42"/>
        <v>0</v>
      </c>
      <c r="P172" s="73">
        <f t="shared" si="43"/>
        <v>0</v>
      </c>
      <c r="Q172" s="73">
        <f t="shared" si="44"/>
        <v>0</v>
      </c>
      <c r="R172" s="73">
        <f t="shared" si="45"/>
        <v>0</v>
      </c>
      <c r="S172" s="73">
        <f t="shared" si="46"/>
        <v>0</v>
      </c>
      <c r="T172" s="73">
        <f t="shared" si="47"/>
        <v>0</v>
      </c>
      <c r="U172" s="73">
        <f t="shared" si="48"/>
        <v>0</v>
      </c>
      <c r="V172" s="73">
        <f t="shared" si="49"/>
        <v>0</v>
      </c>
      <c r="W172" s="73">
        <f t="shared" si="50"/>
        <v>0</v>
      </c>
      <c r="X172" s="81"/>
    </row>
    <row r="173" spans="1:24" ht="21.75" hidden="1">
      <c r="A173" s="69">
        <v>904</v>
      </c>
      <c r="B173" s="70">
        <v>9</v>
      </c>
      <c r="C173" s="71">
        <v>168</v>
      </c>
      <c r="D173" s="46" t="s">
        <v>149</v>
      </c>
      <c r="E173" s="72" t="s">
        <v>150</v>
      </c>
      <c r="F173" s="73">
        <v>59391451586</v>
      </c>
      <c r="G173" s="73">
        <f t="shared" si="34"/>
        <v>0</v>
      </c>
      <c r="H173" s="73">
        <f t="shared" si="35"/>
        <v>0</v>
      </c>
      <c r="I173" s="73">
        <f t="shared" si="36"/>
        <v>0</v>
      </c>
      <c r="J173" s="73">
        <f t="shared" si="37"/>
        <v>0</v>
      </c>
      <c r="K173" s="73">
        <f t="shared" si="38"/>
        <v>0</v>
      </c>
      <c r="L173" s="73">
        <f t="shared" si="39"/>
        <v>59391451586</v>
      </c>
      <c r="M173" s="73">
        <f t="shared" si="40"/>
        <v>0</v>
      </c>
      <c r="N173" s="73">
        <f t="shared" si="41"/>
        <v>0</v>
      </c>
      <c r="O173" s="73">
        <f t="shared" si="42"/>
        <v>0</v>
      </c>
      <c r="P173" s="73">
        <f t="shared" si="43"/>
        <v>0</v>
      </c>
      <c r="Q173" s="73">
        <f t="shared" si="44"/>
        <v>0</v>
      </c>
      <c r="R173" s="73">
        <f t="shared" si="45"/>
        <v>0</v>
      </c>
      <c r="S173" s="73">
        <f t="shared" si="46"/>
        <v>0</v>
      </c>
      <c r="T173" s="73">
        <f t="shared" si="47"/>
        <v>0</v>
      </c>
      <c r="U173" s="73">
        <f t="shared" si="48"/>
        <v>0</v>
      </c>
      <c r="V173" s="73">
        <f t="shared" si="49"/>
        <v>0</v>
      </c>
      <c r="W173" s="73">
        <f t="shared" si="50"/>
        <v>0</v>
      </c>
      <c r="X173" s="74"/>
    </row>
    <row r="174" spans="1:24" ht="21.75" hidden="1">
      <c r="A174" s="75">
        <v>902</v>
      </c>
      <c r="B174" s="76">
        <v>9</v>
      </c>
      <c r="C174" s="77">
        <v>169</v>
      </c>
      <c r="D174" s="78" t="s">
        <v>151</v>
      </c>
      <c r="E174" s="79" t="s">
        <v>508</v>
      </c>
      <c r="F174" s="80">
        <v>-5895064024294</v>
      </c>
      <c r="G174" s="73">
        <f t="shared" si="34"/>
        <v>0</v>
      </c>
      <c r="H174" s="73">
        <f t="shared" si="35"/>
        <v>0</v>
      </c>
      <c r="I174" s="73">
        <f t="shared" si="36"/>
        <v>0</v>
      </c>
      <c r="J174" s="73">
        <f t="shared" si="37"/>
        <v>0</v>
      </c>
      <c r="K174" s="73">
        <f t="shared" si="38"/>
        <v>0</v>
      </c>
      <c r="L174" s="73">
        <f t="shared" si="39"/>
        <v>-5895064024294</v>
      </c>
      <c r="M174" s="73">
        <f t="shared" si="40"/>
        <v>0</v>
      </c>
      <c r="N174" s="73">
        <f t="shared" si="41"/>
        <v>0</v>
      </c>
      <c r="O174" s="73">
        <f t="shared" si="42"/>
        <v>0</v>
      </c>
      <c r="P174" s="73">
        <f t="shared" si="43"/>
        <v>0</v>
      </c>
      <c r="Q174" s="73">
        <f t="shared" si="44"/>
        <v>0</v>
      </c>
      <c r="R174" s="73">
        <f t="shared" si="45"/>
        <v>0</v>
      </c>
      <c r="S174" s="73">
        <f t="shared" si="46"/>
        <v>0</v>
      </c>
      <c r="T174" s="73">
        <f t="shared" si="47"/>
        <v>0</v>
      </c>
      <c r="U174" s="73">
        <f t="shared" si="48"/>
        <v>0</v>
      </c>
      <c r="V174" s="73">
        <f t="shared" si="49"/>
        <v>0</v>
      </c>
      <c r="W174" s="73">
        <f t="shared" si="50"/>
        <v>0</v>
      </c>
      <c r="X174" s="81"/>
    </row>
    <row r="175" spans="1:24" ht="21.75" hidden="1">
      <c r="A175" s="69">
        <v>903</v>
      </c>
      <c r="B175" s="70">
        <v>9</v>
      </c>
      <c r="C175" s="71">
        <v>170</v>
      </c>
      <c r="D175" s="46" t="s">
        <v>509</v>
      </c>
      <c r="E175" s="72" t="s">
        <v>286</v>
      </c>
      <c r="F175" s="73">
        <v>-139447298285</v>
      </c>
      <c r="G175" s="73">
        <f t="shared" si="34"/>
        <v>0</v>
      </c>
      <c r="H175" s="73">
        <f t="shared" si="35"/>
        <v>0</v>
      </c>
      <c r="I175" s="73">
        <f t="shared" si="36"/>
        <v>0</v>
      </c>
      <c r="J175" s="73">
        <f t="shared" si="37"/>
        <v>0</v>
      </c>
      <c r="K175" s="73">
        <f t="shared" si="38"/>
        <v>0</v>
      </c>
      <c r="L175" s="73">
        <f t="shared" si="39"/>
        <v>-139447298285</v>
      </c>
      <c r="M175" s="73">
        <f t="shared" si="40"/>
        <v>0</v>
      </c>
      <c r="N175" s="73">
        <f t="shared" si="41"/>
        <v>0</v>
      </c>
      <c r="O175" s="73">
        <f t="shared" si="42"/>
        <v>0</v>
      </c>
      <c r="P175" s="73">
        <f t="shared" si="43"/>
        <v>0</v>
      </c>
      <c r="Q175" s="73">
        <f t="shared" si="44"/>
        <v>0</v>
      </c>
      <c r="R175" s="73">
        <f t="shared" si="45"/>
        <v>0</v>
      </c>
      <c r="S175" s="73">
        <f t="shared" si="46"/>
        <v>0</v>
      </c>
      <c r="T175" s="73">
        <f t="shared" si="47"/>
        <v>0</v>
      </c>
      <c r="U175" s="73">
        <f t="shared" si="48"/>
        <v>0</v>
      </c>
      <c r="V175" s="73">
        <f t="shared" si="49"/>
        <v>0</v>
      </c>
      <c r="W175" s="73">
        <f t="shared" si="50"/>
        <v>0</v>
      </c>
      <c r="X175" s="74"/>
    </row>
    <row r="176" spans="1:24" ht="21.75" hidden="1">
      <c r="A176" s="75">
        <v>905</v>
      </c>
      <c r="B176" s="76">
        <v>9</v>
      </c>
      <c r="C176" s="77">
        <v>171</v>
      </c>
      <c r="D176" s="78" t="s">
        <v>287</v>
      </c>
      <c r="E176" s="79" t="s">
        <v>288</v>
      </c>
      <c r="F176" s="80">
        <v>-192719258004</v>
      </c>
      <c r="G176" s="73">
        <f t="shared" si="34"/>
        <v>0</v>
      </c>
      <c r="H176" s="73">
        <f t="shared" si="35"/>
        <v>0</v>
      </c>
      <c r="I176" s="73">
        <f t="shared" si="36"/>
        <v>0</v>
      </c>
      <c r="J176" s="73">
        <f t="shared" si="37"/>
        <v>0</v>
      </c>
      <c r="K176" s="73">
        <f t="shared" si="38"/>
        <v>0</v>
      </c>
      <c r="L176" s="73">
        <f t="shared" si="39"/>
        <v>-192719258004</v>
      </c>
      <c r="M176" s="73">
        <f t="shared" si="40"/>
        <v>0</v>
      </c>
      <c r="N176" s="73">
        <f t="shared" si="41"/>
        <v>0</v>
      </c>
      <c r="O176" s="73">
        <f t="shared" si="42"/>
        <v>0</v>
      </c>
      <c r="P176" s="73">
        <f t="shared" si="43"/>
        <v>0</v>
      </c>
      <c r="Q176" s="73">
        <f t="shared" si="44"/>
        <v>0</v>
      </c>
      <c r="R176" s="73">
        <f t="shared" si="45"/>
        <v>0</v>
      </c>
      <c r="S176" s="73">
        <f t="shared" si="46"/>
        <v>0</v>
      </c>
      <c r="T176" s="73">
        <f t="shared" si="47"/>
        <v>0</v>
      </c>
      <c r="U176" s="73">
        <f t="shared" si="48"/>
        <v>0</v>
      </c>
      <c r="V176" s="73">
        <f t="shared" si="49"/>
        <v>0</v>
      </c>
      <c r="W176" s="73">
        <f t="shared" si="50"/>
        <v>0</v>
      </c>
      <c r="X176" s="81"/>
    </row>
    <row r="177" spans="1:24" ht="21.75" hidden="1">
      <c r="A177" s="69">
        <v>904</v>
      </c>
      <c r="B177" s="70">
        <v>9</v>
      </c>
      <c r="C177" s="71">
        <v>172</v>
      </c>
      <c r="D177" s="46" t="s">
        <v>289</v>
      </c>
      <c r="E177" s="72" t="s">
        <v>290</v>
      </c>
      <c r="F177" s="73">
        <v>-33263541669</v>
      </c>
      <c r="G177" s="73">
        <f t="shared" si="34"/>
        <v>0</v>
      </c>
      <c r="H177" s="73">
        <f t="shared" si="35"/>
        <v>0</v>
      </c>
      <c r="I177" s="73">
        <f t="shared" si="36"/>
        <v>0</v>
      </c>
      <c r="J177" s="73">
        <f t="shared" si="37"/>
        <v>0</v>
      </c>
      <c r="K177" s="73">
        <f t="shared" si="38"/>
        <v>0</v>
      </c>
      <c r="L177" s="73">
        <f t="shared" si="39"/>
        <v>-33263541669</v>
      </c>
      <c r="M177" s="73">
        <f t="shared" si="40"/>
        <v>0</v>
      </c>
      <c r="N177" s="73">
        <f t="shared" si="41"/>
        <v>0</v>
      </c>
      <c r="O177" s="73">
        <f t="shared" si="42"/>
        <v>0</v>
      </c>
      <c r="P177" s="73">
        <f t="shared" si="43"/>
        <v>0</v>
      </c>
      <c r="Q177" s="73">
        <f t="shared" si="44"/>
        <v>0</v>
      </c>
      <c r="R177" s="73">
        <f t="shared" si="45"/>
        <v>0</v>
      </c>
      <c r="S177" s="73">
        <f t="shared" si="46"/>
        <v>0</v>
      </c>
      <c r="T177" s="73">
        <f t="shared" si="47"/>
        <v>0</v>
      </c>
      <c r="U177" s="73">
        <f t="shared" si="48"/>
        <v>0</v>
      </c>
      <c r="V177" s="73">
        <f t="shared" si="49"/>
        <v>0</v>
      </c>
      <c r="W177" s="73">
        <f t="shared" si="50"/>
        <v>0</v>
      </c>
      <c r="X177" s="74"/>
    </row>
    <row r="178" spans="1:24" ht="21.75" hidden="1">
      <c r="A178" s="75">
        <v>1102</v>
      </c>
      <c r="B178" s="76">
        <v>11</v>
      </c>
      <c r="C178" s="77">
        <v>173</v>
      </c>
      <c r="D178" s="78" t="s">
        <v>291</v>
      </c>
      <c r="E178" s="79" t="s">
        <v>495</v>
      </c>
      <c r="F178" s="80">
        <v>1000000</v>
      </c>
      <c r="G178" s="73">
        <f t="shared" si="34"/>
        <v>0</v>
      </c>
      <c r="H178" s="73">
        <f t="shared" si="35"/>
        <v>0</v>
      </c>
      <c r="I178" s="73">
        <f t="shared" si="36"/>
        <v>0</v>
      </c>
      <c r="J178" s="73">
        <f t="shared" si="37"/>
        <v>0</v>
      </c>
      <c r="K178" s="73">
        <f t="shared" si="38"/>
        <v>0</v>
      </c>
      <c r="L178" s="73">
        <f t="shared" si="39"/>
        <v>0</v>
      </c>
      <c r="M178" s="73">
        <f t="shared" si="40"/>
        <v>0</v>
      </c>
      <c r="N178" s="73">
        <f t="shared" si="41"/>
        <v>1000000</v>
      </c>
      <c r="O178" s="73">
        <f t="shared" si="42"/>
        <v>0</v>
      </c>
      <c r="P178" s="73">
        <f t="shared" si="43"/>
        <v>0</v>
      </c>
      <c r="Q178" s="73">
        <f t="shared" si="44"/>
        <v>0</v>
      </c>
      <c r="R178" s="73">
        <f t="shared" si="45"/>
        <v>0</v>
      </c>
      <c r="S178" s="73">
        <f t="shared" si="46"/>
        <v>0</v>
      </c>
      <c r="T178" s="73">
        <f t="shared" si="47"/>
        <v>0</v>
      </c>
      <c r="U178" s="73">
        <f t="shared" si="48"/>
        <v>0</v>
      </c>
      <c r="V178" s="73">
        <f t="shared" si="49"/>
        <v>0</v>
      </c>
      <c r="W178" s="73">
        <f t="shared" si="50"/>
        <v>0</v>
      </c>
      <c r="X178" s="81"/>
    </row>
    <row r="179" spans="1:24" ht="21.75" hidden="1">
      <c r="A179" s="69">
        <v>1101</v>
      </c>
      <c r="B179" s="70">
        <v>11</v>
      </c>
      <c r="C179" s="71">
        <v>174</v>
      </c>
      <c r="D179" s="46" t="s">
        <v>610</v>
      </c>
      <c r="E179" s="72" t="s">
        <v>611</v>
      </c>
      <c r="F179" s="73">
        <v>23502950423</v>
      </c>
      <c r="G179" s="73">
        <f t="shared" si="34"/>
        <v>0</v>
      </c>
      <c r="H179" s="73">
        <f t="shared" si="35"/>
        <v>0</v>
      </c>
      <c r="I179" s="73">
        <f t="shared" si="36"/>
        <v>0</v>
      </c>
      <c r="J179" s="73">
        <f t="shared" si="37"/>
        <v>0</v>
      </c>
      <c r="K179" s="73">
        <f t="shared" si="38"/>
        <v>0</v>
      </c>
      <c r="L179" s="73">
        <f t="shared" si="39"/>
        <v>0</v>
      </c>
      <c r="M179" s="73">
        <f t="shared" si="40"/>
        <v>0</v>
      </c>
      <c r="N179" s="73">
        <f t="shared" si="41"/>
        <v>23502950423</v>
      </c>
      <c r="O179" s="73">
        <f t="shared" si="42"/>
        <v>0</v>
      </c>
      <c r="P179" s="73">
        <f t="shared" si="43"/>
        <v>0</v>
      </c>
      <c r="Q179" s="73">
        <f t="shared" si="44"/>
        <v>0</v>
      </c>
      <c r="R179" s="73">
        <f t="shared" si="45"/>
        <v>0</v>
      </c>
      <c r="S179" s="73">
        <f t="shared" si="46"/>
        <v>0</v>
      </c>
      <c r="T179" s="73">
        <f t="shared" si="47"/>
        <v>0</v>
      </c>
      <c r="U179" s="73">
        <f t="shared" si="48"/>
        <v>0</v>
      </c>
      <c r="V179" s="73">
        <f t="shared" si="49"/>
        <v>0</v>
      </c>
      <c r="W179" s="73">
        <f t="shared" si="50"/>
        <v>0</v>
      </c>
      <c r="X179" s="74"/>
    </row>
    <row r="180" spans="1:24" ht="21.75" hidden="1">
      <c r="A180" s="69">
        <v>706</v>
      </c>
      <c r="B180" s="76">
        <v>7</v>
      </c>
      <c r="C180" s="77">
        <v>175</v>
      </c>
      <c r="D180" s="78" t="s">
        <v>145</v>
      </c>
      <c r="E180" s="79" t="s">
        <v>496</v>
      </c>
      <c r="F180" s="80">
        <v>214844387</v>
      </c>
      <c r="G180" s="73">
        <f t="shared" si="34"/>
        <v>0</v>
      </c>
      <c r="H180" s="73">
        <f t="shared" si="35"/>
        <v>0</v>
      </c>
      <c r="I180" s="73">
        <f t="shared" si="36"/>
        <v>0</v>
      </c>
      <c r="J180" s="73">
        <f t="shared" si="37"/>
        <v>214844387</v>
      </c>
      <c r="K180" s="73">
        <f t="shared" si="38"/>
        <v>0</v>
      </c>
      <c r="L180" s="73">
        <f t="shared" si="39"/>
        <v>0</v>
      </c>
      <c r="M180" s="73">
        <f t="shared" si="40"/>
        <v>0</v>
      </c>
      <c r="N180" s="73">
        <f t="shared" si="41"/>
        <v>0</v>
      </c>
      <c r="O180" s="73">
        <f t="shared" si="42"/>
        <v>0</v>
      </c>
      <c r="P180" s="73">
        <f t="shared" si="43"/>
        <v>0</v>
      </c>
      <c r="Q180" s="73">
        <f t="shared" si="44"/>
        <v>0</v>
      </c>
      <c r="R180" s="73">
        <f t="shared" si="45"/>
        <v>0</v>
      </c>
      <c r="S180" s="73">
        <f t="shared" si="46"/>
        <v>0</v>
      </c>
      <c r="T180" s="73">
        <f t="shared" si="47"/>
        <v>0</v>
      </c>
      <c r="U180" s="73">
        <f t="shared" si="48"/>
        <v>0</v>
      </c>
      <c r="V180" s="73">
        <f t="shared" si="49"/>
        <v>0</v>
      </c>
      <c r="W180" s="73">
        <f t="shared" si="50"/>
        <v>0</v>
      </c>
      <c r="X180" s="81"/>
    </row>
    <row r="181" spans="1:24" ht="21.75" hidden="1">
      <c r="A181" s="69">
        <v>704</v>
      </c>
      <c r="B181" s="70">
        <v>7</v>
      </c>
      <c r="C181" s="71">
        <v>176</v>
      </c>
      <c r="D181" s="46" t="s">
        <v>497</v>
      </c>
      <c r="E181" s="72" t="s">
        <v>118</v>
      </c>
      <c r="F181" s="73">
        <v>3492328287</v>
      </c>
      <c r="G181" s="73">
        <f t="shared" si="34"/>
        <v>0</v>
      </c>
      <c r="H181" s="73">
        <f t="shared" si="35"/>
        <v>0</v>
      </c>
      <c r="I181" s="73">
        <f t="shared" si="36"/>
        <v>0</v>
      </c>
      <c r="J181" s="73">
        <f t="shared" si="37"/>
        <v>3492328287</v>
      </c>
      <c r="K181" s="73">
        <f t="shared" si="38"/>
        <v>0</v>
      </c>
      <c r="L181" s="73">
        <f t="shared" si="39"/>
        <v>0</v>
      </c>
      <c r="M181" s="73">
        <f t="shared" si="40"/>
        <v>0</v>
      </c>
      <c r="N181" s="73">
        <f t="shared" si="41"/>
        <v>0</v>
      </c>
      <c r="O181" s="73">
        <f t="shared" si="42"/>
        <v>0</v>
      </c>
      <c r="P181" s="73">
        <f t="shared" si="43"/>
        <v>0</v>
      </c>
      <c r="Q181" s="73">
        <f t="shared" si="44"/>
        <v>0</v>
      </c>
      <c r="R181" s="73">
        <f t="shared" si="45"/>
        <v>0</v>
      </c>
      <c r="S181" s="73">
        <f t="shared" si="46"/>
        <v>0</v>
      </c>
      <c r="T181" s="73">
        <f t="shared" si="47"/>
        <v>0</v>
      </c>
      <c r="U181" s="73">
        <f t="shared" si="48"/>
        <v>0</v>
      </c>
      <c r="V181" s="73">
        <f t="shared" si="49"/>
        <v>0</v>
      </c>
      <c r="W181" s="73">
        <f t="shared" si="50"/>
        <v>0</v>
      </c>
      <c r="X181" s="74"/>
    </row>
    <row r="182" spans="1:24" ht="21.75" hidden="1">
      <c r="A182" s="75">
        <v>704</v>
      </c>
      <c r="B182" s="76">
        <v>7</v>
      </c>
      <c r="C182" s="77">
        <v>177</v>
      </c>
      <c r="D182" s="78" t="s">
        <v>119</v>
      </c>
      <c r="E182" s="79" t="s">
        <v>120</v>
      </c>
      <c r="F182" s="80">
        <v>7886660835</v>
      </c>
      <c r="G182" s="73">
        <f t="shared" si="34"/>
        <v>0</v>
      </c>
      <c r="H182" s="73">
        <f t="shared" si="35"/>
        <v>0</v>
      </c>
      <c r="I182" s="73">
        <f t="shared" si="36"/>
        <v>0</v>
      </c>
      <c r="J182" s="73">
        <f t="shared" si="37"/>
        <v>7886660835</v>
      </c>
      <c r="K182" s="73">
        <f t="shared" si="38"/>
        <v>0</v>
      </c>
      <c r="L182" s="73">
        <f t="shared" si="39"/>
        <v>0</v>
      </c>
      <c r="M182" s="73">
        <f t="shared" si="40"/>
        <v>0</v>
      </c>
      <c r="N182" s="73">
        <f t="shared" si="41"/>
        <v>0</v>
      </c>
      <c r="O182" s="73">
        <f t="shared" si="42"/>
        <v>0</v>
      </c>
      <c r="P182" s="73">
        <f t="shared" si="43"/>
        <v>0</v>
      </c>
      <c r="Q182" s="73">
        <f t="shared" si="44"/>
        <v>0</v>
      </c>
      <c r="R182" s="73">
        <f t="shared" si="45"/>
        <v>0</v>
      </c>
      <c r="S182" s="73">
        <f t="shared" si="46"/>
        <v>0</v>
      </c>
      <c r="T182" s="73">
        <f t="shared" si="47"/>
        <v>0</v>
      </c>
      <c r="U182" s="73">
        <f t="shared" si="48"/>
        <v>0</v>
      </c>
      <c r="V182" s="73">
        <f t="shared" si="49"/>
        <v>0</v>
      </c>
      <c r="W182" s="73">
        <f t="shared" si="50"/>
        <v>0</v>
      </c>
      <c r="X182" s="81"/>
    </row>
    <row r="183" spans="1:24" ht="21.75" hidden="1">
      <c r="A183" s="69">
        <v>705</v>
      </c>
      <c r="B183" s="70">
        <v>7</v>
      </c>
      <c r="C183" s="71">
        <v>178</v>
      </c>
      <c r="D183" s="46" t="s">
        <v>123</v>
      </c>
      <c r="E183" s="72" t="s">
        <v>124</v>
      </c>
      <c r="F183" s="73">
        <v>32506568</v>
      </c>
      <c r="G183" s="73">
        <f t="shared" si="34"/>
        <v>0</v>
      </c>
      <c r="H183" s="73">
        <f t="shared" si="35"/>
        <v>0</v>
      </c>
      <c r="I183" s="73">
        <f t="shared" si="36"/>
        <v>0</v>
      </c>
      <c r="J183" s="73">
        <f t="shared" si="37"/>
        <v>32506568</v>
      </c>
      <c r="K183" s="73">
        <f t="shared" si="38"/>
        <v>0</v>
      </c>
      <c r="L183" s="73">
        <f t="shared" si="39"/>
        <v>0</v>
      </c>
      <c r="M183" s="73">
        <f t="shared" si="40"/>
        <v>0</v>
      </c>
      <c r="N183" s="73">
        <f t="shared" si="41"/>
        <v>0</v>
      </c>
      <c r="O183" s="73">
        <f t="shared" si="42"/>
        <v>0</v>
      </c>
      <c r="P183" s="73">
        <f t="shared" si="43"/>
        <v>0</v>
      </c>
      <c r="Q183" s="73">
        <f t="shared" si="44"/>
        <v>0</v>
      </c>
      <c r="R183" s="73">
        <f t="shared" si="45"/>
        <v>0</v>
      </c>
      <c r="S183" s="73">
        <f t="shared" si="46"/>
        <v>0</v>
      </c>
      <c r="T183" s="73">
        <f t="shared" si="47"/>
        <v>0</v>
      </c>
      <c r="U183" s="73">
        <f t="shared" si="48"/>
        <v>0</v>
      </c>
      <c r="V183" s="73">
        <f t="shared" si="49"/>
        <v>0</v>
      </c>
      <c r="W183" s="73">
        <f t="shared" si="50"/>
        <v>0</v>
      </c>
      <c r="X183" s="74"/>
    </row>
    <row r="184" spans="1:24" ht="21.75" hidden="1">
      <c r="A184" s="75">
        <v>1002</v>
      </c>
      <c r="B184" s="76">
        <v>10</v>
      </c>
      <c r="C184" s="77">
        <v>179</v>
      </c>
      <c r="D184" s="78" t="s">
        <v>125</v>
      </c>
      <c r="E184" s="79" t="s">
        <v>126</v>
      </c>
      <c r="F184" s="80">
        <v>10442616784</v>
      </c>
      <c r="G184" s="73">
        <f t="shared" si="34"/>
        <v>0</v>
      </c>
      <c r="H184" s="73">
        <f t="shared" si="35"/>
        <v>0</v>
      </c>
      <c r="I184" s="73">
        <f t="shared" si="36"/>
        <v>0</v>
      </c>
      <c r="J184" s="73">
        <f t="shared" si="37"/>
        <v>0</v>
      </c>
      <c r="K184" s="73">
        <f t="shared" si="38"/>
        <v>0</v>
      </c>
      <c r="L184" s="73">
        <f t="shared" si="39"/>
        <v>0</v>
      </c>
      <c r="M184" s="73">
        <f t="shared" si="40"/>
        <v>10442616784</v>
      </c>
      <c r="N184" s="73">
        <f t="shared" si="41"/>
        <v>0</v>
      </c>
      <c r="O184" s="73">
        <f t="shared" si="42"/>
        <v>0</v>
      </c>
      <c r="P184" s="73">
        <f t="shared" si="43"/>
        <v>0</v>
      </c>
      <c r="Q184" s="73">
        <f t="shared" si="44"/>
        <v>0</v>
      </c>
      <c r="R184" s="73">
        <f t="shared" si="45"/>
        <v>0</v>
      </c>
      <c r="S184" s="73">
        <f t="shared" si="46"/>
        <v>0</v>
      </c>
      <c r="T184" s="73">
        <f t="shared" si="47"/>
        <v>0</v>
      </c>
      <c r="U184" s="73">
        <f t="shared" si="48"/>
        <v>0</v>
      </c>
      <c r="V184" s="73">
        <f t="shared" si="49"/>
        <v>0</v>
      </c>
      <c r="W184" s="73">
        <f t="shared" si="50"/>
        <v>0</v>
      </c>
      <c r="X184" s="81"/>
    </row>
    <row r="185" spans="1:24" ht="21.75">
      <c r="A185" s="69">
        <v>602</v>
      </c>
      <c r="B185" s="70">
        <v>6</v>
      </c>
      <c r="C185" s="71">
        <v>180</v>
      </c>
      <c r="D185" s="46" t="s">
        <v>63</v>
      </c>
      <c r="E185" s="72" t="s">
        <v>559</v>
      </c>
      <c r="F185" s="73">
        <v>5920941658</v>
      </c>
      <c r="G185" s="73">
        <f t="shared" si="34"/>
        <v>0</v>
      </c>
      <c r="H185" s="73">
        <f t="shared" si="35"/>
        <v>0</v>
      </c>
      <c r="I185" s="73">
        <f t="shared" si="36"/>
        <v>5920941658</v>
      </c>
      <c r="J185" s="73">
        <f t="shared" si="37"/>
        <v>0</v>
      </c>
      <c r="K185" s="73">
        <f t="shared" si="38"/>
        <v>0</v>
      </c>
      <c r="L185" s="73">
        <f t="shared" si="39"/>
        <v>0</v>
      </c>
      <c r="M185" s="73">
        <f t="shared" si="40"/>
        <v>0</v>
      </c>
      <c r="N185" s="73">
        <f t="shared" si="41"/>
        <v>0</v>
      </c>
      <c r="O185" s="73">
        <f t="shared" si="42"/>
        <v>0</v>
      </c>
      <c r="P185" s="73">
        <f t="shared" si="43"/>
        <v>0</v>
      </c>
      <c r="Q185" s="73">
        <f t="shared" si="44"/>
        <v>0</v>
      </c>
      <c r="R185" s="73">
        <f t="shared" si="45"/>
        <v>0</v>
      </c>
      <c r="S185" s="73">
        <f t="shared" si="46"/>
        <v>0</v>
      </c>
      <c r="T185" s="73">
        <f t="shared" si="47"/>
        <v>0</v>
      </c>
      <c r="U185" s="73">
        <f t="shared" si="48"/>
        <v>0</v>
      </c>
      <c r="V185" s="73">
        <f t="shared" si="49"/>
        <v>0</v>
      </c>
      <c r="W185" s="73">
        <f t="shared" si="50"/>
        <v>0</v>
      </c>
      <c r="X185" s="74"/>
    </row>
    <row r="186" spans="1:24" ht="21.75" hidden="1">
      <c r="A186" s="75">
        <v>805</v>
      </c>
      <c r="B186" s="76">
        <v>8</v>
      </c>
      <c r="C186" s="77">
        <v>181</v>
      </c>
      <c r="D186" s="78" t="s">
        <v>69</v>
      </c>
      <c r="E186" s="79" t="s">
        <v>70</v>
      </c>
      <c r="F186" s="80">
        <v>436485900</v>
      </c>
      <c r="G186" s="73">
        <f t="shared" si="34"/>
        <v>0</v>
      </c>
      <c r="H186" s="73">
        <f t="shared" si="35"/>
        <v>0</v>
      </c>
      <c r="I186" s="73">
        <f t="shared" si="36"/>
        <v>0</v>
      </c>
      <c r="J186" s="73">
        <f t="shared" si="37"/>
        <v>0</v>
      </c>
      <c r="K186" s="73">
        <f t="shared" si="38"/>
        <v>436485900</v>
      </c>
      <c r="L186" s="73">
        <f t="shared" si="39"/>
        <v>0</v>
      </c>
      <c r="M186" s="73">
        <f t="shared" si="40"/>
        <v>0</v>
      </c>
      <c r="N186" s="73">
        <f t="shared" si="41"/>
        <v>0</v>
      </c>
      <c r="O186" s="73">
        <f t="shared" si="42"/>
        <v>0</v>
      </c>
      <c r="P186" s="73">
        <f t="shared" si="43"/>
        <v>0</v>
      </c>
      <c r="Q186" s="73">
        <f t="shared" si="44"/>
        <v>0</v>
      </c>
      <c r="R186" s="73">
        <f t="shared" si="45"/>
        <v>0</v>
      </c>
      <c r="S186" s="73">
        <f t="shared" si="46"/>
        <v>0</v>
      </c>
      <c r="T186" s="73">
        <f t="shared" si="47"/>
        <v>0</v>
      </c>
      <c r="U186" s="73">
        <f t="shared" si="48"/>
        <v>0</v>
      </c>
      <c r="V186" s="73">
        <f t="shared" si="49"/>
        <v>0</v>
      </c>
      <c r="W186" s="73">
        <f t="shared" si="50"/>
        <v>0</v>
      </c>
      <c r="X186" s="81"/>
    </row>
    <row r="187" spans="1:24" ht="21.75" hidden="1">
      <c r="A187" s="69">
        <v>907</v>
      </c>
      <c r="B187" s="70">
        <v>9</v>
      </c>
      <c r="C187" s="71">
        <v>182</v>
      </c>
      <c r="D187" s="46" t="s">
        <v>71</v>
      </c>
      <c r="E187" s="72" t="s">
        <v>72</v>
      </c>
      <c r="F187" s="73">
        <v>173617610701</v>
      </c>
      <c r="G187" s="73">
        <f t="shared" si="34"/>
        <v>0</v>
      </c>
      <c r="H187" s="73">
        <f t="shared" si="35"/>
        <v>0</v>
      </c>
      <c r="I187" s="73">
        <f t="shared" si="36"/>
        <v>0</v>
      </c>
      <c r="J187" s="73">
        <f t="shared" si="37"/>
        <v>0</v>
      </c>
      <c r="K187" s="73">
        <f t="shared" si="38"/>
        <v>0</v>
      </c>
      <c r="L187" s="73">
        <f t="shared" si="39"/>
        <v>173617610701</v>
      </c>
      <c r="M187" s="73">
        <f t="shared" si="40"/>
        <v>0</v>
      </c>
      <c r="N187" s="73">
        <f t="shared" si="41"/>
        <v>0</v>
      </c>
      <c r="O187" s="73">
        <f t="shared" si="42"/>
        <v>0</v>
      </c>
      <c r="P187" s="73">
        <f t="shared" si="43"/>
        <v>0</v>
      </c>
      <c r="Q187" s="73">
        <f t="shared" si="44"/>
        <v>0</v>
      </c>
      <c r="R187" s="73">
        <f t="shared" si="45"/>
        <v>0</v>
      </c>
      <c r="S187" s="73">
        <f t="shared" si="46"/>
        <v>0</v>
      </c>
      <c r="T187" s="73">
        <f t="shared" si="47"/>
        <v>0</v>
      </c>
      <c r="U187" s="73">
        <f t="shared" si="48"/>
        <v>0</v>
      </c>
      <c r="V187" s="73">
        <f t="shared" si="49"/>
        <v>0</v>
      </c>
      <c r="W187" s="73">
        <f t="shared" si="50"/>
        <v>0</v>
      </c>
      <c r="X187" s="74"/>
    </row>
    <row r="188" spans="1:24" ht="21.75">
      <c r="A188" s="75">
        <v>614</v>
      </c>
      <c r="B188" s="76">
        <v>6</v>
      </c>
      <c r="C188" s="77">
        <v>183</v>
      </c>
      <c r="D188" s="78" t="s">
        <v>73</v>
      </c>
      <c r="E188" s="79" t="s">
        <v>74</v>
      </c>
      <c r="F188" s="80">
        <v>3541820459</v>
      </c>
      <c r="G188" s="73">
        <f t="shared" si="34"/>
        <v>0</v>
      </c>
      <c r="H188" s="73">
        <f t="shared" si="35"/>
        <v>0</v>
      </c>
      <c r="I188" s="73">
        <f t="shared" si="36"/>
        <v>3541820459</v>
      </c>
      <c r="J188" s="73">
        <f t="shared" si="37"/>
        <v>0</v>
      </c>
      <c r="K188" s="73">
        <f t="shared" si="38"/>
        <v>0</v>
      </c>
      <c r="L188" s="73">
        <f t="shared" si="39"/>
        <v>0</v>
      </c>
      <c r="M188" s="73">
        <f t="shared" si="40"/>
        <v>0</v>
      </c>
      <c r="N188" s="73">
        <f t="shared" si="41"/>
        <v>0</v>
      </c>
      <c r="O188" s="73">
        <f t="shared" si="42"/>
        <v>0</v>
      </c>
      <c r="P188" s="73">
        <f t="shared" si="43"/>
        <v>0</v>
      </c>
      <c r="Q188" s="73">
        <f t="shared" si="44"/>
        <v>0</v>
      </c>
      <c r="R188" s="73">
        <f t="shared" si="45"/>
        <v>0</v>
      </c>
      <c r="S188" s="73">
        <f t="shared" si="46"/>
        <v>0</v>
      </c>
      <c r="T188" s="73">
        <f t="shared" si="47"/>
        <v>0</v>
      </c>
      <c r="U188" s="73">
        <f t="shared" si="48"/>
        <v>0</v>
      </c>
      <c r="V188" s="73">
        <f t="shared" si="49"/>
        <v>0</v>
      </c>
      <c r="W188" s="73">
        <f t="shared" si="50"/>
        <v>0</v>
      </c>
      <c r="X188" s="81"/>
    </row>
    <row r="189" spans="1:24" ht="21.75">
      <c r="A189" s="69">
        <v>612</v>
      </c>
      <c r="B189" s="70">
        <v>6</v>
      </c>
      <c r="C189" s="71">
        <v>184</v>
      </c>
      <c r="D189" s="46" t="s">
        <v>75</v>
      </c>
      <c r="E189" s="72" t="s">
        <v>406</v>
      </c>
      <c r="F189" s="73">
        <v>20689575079</v>
      </c>
      <c r="G189" s="73">
        <f t="shared" si="34"/>
        <v>0</v>
      </c>
      <c r="H189" s="73">
        <f t="shared" si="35"/>
        <v>0</v>
      </c>
      <c r="I189" s="73">
        <f t="shared" si="36"/>
        <v>20689575079</v>
      </c>
      <c r="J189" s="73">
        <f t="shared" si="37"/>
        <v>0</v>
      </c>
      <c r="K189" s="73">
        <f t="shared" si="38"/>
        <v>0</v>
      </c>
      <c r="L189" s="73">
        <f t="shared" si="39"/>
        <v>0</v>
      </c>
      <c r="M189" s="73">
        <f t="shared" si="40"/>
        <v>0</v>
      </c>
      <c r="N189" s="73">
        <f t="shared" si="41"/>
        <v>0</v>
      </c>
      <c r="O189" s="73">
        <f t="shared" si="42"/>
        <v>0</v>
      </c>
      <c r="P189" s="73">
        <f t="shared" si="43"/>
        <v>0</v>
      </c>
      <c r="Q189" s="73">
        <f t="shared" si="44"/>
        <v>0</v>
      </c>
      <c r="R189" s="73">
        <f t="shared" si="45"/>
        <v>0</v>
      </c>
      <c r="S189" s="73">
        <f t="shared" si="46"/>
        <v>0</v>
      </c>
      <c r="T189" s="73">
        <f t="shared" si="47"/>
        <v>0</v>
      </c>
      <c r="U189" s="73">
        <f t="shared" si="48"/>
        <v>0</v>
      </c>
      <c r="V189" s="73">
        <f t="shared" si="49"/>
        <v>0</v>
      </c>
      <c r="W189" s="73">
        <f t="shared" si="50"/>
        <v>0</v>
      </c>
      <c r="X189" s="74"/>
    </row>
    <row r="190" spans="1:24" ht="21.75">
      <c r="A190" s="75">
        <v>614</v>
      </c>
      <c r="B190" s="76">
        <v>6</v>
      </c>
      <c r="C190" s="77">
        <v>185</v>
      </c>
      <c r="D190" s="78" t="s">
        <v>407</v>
      </c>
      <c r="E190" s="79" t="s">
        <v>408</v>
      </c>
      <c r="F190" s="80">
        <v>199100360</v>
      </c>
      <c r="G190" s="73">
        <f t="shared" si="34"/>
        <v>0</v>
      </c>
      <c r="H190" s="73">
        <f t="shared" si="35"/>
        <v>0</v>
      </c>
      <c r="I190" s="73">
        <f t="shared" si="36"/>
        <v>199100360</v>
      </c>
      <c r="J190" s="73">
        <f t="shared" si="37"/>
        <v>0</v>
      </c>
      <c r="K190" s="73">
        <f t="shared" si="38"/>
        <v>0</v>
      </c>
      <c r="L190" s="73">
        <f t="shared" si="39"/>
        <v>0</v>
      </c>
      <c r="M190" s="73">
        <f t="shared" si="40"/>
        <v>0</v>
      </c>
      <c r="N190" s="73">
        <f t="shared" si="41"/>
        <v>0</v>
      </c>
      <c r="O190" s="73">
        <f t="shared" si="42"/>
        <v>0</v>
      </c>
      <c r="P190" s="73">
        <f t="shared" si="43"/>
        <v>0</v>
      </c>
      <c r="Q190" s="73">
        <f t="shared" si="44"/>
        <v>0</v>
      </c>
      <c r="R190" s="73">
        <f t="shared" si="45"/>
        <v>0</v>
      </c>
      <c r="S190" s="73">
        <f t="shared" si="46"/>
        <v>0</v>
      </c>
      <c r="T190" s="73">
        <f t="shared" si="47"/>
        <v>0</v>
      </c>
      <c r="U190" s="73">
        <f t="shared" si="48"/>
        <v>0</v>
      </c>
      <c r="V190" s="73">
        <f t="shared" si="49"/>
        <v>0</v>
      </c>
      <c r="W190" s="73">
        <f t="shared" si="50"/>
        <v>0</v>
      </c>
      <c r="X190" s="81"/>
    </row>
    <row r="191" spans="1:24" ht="21.75">
      <c r="A191" s="69">
        <v>614</v>
      </c>
      <c r="B191" s="70">
        <v>6</v>
      </c>
      <c r="C191" s="71">
        <v>186</v>
      </c>
      <c r="D191" s="46" t="s">
        <v>409</v>
      </c>
      <c r="E191" s="72" t="s">
        <v>410</v>
      </c>
      <c r="F191" s="73">
        <v>38842236</v>
      </c>
      <c r="G191" s="73">
        <f t="shared" si="34"/>
        <v>0</v>
      </c>
      <c r="H191" s="73">
        <f t="shared" si="35"/>
        <v>0</v>
      </c>
      <c r="I191" s="73">
        <f t="shared" si="36"/>
        <v>38842236</v>
      </c>
      <c r="J191" s="73">
        <f t="shared" si="37"/>
        <v>0</v>
      </c>
      <c r="K191" s="73">
        <f t="shared" si="38"/>
        <v>0</v>
      </c>
      <c r="L191" s="73">
        <f t="shared" si="39"/>
        <v>0</v>
      </c>
      <c r="M191" s="73">
        <f t="shared" si="40"/>
        <v>0</v>
      </c>
      <c r="N191" s="73">
        <f t="shared" si="41"/>
        <v>0</v>
      </c>
      <c r="O191" s="73">
        <f t="shared" si="42"/>
        <v>0</v>
      </c>
      <c r="P191" s="73">
        <f t="shared" si="43"/>
        <v>0</v>
      </c>
      <c r="Q191" s="73">
        <f t="shared" si="44"/>
        <v>0</v>
      </c>
      <c r="R191" s="73">
        <f t="shared" si="45"/>
        <v>0</v>
      </c>
      <c r="S191" s="73">
        <f t="shared" si="46"/>
        <v>0</v>
      </c>
      <c r="T191" s="73">
        <f t="shared" si="47"/>
        <v>0</v>
      </c>
      <c r="U191" s="73">
        <f t="shared" si="48"/>
        <v>0</v>
      </c>
      <c r="V191" s="73">
        <f t="shared" si="49"/>
        <v>0</v>
      </c>
      <c r="W191" s="73">
        <f t="shared" si="50"/>
        <v>0</v>
      </c>
      <c r="X191" s="74"/>
    </row>
    <row r="192" spans="1:24" ht="21.75" hidden="1">
      <c r="A192" s="75">
        <v>907</v>
      </c>
      <c r="B192" s="76">
        <v>9</v>
      </c>
      <c r="C192" s="77">
        <v>187</v>
      </c>
      <c r="D192" s="78" t="s">
        <v>411</v>
      </c>
      <c r="E192" s="79" t="s">
        <v>352</v>
      </c>
      <c r="F192" s="80">
        <v>468740693967</v>
      </c>
      <c r="G192" s="73">
        <f t="shared" si="34"/>
        <v>0</v>
      </c>
      <c r="H192" s="73">
        <f t="shared" si="35"/>
        <v>0</v>
      </c>
      <c r="I192" s="73">
        <f t="shared" si="36"/>
        <v>0</v>
      </c>
      <c r="J192" s="73">
        <f t="shared" si="37"/>
        <v>0</v>
      </c>
      <c r="K192" s="73">
        <f t="shared" si="38"/>
        <v>0</v>
      </c>
      <c r="L192" s="73">
        <f t="shared" si="39"/>
        <v>468740693967</v>
      </c>
      <c r="M192" s="73">
        <f t="shared" si="40"/>
        <v>0</v>
      </c>
      <c r="N192" s="73">
        <f t="shared" si="41"/>
        <v>0</v>
      </c>
      <c r="O192" s="73">
        <f t="shared" si="42"/>
        <v>0</v>
      </c>
      <c r="P192" s="73">
        <f t="shared" si="43"/>
        <v>0</v>
      </c>
      <c r="Q192" s="73">
        <f t="shared" si="44"/>
        <v>0</v>
      </c>
      <c r="R192" s="73">
        <f t="shared" si="45"/>
        <v>0</v>
      </c>
      <c r="S192" s="73">
        <f t="shared" si="46"/>
        <v>0</v>
      </c>
      <c r="T192" s="73">
        <f t="shared" si="47"/>
        <v>0</v>
      </c>
      <c r="U192" s="73">
        <f t="shared" si="48"/>
        <v>0</v>
      </c>
      <c r="V192" s="73">
        <f t="shared" si="49"/>
        <v>0</v>
      </c>
      <c r="W192" s="73">
        <f t="shared" si="50"/>
        <v>0</v>
      </c>
      <c r="X192" s="81"/>
    </row>
    <row r="193" spans="1:24" ht="21.75" hidden="1">
      <c r="A193" s="69">
        <v>805</v>
      </c>
      <c r="B193" s="70">
        <v>8</v>
      </c>
      <c r="C193" s="71">
        <v>188</v>
      </c>
      <c r="D193" s="46" t="s">
        <v>353</v>
      </c>
      <c r="E193" s="72" t="s">
        <v>354</v>
      </c>
      <c r="F193" s="73">
        <v>13178312009</v>
      </c>
      <c r="G193" s="73">
        <f t="shared" si="34"/>
        <v>0</v>
      </c>
      <c r="H193" s="73">
        <f t="shared" si="35"/>
        <v>0</v>
      </c>
      <c r="I193" s="73">
        <f t="shared" si="36"/>
        <v>0</v>
      </c>
      <c r="J193" s="73">
        <f t="shared" si="37"/>
        <v>0</v>
      </c>
      <c r="K193" s="73">
        <f t="shared" si="38"/>
        <v>13178312009</v>
      </c>
      <c r="L193" s="73">
        <f t="shared" si="39"/>
        <v>0</v>
      </c>
      <c r="M193" s="73">
        <f t="shared" si="40"/>
        <v>0</v>
      </c>
      <c r="N193" s="73">
        <f t="shared" si="41"/>
        <v>0</v>
      </c>
      <c r="O193" s="73">
        <f t="shared" si="42"/>
        <v>0</v>
      </c>
      <c r="P193" s="73">
        <f t="shared" si="43"/>
        <v>0</v>
      </c>
      <c r="Q193" s="73">
        <f t="shared" si="44"/>
        <v>0</v>
      </c>
      <c r="R193" s="73">
        <f t="shared" si="45"/>
        <v>0</v>
      </c>
      <c r="S193" s="73">
        <f t="shared" si="46"/>
        <v>0</v>
      </c>
      <c r="T193" s="73">
        <f t="shared" si="47"/>
        <v>0</v>
      </c>
      <c r="U193" s="73">
        <f t="shared" si="48"/>
        <v>0</v>
      </c>
      <c r="V193" s="73">
        <f t="shared" si="49"/>
        <v>0</v>
      </c>
      <c r="W193" s="73">
        <f t="shared" si="50"/>
        <v>0</v>
      </c>
      <c r="X193" s="74"/>
    </row>
    <row r="194" spans="1:24" ht="21.75" hidden="1">
      <c r="A194" s="69">
        <v>1215</v>
      </c>
      <c r="B194" s="76">
        <v>12</v>
      </c>
      <c r="C194" s="77">
        <v>189</v>
      </c>
      <c r="D194" s="78" t="s">
        <v>355</v>
      </c>
      <c r="E194" s="79" t="s">
        <v>356</v>
      </c>
      <c r="F194" s="80">
        <v>-4454292518</v>
      </c>
      <c r="G194" s="73">
        <f t="shared" si="34"/>
        <v>0</v>
      </c>
      <c r="H194" s="73">
        <f t="shared" si="35"/>
        <v>0</v>
      </c>
      <c r="I194" s="73">
        <f t="shared" si="36"/>
        <v>0</v>
      </c>
      <c r="J194" s="73">
        <f t="shared" si="37"/>
        <v>0</v>
      </c>
      <c r="K194" s="73">
        <f t="shared" si="38"/>
        <v>0</v>
      </c>
      <c r="L194" s="73">
        <f t="shared" si="39"/>
        <v>0</v>
      </c>
      <c r="M194" s="73">
        <f t="shared" si="40"/>
        <v>0</v>
      </c>
      <c r="N194" s="73">
        <f t="shared" si="41"/>
        <v>0</v>
      </c>
      <c r="O194" s="73">
        <f t="shared" si="42"/>
        <v>0</v>
      </c>
      <c r="P194" s="73">
        <f t="shared" si="43"/>
        <v>-4454292518</v>
      </c>
      <c r="Q194" s="73">
        <f t="shared" si="44"/>
        <v>0</v>
      </c>
      <c r="R194" s="73">
        <f t="shared" si="45"/>
        <v>0</v>
      </c>
      <c r="S194" s="73">
        <f t="shared" si="46"/>
        <v>0</v>
      </c>
      <c r="T194" s="73">
        <f t="shared" si="47"/>
        <v>0</v>
      </c>
      <c r="U194" s="73">
        <f t="shared" si="48"/>
        <v>0</v>
      </c>
      <c r="V194" s="73">
        <f t="shared" si="49"/>
        <v>0</v>
      </c>
      <c r="W194" s="73">
        <f t="shared" si="50"/>
        <v>0</v>
      </c>
      <c r="X194" s="81"/>
    </row>
    <row r="195" spans="1:24" ht="21.75" hidden="1">
      <c r="A195" s="69">
        <v>1215</v>
      </c>
      <c r="B195" s="70">
        <v>12</v>
      </c>
      <c r="C195" s="71">
        <v>190</v>
      </c>
      <c r="D195" s="46" t="s">
        <v>357</v>
      </c>
      <c r="E195" s="72" t="s">
        <v>358</v>
      </c>
      <c r="F195" s="73">
        <v>-1002504869</v>
      </c>
      <c r="G195" s="73">
        <f t="shared" si="34"/>
        <v>0</v>
      </c>
      <c r="H195" s="73">
        <f t="shared" si="35"/>
        <v>0</v>
      </c>
      <c r="I195" s="73">
        <f t="shared" si="36"/>
        <v>0</v>
      </c>
      <c r="J195" s="73">
        <f t="shared" si="37"/>
        <v>0</v>
      </c>
      <c r="K195" s="73">
        <f t="shared" si="38"/>
        <v>0</v>
      </c>
      <c r="L195" s="73">
        <f t="shared" si="39"/>
        <v>0</v>
      </c>
      <c r="M195" s="73">
        <f t="shared" si="40"/>
        <v>0</v>
      </c>
      <c r="N195" s="73">
        <f t="shared" si="41"/>
        <v>0</v>
      </c>
      <c r="O195" s="73">
        <f t="shared" si="42"/>
        <v>0</v>
      </c>
      <c r="P195" s="73">
        <f t="shared" si="43"/>
        <v>-1002504869</v>
      </c>
      <c r="Q195" s="73">
        <f t="shared" si="44"/>
        <v>0</v>
      </c>
      <c r="R195" s="73">
        <f t="shared" si="45"/>
        <v>0</v>
      </c>
      <c r="S195" s="73">
        <f t="shared" si="46"/>
        <v>0</v>
      </c>
      <c r="T195" s="73">
        <f t="shared" si="47"/>
        <v>0</v>
      </c>
      <c r="U195" s="73">
        <f t="shared" si="48"/>
        <v>0</v>
      </c>
      <c r="V195" s="73">
        <f t="shared" si="49"/>
        <v>0</v>
      </c>
      <c r="W195" s="73">
        <f t="shared" si="50"/>
        <v>0</v>
      </c>
      <c r="X195" s="74"/>
    </row>
    <row r="196" spans="1:24" ht="21.75" hidden="1">
      <c r="A196" s="69">
        <v>1215</v>
      </c>
      <c r="B196" s="76">
        <v>12</v>
      </c>
      <c r="C196" s="77">
        <v>191</v>
      </c>
      <c r="D196" s="78" t="s">
        <v>359</v>
      </c>
      <c r="E196" s="79" t="s">
        <v>215</v>
      </c>
      <c r="F196" s="80">
        <v>-2374000</v>
      </c>
      <c r="G196" s="73">
        <f t="shared" si="34"/>
        <v>0</v>
      </c>
      <c r="H196" s="73">
        <f t="shared" si="35"/>
        <v>0</v>
      </c>
      <c r="I196" s="73">
        <f t="shared" si="36"/>
        <v>0</v>
      </c>
      <c r="J196" s="73">
        <f t="shared" si="37"/>
        <v>0</v>
      </c>
      <c r="K196" s="73">
        <f t="shared" si="38"/>
        <v>0</v>
      </c>
      <c r="L196" s="73">
        <f t="shared" si="39"/>
        <v>0</v>
      </c>
      <c r="M196" s="73">
        <f t="shared" si="40"/>
        <v>0</v>
      </c>
      <c r="N196" s="73">
        <f t="shared" si="41"/>
        <v>0</v>
      </c>
      <c r="O196" s="73">
        <f t="shared" si="42"/>
        <v>0</v>
      </c>
      <c r="P196" s="73">
        <f t="shared" si="43"/>
        <v>-2374000</v>
      </c>
      <c r="Q196" s="73">
        <f t="shared" si="44"/>
        <v>0</v>
      </c>
      <c r="R196" s="73">
        <f t="shared" si="45"/>
        <v>0</v>
      </c>
      <c r="S196" s="73">
        <f t="shared" si="46"/>
        <v>0</v>
      </c>
      <c r="T196" s="73">
        <f t="shared" si="47"/>
        <v>0</v>
      </c>
      <c r="U196" s="73">
        <f t="shared" si="48"/>
        <v>0</v>
      </c>
      <c r="V196" s="73">
        <f t="shared" si="49"/>
        <v>0</v>
      </c>
      <c r="W196" s="73">
        <f t="shared" si="50"/>
        <v>0</v>
      </c>
      <c r="X196" s="81"/>
    </row>
    <row r="197" spans="1:24" ht="21.75" hidden="1">
      <c r="A197" s="69">
        <v>1215</v>
      </c>
      <c r="B197" s="70">
        <v>12</v>
      </c>
      <c r="C197" s="71">
        <v>192</v>
      </c>
      <c r="D197" s="46" t="s">
        <v>598</v>
      </c>
      <c r="E197" s="72" t="s">
        <v>599</v>
      </c>
      <c r="F197" s="73">
        <v>-47871768</v>
      </c>
      <c r="G197" s="73">
        <f t="shared" ref="G197:G246" si="51">IF($B197=$G$3,$F197,0)</f>
        <v>0</v>
      </c>
      <c r="H197" s="73">
        <f t="shared" ref="H197:H246" si="52">IF($B197=$H$3,$F197,0)</f>
        <v>0</v>
      </c>
      <c r="I197" s="73">
        <f t="shared" ref="I197:I246" si="53">IF($B197=$I$3,$F197,0)</f>
        <v>0</v>
      </c>
      <c r="J197" s="73">
        <f t="shared" ref="J197:J246" si="54">IF($B197=$J$3,$F197,0)</f>
        <v>0</v>
      </c>
      <c r="K197" s="73">
        <f t="shared" ref="K197:K246" si="55">IF($B197=$K$3,$F197,0)</f>
        <v>0</v>
      </c>
      <c r="L197" s="73">
        <f t="shared" ref="L197:L246" si="56">IF($B197=$L$3,$F197,0)</f>
        <v>0</v>
      </c>
      <c r="M197" s="73">
        <f t="shared" ref="M197:M246" si="57">IF($B197=$M$3,$F197,0)</f>
        <v>0</v>
      </c>
      <c r="N197" s="73">
        <f t="shared" ref="N197:N246" si="58">IF($B197=$N$3,$F197,0)</f>
        <v>0</v>
      </c>
      <c r="O197" s="73">
        <f t="shared" ref="O197:O246" si="59">IF($B197=$O$3,$F197,0)</f>
        <v>0</v>
      </c>
      <c r="P197" s="73">
        <f t="shared" ref="P197:P246" si="60">IF($B197=$P$3,$F197,0)</f>
        <v>-47871768</v>
      </c>
      <c r="Q197" s="73">
        <f t="shared" ref="Q197:Q246" si="61">IF($B197=$Q$3,$F197,0)</f>
        <v>0</v>
      </c>
      <c r="R197" s="73">
        <f t="shared" ref="R197:R246" si="62">IF($B197=$R$3,$F197,0)</f>
        <v>0</v>
      </c>
      <c r="S197" s="73">
        <f t="shared" ref="S197:S246" si="63">IF($B197=$S$3,$F197,0)</f>
        <v>0</v>
      </c>
      <c r="T197" s="73">
        <f t="shared" ref="T197:T246" si="64">IF($B197=$T$3,$F197,0)</f>
        <v>0</v>
      </c>
      <c r="U197" s="73">
        <f t="shared" ref="U197:U246" si="65">IF($B197=$U$3,$F197,0)</f>
        <v>0</v>
      </c>
      <c r="V197" s="73">
        <f t="shared" ref="V197:V246" si="66">IF($B197=$V$3,$F197,0)</f>
        <v>0</v>
      </c>
      <c r="W197" s="73">
        <f t="shared" ref="W197:W246" si="67">IF($B197=$W$3,$F197,0)</f>
        <v>0</v>
      </c>
      <c r="X197" s="74"/>
    </row>
    <row r="198" spans="1:24" ht="21.75" hidden="1">
      <c r="A198" s="75">
        <v>1401</v>
      </c>
      <c r="B198" s="76">
        <v>14</v>
      </c>
      <c r="C198" s="77">
        <v>193</v>
      </c>
      <c r="D198" s="78" t="s">
        <v>600</v>
      </c>
      <c r="E198" s="79" t="s">
        <v>601</v>
      </c>
      <c r="F198" s="80">
        <v>-2074105233.7425499</v>
      </c>
      <c r="G198" s="73">
        <f t="shared" si="51"/>
        <v>0</v>
      </c>
      <c r="H198" s="73">
        <f t="shared" si="52"/>
        <v>0</v>
      </c>
      <c r="I198" s="73">
        <f t="shared" si="53"/>
        <v>0</v>
      </c>
      <c r="J198" s="73">
        <f t="shared" si="54"/>
        <v>0</v>
      </c>
      <c r="K198" s="73">
        <f t="shared" si="55"/>
        <v>0</v>
      </c>
      <c r="L198" s="73">
        <f t="shared" si="56"/>
        <v>0</v>
      </c>
      <c r="M198" s="73">
        <f t="shared" si="57"/>
        <v>0</v>
      </c>
      <c r="N198" s="73">
        <f t="shared" si="58"/>
        <v>0</v>
      </c>
      <c r="O198" s="73">
        <f t="shared" si="59"/>
        <v>0</v>
      </c>
      <c r="P198" s="73">
        <f t="shared" si="60"/>
        <v>0</v>
      </c>
      <c r="Q198" s="73">
        <f t="shared" si="61"/>
        <v>-2074105233.7425499</v>
      </c>
      <c r="R198" s="73">
        <f t="shared" si="62"/>
        <v>0</v>
      </c>
      <c r="S198" s="73">
        <f t="shared" si="63"/>
        <v>0</v>
      </c>
      <c r="T198" s="73">
        <f t="shared" si="64"/>
        <v>0</v>
      </c>
      <c r="U198" s="73">
        <f t="shared" si="65"/>
        <v>0</v>
      </c>
      <c r="V198" s="73">
        <f t="shared" si="66"/>
        <v>0</v>
      </c>
      <c r="W198" s="73">
        <f t="shared" si="67"/>
        <v>0</v>
      </c>
      <c r="X198" s="81"/>
    </row>
    <row r="199" spans="1:24" ht="21.75" hidden="1">
      <c r="A199" s="69">
        <v>1215</v>
      </c>
      <c r="B199" s="70">
        <v>12</v>
      </c>
      <c r="C199" s="71">
        <v>194</v>
      </c>
      <c r="D199" s="46" t="s">
        <v>602</v>
      </c>
      <c r="E199" s="72" t="s">
        <v>603</v>
      </c>
      <c r="F199" s="73">
        <v>-1721018326</v>
      </c>
      <c r="G199" s="73">
        <f t="shared" si="51"/>
        <v>0</v>
      </c>
      <c r="H199" s="73">
        <f t="shared" si="52"/>
        <v>0</v>
      </c>
      <c r="I199" s="73">
        <f t="shared" si="53"/>
        <v>0</v>
      </c>
      <c r="J199" s="73">
        <f t="shared" si="54"/>
        <v>0</v>
      </c>
      <c r="K199" s="73">
        <f t="shared" si="55"/>
        <v>0</v>
      </c>
      <c r="L199" s="73">
        <f t="shared" si="56"/>
        <v>0</v>
      </c>
      <c r="M199" s="73">
        <f t="shared" si="57"/>
        <v>0</v>
      </c>
      <c r="N199" s="73">
        <f t="shared" si="58"/>
        <v>0</v>
      </c>
      <c r="O199" s="73">
        <f t="shared" si="59"/>
        <v>0</v>
      </c>
      <c r="P199" s="73">
        <f t="shared" si="60"/>
        <v>-1721018326</v>
      </c>
      <c r="Q199" s="73">
        <f t="shared" si="61"/>
        <v>0</v>
      </c>
      <c r="R199" s="73">
        <f t="shared" si="62"/>
        <v>0</v>
      </c>
      <c r="S199" s="73">
        <f t="shared" si="63"/>
        <v>0</v>
      </c>
      <c r="T199" s="73">
        <f t="shared" si="64"/>
        <v>0</v>
      </c>
      <c r="U199" s="73">
        <f t="shared" si="65"/>
        <v>0</v>
      </c>
      <c r="V199" s="73">
        <f t="shared" si="66"/>
        <v>0</v>
      </c>
      <c r="W199" s="73">
        <f t="shared" si="67"/>
        <v>0</v>
      </c>
      <c r="X199" s="74"/>
    </row>
    <row r="200" spans="1:24" ht="21.75" hidden="1">
      <c r="A200" s="75">
        <v>1201</v>
      </c>
      <c r="B200" s="76">
        <v>12</v>
      </c>
      <c r="C200" s="77">
        <v>195</v>
      </c>
      <c r="D200" s="78" t="s">
        <v>604</v>
      </c>
      <c r="E200" s="79" t="s">
        <v>532</v>
      </c>
      <c r="F200" s="80">
        <v>-1669572741463</v>
      </c>
      <c r="G200" s="73">
        <f t="shared" si="51"/>
        <v>0</v>
      </c>
      <c r="H200" s="73">
        <f t="shared" si="52"/>
        <v>0</v>
      </c>
      <c r="I200" s="73">
        <f t="shared" si="53"/>
        <v>0</v>
      </c>
      <c r="J200" s="73">
        <f t="shared" si="54"/>
        <v>0</v>
      </c>
      <c r="K200" s="73">
        <f t="shared" si="55"/>
        <v>0</v>
      </c>
      <c r="L200" s="73">
        <f t="shared" si="56"/>
        <v>0</v>
      </c>
      <c r="M200" s="73">
        <f t="shared" si="57"/>
        <v>0</v>
      </c>
      <c r="N200" s="73">
        <f t="shared" si="58"/>
        <v>0</v>
      </c>
      <c r="O200" s="73">
        <f t="shared" si="59"/>
        <v>0</v>
      </c>
      <c r="P200" s="73">
        <f t="shared" si="60"/>
        <v>-1669572741463</v>
      </c>
      <c r="Q200" s="73">
        <f t="shared" si="61"/>
        <v>0</v>
      </c>
      <c r="R200" s="73">
        <f t="shared" si="62"/>
        <v>0</v>
      </c>
      <c r="S200" s="73">
        <f t="shared" si="63"/>
        <v>0</v>
      </c>
      <c r="T200" s="73">
        <f t="shared" si="64"/>
        <v>0</v>
      </c>
      <c r="U200" s="73">
        <f t="shared" si="65"/>
        <v>0</v>
      </c>
      <c r="V200" s="73">
        <f t="shared" si="66"/>
        <v>0</v>
      </c>
      <c r="W200" s="73">
        <f t="shared" si="67"/>
        <v>0</v>
      </c>
      <c r="X200" s="81"/>
    </row>
    <row r="201" spans="1:24" ht="21.75" hidden="1">
      <c r="A201" s="69">
        <v>1212</v>
      </c>
      <c r="B201" s="70">
        <v>12</v>
      </c>
      <c r="C201" s="71">
        <v>196</v>
      </c>
      <c r="D201" s="46" t="s">
        <v>605</v>
      </c>
      <c r="E201" s="72" t="s">
        <v>227</v>
      </c>
      <c r="F201" s="73">
        <v>-672945455</v>
      </c>
      <c r="G201" s="73">
        <f t="shared" si="51"/>
        <v>0</v>
      </c>
      <c r="H201" s="73">
        <f t="shared" si="52"/>
        <v>0</v>
      </c>
      <c r="I201" s="73">
        <f t="shared" si="53"/>
        <v>0</v>
      </c>
      <c r="J201" s="73">
        <f t="shared" si="54"/>
        <v>0</v>
      </c>
      <c r="K201" s="73">
        <f t="shared" si="55"/>
        <v>0</v>
      </c>
      <c r="L201" s="73">
        <f t="shared" si="56"/>
        <v>0</v>
      </c>
      <c r="M201" s="73">
        <f t="shared" si="57"/>
        <v>0</v>
      </c>
      <c r="N201" s="73">
        <f t="shared" si="58"/>
        <v>0</v>
      </c>
      <c r="O201" s="73">
        <f t="shared" si="59"/>
        <v>0</v>
      </c>
      <c r="P201" s="73">
        <f t="shared" si="60"/>
        <v>-672945455</v>
      </c>
      <c r="Q201" s="73">
        <f t="shared" si="61"/>
        <v>0</v>
      </c>
      <c r="R201" s="73">
        <f t="shared" si="62"/>
        <v>0</v>
      </c>
      <c r="S201" s="73">
        <f t="shared" si="63"/>
        <v>0</v>
      </c>
      <c r="T201" s="73">
        <f t="shared" si="64"/>
        <v>0</v>
      </c>
      <c r="U201" s="73">
        <f t="shared" si="65"/>
        <v>0</v>
      </c>
      <c r="V201" s="73">
        <f t="shared" si="66"/>
        <v>0</v>
      </c>
      <c r="W201" s="73">
        <f t="shared" si="67"/>
        <v>0</v>
      </c>
      <c r="X201" s="74"/>
    </row>
    <row r="202" spans="1:24" ht="21.75" hidden="1">
      <c r="A202" s="69">
        <v>1212</v>
      </c>
      <c r="B202" s="76">
        <v>12</v>
      </c>
      <c r="C202" s="77">
        <v>197</v>
      </c>
      <c r="D202" s="78" t="s">
        <v>515</v>
      </c>
      <c r="E202" s="79" t="s">
        <v>516</v>
      </c>
      <c r="F202" s="80">
        <v>-238000000</v>
      </c>
      <c r="G202" s="73">
        <f t="shared" si="51"/>
        <v>0</v>
      </c>
      <c r="H202" s="73">
        <f t="shared" si="52"/>
        <v>0</v>
      </c>
      <c r="I202" s="73">
        <f t="shared" si="53"/>
        <v>0</v>
      </c>
      <c r="J202" s="73">
        <f t="shared" si="54"/>
        <v>0</v>
      </c>
      <c r="K202" s="73">
        <f t="shared" si="55"/>
        <v>0</v>
      </c>
      <c r="L202" s="73">
        <f t="shared" si="56"/>
        <v>0</v>
      </c>
      <c r="M202" s="73">
        <f t="shared" si="57"/>
        <v>0</v>
      </c>
      <c r="N202" s="73">
        <f t="shared" si="58"/>
        <v>0</v>
      </c>
      <c r="O202" s="73">
        <f t="shared" si="59"/>
        <v>0</v>
      </c>
      <c r="P202" s="73">
        <f t="shared" si="60"/>
        <v>-238000000</v>
      </c>
      <c r="Q202" s="73">
        <f t="shared" si="61"/>
        <v>0</v>
      </c>
      <c r="R202" s="73">
        <f t="shared" si="62"/>
        <v>0</v>
      </c>
      <c r="S202" s="73">
        <f t="shared" si="63"/>
        <v>0</v>
      </c>
      <c r="T202" s="73">
        <f t="shared" si="64"/>
        <v>0</v>
      </c>
      <c r="U202" s="73">
        <f t="shared" si="65"/>
        <v>0</v>
      </c>
      <c r="V202" s="73">
        <f t="shared" si="66"/>
        <v>0</v>
      </c>
      <c r="W202" s="73">
        <f t="shared" si="67"/>
        <v>0</v>
      </c>
      <c r="X202" s="81"/>
    </row>
    <row r="203" spans="1:24" ht="21.75" hidden="1">
      <c r="A203" s="69">
        <v>1501</v>
      </c>
      <c r="B203" s="70">
        <v>15</v>
      </c>
      <c r="C203" s="71">
        <v>198</v>
      </c>
      <c r="D203" s="46" t="s">
        <v>201</v>
      </c>
      <c r="E203" s="72" t="s">
        <v>400</v>
      </c>
      <c r="F203" s="73">
        <v>-48949936164.3881</v>
      </c>
      <c r="G203" s="73">
        <f t="shared" si="51"/>
        <v>0</v>
      </c>
      <c r="H203" s="73">
        <f t="shared" si="52"/>
        <v>0</v>
      </c>
      <c r="I203" s="73">
        <f t="shared" si="53"/>
        <v>0</v>
      </c>
      <c r="J203" s="73">
        <f t="shared" si="54"/>
        <v>0</v>
      </c>
      <c r="K203" s="73">
        <f t="shared" si="55"/>
        <v>0</v>
      </c>
      <c r="L203" s="73">
        <f t="shared" si="56"/>
        <v>0</v>
      </c>
      <c r="M203" s="73">
        <f t="shared" si="57"/>
        <v>0</v>
      </c>
      <c r="N203" s="73">
        <f t="shared" si="58"/>
        <v>0</v>
      </c>
      <c r="O203" s="73">
        <f t="shared" si="59"/>
        <v>0</v>
      </c>
      <c r="P203" s="73">
        <f t="shared" si="60"/>
        <v>0</v>
      </c>
      <c r="Q203" s="73">
        <f t="shared" si="61"/>
        <v>0</v>
      </c>
      <c r="R203" s="73">
        <f t="shared" si="62"/>
        <v>-48949936164.3881</v>
      </c>
      <c r="S203" s="73">
        <f t="shared" si="63"/>
        <v>0</v>
      </c>
      <c r="T203" s="73">
        <f t="shared" si="64"/>
        <v>0</v>
      </c>
      <c r="U203" s="73">
        <f t="shared" si="65"/>
        <v>0</v>
      </c>
      <c r="V203" s="73">
        <f t="shared" si="66"/>
        <v>0</v>
      </c>
      <c r="W203" s="73">
        <f t="shared" si="67"/>
        <v>0</v>
      </c>
      <c r="X203" s="74"/>
    </row>
    <row r="204" spans="1:24" ht="21.75" hidden="1">
      <c r="A204" s="69">
        <v>1212</v>
      </c>
      <c r="B204" s="76">
        <v>12</v>
      </c>
      <c r="C204" s="77">
        <v>198</v>
      </c>
      <c r="D204" s="78" t="s">
        <v>18</v>
      </c>
      <c r="E204" s="79" t="s">
        <v>228</v>
      </c>
      <c r="F204" s="80">
        <v>-2019147472</v>
      </c>
      <c r="G204" s="73">
        <f t="shared" si="51"/>
        <v>0</v>
      </c>
      <c r="H204" s="73">
        <f t="shared" si="52"/>
        <v>0</v>
      </c>
      <c r="I204" s="73">
        <f t="shared" si="53"/>
        <v>0</v>
      </c>
      <c r="J204" s="73">
        <f t="shared" si="54"/>
        <v>0</v>
      </c>
      <c r="K204" s="73">
        <f t="shared" si="55"/>
        <v>0</v>
      </c>
      <c r="L204" s="73">
        <f t="shared" si="56"/>
        <v>0</v>
      </c>
      <c r="M204" s="73">
        <f t="shared" si="57"/>
        <v>0</v>
      </c>
      <c r="N204" s="73">
        <f t="shared" si="58"/>
        <v>0</v>
      </c>
      <c r="O204" s="73">
        <f t="shared" si="59"/>
        <v>0</v>
      </c>
      <c r="P204" s="73">
        <f t="shared" si="60"/>
        <v>-2019147472</v>
      </c>
      <c r="Q204" s="73">
        <f t="shared" si="61"/>
        <v>0</v>
      </c>
      <c r="R204" s="73">
        <f t="shared" si="62"/>
        <v>0</v>
      </c>
      <c r="S204" s="73">
        <f t="shared" si="63"/>
        <v>0</v>
      </c>
      <c r="T204" s="73">
        <f t="shared" si="64"/>
        <v>0</v>
      </c>
      <c r="U204" s="73">
        <f t="shared" si="65"/>
        <v>0</v>
      </c>
      <c r="V204" s="73">
        <f t="shared" si="66"/>
        <v>0</v>
      </c>
      <c r="W204" s="73">
        <f t="shared" si="67"/>
        <v>0</v>
      </c>
      <c r="X204" s="81"/>
    </row>
    <row r="205" spans="1:24" ht="21.75" hidden="1">
      <c r="A205" s="69">
        <v>501</v>
      </c>
      <c r="B205" s="70">
        <v>5</v>
      </c>
      <c r="C205" s="71">
        <v>199</v>
      </c>
      <c r="D205" s="46" t="s">
        <v>19</v>
      </c>
      <c r="E205" s="72" t="s">
        <v>20</v>
      </c>
      <c r="F205" s="73">
        <v>1504887329639</v>
      </c>
      <c r="G205" s="73">
        <f t="shared" si="51"/>
        <v>0</v>
      </c>
      <c r="H205" s="73">
        <f t="shared" si="52"/>
        <v>1504887329639</v>
      </c>
      <c r="I205" s="73">
        <f t="shared" si="53"/>
        <v>0</v>
      </c>
      <c r="J205" s="73">
        <f t="shared" si="54"/>
        <v>0</v>
      </c>
      <c r="K205" s="73">
        <f t="shared" si="55"/>
        <v>0</v>
      </c>
      <c r="L205" s="73">
        <f t="shared" si="56"/>
        <v>0</v>
      </c>
      <c r="M205" s="73">
        <f t="shared" si="57"/>
        <v>0</v>
      </c>
      <c r="N205" s="73">
        <f t="shared" si="58"/>
        <v>0</v>
      </c>
      <c r="O205" s="73">
        <f t="shared" si="59"/>
        <v>0</v>
      </c>
      <c r="P205" s="73">
        <f t="shared" si="60"/>
        <v>0</v>
      </c>
      <c r="Q205" s="73">
        <f t="shared" si="61"/>
        <v>0</v>
      </c>
      <c r="R205" s="73">
        <f t="shared" si="62"/>
        <v>0</v>
      </c>
      <c r="S205" s="73">
        <f t="shared" si="63"/>
        <v>0</v>
      </c>
      <c r="T205" s="73">
        <f t="shared" si="64"/>
        <v>0</v>
      </c>
      <c r="U205" s="73">
        <f t="shared" si="65"/>
        <v>0</v>
      </c>
      <c r="V205" s="73">
        <f t="shared" si="66"/>
        <v>0</v>
      </c>
      <c r="W205" s="73">
        <f t="shared" si="67"/>
        <v>0</v>
      </c>
      <c r="X205" s="74"/>
    </row>
    <row r="206" spans="1:24" ht="21.75" hidden="1">
      <c r="A206" s="75">
        <v>1202</v>
      </c>
      <c r="B206" s="76">
        <v>12</v>
      </c>
      <c r="C206" s="77">
        <v>200</v>
      </c>
      <c r="D206" s="78" t="s">
        <v>21</v>
      </c>
      <c r="E206" s="79" t="s">
        <v>22</v>
      </c>
      <c r="F206" s="80">
        <v>-69659301512</v>
      </c>
      <c r="G206" s="73">
        <f t="shared" si="51"/>
        <v>0</v>
      </c>
      <c r="H206" s="73">
        <f t="shared" si="52"/>
        <v>0</v>
      </c>
      <c r="I206" s="73">
        <f t="shared" si="53"/>
        <v>0</v>
      </c>
      <c r="J206" s="73">
        <f t="shared" si="54"/>
        <v>0</v>
      </c>
      <c r="K206" s="73">
        <f t="shared" si="55"/>
        <v>0</v>
      </c>
      <c r="L206" s="73">
        <f t="shared" si="56"/>
        <v>0</v>
      </c>
      <c r="M206" s="73">
        <f t="shared" si="57"/>
        <v>0</v>
      </c>
      <c r="N206" s="73">
        <f t="shared" si="58"/>
        <v>0</v>
      </c>
      <c r="O206" s="73">
        <f t="shared" si="59"/>
        <v>0</v>
      </c>
      <c r="P206" s="73">
        <f t="shared" si="60"/>
        <v>-69659301512</v>
      </c>
      <c r="Q206" s="73">
        <f t="shared" si="61"/>
        <v>0</v>
      </c>
      <c r="R206" s="73">
        <f t="shared" si="62"/>
        <v>0</v>
      </c>
      <c r="S206" s="73">
        <f t="shared" si="63"/>
        <v>0</v>
      </c>
      <c r="T206" s="73">
        <f t="shared" si="64"/>
        <v>0</v>
      </c>
      <c r="U206" s="73">
        <f t="shared" si="65"/>
        <v>0</v>
      </c>
      <c r="V206" s="73">
        <f t="shared" si="66"/>
        <v>0</v>
      </c>
      <c r="W206" s="73">
        <f t="shared" si="67"/>
        <v>0</v>
      </c>
      <c r="X206" s="81"/>
    </row>
    <row r="207" spans="1:24" ht="21.75" hidden="1">
      <c r="A207" s="69">
        <v>1201</v>
      </c>
      <c r="B207" s="70">
        <v>12</v>
      </c>
      <c r="C207" s="71">
        <v>201</v>
      </c>
      <c r="D207" s="46" t="s">
        <v>23</v>
      </c>
      <c r="E207" s="72" t="s">
        <v>537</v>
      </c>
      <c r="F207" s="73">
        <v>-2285107560278</v>
      </c>
      <c r="G207" s="73">
        <f t="shared" si="51"/>
        <v>0</v>
      </c>
      <c r="H207" s="73">
        <f t="shared" si="52"/>
        <v>0</v>
      </c>
      <c r="I207" s="73">
        <f t="shared" si="53"/>
        <v>0</v>
      </c>
      <c r="J207" s="73">
        <f t="shared" si="54"/>
        <v>0</v>
      </c>
      <c r="K207" s="73">
        <f t="shared" si="55"/>
        <v>0</v>
      </c>
      <c r="L207" s="73">
        <f t="shared" si="56"/>
        <v>0</v>
      </c>
      <c r="M207" s="73">
        <f t="shared" si="57"/>
        <v>0</v>
      </c>
      <c r="N207" s="73">
        <f t="shared" si="58"/>
        <v>0</v>
      </c>
      <c r="O207" s="73">
        <f t="shared" si="59"/>
        <v>0</v>
      </c>
      <c r="P207" s="73">
        <f t="shared" si="60"/>
        <v>-2285107560278</v>
      </c>
      <c r="Q207" s="73">
        <f t="shared" si="61"/>
        <v>0</v>
      </c>
      <c r="R207" s="73">
        <f t="shared" si="62"/>
        <v>0</v>
      </c>
      <c r="S207" s="73">
        <f t="shared" si="63"/>
        <v>0</v>
      </c>
      <c r="T207" s="73">
        <f t="shared" si="64"/>
        <v>0</v>
      </c>
      <c r="U207" s="73">
        <f t="shared" si="65"/>
        <v>0</v>
      </c>
      <c r="V207" s="73">
        <f t="shared" si="66"/>
        <v>0</v>
      </c>
      <c r="W207" s="73">
        <f t="shared" si="67"/>
        <v>0</v>
      </c>
      <c r="X207" s="74"/>
    </row>
    <row r="208" spans="1:24" ht="21.75" hidden="1">
      <c r="A208" s="75">
        <v>1201</v>
      </c>
      <c r="B208" s="76">
        <v>12</v>
      </c>
      <c r="C208" s="77">
        <v>202</v>
      </c>
      <c r="D208" s="78" t="s">
        <v>538</v>
      </c>
      <c r="E208" s="79" t="s">
        <v>539</v>
      </c>
      <c r="F208" s="80">
        <v>-24866347713</v>
      </c>
      <c r="G208" s="73">
        <f t="shared" si="51"/>
        <v>0</v>
      </c>
      <c r="H208" s="73">
        <f t="shared" si="52"/>
        <v>0</v>
      </c>
      <c r="I208" s="73">
        <f t="shared" si="53"/>
        <v>0</v>
      </c>
      <c r="J208" s="73">
        <f t="shared" si="54"/>
        <v>0</v>
      </c>
      <c r="K208" s="73">
        <f t="shared" si="55"/>
        <v>0</v>
      </c>
      <c r="L208" s="73">
        <f t="shared" si="56"/>
        <v>0</v>
      </c>
      <c r="M208" s="73">
        <f t="shared" si="57"/>
        <v>0</v>
      </c>
      <c r="N208" s="73">
        <f t="shared" si="58"/>
        <v>0</v>
      </c>
      <c r="O208" s="73">
        <f t="shared" si="59"/>
        <v>0</v>
      </c>
      <c r="P208" s="73">
        <f t="shared" si="60"/>
        <v>-24866347713</v>
      </c>
      <c r="Q208" s="73">
        <f t="shared" si="61"/>
        <v>0</v>
      </c>
      <c r="R208" s="73">
        <f t="shared" si="62"/>
        <v>0</v>
      </c>
      <c r="S208" s="73">
        <f t="shared" si="63"/>
        <v>0</v>
      </c>
      <c r="T208" s="73">
        <f t="shared" si="64"/>
        <v>0</v>
      </c>
      <c r="U208" s="73">
        <f t="shared" si="65"/>
        <v>0</v>
      </c>
      <c r="V208" s="73">
        <f t="shared" si="66"/>
        <v>0</v>
      </c>
      <c r="W208" s="73">
        <f t="shared" si="67"/>
        <v>0</v>
      </c>
      <c r="X208" s="81"/>
    </row>
    <row r="209" spans="1:24" ht="21.75" hidden="1">
      <c r="A209" s="69">
        <v>1206</v>
      </c>
      <c r="B209" s="70">
        <v>12</v>
      </c>
      <c r="C209" s="71">
        <v>203</v>
      </c>
      <c r="D209" s="46" t="s">
        <v>540</v>
      </c>
      <c r="E209" s="72" t="s">
        <v>229</v>
      </c>
      <c r="F209" s="73">
        <v>-692186400</v>
      </c>
      <c r="G209" s="73">
        <f t="shared" si="51"/>
        <v>0</v>
      </c>
      <c r="H209" s="73">
        <f t="shared" si="52"/>
        <v>0</v>
      </c>
      <c r="I209" s="73">
        <f t="shared" si="53"/>
        <v>0</v>
      </c>
      <c r="J209" s="73">
        <f t="shared" si="54"/>
        <v>0</v>
      </c>
      <c r="K209" s="73">
        <f t="shared" si="55"/>
        <v>0</v>
      </c>
      <c r="L209" s="73">
        <f t="shared" si="56"/>
        <v>0</v>
      </c>
      <c r="M209" s="73">
        <f t="shared" si="57"/>
        <v>0</v>
      </c>
      <c r="N209" s="73">
        <f t="shared" si="58"/>
        <v>0</v>
      </c>
      <c r="O209" s="73">
        <f t="shared" si="59"/>
        <v>0</v>
      </c>
      <c r="P209" s="73">
        <f t="shared" si="60"/>
        <v>-692186400</v>
      </c>
      <c r="Q209" s="73">
        <f t="shared" si="61"/>
        <v>0</v>
      </c>
      <c r="R209" s="73">
        <f t="shared" si="62"/>
        <v>0</v>
      </c>
      <c r="S209" s="73">
        <f t="shared" si="63"/>
        <v>0</v>
      </c>
      <c r="T209" s="73">
        <f t="shared" si="64"/>
        <v>0</v>
      </c>
      <c r="U209" s="73">
        <f t="shared" si="65"/>
        <v>0</v>
      </c>
      <c r="V209" s="73">
        <f t="shared" si="66"/>
        <v>0</v>
      </c>
      <c r="W209" s="73">
        <f t="shared" si="67"/>
        <v>0</v>
      </c>
      <c r="X209" s="74"/>
    </row>
    <row r="210" spans="1:24" ht="21.75" hidden="1">
      <c r="A210" s="75">
        <v>1207</v>
      </c>
      <c r="B210" s="76">
        <v>12</v>
      </c>
      <c r="C210" s="77">
        <v>204</v>
      </c>
      <c r="D210" s="78" t="s">
        <v>543</v>
      </c>
      <c r="E210" s="79" t="s">
        <v>544</v>
      </c>
      <c r="F210" s="80">
        <v>-131791238583</v>
      </c>
      <c r="G210" s="73">
        <f t="shared" si="51"/>
        <v>0</v>
      </c>
      <c r="H210" s="73">
        <f t="shared" si="52"/>
        <v>0</v>
      </c>
      <c r="I210" s="73">
        <f t="shared" si="53"/>
        <v>0</v>
      </c>
      <c r="J210" s="73">
        <f t="shared" si="54"/>
        <v>0</v>
      </c>
      <c r="K210" s="73">
        <f t="shared" si="55"/>
        <v>0</v>
      </c>
      <c r="L210" s="73">
        <f t="shared" si="56"/>
        <v>0</v>
      </c>
      <c r="M210" s="73">
        <f t="shared" si="57"/>
        <v>0</v>
      </c>
      <c r="N210" s="73">
        <f t="shared" si="58"/>
        <v>0</v>
      </c>
      <c r="O210" s="73">
        <f t="shared" si="59"/>
        <v>0</v>
      </c>
      <c r="P210" s="73">
        <f t="shared" si="60"/>
        <v>-131791238583</v>
      </c>
      <c r="Q210" s="73">
        <f t="shared" si="61"/>
        <v>0</v>
      </c>
      <c r="R210" s="73">
        <f t="shared" si="62"/>
        <v>0</v>
      </c>
      <c r="S210" s="73">
        <f t="shared" si="63"/>
        <v>0</v>
      </c>
      <c r="T210" s="73">
        <f t="shared" si="64"/>
        <v>0</v>
      </c>
      <c r="U210" s="73">
        <f t="shared" si="65"/>
        <v>0</v>
      </c>
      <c r="V210" s="73">
        <f t="shared" si="66"/>
        <v>0</v>
      </c>
      <c r="W210" s="73">
        <f t="shared" si="67"/>
        <v>0</v>
      </c>
      <c r="X210" s="81"/>
    </row>
    <row r="211" spans="1:24" ht="21.75" hidden="1">
      <c r="A211" s="69">
        <v>1207</v>
      </c>
      <c r="B211" s="70">
        <v>12</v>
      </c>
      <c r="C211" s="71">
        <v>205</v>
      </c>
      <c r="D211" s="46" t="s">
        <v>545</v>
      </c>
      <c r="E211" s="72" t="s">
        <v>510</v>
      </c>
      <c r="F211" s="73">
        <v>-46700000</v>
      </c>
      <c r="G211" s="73">
        <f t="shared" si="51"/>
        <v>0</v>
      </c>
      <c r="H211" s="73">
        <f t="shared" si="52"/>
        <v>0</v>
      </c>
      <c r="I211" s="73">
        <f t="shared" si="53"/>
        <v>0</v>
      </c>
      <c r="J211" s="73">
        <f t="shared" si="54"/>
        <v>0</v>
      </c>
      <c r="K211" s="73">
        <f t="shared" si="55"/>
        <v>0</v>
      </c>
      <c r="L211" s="73">
        <f t="shared" si="56"/>
        <v>0</v>
      </c>
      <c r="M211" s="73">
        <f t="shared" si="57"/>
        <v>0</v>
      </c>
      <c r="N211" s="73">
        <f t="shared" si="58"/>
        <v>0</v>
      </c>
      <c r="O211" s="73">
        <f t="shared" si="59"/>
        <v>0</v>
      </c>
      <c r="P211" s="73">
        <f t="shared" si="60"/>
        <v>-46700000</v>
      </c>
      <c r="Q211" s="73">
        <f t="shared" si="61"/>
        <v>0</v>
      </c>
      <c r="R211" s="73">
        <f t="shared" si="62"/>
        <v>0</v>
      </c>
      <c r="S211" s="73">
        <f t="shared" si="63"/>
        <v>0</v>
      </c>
      <c r="T211" s="73">
        <f t="shared" si="64"/>
        <v>0</v>
      </c>
      <c r="U211" s="73">
        <f t="shared" si="65"/>
        <v>0</v>
      </c>
      <c r="V211" s="73">
        <f t="shared" si="66"/>
        <v>0</v>
      </c>
      <c r="W211" s="73">
        <f t="shared" si="67"/>
        <v>0</v>
      </c>
      <c r="X211" s="74"/>
    </row>
    <row r="212" spans="1:24" ht="21.75" hidden="1">
      <c r="A212" s="75">
        <v>1208</v>
      </c>
      <c r="B212" s="76">
        <v>12</v>
      </c>
      <c r="C212" s="77">
        <v>206</v>
      </c>
      <c r="D212" s="78" t="s">
        <v>511</v>
      </c>
      <c r="E212" s="79" t="s">
        <v>512</v>
      </c>
      <c r="F212" s="80">
        <v>-1009591644</v>
      </c>
      <c r="G212" s="73">
        <f t="shared" si="51"/>
        <v>0</v>
      </c>
      <c r="H212" s="73">
        <f t="shared" si="52"/>
        <v>0</v>
      </c>
      <c r="I212" s="73">
        <f t="shared" si="53"/>
        <v>0</v>
      </c>
      <c r="J212" s="73">
        <f t="shared" si="54"/>
        <v>0</v>
      </c>
      <c r="K212" s="73">
        <f t="shared" si="55"/>
        <v>0</v>
      </c>
      <c r="L212" s="73">
        <f t="shared" si="56"/>
        <v>0</v>
      </c>
      <c r="M212" s="73">
        <f t="shared" si="57"/>
        <v>0</v>
      </c>
      <c r="N212" s="73">
        <f t="shared" si="58"/>
        <v>0</v>
      </c>
      <c r="O212" s="73">
        <f t="shared" si="59"/>
        <v>0</v>
      </c>
      <c r="P212" s="73">
        <f t="shared" si="60"/>
        <v>-1009591644</v>
      </c>
      <c r="Q212" s="73">
        <f t="shared" si="61"/>
        <v>0</v>
      </c>
      <c r="R212" s="73">
        <f t="shared" si="62"/>
        <v>0</v>
      </c>
      <c r="S212" s="73">
        <f t="shared" si="63"/>
        <v>0</v>
      </c>
      <c r="T212" s="73">
        <f t="shared" si="64"/>
        <v>0</v>
      </c>
      <c r="U212" s="73">
        <f t="shared" si="65"/>
        <v>0</v>
      </c>
      <c r="V212" s="73">
        <f t="shared" si="66"/>
        <v>0</v>
      </c>
      <c r="W212" s="73">
        <f t="shared" si="67"/>
        <v>0</v>
      </c>
      <c r="X212" s="81"/>
    </row>
    <row r="213" spans="1:24" ht="21.75" hidden="1">
      <c r="A213" s="69">
        <v>1208</v>
      </c>
      <c r="B213" s="70">
        <v>12</v>
      </c>
      <c r="C213" s="71">
        <v>207</v>
      </c>
      <c r="D213" s="46" t="s">
        <v>513</v>
      </c>
      <c r="E213" s="72" t="s">
        <v>279</v>
      </c>
      <c r="F213" s="73">
        <v>-91373963989</v>
      </c>
      <c r="G213" s="73">
        <f t="shared" si="51"/>
        <v>0</v>
      </c>
      <c r="H213" s="73">
        <f t="shared" si="52"/>
        <v>0</v>
      </c>
      <c r="I213" s="73">
        <f t="shared" si="53"/>
        <v>0</v>
      </c>
      <c r="J213" s="73">
        <f t="shared" si="54"/>
        <v>0</v>
      </c>
      <c r="K213" s="73">
        <f t="shared" si="55"/>
        <v>0</v>
      </c>
      <c r="L213" s="73">
        <f t="shared" si="56"/>
        <v>0</v>
      </c>
      <c r="M213" s="73">
        <f t="shared" si="57"/>
        <v>0</v>
      </c>
      <c r="N213" s="73">
        <f t="shared" si="58"/>
        <v>0</v>
      </c>
      <c r="O213" s="73">
        <f t="shared" si="59"/>
        <v>0</v>
      </c>
      <c r="P213" s="73">
        <f t="shared" si="60"/>
        <v>-91373963989</v>
      </c>
      <c r="Q213" s="73">
        <f t="shared" si="61"/>
        <v>0</v>
      </c>
      <c r="R213" s="73">
        <f t="shared" si="62"/>
        <v>0</v>
      </c>
      <c r="S213" s="73">
        <f t="shared" si="63"/>
        <v>0</v>
      </c>
      <c r="T213" s="73">
        <f t="shared" si="64"/>
        <v>0</v>
      </c>
      <c r="U213" s="73">
        <f t="shared" si="65"/>
        <v>0</v>
      </c>
      <c r="V213" s="73">
        <f t="shared" si="66"/>
        <v>0</v>
      </c>
      <c r="W213" s="73">
        <f t="shared" si="67"/>
        <v>0</v>
      </c>
      <c r="X213" s="74"/>
    </row>
    <row r="214" spans="1:24" ht="21.75" hidden="1">
      <c r="A214" s="75">
        <v>1207</v>
      </c>
      <c r="B214" s="76">
        <v>12</v>
      </c>
      <c r="C214" s="77">
        <v>208</v>
      </c>
      <c r="D214" s="78" t="s">
        <v>499</v>
      </c>
      <c r="E214" s="79" t="s">
        <v>500</v>
      </c>
      <c r="F214" s="80">
        <v>-867937579</v>
      </c>
      <c r="G214" s="73">
        <f t="shared" si="51"/>
        <v>0</v>
      </c>
      <c r="H214" s="73">
        <f t="shared" si="52"/>
        <v>0</v>
      </c>
      <c r="I214" s="73">
        <f t="shared" si="53"/>
        <v>0</v>
      </c>
      <c r="J214" s="73">
        <f t="shared" si="54"/>
        <v>0</v>
      </c>
      <c r="K214" s="73">
        <f t="shared" si="55"/>
        <v>0</v>
      </c>
      <c r="L214" s="73">
        <f t="shared" si="56"/>
        <v>0</v>
      </c>
      <c r="M214" s="73">
        <f t="shared" si="57"/>
        <v>0</v>
      </c>
      <c r="N214" s="73">
        <f t="shared" si="58"/>
        <v>0</v>
      </c>
      <c r="O214" s="73">
        <f t="shared" si="59"/>
        <v>0</v>
      </c>
      <c r="P214" s="73">
        <f t="shared" si="60"/>
        <v>-867937579</v>
      </c>
      <c r="Q214" s="73">
        <f t="shared" si="61"/>
        <v>0</v>
      </c>
      <c r="R214" s="73">
        <f t="shared" si="62"/>
        <v>0</v>
      </c>
      <c r="S214" s="73">
        <f t="shared" si="63"/>
        <v>0</v>
      </c>
      <c r="T214" s="73">
        <f t="shared" si="64"/>
        <v>0</v>
      </c>
      <c r="U214" s="73">
        <f t="shared" si="65"/>
        <v>0</v>
      </c>
      <c r="V214" s="73">
        <f t="shared" si="66"/>
        <v>0</v>
      </c>
      <c r="W214" s="73">
        <f t="shared" si="67"/>
        <v>0</v>
      </c>
      <c r="X214" s="81"/>
    </row>
    <row r="215" spans="1:24" ht="21.75" hidden="1">
      <c r="A215" s="69">
        <v>1212</v>
      </c>
      <c r="B215" s="70">
        <v>12</v>
      </c>
      <c r="C215" s="71">
        <v>209</v>
      </c>
      <c r="D215" s="46" t="s">
        <v>501</v>
      </c>
      <c r="E215" s="72" t="s">
        <v>502</v>
      </c>
      <c r="F215" s="73">
        <v>-9587500</v>
      </c>
      <c r="G215" s="73">
        <f t="shared" si="51"/>
        <v>0</v>
      </c>
      <c r="H215" s="73">
        <f t="shared" si="52"/>
        <v>0</v>
      </c>
      <c r="I215" s="73">
        <f t="shared" si="53"/>
        <v>0</v>
      </c>
      <c r="J215" s="73">
        <f t="shared" si="54"/>
        <v>0</v>
      </c>
      <c r="K215" s="73">
        <f t="shared" si="55"/>
        <v>0</v>
      </c>
      <c r="L215" s="73">
        <f t="shared" si="56"/>
        <v>0</v>
      </c>
      <c r="M215" s="73">
        <f t="shared" si="57"/>
        <v>0</v>
      </c>
      <c r="N215" s="73">
        <f t="shared" si="58"/>
        <v>0</v>
      </c>
      <c r="O215" s="73">
        <f t="shared" si="59"/>
        <v>0</v>
      </c>
      <c r="P215" s="73">
        <f t="shared" si="60"/>
        <v>-9587500</v>
      </c>
      <c r="Q215" s="73">
        <f t="shared" si="61"/>
        <v>0</v>
      </c>
      <c r="R215" s="73">
        <f t="shared" si="62"/>
        <v>0</v>
      </c>
      <c r="S215" s="73">
        <f t="shared" si="63"/>
        <v>0</v>
      </c>
      <c r="T215" s="73">
        <f t="shared" si="64"/>
        <v>0</v>
      </c>
      <c r="U215" s="73">
        <f t="shared" si="65"/>
        <v>0</v>
      </c>
      <c r="V215" s="73">
        <f t="shared" si="66"/>
        <v>0</v>
      </c>
      <c r="W215" s="73">
        <f t="shared" si="67"/>
        <v>0</v>
      </c>
      <c r="X215" s="74"/>
    </row>
    <row r="216" spans="1:24" ht="21.75" hidden="1">
      <c r="A216" s="69">
        <v>1212</v>
      </c>
      <c r="B216" s="76">
        <v>12</v>
      </c>
      <c r="C216" s="77">
        <v>210</v>
      </c>
      <c r="D216" s="78" t="s">
        <v>503</v>
      </c>
      <c r="E216" s="79" t="s">
        <v>504</v>
      </c>
      <c r="F216" s="80">
        <v>-8697921504</v>
      </c>
      <c r="G216" s="73">
        <f t="shared" si="51"/>
        <v>0</v>
      </c>
      <c r="H216" s="73">
        <f t="shared" si="52"/>
        <v>0</v>
      </c>
      <c r="I216" s="73">
        <f t="shared" si="53"/>
        <v>0</v>
      </c>
      <c r="J216" s="73">
        <f t="shared" si="54"/>
        <v>0</v>
      </c>
      <c r="K216" s="73">
        <f t="shared" si="55"/>
        <v>0</v>
      </c>
      <c r="L216" s="73">
        <f t="shared" si="56"/>
        <v>0</v>
      </c>
      <c r="M216" s="73">
        <f t="shared" si="57"/>
        <v>0</v>
      </c>
      <c r="N216" s="73">
        <f t="shared" si="58"/>
        <v>0</v>
      </c>
      <c r="O216" s="73">
        <f t="shared" si="59"/>
        <v>0</v>
      </c>
      <c r="P216" s="73">
        <f t="shared" si="60"/>
        <v>-8697921504</v>
      </c>
      <c r="Q216" s="73">
        <f t="shared" si="61"/>
        <v>0</v>
      </c>
      <c r="R216" s="73">
        <f t="shared" si="62"/>
        <v>0</v>
      </c>
      <c r="S216" s="73">
        <f t="shared" si="63"/>
        <v>0</v>
      </c>
      <c r="T216" s="73">
        <f t="shared" si="64"/>
        <v>0</v>
      </c>
      <c r="U216" s="73">
        <f t="shared" si="65"/>
        <v>0</v>
      </c>
      <c r="V216" s="73">
        <f t="shared" si="66"/>
        <v>0</v>
      </c>
      <c r="W216" s="73">
        <f t="shared" si="67"/>
        <v>0</v>
      </c>
      <c r="X216" s="81"/>
    </row>
    <row r="217" spans="1:24" ht="21.75" hidden="1">
      <c r="A217" s="69">
        <v>1209</v>
      </c>
      <c r="B217" s="70">
        <v>12</v>
      </c>
      <c r="C217" s="71">
        <v>211</v>
      </c>
      <c r="D217" s="46" t="s">
        <v>505</v>
      </c>
      <c r="E217" s="72" t="s">
        <v>506</v>
      </c>
      <c r="F217" s="73">
        <v>-4720164816</v>
      </c>
      <c r="G217" s="73">
        <f t="shared" si="51"/>
        <v>0</v>
      </c>
      <c r="H217" s="73">
        <f t="shared" si="52"/>
        <v>0</v>
      </c>
      <c r="I217" s="73">
        <f t="shared" si="53"/>
        <v>0</v>
      </c>
      <c r="J217" s="73">
        <f t="shared" si="54"/>
        <v>0</v>
      </c>
      <c r="K217" s="73">
        <f t="shared" si="55"/>
        <v>0</v>
      </c>
      <c r="L217" s="73">
        <f t="shared" si="56"/>
        <v>0</v>
      </c>
      <c r="M217" s="73">
        <f t="shared" si="57"/>
        <v>0</v>
      </c>
      <c r="N217" s="73">
        <f t="shared" si="58"/>
        <v>0</v>
      </c>
      <c r="O217" s="73">
        <f t="shared" si="59"/>
        <v>0</v>
      </c>
      <c r="P217" s="73">
        <f t="shared" si="60"/>
        <v>-4720164816</v>
      </c>
      <c r="Q217" s="73">
        <f t="shared" si="61"/>
        <v>0</v>
      </c>
      <c r="R217" s="73">
        <f t="shared" si="62"/>
        <v>0</v>
      </c>
      <c r="S217" s="73">
        <f t="shared" si="63"/>
        <v>0</v>
      </c>
      <c r="T217" s="73">
        <f t="shared" si="64"/>
        <v>0</v>
      </c>
      <c r="U217" s="73">
        <f t="shared" si="65"/>
        <v>0</v>
      </c>
      <c r="V217" s="73">
        <f t="shared" si="66"/>
        <v>0</v>
      </c>
      <c r="W217" s="73">
        <f t="shared" si="67"/>
        <v>0</v>
      </c>
      <c r="X217" s="74"/>
    </row>
    <row r="218" spans="1:24" ht="21.75" hidden="1">
      <c r="A218" s="75">
        <v>1209</v>
      </c>
      <c r="B218" s="76">
        <v>12</v>
      </c>
      <c r="C218" s="77">
        <v>212</v>
      </c>
      <c r="D218" s="78" t="s">
        <v>507</v>
      </c>
      <c r="E218" s="79" t="s">
        <v>185</v>
      </c>
      <c r="F218" s="80">
        <v>-4940051426</v>
      </c>
      <c r="G218" s="73">
        <f t="shared" si="51"/>
        <v>0</v>
      </c>
      <c r="H218" s="73">
        <f t="shared" si="52"/>
        <v>0</v>
      </c>
      <c r="I218" s="73">
        <f t="shared" si="53"/>
        <v>0</v>
      </c>
      <c r="J218" s="73">
        <f t="shared" si="54"/>
        <v>0</v>
      </c>
      <c r="K218" s="73">
        <f t="shared" si="55"/>
        <v>0</v>
      </c>
      <c r="L218" s="73">
        <f t="shared" si="56"/>
        <v>0</v>
      </c>
      <c r="M218" s="73">
        <f t="shared" si="57"/>
        <v>0</v>
      </c>
      <c r="N218" s="73">
        <f t="shared" si="58"/>
        <v>0</v>
      </c>
      <c r="O218" s="73">
        <f t="shared" si="59"/>
        <v>0</v>
      </c>
      <c r="P218" s="73">
        <f t="shared" si="60"/>
        <v>-4940051426</v>
      </c>
      <c r="Q218" s="73">
        <f t="shared" si="61"/>
        <v>0</v>
      </c>
      <c r="R218" s="73">
        <f t="shared" si="62"/>
        <v>0</v>
      </c>
      <c r="S218" s="73">
        <f t="shared" si="63"/>
        <v>0</v>
      </c>
      <c r="T218" s="73">
        <f t="shared" si="64"/>
        <v>0</v>
      </c>
      <c r="U218" s="73">
        <f t="shared" si="65"/>
        <v>0</v>
      </c>
      <c r="V218" s="73">
        <f t="shared" si="66"/>
        <v>0</v>
      </c>
      <c r="W218" s="73">
        <f t="shared" si="67"/>
        <v>0</v>
      </c>
      <c r="X218" s="81"/>
    </row>
    <row r="219" spans="1:24" ht="21.75" hidden="1">
      <c r="A219" s="69">
        <v>1210</v>
      </c>
      <c r="B219" s="70">
        <v>12</v>
      </c>
      <c r="C219" s="71">
        <v>213</v>
      </c>
      <c r="D219" s="46" t="s">
        <v>186</v>
      </c>
      <c r="E219" s="72" t="s">
        <v>187</v>
      </c>
      <c r="F219" s="73">
        <v>-85931608</v>
      </c>
      <c r="G219" s="73">
        <f t="shared" si="51"/>
        <v>0</v>
      </c>
      <c r="H219" s="73">
        <f t="shared" si="52"/>
        <v>0</v>
      </c>
      <c r="I219" s="73">
        <f t="shared" si="53"/>
        <v>0</v>
      </c>
      <c r="J219" s="73">
        <f t="shared" si="54"/>
        <v>0</v>
      </c>
      <c r="K219" s="73">
        <f t="shared" si="55"/>
        <v>0</v>
      </c>
      <c r="L219" s="73">
        <f t="shared" si="56"/>
        <v>0</v>
      </c>
      <c r="M219" s="73">
        <f t="shared" si="57"/>
        <v>0</v>
      </c>
      <c r="N219" s="73">
        <f t="shared" si="58"/>
        <v>0</v>
      </c>
      <c r="O219" s="73">
        <f t="shared" si="59"/>
        <v>0</v>
      </c>
      <c r="P219" s="73">
        <f t="shared" si="60"/>
        <v>-85931608</v>
      </c>
      <c r="Q219" s="73">
        <f t="shared" si="61"/>
        <v>0</v>
      </c>
      <c r="R219" s="73">
        <f t="shared" si="62"/>
        <v>0</v>
      </c>
      <c r="S219" s="73">
        <f t="shared" si="63"/>
        <v>0</v>
      </c>
      <c r="T219" s="73">
        <f t="shared" si="64"/>
        <v>0</v>
      </c>
      <c r="U219" s="73">
        <f t="shared" si="65"/>
        <v>0</v>
      </c>
      <c r="V219" s="73">
        <f t="shared" si="66"/>
        <v>0</v>
      </c>
      <c r="W219" s="73">
        <f t="shared" si="67"/>
        <v>0</v>
      </c>
      <c r="X219" s="74"/>
    </row>
    <row r="220" spans="1:24" ht="21.75" hidden="1">
      <c r="A220" s="75">
        <v>1210</v>
      </c>
      <c r="B220" s="76">
        <v>12</v>
      </c>
      <c r="C220" s="77">
        <v>214</v>
      </c>
      <c r="D220" s="78" t="s">
        <v>188</v>
      </c>
      <c r="E220" s="79" t="s">
        <v>189</v>
      </c>
      <c r="F220" s="80">
        <v>-13330118272</v>
      </c>
      <c r="G220" s="73">
        <f t="shared" si="51"/>
        <v>0</v>
      </c>
      <c r="H220" s="73">
        <f t="shared" si="52"/>
        <v>0</v>
      </c>
      <c r="I220" s="73">
        <f t="shared" si="53"/>
        <v>0</v>
      </c>
      <c r="J220" s="73">
        <f t="shared" si="54"/>
        <v>0</v>
      </c>
      <c r="K220" s="73">
        <f t="shared" si="55"/>
        <v>0</v>
      </c>
      <c r="L220" s="73">
        <f t="shared" si="56"/>
        <v>0</v>
      </c>
      <c r="M220" s="73">
        <f t="shared" si="57"/>
        <v>0</v>
      </c>
      <c r="N220" s="73">
        <f t="shared" si="58"/>
        <v>0</v>
      </c>
      <c r="O220" s="73">
        <f t="shared" si="59"/>
        <v>0</v>
      </c>
      <c r="P220" s="73">
        <f t="shared" si="60"/>
        <v>-13330118272</v>
      </c>
      <c r="Q220" s="73">
        <f t="shared" si="61"/>
        <v>0</v>
      </c>
      <c r="R220" s="73">
        <f t="shared" si="62"/>
        <v>0</v>
      </c>
      <c r="S220" s="73">
        <f t="shared" si="63"/>
        <v>0</v>
      </c>
      <c r="T220" s="73">
        <f t="shared" si="64"/>
        <v>0</v>
      </c>
      <c r="U220" s="73">
        <f t="shared" si="65"/>
        <v>0</v>
      </c>
      <c r="V220" s="73">
        <f t="shared" si="66"/>
        <v>0</v>
      </c>
      <c r="W220" s="73">
        <f t="shared" si="67"/>
        <v>0</v>
      </c>
      <c r="X220" s="81"/>
    </row>
    <row r="221" spans="1:24" ht="21.75" hidden="1">
      <c r="A221" s="69">
        <v>1209</v>
      </c>
      <c r="B221" s="70">
        <v>12</v>
      </c>
      <c r="C221" s="71">
        <v>215</v>
      </c>
      <c r="D221" s="46" t="s">
        <v>190</v>
      </c>
      <c r="E221" s="72" t="s">
        <v>191</v>
      </c>
      <c r="F221" s="73">
        <v>-711546399</v>
      </c>
      <c r="G221" s="73">
        <f t="shared" si="51"/>
        <v>0</v>
      </c>
      <c r="H221" s="73">
        <f t="shared" si="52"/>
        <v>0</v>
      </c>
      <c r="I221" s="73">
        <f t="shared" si="53"/>
        <v>0</v>
      </c>
      <c r="J221" s="73">
        <f t="shared" si="54"/>
        <v>0</v>
      </c>
      <c r="K221" s="73">
        <f t="shared" si="55"/>
        <v>0</v>
      </c>
      <c r="L221" s="73">
        <f t="shared" si="56"/>
        <v>0</v>
      </c>
      <c r="M221" s="73">
        <f t="shared" si="57"/>
        <v>0</v>
      </c>
      <c r="N221" s="73">
        <f t="shared" si="58"/>
        <v>0</v>
      </c>
      <c r="O221" s="73">
        <f t="shared" si="59"/>
        <v>0</v>
      </c>
      <c r="P221" s="73">
        <f t="shared" si="60"/>
        <v>-711546399</v>
      </c>
      <c r="Q221" s="73">
        <f t="shared" si="61"/>
        <v>0</v>
      </c>
      <c r="R221" s="73">
        <f t="shared" si="62"/>
        <v>0</v>
      </c>
      <c r="S221" s="73">
        <f t="shared" si="63"/>
        <v>0</v>
      </c>
      <c r="T221" s="73">
        <f t="shared" si="64"/>
        <v>0</v>
      </c>
      <c r="U221" s="73">
        <f t="shared" si="65"/>
        <v>0</v>
      </c>
      <c r="V221" s="73">
        <f t="shared" si="66"/>
        <v>0</v>
      </c>
      <c r="W221" s="73">
        <f t="shared" si="67"/>
        <v>0</v>
      </c>
      <c r="X221" s="74"/>
    </row>
    <row r="222" spans="1:24" ht="21.75" hidden="1">
      <c r="A222" s="69">
        <v>1212</v>
      </c>
      <c r="B222" s="76">
        <v>12</v>
      </c>
      <c r="C222" s="77">
        <v>216</v>
      </c>
      <c r="D222" s="78" t="s">
        <v>192</v>
      </c>
      <c r="E222" s="79" t="s">
        <v>25</v>
      </c>
      <c r="F222" s="80">
        <v>-1691877000</v>
      </c>
      <c r="G222" s="73">
        <f t="shared" si="51"/>
        <v>0</v>
      </c>
      <c r="H222" s="73">
        <f t="shared" si="52"/>
        <v>0</v>
      </c>
      <c r="I222" s="73">
        <f t="shared" si="53"/>
        <v>0</v>
      </c>
      <c r="J222" s="73">
        <f t="shared" si="54"/>
        <v>0</v>
      </c>
      <c r="K222" s="73">
        <f t="shared" si="55"/>
        <v>0</v>
      </c>
      <c r="L222" s="73">
        <f t="shared" si="56"/>
        <v>0</v>
      </c>
      <c r="M222" s="73">
        <f t="shared" si="57"/>
        <v>0</v>
      </c>
      <c r="N222" s="73">
        <f t="shared" si="58"/>
        <v>0</v>
      </c>
      <c r="O222" s="73">
        <f t="shared" si="59"/>
        <v>0</v>
      </c>
      <c r="P222" s="73">
        <f t="shared" si="60"/>
        <v>-1691877000</v>
      </c>
      <c r="Q222" s="73">
        <f t="shared" si="61"/>
        <v>0</v>
      </c>
      <c r="R222" s="73">
        <f t="shared" si="62"/>
        <v>0</v>
      </c>
      <c r="S222" s="73">
        <f t="shared" si="63"/>
        <v>0</v>
      </c>
      <c r="T222" s="73">
        <f t="shared" si="64"/>
        <v>0</v>
      </c>
      <c r="U222" s="73">
        <f t="shared" si="65"/>
        <v>0</v>
      </c>
      <c r="V222" s="73">
        <f t="shared" si="66"/>
        <v>0</v>
      </c>
      <c r="W222" s="73">
        <f t="shared" si="67"/>
        <v>0</v>
      </c>
      <c r="X222" s="81"/>
    </row>
    <row r="223" spans="1:24" ht="21.75" hidden="1">
      <c r="A223" s="69">
        <v>403</v>
      </c>
      <c r="B223" s="70">
        <v>4</v>
      </c>
      <c r="C223" s="71">
        <v>217</v>
      </c>
      <c r="D223" s="46" t="s">
        <v>26</v>
      </c>
      <c r="E223" s="72" t="s">
        <v>27</v>
      </c>
      <c r="F223" s="73">
        <v>1080065647</v>
      </c>
      <c r="G223" s="73">
        <f t="shared" si="51"/>
        <v>1080065647</v>
      </c>
      <c r="H223" s="73">
        <f t="shared" si="52"/>
        <v>0</v>
      </c>
      <c r="I223" s="73">
        <f t="shared" si="53"/>
        <v>0</v>
      </c>
      <c r="J223" s="73">
        <f t="shared" si="54"/>
        <v>0</v>
      </c>
      <c r="K223" s="73">
        <f t="shared" si="55"/>
        <v>0</v>
      </c>
      <c r="L223" s="73">
        <f t="shared" si="56"/>
        <v>0</v>
      </c>
      <c r="M223" s="73">
        <f t="shared" si="57"/>
        <v>0</v>
      </c>
      <c r="N223" s="73">
        <f t="shared" si="58"/>
        <v>0</v>
      </c>
      <c r="O223" s="73">
        <f t="shared" si="59"/>
        <v>0</v>
      </c>
      <c r="P223" s="73">
        <f t="shared" si="60"/>
        <v>0</v>
      </c>
      <c r="Q223" s="73">
        <f t="shared" si="61"/>
        <v>0</v>
      </c>
      <c r="R223" s="73">
        <f t="shared" si="62"/>
        <v>0</v>
      </c>
      <c r="S223" s="73">
        <f t="shared" si="63"/>
        <v>0</v>
      </c>
      <c r="T223" s="73">
        <f t="shared" si="64"/>
        <v>0</v>
      </c>
      <c r="U223" s="73">
        <f t="shared" si="65"/>
        <v>0</v>
      </c>
      <c r="V223" s="73">
        <f t="shared" si="66"/>
        <v>0</v>
      </c>
      <c r="W223" s="73">
        <f t="shared" si="67"/>
        <v>0</v>
      </c>
      <c r="X223" s="74"/>
    </row>
    <row r="224" spans="1:24" ht="21.75" hidden="1">
      <c r="A224" s="75">
        <v>401</v>
      </c>
      <c r="B224" s="76">
        <v>4</v>
      </c>
      <c r="C224" s="77">
        <v>218</v>
      </c>
      <c r="D224" s="78" t="s">
        <v>28</v>
      </c>
      <c r="E224" s="79" t="s">
        <v>29</v>
      </c>
      <c r="F224" s="80">
        <v>10745000000</v>
      </c>
      <c r="G224" s="73">
        <f t="shared" si="51"/>
        <v>10745000000</v>
      </c>
      <c r="H224" s="73">
        <f t="shared" si="52"/>
        <v>0</v>
      </c>
      <c r="I224" s="73">
        <f t="shared" si="53"/>
        <v>0</v>
      </c>
      <c r="J224" s="73">
        <f t="shared" si="54"/>
        <v>0</v>
      </c>
      <c r="K224" s="73">
        <f t="shared" si="55"/>
        <v>0</v>
      </c>
      <c r="L224" s="73">
        <f t="shared" si="56"/>
        <v>0</v>
      </c>
      <c r="M224" s="73">
        <f t="shared" si="57"/>
        <v>0</v>
      </c>
      <c r="N224" s="73">
        <f t="shared" si="58"/>
        <v>0</v>
      </c>
      <c r="O224" s="73">
        <f t="shared" si="59"/>
        <v>0</v>
      </c>
      <c r="P224" s="73">
        <f t="shared" si="60"/>
        <v>0</v>
      </c>
      <c r="Q224" s="73">
        <f t="shared" si="61"/>
        <v>0</v>
      </c>
      <c r="R224" s="73">
        <f t="shared" si="62"/>
        <v>0</v>
      </c>
      <c r="S224" s="73">
        <f t="shared" si="63"/>
        <v>0</v>
      </c>
      <c r="T224" s="73">
        <f t="shared" si="64"/>
        <v>0</v>
      </c>
      <c r="U224" s="73">
        <f t="shared" si="65"/>
        <v>0</v>
      </c>
      <c r="V224" s="73">
        <f t="shared" si="66"/>
        <v>0</v>
      </c>
      <c r="W224" s="73">
        <f t="shared" si="67"/>
        <v>0</v>
      </c>
      <c r="X224" s="81"/>
    </row>
    <row r="225" spans="1:24" ht="21.75" hidden="1">
      <c r="A225" s="69">
        <v>402</v>
      </c>
      <c r="B225" s="70">
        <v>4</v>
      </c>
      <c r="C225" s="71">
        <v>219</v>
      </c>
      <c r="D225" s="46" t="s">
        <v>30</v>
      </c>
      <c r="E225" s="72" t="s">
        <v>31</v>
      </c>
      <c r="F225" s="73">
        <v>95910205572</v>
      </c>
      <c r="G225" s="73">
        <f t="shared" si="51"/>
        <v>95910205572</v>
      </c>
      <c r="H225" s="73">
        <f t="shared" si="52"/>
        <v>0</v>
      </c>
      <c r="I225" s="73">
        <f t="shared" si="53"/>
        <v>0</v>
      </c>
      <c r="J225" s="73">
        <f t="shared" si="54"/>
        <v>0</v>
      </c>
      <c r="K225" s="73">
        <f t="shared" si="55"/>
        <v>0</v>
      </c>
      <c r="L225" s="73">
        <f t="shared" si="56"/>
        <v>0</v>
      </c>
      <c r="M225" s="73">
        <f t="shared" si="57"/>
        <v>0</v>
      </c>
      <c r="N225" s="73">
        <f t="shared" si="58"/>
        <v>0</v>
      </c>
      <c r="O225" s="73">
        <f t="shared" si="59"/>
        <v>0</v>
      </c>
      <c r="P225" s="73">
        <f t="shared" si="60"/>
        <v>0</v>
      </c>
      <c r="Q225" s="73">
        <f t="shared" si="61"/>
        <v>0</v>
      </c>
      <c r="R225" s="73">
        <f t="shared" si="62"/>
        <v>0</v>
      </c>
      <c r="S225" s="73">
        <f t="shared" si="63"/>
        <v>0</v>
      </c>
      <c r="T225" s="73">
        <f t="shared" si="64"/>
        <v>0</v>
      </c>
      <c r="U225" s="73">
        <f t="shared" si="65"/>
        <v>0</v>
      </c>
      <c r="V225" s="73">
        <f t="shared" si="66"/>
        <v>0</v>
      </c>
      <c r="W225" s="73">
        <f t="shared" si="67"/>
        <v>0</v>
      </c>
      <c r="X225" s="74"/>
    </row>
    <row r="226" spans="1:24" ht="21.75" hidden="1">
      <c r="A226" s="75">
        <v>907</v>
      </c>
      <c r="B226" s="76">
        <v>9</v>
      </c>
      <c r="C226" s="77">
        <v>220</v>
      </c>
      <c r="D226" s="78" t="s">
        <v>32</v>
      </c>
      <c r="E226" s="79" t="s">
        <v>33</v>
      </c>
      <c r="F226" s="80">
        <v>56920449081</v>
      </c>
      <c r="G226" s="73">
        <f t="shared" si="51"/>
        <v>0</v>
      </c>
      <c r="H226" s="73">
        <f t="shared" si="52"/>
        <v>0</v>
      </c>
      <c r="I226" s="73">
        <f t="shared" si="53"/>
        <v>0</v>
      </c>
      <c r="J226" s="73">
        <f t="shared" si="54"/>
        <v>0</v>
      </c>
      <c r="K226" s="73">
        <f t="shared" si="55"/>
        <v>0</v>
      </c>
      <c r="L226" s="73">
        <f t="shared" si="56"/>
        <v>56920449081</v>
      </c>
      <c r="M226" s="73">
        <f t="shared" si="57"/>
        <v>0</v>
      </c>
      <c r="N226" s="73">
        <f t="shared" si="58"/>
        <v>0</v>
      </c>
      <c r="O226" s="73">
        <f t="shared" si="59"/>
        <v>0</v>
      </c>
      <c r="P226" s="73">
        <f t="shared" si="60"/>
        <v>0</v>
      </c>
      <c r="Q226" s="73">
        <f t="shared" si="61"/>
        <v>0</v>
      </c>
      <c r="R226" s="73">
        <f t="shared" si="62"/>
        <v>0</v>
      </c>
      <c r="S226" s="73">
        <f t="shared" si="63"/>
        <v>0</v>
      </c>
      <c r="T226" s="73">
        <f t="shared" si="64"/>
        <v>0</v>
      </c>
      <c r="U226" s="73">
        <f t="shared" si="65"/>
        <v>0</v>
      </c>
      <c r="V226" s="73">
        <f t="shared" si="66"/>
        <v>0</v>
      </c>
      <c r="W226" s="73">
        <f t="shared" si="67"/>
        <v>0</v>
      </c>
      <c r="X226" s="81"/>
    </row>
    <row r="227" spans="1:24" ht="21.75" hidden="1">
      <c r="A227" s="69">
        <v>803</v>
      </c>
      <c r="B227" s="70">
        <v>8</v>
      </c>
      <c r="C227" s="71">
        <v>221</v>
      </c>
      <c r="D227" s="46" t="s">
        <v>34</v>
      </c>
      <c r="E227" s="72" t="s">
        <v>35</v>
      </c>
      <c r="F227" s="73">
        <v>0</v>
      </c>
      <c r="G227" s="73">
        <f t="shared" si="51"/>
        <v>0</v>
      </c>
      <c r="H227" s="73">
        <f t="shared" si="52"/>
        <v>0</v>
      </c>
      <c r="I227" s="73">
        <f t="shared" si="53"/>
        <v>0</v>
      </c>
      <c r="J227" s="73">
        <f t="shared" si="54"/>
        <v>0</v>
      </c>
      <c r="K227" s="73">
        <f t="shared" si="55"/>
        <v>0</v>
      </c>
      <c r="L227" s="73">
        <f t="shared" si="56"/>
        <v>0</v>
      </c>
      <c r="M227" s="73">
        <f t="shared" si="57"/>
        <v>0</v>
      </c>
      <c r="N227" s="73">
        <f t="shared" si="58"/>
        <v>0</v>
      </c>
      <c r="O227" s="73">
        <f t="shared" si="59"/>
        <v>0</v>
      </c>
      <c r="P227" s="73">
        <f t="shared" si="60"/>
        <v>0</v>
      </c>
      <c r="Q227" s="73">
        <f t="shared" si="61"/>
        <v>0</v>
      </c>
      <c r="R227" s="73">
        <f t="shared" si="62"/>
        <v>0</v>
      </c>
      <c r="S227" s="73">
        <f t="shared" si="63"/>
        <v>0</v>
      </c>
      <c r="T227" s="73">
        <f t="shared" si="64"/>
        <v>0</v>
      </c>
      <c r="U227" s="73">
        <f t="shared" si="65"/>
        <v>0</v>
      </c>
      <c r="V227" s="73">
        <f t="shared" si="66"/>
        <v>0</v>
      </c>
      <c r="W227" s="73">
        <f t="shared" si="67"/>
        <v>0</v>
      </c>
      <c r="X227" s="74"/>
    </row>
    <row r="228" spans="1:24" ht="21.75" hidden="1">
      <c r="A228" s="75">
        <v>401</v>
      </c>
      <c r="B228" s="76">
        <v>4</v>
      </c>
      <c r="C228" s="77">
        <v>222</v>
      </c>
      <c r="D228" s="78" t="s">
        <v>36</v>
      </c>
      <c r="E228" s="79" t="s">
        <v>37</v>
      </c>
      <c r="F228" s="80">
        <v>100757943331</v>
      </c>
      <c r="G228" s="73">
        <f t="shared" si="51"/>
        <v>100757943331</v>
      </c>
      <c r="H228" s="73">
        <f t="shared" si="52"/>
        <v>0</v>
      </c>
      <c r="I228" s="73">
        <f t="shared" si="53"/>
        <v>0</v>
      </c>
      <c r="J228" s="73">
        <f t="shared" si="54"/>
        <v>0</v>
      </c>
      <c r="K228" s="73">
        <f t="shared" si="55"/>
        <v>0</v>
      </c>
      <c r="L228" s="73">
        <f t="shared" si="56"/>
        <v>0</v>
      </c>
      <c r="M228" s="73">
        <f t="shared" si="57"/>
        <v>0</v>
      </c>
      <c r="N228" s="73">
        <f t="shared" si="58"/>
        <v>0</v>
      </c>
      <c r="O228" s="73">
        <f t="shared" si="59"/>
        <v>0</v>
      </c>
      <c r="P228" s="73">
        <f t="shared" si="60"/>
        <v>0</v>
      </c>
      <c r="Q228" s="73">
        <f t="shared" si="61"/>
        <v>0</v>
      </c>
      <c r="R228" s="73">
        <f t="shared" si="62"/>
        <v>0</v>
      </c>
      <c r="S228" s="73">
        <f t="shared" si="63"/>
        <v>0</v>
      </c>
      <c r="T228" s="73">
        <f t="shared" si="64"/>
        <v>0</v>
      </c>
      <c r="U228" s="73">
        <f t="shared" si="65"/>
        <v>0</v>
      </c>
      <c r="V228" s="73">
        <f t="shared" si="66"/>
        <v>0</v>
      </c>
      <c r="W228" s="73">
        <f t="shared" si="67"/>
        <v>0</v>
      </c>
      <c r="X228" s="81"/>
    </row>
    <row r="229" spans="1:24" ht="21.75" hidden="1">
      <c r="A229" s="69">
        <v>401</v>
      </c>
      <c r="B229" s="70">
        <v>4</v>
      </c>
      <c r="C229" s="71">
        <v>223</v>
      </c>
      <c r="D229" s="46" t="s">
        <v>38</v>
      </c>
      <c r="E229" s="72" t="s">
        <v>624</v>
      </c>
      <c r="F229" s="73">
        <v>156663480846</v>
      </c>
      <c r="G229" s="73">
        <f t="shared" si="51"/>
        <v>156663480846</v>
      </c>
      <c r="H229" s="73">
        <f t="shared" si="52"/>
        <v>0</v>
      </c>
      <c r="I229" s="73">
        <f t="shared" si="53"/>
        <v>0</v>
      </c>
      <c r="J229" s="73">
        <f t="shared" si="54"/>
        <v>0</v>
      </c>
      <c r="K229" s="73">
        <f t="shared" si="55"/>
        <v>0</v>
      </c>
      <c r="L229" s="73">
        <f t="shared" si="56"/>
        <v>0</v>
      </c>
      <c r="M229" s="73">
        <f t="shared" si="57"/>
        <v>0</v>
      </c>
      <c r="N229" s="73">
        <f t="shared" si="58"/>
        <v>0</v>
      </c>
      <c r="O229" s="73">
        <f t="shared" si="59"/>
        <v>0</v>
      </c>
      <c r="P229" s="73">
        <f t="shared" si="60"/>
        <v>0</v>
      </c>
      <c r="Q229" s="73">
        <f t="shared" si="61"/>
        <v>0</v>
      </c>
      <c r="R229" s="73">
        <f t="shared" si="62"/>
        <v>0</v>
      </c>
      <c r="S229" s="73">
        <f t="shared" si="63"/>
        <v>0</v>
      </c>
      <c r="T229" s="73">
        <f t="shared" si="64"/>
        <v>0</v>
      </c>
      <c r="U229" s="73">
        <f t="shared" si="65"/>
        <v>0</v>
      </c>
      <c r="V229" s="73">
        <f t="shared" si="66"/>
        <v>0</v>
      </c>
      <c r="W229" s="73">
        <f t="shared" si="67"/>
        <v>0</v>
      </c>
      <c r="X229" s="74"/>
    </row>
    <row r="230" spans="1:24" ht="21.75" hidden="1">
      <c r="A230" s="75">
        <v>501</v>
      </c>
      <c r="B230" s="76">
        <v>5</v>
      </c>
      <c r="C230" s="77">
        <v>224</v>
      </c>
      <c r="D230" s="78" t="s">
        <v>608</v>
      </c>
      <c r="E230" s="79" t="s">
        <v>609</v>
      </c>
      <c r="F230" s="80">
        <v>-714828311218</v>
      </c>
      <c r="G230" s="73">
        <f t="shared" si="51"/>
        <v>0</v>
      </c>
      <c r="H230" s="73">
        <f t="shared" si="52"/>
        <v>-714828311218</v>
      </c>
      <c r="I230" s="73">
        <f t="shared" si="53"/>
        <v>0</v>
      </c>
      <c r="J230" s="73">
        <f t="shared" si="54"/>
        <v>0</v>
      </c>
      <c r="K230" s="73">
        <f t="shared" si="55"/>
        <v>0</v>
      </c>
      <c r="L230" s="73">
        <f t="shared" si="56"/>
        <v>0</v>
      </c>
      <c r="M230" s="73">
        <f t="shared" si="57"/>
        <v>0</v>
      </c>
      <c r="N230" s="73">
        <f t="shared" si="58"/>
        <v>0</v>
      </c>
      <c r="O230" s="73">
        <f t="shared" si="59"/>
        <v>0</v>
      </c>
      <c r="P230" s="73">
        <f t="shared" si="60"/>
        <v>0</v>
      </c>
      <c r="Q230" s="73">
        <f t="shared" si="61"/>
        <v>0</v>
      </c>
      <c r="R230" s="73">
        <f t="shared" si="62"/>
        <v>0</v>
      </c>
      <c r="S230" s="73">
        <f t="shared" si="63"/>
        <v>0</v>
      </c>
      <c r="T230" s="73">
        <f t="shared" si="64"/>
        <v>0</v>
      </c>
      <c r="U230" s="73">
        <f t="shared" si="65"/>
        <v>0</v>
      </c>
      <c r="V230" s="73">
        <f t="shared" si="66"/>
        <v>0</v>
      </c>
      <c r="W230" s="73">
        <f t="shared" si="67"/>
        <v>0</v>
      </c>
      <c r="X230" s="81"/>
    </row>
    <row r="231" spans="1:24" ht="21.75" hidden="1">
      <c r="A231" s="69">
        <v>1211</v>
      </c>
      <c r="B231" s="70">
        <v>12</v>
      </c>
      <c r="C231" s="71">
        <v>225</v>
      </c>
      <c r="D231" s="46" t="s">
        <v>586</v>
      </c>
      <c r="E231" s="72" t="s">
        <v>587</v>
      </c>
      <c r="F231" s="73">
        <v>-26051759207</v>
      </c>
      <c r="G231" s="73">
        <f t="shared" si="51"/>
        <v>0</v>
      </c>
      <c r="H231" s="73">
        <f t="shared" si="52"/>
        <v>0</v>
      </c>
      <c r="I231" s="73">
        <f t="shared" si="53"/>
        <v>0</v>
      </c>
      <c r="J231" s="73">
        <f t="shared" si="54"/>
        <v>0</v>
      </c>
      <c r="K231" s="73">
        <f t="shared" si="55"/>
        <v>0</v>
      </c>
      <c r="L231" s="73">
        <f t="shared" si="56"/>
        <v>0</v>
      </c>
      <c r="M231" s="73">
        <f t="shared" si="57"/>
        <v>0</v>
      </c>
      <c r="N231" s="73">
        <f t="shared" si="58"/>
        <v>0</v>
      </c>
      <c r="O231" s="73">
        <f t="shared" si="59"/>
        <v>0</v>
      </c>
      <c r="P231" s="73">
        <f t="shared" si="60"/>
        <v>-26051759207</v>
      </c>
      <c r="Q231" s="73">
        <f t="shared" si="61"/>
        <v>0</v>
      </c>
      <c r="R231" s="73">
        <f t="shared" si="62"/>
        <v>0</v>
      </c>
      <c r="S231" s="73">
        <f t="shared" si="63"/>
        <v>0</v>
      </c>
      <c r="T231" s="73">
        <f t="shared" si="64"/>
        <v>0</v>
      </c>
      <c r="U231" s="73">
        <f t="shared" si="65"/>
        <v>0</v>
      </c>
      <c r="V231" s="73">
        <f t="shared" si="66"/>
        <v>0</v>
      </c>
      <c r="W231" s="73">
        <f t="shared" si="67"/>
        <v>0</v>
      </c>
      <c r="X231" s="74"/>
    </row>
    <row r="232" spans="1:24" ht="21.75">
      <c r="A232" s="75">
        <v>608</v>
      </c>
      <c r="B232" s="76">
        <v>6</v>
      </c>
      <c r="C232" s="77">
        <v>226</v>
      </c>
      <c r="D232" s="78" t="s">
        <v>588</v>
      </c>
      <c r="E232" s="79" t="s">
        <v>468</v>
      </c>
      <c r="F232" s="80">
        <v>929530000</v>
      </c>
      <c r="G232" s="73">
        <f t="shared" si="51"/>
        <v>0</v>
      </c>
      <c r="H232" s="73">
        <f t="shared" si="52"/>
        <v>0</v>
      </c>
      <c r="I232" s="73">
        <f t="shared" si="53"/>
        <v>929530000</v>
      </c>
      <c r="J232" s="73">
        <f t="shared" si="54"/>
        <v>0</v>
      </c>
      <c r="K232" s="73">
        <f t="shared" si="55"/>
        <v>0</v>
      </c>
      <c r="L232" s="73">
        <f t="shared" si="56"/>
        <v>0</v>
      </c>
      <c r="M232" s="73">
        <f t="shared" si="57"/>
        <v>0</v>
      </c>
      <c r="N232" s="73">
        <f t="shared" si="58"/>
        <v>0</v>
      </c>
      <c r="O232" s="73">
        <f t="shared" si="59"/>
        <v>0</v>
      </c>
      <c r="P232" s="73">
        <f t="shared" si="60"/>
        <v>0</v>
      </c>
      <c r="Q232" s="73">
        <f t="shared" si="61"/>
        <v>0</v>
      </c>
      <c r="R232" s="73">
        <f t="shared" si="62"/>
        <v>0</v>
      </c>
      <c r="S232" s="73">
        <f t="shared" si="63"/>
        <v>0</v>
      </c>
      <c r="T232" s="73">
        <f t="shared" si="64"/>
        <v>0</v>
      </c>
      <c r="U232" s="73">
        <f t="shared" si="65"/>
        <v>0</v>
      </c>
      <c r="V232" s="73">
        <f t="shared" si="66"/>
        <v>0</v>
      </c>
      <c r="W232" s="73">
        <f t="shared" si="67"/>
        <v>0</v>
      </c>
      <c r="X232" s="81"/>
    </row>
    <row r="233" spans="1:24" ht="21.75" hidden="1">
      <c r="A233" s="69">
        <v>2001</v>
      </c>
      <c r="B233" s="70">
        <v>20</v>
      </c>
      <c r="C233" s="71">
        <v>227</v>
      </c>
      <c r="D233" s="83" t="s">
        <v>613</v>
      </c>
      <c r="E233" s="82" t="s">
        <v>614</v>
      </c>
      <c r="F233" s="73">
        <v>767077388376</v>
      </c>
      <c r="G233" s="73">
        <f t="shared" si="51"/>
        <v>0</v>
      </c>
      <c r="H233" s="73">
        <f t="shared" si="52"/>
        <v>0</v>
      </c>
      <c r="I233" s="73">
        <f t="shared" si="53"/>
        <v>0</v>
      </c>
      <c r="J233" s="73">
        <f t="shared" si="54"/>
        <v>0</v>
      </c>
      <c r="K233" s="73">
        <f t="shared" si="55"/>
        <v>0</v>
      </c>
      <c r="L233" s="73">
        <f t="shared" si="56"/>
        <v>0</v>
      </c>
      <c r="M233" s="73">
        <f t="shared" si="57"/>
        <v>0</v>
      </c>
      <c r="N233" s="73">
        <f t="shared" si="58"/>
        <v>0</v>
      </c>
      <c r="O233" s="73">
        <f t="shared" si="59"/>
        <v>0</v>
      </c>
      <c r="P233" s="73">
        <f t="shared" si="60"/>
        <v>0</v>
      </c>
      <c r="Q233" s="73">
        <f t="shared" si="61"/>
        <v>0</v>
      </c>
      <c r="R233" s="73">
        <f t="shared" si="62"/>
        <v>0</v>
      </c>
      <c r="S233" s="73">
        <f t="shared" si="63"/>
        <v>0</v>
      </c>
      <c r="T233" s="73">
        <f t="shared" si="64"/>
        <v>0</v>
      </c>
      <c r="U233" s="73">
        <f t="shared" si="65"/>
        <v>0</v>
      </c>
      <c r="V233" s="73">
        <f t="shared" si="66"/>
        <v>0</v>
      </c>
      <c r="W233" s="73">
        <f t="shared" si="67"/>
        <v>767077388376</v>
      </c>
      <c r="X233" s="74"/>
    </row>
    <row r="234" spans="1:24" ht="21.75" hidden="1">
      <c r="A234" s="75">
        <v>1901</v>
      </c>
      <c r="B234" s="76">
        <v>19</v>
      </c>
      <c r="C234" s="77">
        <v>228</v>
      </c>
      <c r="D234" s="78" t="s">
        <v>615</v>
      </c>
      <c r="E234" s="79" t="s">
        <v>616</v>
      </c>
      <c r="F234" s="80">
        <v>-473188</v>
      </c>
      <c r="G234" s="73">
        <f t="shared" si="51"/>
        <v>0</v>
      </c>
      <c r="H234" s="73">
        <f t="shared" si="52"/>
        <v>0</v>
      </c>
      <c r="I234" s="73">
        <f t="shared" si="53"/>
        <v>0</v>
      </c>
      <c r="J234" s="73">
        <f t="shared" si="54"/>
        <v>0</v>
      </c>
      <c r="K234" s="73">
        <f t="shared" si="55"/>
        <v>0</v>
      </c>
      <c r="L234" s="73">
        <f t="shared" si="56"/>
        <v>0</v>
      </c>
      <c r="M234" s="73">
        <f t="shared" si="57"/>
        <v>0</v>
      </c>
      <c r="N234" s="73">
        <f t="shared" si="58"/>
        <v>0</v>
      </c>
      <c r="O234" s="73">
        <f t="shared" si="59"/>
        <v>0</v>
      </c>
      <c r="P234" s="73">
        <f t="shared" si="60"/>
        <v>0</v>
      </c>
      <c r="Q234" s="73">
        <f t="shared" si="61"/>
        <v>0</v>
      </c>
      <c r="R234" s="73">
        <f t="shared" si="62"/>
        <v>0</v>
      </c>
      <c r="S234" s="73">
        <f t="shared" si="63"/>
        <v>0</v>
      </c>
      <c r="T234" s="73">
        <f t="shared" si="64"/>
        <v>0</v>
      </c>
      <c r="U234" s="73">
        <f t="shared" si="65"/>
        <v>0</v>
      </c>
      <c r="V234" s="73">
        <f t="shared" si="66"/>
        <v>-473188</v>
      </c>
      <c r="W234" s="73">
        <f t="shared" si="67"/>
        <v>0</v>
      </c>
      <c r="X234" s="81"/>
    </row>
    <row r="235" spans="1:24" ht="21.75" hidden="1">
      <c r="A235" s="69"/>
      <c r="B235" s="70"/>
      <c r="C235" s="71">
        <v>229</v>
      </c>
      <c r="D235" s="46" t="s">
        <v>617</v>
      </c>
      <c r="E235" s="72" t="s">
        <v>618</v>
      </c>
      <c r="F235" s="73">
        <v>900495281094</v>
      </c>
      <c r="G235" s="73">
        <f t="shared" si="51"/>
        <v>0</v>
      </c>
      <c r="H235" s="73">
        <f t="shared" si="52"/>
        <v>0</v>
      </c>
      <c r="I235" s="73">
        <f t="shared" si="53"/>
        <v>0</v>
      </c>
      <c r="J235" s="73">
        <f t="shared" si="54"/>
        <v>0</v>
      </c>
      <c r="K235" s="73">
        <f t="shared" si="55"/>
        <v>0</v>
      </c>
      <c r="L235" s="73">
        <f t="shared" si="56"/>
        <v>0</v>
      </c>
      <c r="M235" s="73">
        <f t="shared" si="57"/>
        <v>0</v>
      </c>
      <c r="N235" s="73">
        <f t="shared" si="58"/>
        <v>0</v>
      </c>
      <c r="O235" s="73">
        <f t="shared" si="59"/>
        <v>0</v>
      </c>
      <c r="P235" s="73">
        <f t="shared" si="60"/>
        <v>0</v>
      </c>
      <c r="Q235" s="73">
        <f t="shared" si="61"/>
        <v>0</v>
      </c>
      <c r="R235" s="73">
        <f t="shared" si="62"/>
        <v>0</v>
      </c>
      <c r="S235" s="73">
        <f t="shared" si="63"/>
        <v>0</v>
      </c>
      <c r="T235" s="73">
        <f t="shared" si="64"/>
        <v>0</v>
      </c>
      <c r="U235" s="73">
        <f t="shared" si="65"/>
        <v>0</v>
      </c>
      <c r="V235" s="73">
        <f t="shared" si="66"/>
        <v>0</v>
      </c>
      <c r="W235" s="73">
        <f t="shared" si="67"/>
        <v>0</v>
      </c>
      <c r="X235" s="74"/>
    </row>
    <row r="236" spans="1:24" ht="21.75" hidden="1">
      <c r="A236" s="75"/>
      <c r="B236" s="76"/>
      <c r="C236" s="77">
        <v>230</v>
      </c>
      <c r="D236" s="78" t="s">
        <v>619</v>
      </c>
      <c r="E236" s="79" t="s">
        <v>620</v>
      </c>
      <c r="F236" s="80">
        <v>-900495281094</v>
      </c>
      <c r="G236" s="73">
        <f t="shared" si="51"/>
        <v>0</v>
      </c>
      <c r="H236" s="73">
        <f t="shared" si="52"/>
        <v>0</v>
      </c>
      <c r="I236" s="73">
        <f t="shared" si="53"/>
        <v>0</v>
      </c>
      <c r="J236" s="73">
        <f t="shared" si="54"/>
        <v>0</v>
      </c>
      <c r="K236" s="73">
        <f t="shared" si="55"/>
        <v>0</v>
      </c>
      <c r="L236" s="73">
        <f t="shared" si="56"/>
        <v>0</v>
      </c>
      <c r="M236" s="73">
        <f t="shared" si="57"/>
        <v>0</v>
      </c>
      <c r="N236" s="73">
        <f t="shared" si="58"/>
        <v>0</v>
      </c>
      <c r="O236" s="73">
        <f t="shared" si="59"/>
        <v>0</v>
      </c>
      <c r="P236" s="73">
        <f t="shared" si="60"/>
        <v>0</v>
      </c>
      <c r="Q236" s="73">
        <f t="shared" si="61"/>
        <v>0</v>
      </c>
      <c r="R236" s="73">
        <f t="shared" si="62"/>
        <v>0</v>
      </c>
      <c r="S236" s="73">
        <f t="shared" si="63"/>
        <v>0</v>
      </c>
      <c r="T236" s="73">
        <f t="shared" si="64"/>
        <v>0</v>
      </c>
      <c r="U236" s="73">
        <f t="shared" si="65"/>
        <v>0</v>
      </c>
      <c r="V236" s="73">
        <f t="shared" si="66"/>
        <v>0</v>
      </c>
      <c r="W236" s="73">
        <f t="shared" si="67"/>
        <v>0</v>
      </c>
      <c r="X236" s="81"/>
    </row>
    <row r="237" spans="1:24" ht="21.75" hidden="1">
      <c r="A237" s="69">
        <v>706</v>
      </c>
      <c r="B237" s="70">
        <v>7</v>
      </c>
      <c r="C237" s="71">
        <v>231</v>
      </c>
      <c r="D237" s="46" t="s">
        <v>97</v>
      </c>
      <c r="E237" s="72" t="s">
        <v>95</v>
      </c>
      <c r="F237" s="73">
        <v>125257754193</v>
      </c>
      <c r="G237" s="73">
        <f t="shared" si="51"/>
        <v>0</v>
      </c>
      <c r="H237" s="73">
        <f t="shared" si="52"/>
        <v>0</v>
      </c>
      <c r="I237" s="73">
        <f t="shared" si="53"/>
        <v>0</v>
      </c>
      <c r="J237" s="73">
        <f t="shared" si="54"/>
        <v>125257754193</v>
      </c>
      <c r="K237" s="73">
        <f t="shared" si="55"/>
        <v>0</v>
      </c>
      <c r="L237" s="73">
        <f t="shared" si="56"/>
        <v>0</v>
      </c>
      <c r="M237" s="73">
        <f t="shared" si="57"/>
        <v>0</v>
      </c>
      <c r="N237" s="73">
        <f t="shared" si="58"/>
        <v>0</v>
      </c>
      <c r="O237" s="73">
        <f t="shared" si="59"/>
        <v>0</v>
      </c>
      <c r="P237" s="73">
        <f t="shared" si="60"/>
        <v>0</v>
      </c>
      <c r="Q237" s="73">
        <f t="shared" si="61"/>
        <v>0</v>
      </c>
      <c r="R237" s="73">
        <f t="shared" si="62"/>
        <v>0</v>
      </c>
      <c r="S237" s="73">
        <f t="shared" si="63"/>
        <v>0</v>
      </c>
      <c r="T237" s="73">
        <f t="shared" si="64"/>
        <v>0</v>
      </c>
      <c r="U237" s="73">
        <f t="shared" si="65"/>
        <v>0</v>
      </c>
      <c r="V237" s="73">
        <f t="shared" si="66"/>
        <v>0</v>
      </c>
      <c r="W237" s="73">
        <f t="shared" si="67"/>
        <v>0</v>
      </c>
      <c r="X237" s="74"/>
    </row>
    <row r="238" spans="1:24" ht="21.75" hidden="1">
      <c r="A238" s="69">
        <v>706</v>
      </c>
      <c r="B238" s="76">
        <v>7</v>
      </c>
      <c r="C238" s="77">
        <v>232</v>
      </c>
      <c r="D238" s="78" t="s">
        <v>471</v>
      </c>
      <c r="E238" s="79" t="s">
        <v>98</v>
      </c>
      <c r="F238" s="80">
        <v>36828220391</v>
      </c>
      <c r="G238" s="73">
        <f t="shared" si="51"/>
        <v>0</v>
      </c>
      <c r="H238" s="73">
        <f t="shared" si="52"/>
        <v>0</v>
      </c>
      <c r="I238" s="73">
        <f t="shared" si="53"/>
        <v>0</v>
      </c>
      <c r="J238" s="73">
        <f t="shared" si="54"/>
        <v>36828220391</v>
      </c>
      <c r="K238" s="73">
        <f t="shared" si="55"/>
        <v>0</v>
      </c>
      <c r="L238" s="73">
        <f t="shared" si="56"/>
        <v>0</v>
      </c>
      <c r="M238" s="73">
        <f t="shared" si="57"/>
        <v>0</v>
      </c>
      <c r="N238" s="73">
        <f t="shared" si="58"/>
        <v>0</v>
      </c>
      <c r="O238" s="73">
        <f t="shared" si="59"/>
        <v>0</v>
      </c>
      <c r="P238" s="73">
        <f t="shared" si="60"/>
        <v>0</v>
      </c>
      <c r="Q238" s="73">
        <f t="shared" si="61"/>
        <v>0</v>
      </c>
      <c r="R238" s="73">
        <f t="shared" si="62"/>
        <v>0</v>
      </c>
      <c r="S238" s="73">
        <f t="shared" si="63"/>
        <v>0</v>
      </c>
      <c r="T238" s="73">
        <f t="shared" si="64"/>
        <v>0</v>
      </c>
      <c r="U238" s="73">
        <f t="shared" si="65"/>
        <v>0</v>
      </c>
      <c r="V238" s="73">
        <f t="shared" si="66"/>
        <v>0</v>
      </c>
      <c r="W238" s="73">
        <f t="shared" si="67"/>
        <v>0</v>
      </c>
      <c r="X238" s="81"/>
    </row>
    <row r="239" spans="1:24" ht="21.75" hidden="1">
      <c r="A239" s="69">
        <v>706</v>
      </c>
      <c r="B239" s="70">
        <v>7</v>
      </c>
      <c r="C239" s="71">
        <v>233</v>
      </c>
      <c r="D239" s="46" t="s">
        <v>100</v>
      </c>
      <c r="E239" s="72" t="s">
        <v>99</v>
      </c>
      <c r="F239" s="73">
        <v>-1118265375</v>
      </c>
      <c r="G239" s="73">
        <f t="shared" si="51"/>
        <v>0</v>
      </c>
      <c r="H239" s="73">
        <f t="shared" si="52"/>
        <v>0</v>
      </c>
      <c r="I239" s="73">
        <f t="shared" si="53"/>
        <v>0</v>
      </c>
      <c r="J239" s="73">
        <f t="shared" si="54"/>
        <v>-1118265375</v>
      </c>
      <c r="K239" s="73">
        <f t="shared" si="55"/>
        <v>0</v>
      </c>
      <c r="L239" s="73">
        <f t="shared" si="56"/>
        <v>0</v>
      </c>
      <c r="M239" s="73">
        <f t="shared" si="57"/>
        <v>0</v>
      </c>
      <c r="N239" s="73">
        <f t="shared" si="58"/>
        <v>0</v>
      </c>
      <c r="O239" s="73">
        <f t="shared" si="59"/>
        <v>0</v>
      </c>
      <c r="P239" s="73">
        <f t="shared" si="60"/>
        <v>0</v>
      </c>
      <c r="Q239" s="73">
        <f t="shared" si="61"/>
        <v>0</v>
      </c>
      <c r="R239" s="73">
        <f t="shared" si="62"/>
        <v>0</v>
      </c>
      <c r="S239" s="73">
        <f t="shared" si="63"/>
        <v>0</v>
      </c>
      <c r="T239" s="73">
        <f t="shared" si="64"/>
        <v>0</v>
      </c>
      <c r="U239" s="73">
        <f t="shared" si="65"/>
        <v>0</v>
      </c>
      <c r="V239" s="73">
        <f t="shared" si="66"/>
        <v>0</v>
      </c>
      <c r="W239" s="73">
        <f t="shared" si="67"/>
        <v>0</v>
      </c>
      <c r="X239" s="74"/>
    </row>
    <row r="240" spans="1:24" ht="21.75" hidden="1">
      <c r="A240" s="69">
        <v>706</v>
      </c>
      <c r="B240" s="76">
        <v>7</v>
      </c>
      <c r="C240" s="77">
        <v>234</v>
      </c>
      <c r="D240" s="78" t="s">
        <v>593</v>
      </c>
      <c r="E240" s="79" t="s">
        <v>99</v>
      </c>
      <c r="F240" s="80">
        <v>8369440173</v>
      </c>
      <c r="G240" s="73">
        <f t="shared" si="51"/>
        <v>0</v>
      </c>
      <c r="H240" s="73">
        <f t="shared" si="52"/>
        <v>0</v>
      </c>
      <c r="I240" s="73">
        <f t="shared" si="53"/>
        <v>0</v>
      </c>
      <c r="J240" s="73">
        <f t="shared" si="54"/>
        <v>8369440173</v>
      </c>
      <c r="K240" s="73">
        <f t="shared" si="55"/>
        <v>0</v>
      </c>
      <c r="L240" s="73">
        <f t="shared" si="56"/>
        <v>0</v>
      </c>
      <c r="M240" s="73">
        <f t="shared" si="57"/>
        <v>0</v>
      </c>
      <c r="N240" s="73">
        <f t="shared" si="58"/>
        <v>0</v>
      </c>
      <c r="O240" s="73">
        <f t="shared" si="59"/>
        <v>0</v>
      </c>
      <c r="P240" s="73">
        <f t="shared" si="60"/>
        <v>0</v>
      </c>
      <c r="Q240" s="73">
        <f t="shared" si="61"/>
        <v>0</v>
      </c>
      <c r="R240" s="73">
        <f t="shared" si="62"/>
        <v>0</v>
      </c>
      <c r="S240" s="73">
        <f t="shared" si="63"/>
        <v>0</v>
      </c>
      <c r="T240" s="73">
        <f t="shared" si="64"/>
        <v>0</v>
      </c>
      <c r="U240" s="73">
        <f t="shared" si="65"/>
        <v>0</v>
      </c>
      <c r="V240" s="73">
        <f t="shared" si="66"/>
        <v>0</v>
      </c>
      <c r="W240" s="73">
        <f t="shared" si="67"/>
        <v>0</v>
      </c>
      <c r="X240" s="81"/>
    </row>
    <row r="241" spans="1:24" ht="21.75" hidden="1">
      <c r="A241" s="69">
        <v>706</v>
      </c>
      <c r="B241" s="70">
        <v>7</v>
      </c>
      <c r="C241" s="71">
        <v>235</v>
      </c>
      <c r="D241" s="46" t="s">
        <v>101</v>
      </c>
      <c r="E241" s="72" t="s">
        <v>102</v>
      </c>
      <c r="F241" s="73">
        <v>1126377302</v>
      </c>
      <c r="G241" s="73">
        <f t="shared" si="51"/>
        <v>0</v>
      </c>
      <c r="H241" s="73">
        <f t="shared" si="52"/>
        <v>0</v>
      </c>
      <c r="I241" s="73">
        <f t="shared" si="53"/>
        <v>0</v>
      </c>
      <c r="J241" s="73">
        <f t="shared" si="54"/>
        <v>1126377302</v>
      </c>
      <c r="K241" s="73">
        <f t="shared" si="55"/>
        <v>0</v>
      </c>
      <c r="L241" s="73">
        <f t="shared" si="56"/>
        <v>0</v>
      </c>
      <c r="M241" s="73">
        <f t="shared" si="57"/>
        <v>0</v>
      </c>
      <c r="N241" s="73">
        <f t="shared" si="58"/>
        <v>0</v>
      </c>
      <c r="O241" s="73">
        <f t="shared" si="59"/>
        <v>0</v>
      </c>
      <c r="P241" s="73">
        <f t="shared" si="60"/>
        <v>0</v>
      </c>
      <c r="Q241" s="73">
        <f t="shared" si="61"/>
        <v>0</v>
      </c>
      <c r="R241" s="73">
        <f t="shared" si="62"/>
        <v>0</v>
      </c>
      <c r="S241" s="73">
        <f t="shared" si="63"/>
        <v>0</v>
      </c>
      <c r="T241" s="73">
        <f t="shared" si="64"/>
        <v>0</v>
      </c>
      <c r="U241" s="73">
        <f t="shared" si="65"/>
        <v>0</v>
      </c>
      <c r="V241" s="73">
        <f t="shared" si="66"/>
        <v>0</v>
      </c>
      <c r="W241" s="73">
        <f t="shared" si="67"/>
        <v>0</v>
      </c>
      <c r="X241" s="74"/>
    </row>
    <row r="242" spans="1:24" ht="21.75" hidden="1">
      <c r="A242" s="75"/>
      <c r="B242" s="76"/>
      <c r="C242" s="77">
        <v>236</v>
      </c>
      <c r="D242" s="78" t="s">
        <v>621</v>
      </c>
      <c r="E242" s="79" t="s">
        <v>622</v>
      </c>
      <c r="F242" s="80">
        <v>120106954206</v>
      </c>
      <c r="G242" s="73">
        <f t="shared" si="51"/>
        <v>0</v>
      </c>
      <c r="H242" s="73">
        <f t="shared" si="52"/>
        <v>0</v>
      </c>
      <c r="I242" s="73">
        <f t="shared" si="53"/>
        <v>0</v>
      </c>
      <c r="J242" s="73">
        <f t="shared" si="54"/>
        <v>0</v>
      </c>
      <c r="K242" s="73">
        <f t="shared" si="55"/>
        <v>0</v>
      </c>
      <c r="L242" s="73">
        <f t="shared" si="56"/>
        <v>0</v>
      </c>
      <c r="M242" s="73">
        <f t="shared" si="57"/>
        <v>0</v>
      </c>
      <c r="N242" s="73">
        <f t="shared" si="58"/>
        <v>0</v>
      </c>
      <c r="O242" s="73">
        <f t="shared" si="59"/>
        <v>0</v>
      </c>
      <c r="P242" s="73">
        <f t="shared" si="60"/>
        <v>0</v>
      </c>
      <c r="Q242" s="73">
        <f t="shared" si="61"/>
        <v>0</v>
      </c>
      <c r="R242" s="73">
        <f t="shared" si="62"/>
        <v>0</v>
      </c>
      <c r="S242" s="73">
        <f t="shared" si="63"/>
        <v>0</v>
      </c>
      <c r="T242" s="73">
        <f t="shared" si="64"/>
        <v>0</v>
      </c>
      <c r="U242" s="73">
        <f t="shared" si="65"/>
        <v>0</v>
      </c>
      <c r="V242" s="73">
        <f t="shared" si="66"/>
        <v>0</v>
      </c>
      <c r="W242" s="73">
        <f t="shared" si="67"/>
        <v>0</v>
      </c>
      <c r="X242" s="81"/>
    </row>
    <row r="243" spans="1:24" ht="21.75" hidden="1">
      <c r="A243" s="69"/>
      <c r="B243" s="70"/>
      <c r="C243" s="71">
        <v>237</v>
      </c>
      <c r="D243" s="46" t="s">
        <v>623</v>
      </c>
      <c r="E243" s="72" t="s">
        <v>160</v>
      </c>
      <c r="F243" s="73">
        <v>-120106954206</v>
      </c>
      <c r="G243" s="73">
        <f t="shared" si="51"/>
        <v>0</v>
      </c>
      <c r="H243" s="73">
        <f t="shared" si="52"/>
        <v>0</v>
      </c>
      <c r="I243" s="73">
        <f t="shared" si="53"/>
        <v>0</v>
      </c>
      <c r="J243" s="73">
        <f t="shared" si="54"/>
        <v>0</v>
      </c>
      <c r="K243" s="73">
        <f t="shared" si="55"/>
        <v>0</v>
      </c>
      <c r="L243" s="73">
        <f t="shared" si="56"/>
        <v>0</v>
      </c>
      <c r="M243" s="73">
        <f t="shared" si="57"/>
        <v>0</v>
      </c>
      <c r="N243" s="73">
        <f t="shared" si="58"/>
        <v>0</v>
      </c>
      <c r="O243" s="73">
        <f t="shared" si="59"/>
        <v>0</v>
      </c>
      <c r="P243" s="73">
        <f t="shared" si="60"/>
        <v>0</v>
      </c>
      <c r="Q243" s="73">
        <f t="shared" si="61"/>
        <v>0</v>
      </c>
      <c r="R243" s="73">
        <f t="shared" si="62"/>
        <v>0</v>
      </c>
      <c r="S243" s="73">
        <f t="shared" si="63"/>
        <v>0</v>
      </c>
      <c r="T243" s="73">
        <f t="shared" si="64"/>
        <v>0</v>
      </c>
      <c r="U243" s="73">
        <f t="shared" si="65"/>
        <v>0</v>
      </c>
      <c r="V243" s="73">
        <f t="shared" si="66"/>
        <v>0</v>
      </c>
      <c r="W243" s="73">
        <f t="shared" si="67"/>
        <v>0</v>
      </c>
      <c r="X243" s="74"/>
    </row>
    <row r="244" spans="1:24" ht="21.75" hidden="1">
      <c r="A244" s="75">
        <v>1302</v>
      </c>
      <c r="B244" s="76">
        <v>13</v>
      </c>
      <c r="C244" s="77">
        <v>238</v>
      </c>
      <c r="D244" s="78" t="s">
        <v>245</v>
      </c>
      <c r="E244" s="79" t="s">
        <v>246</v>
      </c>
      <c r="F244" s="80">
        <v>-26196790951</v>
      </c>
      <c r="G244" s="73">
        <f t="shared" si="51"/>
        <v>0</v>
      </c>
      <c r="H244" s="73">
        <f t="shared" si="52"/>
        <v>0</v>
      </c>
      <c r="I244" s="73">
        <f t="shared" si="53"/>
        <v>0</v>
      </c>
      <c r="J244" s="73">
        <f t="shared" si="54"/>
        <v>0</v>
      </c>
      <c r="K244" s="73">
        <f t="shared" si="55"/>
        <v>0</v>
      </c>
      <c r="L244" s="73">
        <f t="shared" si="56"/>
        <v>0</v>
      </c>
      <c r="M244" s="73">
        <f t="shared" si="57"/>
        <v>0</v>
      </c>
      <c r="N244" s="73">
        <f t="shared" si="58"/>
        <v>0</v>
      </c>
      <c r="O244" s="73">
        <f t="shared" si="59"/>
        <v>-26196790951</v>
      </c>
      <c r="P244" s="73">
        <f t="shared" si="60"/>
        <v>0</v>
      </c>
      <c r="Q244" s="73">
        <f t="shared" si="61"/>
        <v>0</v>
      </c>
      <c r="R244" s="73">
        <f t="shared" si="62"/>
        <v>0</v>
      </c>
      <c r="S244" s="73">
        <f t="shared" si="63"/>
        <v>0</v>
      </c>
      <c r="T244" s="73">
        <f t="shared" si="64"/>
        <v>0</v>
      </c>
      <c r="U244" s="73">
        <f t="shared" si="65"/>
        <v>0</v>
      </c>
      <c r="V244" s="73">
        <f t="shared" si="66"/>
        <v>0</v>
      </c>
      <c r="W244" s="73">
        <f t="shared" si="67"/>
        <v>0</v>
      </c>
      <c r="X244" s="81"/>
    </row>
    <row r="245" spans="1:24" ht="21.75" hidden="1">
      <c r="A245" s="69">
        <v>706</v>
      </c>
      <c r="B245" s="70">
        <v>7</v>
      </c>
      <c r="C245" s="71">
        <v>239</v>
      </c>
      <c r="D245" s="46" t="s">
        <v>422</v>
      </c>
      <c r="E245" s="72" t="s">
        <v>248</v>
      </c>
      <c r="F245" s="73">
        <v>-16943359603</v>
      </c>
      <c r="G245" s="73">
        <f t="shared" si="51"/>
        <v>0</v>
      </c>
      <c r="H245" s="73">
        <f t="shared" si="52"/>
        <v>0</v>
      </c>
      <c r="I245" s="73">
        <f t="shared" si="53"/>
        <v>0</v>
      </c>
      <c r="J245" s="73">
        <f t="shared" si="54"/>
        <v>-16943359603</v>
      </c>
      <c r="K245" s="73">
        <f t="shared" si="55"/>
        <v>0</v>
      </c>
      <c r="L245" s="73">
        <f t="shared" si="56"/>
        <v>0</v>
      </c>
      <c r="M245" s="73">
        <f t="shared" si="57"/>
        <v>0</v>
      </c>
      <c r="N245" s="73">
        <f t="shared" si="58"/>
        <v>0</v>
      </c>
      <c r="O245" s="73">
        <f t="shared" si="59"/>
        <v>0</v>
      </c>
      <c r="P245" s="73">
        <f t="shared" si="60"/>
        <v>0</v>
      </c>
      <c r="Q245" s="73">
        <f t="shared" si="61"/>
        <v>0</v>
      </c>
      <c r="R245" s="73">
        <f t="shared" si="62"/>
        <v>0</v>
      </c>
      <c r="S245" s="73">
        <f t="shared" si="63"/>
        <v>0</v>
      </c>
      <c r="T245" s="73">
        <f t="shared" si="64"/>
        <v>0</v>
      </c>
      <c r="U245" s="73">
        <f t="shared" si="65"/>
        <v>0</v>
      </c>
      <c r="V245" s="73">
        <f t="shared" si="66"/>
        <v>0</v>
      </c>
      <c r="W245" s="73">
        <f t="shared" si="67"/>
        <v>0</v>
      </c>
      <c r="X245" s="74"/>
    </row>
    <row r="246" spans="1:24" ht="21.75" hidden="1">
      <c r="A246" s="75">
        <v>907</v>
      </c>
      <c r="B246" s="76">
        <v>9</v>
      </c>
      <c r="C246" s="77">
        <v>240</v>
      </c>
      <c r="D246" s="78" t="s">
        <v>247</v>
      </c>
      <c r="E246" s="79" t="s">
        <v>248</v>
      </c>
      <c r="F246" s="80">
        <v>16943359603</v>
      </c>
      <c r="G246" s="73">
        <f t="shared" si="51"/>
        <v>0</v>
      </c>
      <c r="H246" s="73">
        <f t="shared" si="52"/>
        <v>0</v>
      </c>
      <c r="I246" s="73">
        <f t="shared" si="53"/>
        <v>0</v>
      </c>
      <c r="J246" s="73">
        <f t="shared" si="54"/>
        <v>0</v>
      </c>
      <c r="K246" s="73">
        <f t="shared" si="55"/>
        <v>0</v>
      </c>
      <c r="L246" s="73">
        <f t="shared" si="56"/>
        <v>16943359603</v>
      </c>
      <c r="M246" s="73">
        <f t="shared" si="57"/>
        <v>0</v>
      </c>
      <c r="N246" s="73">
        <f t="shared" si="58"/>
        <v>0</v>
      </c>
      <c r="O246" s="73">
        <f t="shared" si="59"/>
        <v>0</v>
      </c>
      <c r="P246" s="73">
        <f t="shared" si="60"/>
        <v>0</v>
      </c>
      <c r="Q246" s="73">
        <f t="shared" si="61"/>
        <v>0</v>
      </c>
      <c r="R246" s="73">
        <f t="shared" si="62"/>
        <v>0</v>
      </c>
      <c r="S246" s="73">
        <f t="shared" si="63"/>
        <v>0</v>
      </c>
      <c r="T246" s="73">
        <f t="shared" si="64"/>
        <v>0</v>
      </c>
      <c r="U246" s="73">
        <f t="shared" si="65"/>
        <v>0</v>
      </c>
      <c r="V246" s="73">
        <f t="shared" si="66"/>
        <v>0</v>
      </c>
      <c r="W246" s="73">
        <f t="shared" si="67"/>
        <v>0</v>
      </c>
      <c r="X246" s="81"/>
    </row>
    <row r="247" spans="1:24" ht="24">
      <c r="A247" s="58"/>
      <c r="B247" s="59"/>
      <c r="C247" s="84"/>
      <c r="D247" s="85"/>
      <c r="E247" s="86"/>
      <c r="F247" s="87">
        <f>SUBTOTAL(9,F4:F246)</f>
        <v>121996826800</v>
      </c>
      <c r="G247" s="87">
        <f>SUBTOTAL(9,G4:G246)</f>
        <v>0</v>
      </c>
      <c r="H247" s="87">
        <f t="shared" ref="H247:X247" si="68">SUBTOTAL(9,H4:H246)</f>
        <v>0</v>
      </c>
      <c r="I247" s="87">
        <f t="shared" si="68"/>
        <v>121996826800</v>
      </c>
      <c r="J247" s="87">
        <f t="shared" si="68"/>
        <v>0</v>
      </c>
      <c r="K247" s="87">
        <f t="shared" si="68"/>
        <v>0</v>
      </c>
      <c r="L247" s="87">
        <f t="shared" si="68"/>
        <v>0</v>
      </c>
      <c r="M247" s="87">
        <f t="shared" si="68"/>
        <v>0</v>
      </c>
      <c r="N247" s="87">
        <f t="shared" si="68"/>
        <v>0</v>
      </c>
      <c r="O247" s="87">
        <f t="shared" si="68"/>
        <v>0</v>
      </c>
      <c r="P247" s="87">
        <f t="shared" si="68"/>
        <v>0</v>
      </c>
      <c r="Q247" s="87">
        <f t="shared" si="68"/>
        <v>0</v>
      </c>
      <c r="R247" s="87">
        <f t="shared" si="68"/>
        <v>0</v>
      </c>
      <c r="S247" s="87">
        <f t="shared" si="68"/>
        <v>0</v>
      </c>
      <c r="T247" s="87">
        <f t="shared" si="68"/>
        <v>0</v>
      </c>
      <c r="U247" s="87">
        <f t="shared" si="68"/>
        <v>0</v>
      </c>
      <c r="V247" s="87">
        <f t="shared" si="68"/>
        <v>0</v>
      </c>
      <c r="W247" s="87">
        <f t="shared" si="68"/>
        <v>0</v>
      </c>
      <c r="X247" s="87">
        <f t="shared" si="68"/>
        <v>0</v>
      </c>
    </row>
  </sheetData>
  <autoFilter ref="A3:X246">
    <filterColumn colId="1">
      <filters>
        <filter val="6"/>
      </filters>
    </filterColumn>
  </autoFilter>
  <mergeCells count="7">
    <mergeCell ref="X1:X3"/>
    <mergeCell ref="F1:F3"/>
    <mergeCell ref="D1:D3"/>
    <mergeCell ref="A1:A3"/>
    <mergeCell ref="B1:B3"/>
    <mergeCell ref="C1:C3"/>
    <mergeCell ref="E1:E3"/>
  </mergeCells>
  <pageMargins left="0.11811023622047245" right="0.11811023622047245" top="0.74803149606299213" bottom="0.74803149606299213" header="0.31496062992125984" footer="0.31496062992125984"/>
  <pageSetup paperSize="9" scale="9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243"/>
  <sheetViews>
    <sheetView rightToLeft="1" topLeftCell="A235" workbookViewId="0">
      <selection activeCell="F253" sqref="F253"/>
    </sheetView>
  </sheetViews>
  <sheetFormatPr defaultRowHeight="14.25"/>
  <cols>
    <col min="1" max="1" width="1.25" customWidth="1"/>
    <col min="2" max="2" width="1.125" customWidth="1"/>
    <col min="3" max="3" width="0.75" bestFit="1" customWidth="1"/>
    <col min="4" max="4" width="1.625" bestFit="1" customWidth="1"/>
    <col min="5" max="5" width="6.375" bestFit="1" customWidth="1"/>
    <col min="6" max="6" width="3.125" customWidth="1"/>
    <col min="7" max="7" width="2.75" bestFit="1" customWidth="1"/>
    <col min="8" max="8" width="2.875" bestFit="1" customWidth="1"/>
    <col min="9" max="9" width="3.25" bestFit="1" customWidth="1"/>
    <col min="10" max="10" width="2.875" bestFit="1" customWidth="1"/>
    <col min="11" max="11" width="3.125" bestFit="1" customWidth="1"/>
    <col min="12" max="12" width="2.875" bestFit="1" customWidth="1"/>
    <col min="13" max="13" width="2.625" bestFit="1" customWidth="1"/>
    <col min="14" max="14" width="3.375" bestFit="1" customWidth="1"/>
    <col min="15" max="15" width="2.5" bestFit="1" customWidth="1"/>
    <col min="16" max="16" width="1.75" bestFit="1" customWidth="1"/>
    <col min="17" max="17" width="3" bestFit="1" customWidth="1"/>
    <col min="18" max="18" width="3.25" bestFit="1" customWidth="1"/>
    <col min="19" max="19" width="3.375" bestFit="1" customWidth="1"/>
    <col min="20" max="20" width="3.25" bestFit="1" customWidth="1"/>
    <col min="21" max="21" width="2.625" bestFit="1" customWidth="1"/>
    <col min="22" max="22" width="2.875" bestFit="1" customWidth="1"/>
    <col min="23" max="23" width="2.5" bestFit="1" customWidth="1"/>
  </cols>
  <sheetData>
    <row r="1" spans="1:23" ht="20.25" customHeight="1">
      <c r="A1" s="3879" t="s">
        <v>379</v>
      </c>
      <c r="B1" s="3881" t="s">
        <v>380</v>
      </c>
      <c r="C1" s="3883" t="s">
        <v>61</v>
      </c>
      <c r="D1" s="3886" t="s">
        <v>381</v>
      </c>
      <c r="E1" s="3873" t="s">
        <v>62</v>
      </c>
      <c r="F1" s="3876" t="s">
        <v>592</v>
      </c>
      <c r="G1" s="18" t="s">
        <v>382</v>
      </c>
      <c r="H1" s="19" t="s">
        <v>383</v>
      </c>
      <c r="I1" s="20" t="s">
        <v>384</v>
      </c>
      <c r="J1" s="21" t="s">
        <v>385</v>
      </c>
      <c r="K1" s="22" t="s">
        <v>386</v>
      </c>
      <c r="L1" s="21" t="s">
        <v>387</v>
      </c>
      <c r="M1" s="21" t="s">
        <v>103</v>
      </c>
      <c r="N1" s="21" t="s">
        <v>388</v>
      </c>
      <c r="O1" s="20" t="s">
        <v>520</v>
      </c>
      <c r="P1" s="20" t="s">
        <v>389</v>
      </c>
      <c r="Q1" s="21" t="s">
        <v>390</v>
      </c>
      <c r="R1" s="20" t="s">
        <v>530</v>
      </c>
      <c r="S1" s="20" t="s">
        <v>194</v>
      </c>
      <c r="T1" s="20" t="s">
        <v>195</v>
      </c>
      <c r="U1" s="20" t="s">
        <v>202</v>
      </c>
      <c r="V1" s="23" t="s">
        <v>373</v>
      </c>
      <c r="W1" s="24"/>
    </row>
    <row r="2" spans="1:23" ht="20.25" customHeight="1">
      <c r="A2" s="3880"/>
      <c r="B2" s="3882"/>
      <c r="C2" s="3884"/>
      <c r="D2" s="3887"/>
      <c r="E2" s="3874"/>
      <c r="F2" s="3877"/>
      <c r="G2" s="25"/>
      <c r="H2" s="26" t="s">
        <v>592</v>
      </c>
      <c r="I2" s="27" t="s">
        <v>592</v>
      </c>
      <c r="J2" s="27" t="s">
        <v>592</v>
      </c>
      <c r="K2" s="27" t="s">
        <v>592</v>
      </c>
      <c r="L2" s="27" t="s">
        <v>592</v>
      </c>
      <c r="M2" s="27" t="s">
        <v>592</v>
      </c>
      <c r="N2" s="27" t="s">
        <v>592</v>
      </c>
      <c r="O2" s="27" t="s">
        <v>592</v>
      </c>
      <c r="P2" s="27" t="s">
        <v>592</v>
      </c>
      <c r="Q2" s="27" t="s">
        <v>592</v>
      </c>
      <c r="R2" s="27" t="s">
        <v>592</v>
      </c>
      <c r="S2" s="27" t="s">
        <v>592</v>
      </c>
      <c r="T2" s="27" t="s">
        <v>592</v>
      </c>
      <c r="U2" s="27" t="s">
        <v>592</v>
      </c>
      <c r="V2" s="28" t="s">
        <v>592</v>
      </c>
      <c r="W2" s="24"/>
    </row>
    <row r="3" spans="1:23" ht="20.25" customHeight="1" thickBot="1">
      <c r="A3" s="3880"/>
      <c r="B3" s="3882"/>
      <c r="C3" s="3885"/>
      <c r="D3" s="3888"/>
      <c r="E3" s="3875"/>
      <c r="F3" s="3878"/>
      <c r="G3" s="29"/>
      <c r="H3" s="30">
        <v>4</v>
      </c>
      <c r="I3" s="31">
        <v>5</v>
      </c>
      <c r="J3" s="32">
        <v>6</v>
      </c>
      <c r="K3" s="33">
        <v>7</v>
      </c>
      <c r="L3" s="32">
        <v>8</v>
      </c>
      <c r="M3" s="32">
        <v>14</v>
      </c>
      <c r="N3" s="34">
        <v>9</v>
      </c>
      <c r="O3" s="31">
        <v>10</v>
      </c>
      <c r="P3" s="31">
        <v>11</v>
      </c>
      <c r="Q3" s="32">
        <v>12</v>
      </c>
      <c r="R3" s="31">
        <v>13</v>
      </c>
      <c r="S3" s="31">
        <v>15</v>
      </c>
      <c r="T3" s="31">
        <v>16</v>
      </c>
      <c r="U3" s="31">
        <v>17</v>
      </c>
      <c r="V3" s="35">
        <v>18</v>
      </c>
      <c r="W3" s="24"/>
    </row>
    <row r="4" spans="1:23" ht="21.75">
      <c r="A4" s="36">
        <v>906</v>
      </c>
      <c r="B4" s="37">
        <v>9</v>
      </c>
      <c r="C4" s="38">
        <v>1</v>
      </c>
      <c r="D4" s="39" t="s">
        <v>374</v>
      </c>
      <c r="E4" s="40" t="s">
        <v>534</v>
      </c>
      <c r="F4" s="41">
        <v>3535340865</v>
      </c>
      <c r="G4" s="42"/>
      <c r="H4" s="43">
        <f>IF($B4=$H$3,$F4,0)</f>
        <v>0</v>
      </c>
      <c r="I4" s="43">
        <v>0</v>
      </c>
      <c r="J4" s="43">
        <v>0</v>
      </c>
      <c r="K4" s="43">
        <v>0</v>
      </c>
      <c r="L4" s="43">
        <v>0</v>
      </c>
      <c r="M4" s="43">
        <v>0</v>
      </c>
      <c r="N4" s="43">
        <v>3535340865</v>
      </c>
      <c r="O4" s="43">
        <v>0</v>
      </c>
      <c r="P4" s="43">
        <v>0</v>
      </c>
      <c r="Q4" s="43">
        <v>0</v>
      </c>
      <c r="R4" s="43">
        <v>0</v>
      </c>
      <c r="S4" s="43">
        <v>0</v>
      </c>
      <c r="T4" s="43">
        <v>0</v>
      </c>
      <c r="U4" s="43">
        <v>0</v>
      </c>
      <c r="V4" s="44">
        <v>0</v>
      </c>
      <c r="W4" s="24"/>
    </row>
    <row r="5" spans="1:23" ht="21.75">
      <c r="A5" s="36">
        <v>906</v>
      </c>
      <c r="B5" s="37">
        <v>9</v>
      </c>
      <c r="C5" s="45">
        <v>2</v>
      </c>
      <c r="D5" s="46" t="s">
        <v>375</v>
      </c>
      <c r="E5" s="47" t="s">
        <v>514</v>
      </c>
      <c r="F5" s="48">
        <v>23709360936</v>
      </c>
      <c r="G5" s="49"/>
      <c r="H5" s="43">
        <f t="shared" ref="H5:H68" si="0">IF($B5=$H$3,$F5,0)</f>
        <v>0</v>
      </c>
      <c r="I5" s="43">
        <v>0</v>
      </c>
      <c r="J5" s="43">
        <v>0</v>
      </c>
      <c r="K5" s="43">
        <v>0</v>
      </c>
      <c r="L5" s="43">
        <v>0</v>
      </c>
      <c r="M5" s="43">
        <v>0</v>
      </c>
      <c r="N5" s="43">
        <v>23709360936</v>
      </c>
      <c r="O5" s="43">
        <v>0</v>
      </c>
      <c r="P5" s="43">
        <v>0</v>
      </c>
      <c r="Q5" s="43">
        <v>0</v>
      </c>
      <c r="R5" s="43">
        <v>0</v>
      </c>
      <c r="S5" s="43">
        <v>0</v>
      </c>
      <c r="T5" s="43">
        <v>0</v>
      </c>
      <c r="U5" s="43">
        <v>0</v>
      </c>
      <c r="V5" s="44">
        <v>0</v>
      </c>
      <c r="W5" s="24"/>
    </row>
    <row r="6" spans="1:23" ht="21.75">
      <c r="A6" s="36">
        <v>906</v>
      </c>
      <c r="B6" s="37">
        <v>9</v>
      </c>
      <c r="C6" s="45">
        <v>3</v>
      </c>
      <c r="D6" s="46" t="s">
        <v>376</v>
      </c>
      <c r="E6" s="47" t="s">
        <v>232</v>
      </c>
      <c r="F6" s="48">
        <v>800000000</v>
      </c>
      <c r="G6" s="49"/>
      <c r="H6" s="43">
        <f t="shared" si="0"/>
        <v>0</v>
      </c>
      <c r="I6" s="43">
        <v>0</v>
      </c>
      <c r="J6" s="43">
        <v>0</v>
      </c>
      <c r="K6" s="43">
        <v>0</v>
      </c>
      <c r="L6" s="43">
        <v>0</v>
      </c>
      <c r="M6" s="43">
        <v>0</v>
      </c>
      <c r="N6" s="43">
        <v>800000000</v>
      </c>
      <c r="O6" s="43">
        <v>0</v>
      </c>
      <c r="P6" s="43">
        <v>0</v>
      </c>
      <c r="Q6" s="43">
        <v>0</v>
      </c>
      <c r="R6" s="43">
        <v>0</v>
      </c>
      <c r="S6" s="43">
        <v>0</v>
      </c>
      <c r="T6" s="43">
        <v>0</v>
      </c>
      <c r="U6" s="43">
        <v>0</v>
      </c>
      <c r="V6" s="44">
        <v>0</v>
      </c>
      <c r="W6" s="24"/>
    </row>
    <row r="7" spans="1:23" ht="21.75">
      <c r="A7" s="36">
        <v>906</v>
      </c>
      <c r="B7" s="37">
        <v>9</v>
      </c>
      <c r="C7" s="45">
        <v>4</v>
      </c>
      <c r="D7" s="46" t="s">
        <v>377</v>
      </c>
      <c r="E7" s="47" t="s">
        <v>233</v>
      </c>
      <c r="F7" s="48">
        <v>227398330662</v>
      </c>
      <c r="G7" s="49"/>
      <c r="H7" s="43">
        <f t="shared" si="0"/>
        <v>0</v>
      </c>
      <c r="I7" s="43">
        <v>0</v>
      </c>
      <c r="J7" s="43">
        <v>0</v>
      </c>
      <c r="K7" s="43">
        <v>0</v>
      </c>
      <c r="L7" s="43">
        <v>0</v>
      </c>
      <c r="M7" s="43">
        <v>0</v>
      </c>
      <c r="N7" s="43">
        <v>227398330662</v>
      </c>
      <c r="O7" s="43">
        <v>0</v>
      </c>
      <c r="P7" s="43">
        <v>0</v>
      </c>
      <c r="Q7" s="43">
        <v>0</v>
      </c>
      <c r="R7" s="43">
        <v>0</v>
      </c>
      <c r="S7" s="43">
        <v>0</v>
      </c>
      <c r="T7" s="43">
        <v>0</v>
      </c>
      <c r="U7" s="43">
        <v>0</v>
      </c>
      <c r="V7" s="44">
        <v>0</v>
      </c>
      <c r="W7" s="24"/>
    </row>
    <row r="8" spans="1:23" ht="21.75">
      <c r="A8" s="36">
        <v>906</v>
      </c>
      <c r="B8" s="37">
        <v>9</v>
      </c>
      <c r="C8" s="45">
        <v>5</v>
      </c>
      <c r="D8" s="46" t="s">
        <v>250</v>
      </c>
      <c r="E8" s="47" t="s">
        <v>251</v>
      </c>
      <c r="F8" s="48">
        <v>2350057537</v>
      </c>
      <c r="G8" s="49"/>
      <c r="H8" s="43">
        <f t="shared" si="0"/>
        <v>0</v>
      </c>
      <c r="I8" s="43">
        <v>0</v>
      </c>
      <c r="J8" s="43">
        <v>0</v>
      </c>
      <c r="K8" s="43">
        <v>0</v>
      </c>
      <c r="L8" s="43">
        <v>0</v>
      </c>
      <c r="M8" s="43">
        <v>0</v>
      </c>
      <c r="N8" s="43">
        <v>2350057537</v>
      </c>
      <c r="O8" s="43">
        <v>0</v>
      </c>
      <c r="P8" s="43">
        <v>0</v>
      </c>
      <c r="Q8" s="43">
        <v>0</v>
      </c>
      <c r="R8" s="43">
        <v>0</v>
      </c>
      <c r="S8" s="43">
        <v>0</v>
      </c>
      <c r="T8" s="43">
        <v>0</v>
      </c>
      <c r="U8" s="43">
        <v>0</v>
      </c>
      <c r="V8" s="44">
        <v>0</v>
      </c>
      <c r="W8" s="24"/>
    </row>
    <row r="9" spans="1:23" ht="21.75">
      <c r="A9" s="36">
        <v>906</v>
      </c>
      <c r="B9" s="37">
        <v>9</v>
      </c>
      <c r="C9" s="45">
        <v>6</v>
      </c>
      <c r="D9" s="46" t="s">
        <v>252</v>
      </c>
      <c r="E9" s="47" t="s">
        <v>533</v>
      </c>
      <c r="F9" s="48">
        <v>2938434931</v>
      </c>
      <c r="G9" s="49"/>
      <c r="H9" s="43">
        <f t="shared" si="0"/>
        <v>0</v>
      </c>
      <c r="I9" s="43">
        <v>0</v>
      </c>
      <c r="J9" s="43">
        <v>0</v>
      </c>
      <c r="K9" s="43">
        <v>0</v>
      </c>
      <c r="L9" s="43">
        <v>0</v>
      </c>
      <c r="M9" s="43">
        <v>0</v>
      </c>
      <c r="N9" s="43">
        <v>2938434931</v>
      </c>
      <c r="O9" s="43">
        <v>0</v>
      </c>
      <c r="P9" s="43">
        <v>0</v>
      </c>
      <c r="Q9" s="43">
        <v>0</v>
      </c>
      <c r="R9" s="43">
        <v>0</v>
      </c>
      <c r="S9" s="43">
        <v>0</v>
      </c>
      <c r="T9" s="43">
        <v>0</v>
      </c>
      <c r="U9" s="43">
        <v>0</v>
      </c>
      <c r="V9" s="44">
        <v>0</v>
      </c>
      <c r="W9" s="24"/>
    </row>
    <row r="10" spans="1:23" ht="21.75">
      <c r="A10" s="36">
        <v>906</v>
      </c>
      <c r="B10" s="37">
        <v>9</v>
      </c>
      <c r="C10" s="45">
        <v>7</v>
      </c>
      <c r="D10" s="46" t="s">
        <v>339</v>
      </c>
      <c r="E10" s="47" t="s">
        <v>340</v>
      </c>
      <c r="F10" s="48">
        <v>2886250000</v>
      </c>
      <c r="G10" s="49"/>
      <c r="H10" s="43">
        <f t="shared" si="0"/>
        <v>0</v>
      </c>
      <c r="I10" s="43">
        <v>0</v>
      </c>
      <c r="J10" s="43">
        <v>0</v>
      </c>
      <c r="K10" s="43">
        <v>0</v>
      </c>
      <c r="L10" s="43">
        <v>0</v>
      </c>
      <c r="M10" s="43">
        <v>0</v>
      </c>
      <c r="N10" s="43">
        <v>2886250000</v>
      </c>
      <c r="O10" s="43">
        <v>0</v>
      </c>
      <c r="P10" s="43">
        <v>0</v>
      </c>
      <c r="Q10" s="43">
        <v>0</v>
      </c>
      <c r="R10" s="43">
        <v>0</v>
      </c>
      <c r="S10" s="43">
        <v>0</v>
      </c>
      <c r="T10" s="43">
        <v>0</v>
      </c>
      <c r="U10" s="43">
        <v>0</v>
      </c>
      <c r="V10" s="44">
        <v>0</v>
      </c>
      <c r="W10" s="24"/>
    </row>
    <row r="11" spans="1:23" ht="21.75">
      <c r="A11" s="36">
        <v>906</v>
      </c>
      <c r="B11" s="37">
        <v>9</v>
      </c>
      <c r="C11" s="45">
        <v>8</v>
      </c>
      <c r="D11" s="46" t="s">
        <v>341</v>
      </c>
      <c r="E11" s="47" t="s">
        <v>398</v>
      </c>
      <c r="F11" s="48">
        <v>746849865716</v>
      </c>
      <c r="G11" s="49"/>
      <c r="H11" s="43">
        <f t="shared" si="0"/>
        <v>0</v>
      </c>
      <c r="I11" s="43">
        <v>0</v>
      </c>
      <c r="J11" s="43">
        <v>0</v>
      </c>
      <c r="K11" s="43">
        <v>0</v>
      </c>
      <c r="L11" s="43">
        <v>0</v>
      </c>
      <c r="M11" s="43">
        <v>0</v>
      </c>
      <c r="N11" s="43">
        <v>746849865716</v>
      </c>
      <c r="O11" s="43">
        <v>0</v>
      </c>
      <c r="P11" s="43">
        <v>0</v>
      </c>
      <c r="Q11" s="43">
        <v>0</v>
      </c>
      <c r="R11" s="43">
        <v>0</v>
      </c>
      <c r="S11" s="43">
        <v>0</v>
      </c>
      <c r="T11" s="43">
        <v>0</v>
      </c>
      <c r="U11" s="43">
        <v>0</v>
      </c>
      <c r="V11" s="44">
        <v>0</v>
      </c>
      <c r="W11" s="24"/>
    </row>
    <row r="12" spans="1:23" ht="21.75">
      <c r="A12" s="36">
        <v>906</v>
      </c>
      <c r="B12" s="37">
        <v>9</v>
      </c>
      <c r="C12" s="45">
        <v>9</v>
      </c>
      <c r="D12" s="46" t="s">
        <v>399</v>
      </c>
      <c r="E12" s="47" t="s">
        <v>413</v>
      </c>
      <c r="F12" s="48">
        <v>287634454165</v>
      </c>
      <c r="G12" s="49"/>
      <c r="H12" s="43">
        <f t="shared" si="0"/>
        <v>0</v>
      </c>
      <c r="I12" s="43">
        <v>0</v>
      </c>
      <c r="J12" s="43">
        <v>0</v>
      </c>
      <c r="K12" s="43">
        <v>0</v>
      </c>
      <c r="L12" s="43">
        <v>0</v>
      </c>
      <c r="M12" s="43">
        <v>0</v>
      </c>
      <c r="N12" s="43">
        <v>287634454165</v>
      </c>
      <c r="O12" s="43">
        <v>0</v>
      </c>
      <c r="P12" s="43">
        <v>0</v>
      </c>
      <c r="Q12" s="43">
        <v>0</v>
      </c>
      <c r="R12" s="43">
        <v>0</v>
      </c>
      <c r="S12" s="43">
        <v>0</v>
      </c>
      <c r="T12" s="43">
        <v>0</v>
      </c>
      <c r="U12" s="43">
        <v>0</v>
      </c>
      <c r="V12" s="44">
        <v>0</v>
      </c>
      <c r="W12" s="24"/>
    </row>
    <row r="13" spans="1:23" ht="21.75">
      <c r="A13" s="36">
        <v>906</v>
      </c>
      <c r="B13" s="37">
        <v>9</v>
      </c>
      <c r="C13" s="45">
        <v>10</v>
      </c>
      <c r="D13" s="46" t="s">
        <v>414</v>
      </c>
      <c r="E13" s="47" t="s">
        <v>234</v>
      </c>
      <c r="F13" s="48">
        <v>9621595996</v>
      </c>
      <c r="G13" s="49"/>
      <c r="H13" s="43">
        <f t="shared" si="0"/>
        <v>0</v>
      </c>
      <c r="I13" s="43">
        <v>0</v>
      </c>
      <c r="J13" s="43">
        <v>0</v>
      </c>
      <c r="K13" s="43">
        <v>0</v>
      </c>
      <c r="L13" s="43">
        <v>0</v>
      </c>
      <c r="M13" s="43">
        <v>0</v>
      </c>
      <c r="N13" s="43">
        <v>9621595996</v>
      </c>
      <c r="O13" s="43">
        <v>0</v>
      </c>
      <c r="P13" s="43">
        <v>0</v>
      </c>
      <c r="Q13" s="43">
        <v>0</v>
      </c>
      <c r="R13" s="43">
        <v>0</v>
      </c>
      <c r="S13" s="43">
        <v>0</v>
      </c>
      <c r="T13" s="43">
        <v>0</v>
      </c>
      <c r="U13" s="43">
        <v>0</v>
      </c>
      <c r="V13" s="44">
        <v>0</v>
      </c>
      <c r="W13" s="24"/>
    </row>
    <row r="14" spans="1:23" ht="21.75">
      <c r="A14" s="36">
        <v>906</v>
      </c>
      <c r="B14" s="37">
        <v>9</v>
      </c>
      <c r="C14" s="45">
        <v>11</v>
      </c>
      <c r="D14" s="46" t="s">
        <v>415</v>
      </c>
      <c r="E14" s="47" t="s">
        <v>416</v>
      </c>
      <c r="F14" s="48">
        <v>7344716337</v>
      </c>
      <c r="G14" s="49"/>
      <c r="H14" s="43">
        <f t="shared" si="0"/>
        <v>0</v>
      </c>
      <c r="I14" s="43">
        <v>0</v>
      </c>
      <c r="J14" s="43">
        <v>0</v>
      </c>
      <c r="K14" s="43">
        <v>0</v>
      </c>
      <c r="L14" s="43">
        <v>0</v>
      </c>
      <c r="M14" s="43">
        <v>0</v>
      </c>
      <c r="N14" s="43">
        <v>7344716337</v>
      </c>
      <c r="O14" s="43">
        <v>0</v>
      </c>
      <c r="P14" s="43">
        <v>0</v>
      </c>
      <c r="Q14" s="43">
        <v>0</v>
      </c>
      <c r="R14" s="43">
        <v>0</v>
      </c>
      <c r="S14" s="43">
        <v>0</v>
      </c>
      <c r="T14" s="43">
        <v>0</v>
      </c>
      <c r="U14" s="43">
        <v>0</v>
      </c>
      <c r="V14" s="44">
        <v>0</v>
      </c>
      <c r="W14" s="24"/>
    </row>
    <row r="15" spans="1:23" ht="21.75">
      <c r="A15" s="36">
        <v>906</v>
      </c>
      <c r="B15" s="37">
        <v>9</v>
      </c>
      <c r="C15" s="45">
        <v>12</v>
      </c>
      <c r="D15" s="46" t="s">
        <v>417</v>
      </c>
      <c r="E15" s="47" t="s">
        <v>231</v>
      </c>
      <c r="F15" s="48">
        <v>462600000</v>
      </c>
      <c r="G15" s="49"/>
      <c r="H15" s="43">
        <f t="shared" si="0"/>
        <v>0</v>
      </c>
      <c r="I15" s="43">
        <v>0</v>
      </c>
      <c r="J15" s="43">
        <v>0</v>
      </c>
      <c r="K15" s="43">
        <v>0</v>
      </c>
      <c r="L15" s="43">
        <v>0</v>
      </c>
      <c r="M15" s="43">
        <v>0</v>
      </c>
      <c r="N15" s="43">
        <v>462600000</v>
      </c>
      <c r="O15" s="43">
        <v>0</v>
      </c>
      <c r="P15" s="43">
        <v>0</v>
      </c>
      <c r="Q15" s="43">
        <v>0</v>
      </c>
      <c r="R15" s="43">
        <v>0</v>
      </c>
      <c r="S15" s="43">
        <v>0</v>
      </c>
      <c r="T15" s="43">
        <v>0</v>
      </c>
      <c r="U15" s="43">
        <v>0</v>
      </c>
      <c r="V15" s="44">
        <v>0</v>
      </c>
      <c r="W15" s="24"/>
    </row>
    <row r="16" spans="1:23" ht="21.75">
      <c r="A16" s="36">
        <v>906</v>
      </c>
      <c r="B16" s="37">
        <v>9</v>
      </c>
      <c r="C16" s="45">
        <v>13</v>
      </c>
      <c r="D16" s="46" t="s">
        <v>418</v>
      </c>
      <c r="E16" s="47" t="s">
        <v>197</v>
      </c>
      <c r="F16" s="48">
        <v>2296296812101</v>
      </c>
      <c r="G16" s="49"/>
      <c r="H16" s="43">
        <f t="shared" si="0"/>
        <v>0</v>
      </c>
      <c r="I16" s="43">
        <v>0</v>
      </c>
      <c r="J16" s="43">
        <v>0</v>
      </c>
      <c r="K16" s="43">
        <v>0</v>
      </c>
      <c r="L16" s="43">
        <v>0</v>
      </c>
      <c r="M16" s="43">
        <v>0</v>
      </c>
      <c r="N16" s="43">
        <v>2296296812101</v>
      </c>
      <c r="O16" s="43">
        <v>0</v>
      </c>
      <c r="P16" s="43">
        <v>0</v>
      </c>
      <c r="Q16" s="43">
        <v>0</v>
      </c>
      <c r="R16" s="43">
        <v>0</v>
      </c>
      <c r="S16" s="43">
        <v>0</v>
      </c>
      <c r="T16" s="43">
        <v>0</v>
      </c>
      <c r="U16" s="43">
        <v>0</v>
      </c>
      <c r="V16" s="44">
        <v>0</v>
      </c>
      <c r="W16" s="24"/>
    </row>
    <row r="17" spans="1:23" ht="21.75">
      <c r="A17" s="36">
        <v>906</v>
      </c>
      <c r="B17" s="37">
        <v>9</v>
      </c>
      <c r="C17" s="45">
        <v>14</v>
      </c>
      <c r="D17" s="46" t="s">
        <v>419</v>
      </c>
      <c r="E17" s="47" t="s">
        <v>420</v>
      </c>
      <c r="F17" s="48">
        <v>-41386116</v>
      </c>
      <c r="G17" s="48">
        <v>41386116</v>
      </c>
      <c r="H17" s="43">
        <f t="shared" si="0"/>
        <v>0</v>
      </c>
      <c r="I17" s="43">
        <v>0</v>
      </c>
      <c r="J17" s="43">
        <v>0</v>
      </c>
      <c r="K17" s="43">
        <v>0</v>
      </c>
      <c r="L17" s="43">
        <v>0</v>
      </c>
      <c r="M17" s="43">
        <v>0</v>
      </c>
      <c r="N17" s="43">
        <v>-41386116</v>
      </c>
      <c r="O17" s="43">
        <v>0</v>
      </c>
      <c r="P17" s="43">
        <v>0</v>
      </c>
      <c r="Q17" s="43">
        <v>0</v>
      </c>
      <c r="R17" s="43">
        <v>0</v>
      </c>
      <c r="S17" s="43">
        <v>0</v>
      </c>
      <c r="T17" s="43">
        <v>0</v>
      </c>
      <c r="U17" s="43">
        <v>0</v>
      </c>
      <c r="V17" s="44">
        <v>0</v>
      </c>
      <c r="W17" s="24"/>
    </row>
    <row r="18" spans="1:23" ht="21.75">
      <c r="A18" s="36">
        <v>906</v>
      </c>
      <c r="B18" s="37">
        <v>9</v>
      </c>
      <c r="C18" s="45">
        <v>15</v>
      </c>
      <c r="D18" s="46" t="s">
        <v>421</v>
      </c>
      <c r="E18" s="47" t="s">
        <v>423</v>
      </c>
      <c r="F18" s="48">
        <v>40064878661</v>
      </c>
      <c r="G18" s="49"/>
      <c r="H18" s="43">
        <f t="shared" si="0"/>
        <v>0</v>
      </c>
      <c r="I18" s="43">
        <v>0</v>
      </c>
      <c r="J18" s="43">
        <v>0</v>
      </c>
      <c r="K18" s="43">
        <v>0</v>
      </c>
      <c r="L18" s="43">
        <v>0</v>
      </c>
      <c r="M18" s="43">
        <v>0</v>
      </c>
      <c r="N18" s="43">
        <v>40064878661</v>
      </c>
      <c r="O18" s="43">
        <v>0</v>
      </c>
      <c r="P18" s="43">
        <v>0</v>
      </c>
      <c r="Q18" s="43">
        <v>0</v>
      </c>
      <c r="R18" s="43">
        <v>0</v>
      </c>
      <c r="S18" s="43">
        <v>0</v>
      </c>
      <c r="T18" s="43">
        <v>0</v>
      </c>
      <c r="U18" s="43">
        <v>0</v>
      </c>
      <c r="V18" s="44">
        <v>0</v>
      </c>
      <c r="W18" s="24"/>
    </row>
    <row r="19" spans="1:23" ht="21.75">
      <c r="A19" s="36">
        <v>906</v>
      </c>
      <c r="B19" s="37">
        <v>9</v>
      </c>
      <c r="C19" s="45">
        <v>16</v>
      </c>
      <c r="D19" s="46" t="s">
        <v>424</v>
      </c>
      <c r="E19" s="47" t="s">
        <v>198</v>
      </c>
      <c r="F19" s="48">
        <v>102847500</v>
      </c>
      <c r="G19" s="49"/>
      <c r="H19" s="43">
        <f t="shared" si="0"/>
        <v>0</v>
      </c>
      <c r="I19" s="43">
        <v>0</v>
      </c>
      <c r="J19" s="43">
        <v>0</v>
      </c>
      <c r="K19" s="43">
        <v>0</v>
      </c>
      <c r="L19" s="43">
        <v>0</v>
      </c>
      <c r="M19" s="43">
        <v>0</v>
      </c>
      <c r="N19" s="43">
        <v>102847500</v>
      </c>
      <c r="O19" s="43">
        <v>0</v>
      </c>
      <c r="P19" s="43">
        <v>0</v>
      </c>
      <c r="Q19" s="43">
        <v>0</v>
      </c>
      <c r="R19" s="43">
        <v>0</v>
      </c>
      <c r="S19" s="43">
        <v>0</v>
      </c>
      <c r="T19" s="43">
        <v>0</v>
      </c>
      <c r="U19" s="43">
        <v>0</v>
      </c>
      <c r="V19" s="44">
        <v>0</v>
      </c>
      <c r="W19" s="24"/>
    </row>
    <row r="20" spans="1:23" ht="21.75">
      <c r="A20" s="36">
        <v>1212</v>
      </c>
      <c r="B20" s="37">
        <v>12</v>
      </c>
      <c r="C20" s="45">
        <v>17</v>
      </c>
      <c r="D20" s="46" t="s">
        <v>425</v>
      </c>
      <c r="E20" s="47" t="s">
        <v>426</v>
      </c>
      <c r="F20" s="48">
        <v>-310000</v>
      </c>
      <c r="G20" s="48">
        <v>310000</v>
      </c>
      <c r="H20" s="43">
        <f t="shared" si="0"/>
        <v>0</v>
      </c>
      <c r="I20" s="43">
        <v>0</v>
      </c>
      <c r="J20" s="43">
        <v>0</v>
      </c>
      <c r="K20" s="43">
        <v>0</v>
      </c>
      <c r="L20" s="43">
        <v>0</v>
      </c>
      <c r="M20" s="43">
        <v>0</v>
      </c>
      <c r="N20" s="43">
        <v>0</v>
      </c>
      <c r="O20" s="43">
        <v>0</v>
      </c>
      <c r="P20" s="43">
        <v>0</v>
      </c>
      <c r="Q20" s="43">
        <v>-310000</v>
      </c>
      <c r="R20" s="43">
        <v>0</v>
      </c>
      <c r="S20" s="43">
        <v>0</v>
      </c>
      <c r="T20" s="43">
        <v>0</v>
      </c>
      <c r="U20" s="43">
        <v>0</v>
      </c>
      <c r="V20" s="44">
        <v>0</v>
      </c>
      <c r="W20" s="24"/>
    </row>
    <row r="21" spans="1:23" ht="21.75">
      <c r="A21" s="36">
        <v>1212</v>
      </c>
      <c r="B21" s="37">
        <v>12</v>
      </c>
      <c r="C21" s="45">
        <v>18</v>
      </c>
      <c r="D21" s="46" t="s">
        <v>427</v>
      </c>
      <c r="E21" s="47" t="s">
        <v>428</v>
      </c>
      <c r="F21" s="48">
        <v>-33118740</v>
      </c>
      <c r="G21" s="48">
        <v>33118740</v>
      </c>
      <c r="H21" s="43">
        <f t="shared" si="0"/>
        <v>0</v>
      </c>
      <c r="I21" s="43">
        <v>0</v>
      </c>
      <c r="J21" s="43">
        <v>0</v>
      </c>
      <c r="K21" s="43">
        <v>0</v>
      </c>
      <c r="L21" s="43">
        <v>0</v>
      </c>
      <c r="M21" s="43">
        <v>0</v>
      </c>
      <c r="N21" s="43">
        <v>0</v>
      </c>
      <c r="O21" s="43">
        <v>0</v>
      </c>
      <c r="P21" s="43">
        <v>0</v>
      </c>
      <c r="Q21" s="43">
        <v>-33118740</v>
      </c>
      <c r="R21" s="43">
        <v>0</v>
      </c>
      <c r="S21" s="43">
        <v>0</v>
      </c>
      <c r="T21" s="43">
        <v>0</v>
      </c>
      <c r="U21" s="43">
        <v>0</v>
      </c>
      <c r="V21" s="44">
        <v>0</v>
      </c>
      <c r="W21" s="24"/>
    </row>
    <row r="22" spans="1:23" ht="21.75">
      <c r="A22" s="36">
        <v>1212</v>
      </c>
      <c r="B22" s="37">
        <v>12</v>
      </c>
      <c r="C22" s="45">
        <v>19</v>
      </c>
      <c r="D22" s="46" t="s">
        <v>429</v>
      </c>
      <c r="E22" s="47" t="s">
        <v>193</v>
      </c>
      <c r="F22" s="48">
        <v>-1735513</v>
      </c>
      <c r="G22" s="48">
        <v>1735513</v>
      </c>
      <c r="H22" s="43">
        <f t="shared" si="0"/>
        <v>0</v>
      </c>
      <c r="I22" s="43">
        <v>0</v>
      </c>
      <c r="J22" s="43">
        <v>0</v>
      </c>
      <c r="K22" s="43">
        <v>0</v>
      </c>
      <c r="L22" s="43">
        <v>0</v>
      </c>
      <c r="M22" s="43">
        <v>0</v>
      </c>
      <c r="N22" s="43">
        <v>0</v>
      </c>
      <c r="O22" s="43">
        <v>0</v>
      </c>
      <c r="P22" s="43">
        <v>0</v>
      </c>
      <c r="Q22" s="43">
        <v>-1735513</v>
      </c>
      <c r="R22" s="43">
        <v>0</v>
      </c>
      <c r="S22" s="43">
        <v>0</v>
      </c>
      <c r="T22" s="43">
        <v>0</v>
      </c>
      <c r="U22" s="43">
        <v>0</v>
      </c>
      <c r="V22" s="44">
        <v>0</v>
      </c>
      <c r="W22" s="24"/>
    </row>
    <row r="23" spans="1:23" ht="21.75">
      <c r="A23" s="36">
        <v>614</v>
      </c>
      <c r="B23" s="37">
        <v>6</v>
      </c>
      <c r="C23" s="45">
        <v>20</v>
      </c>
      <c r="D23" s="46" t="s">
        <v>430</v>
      </c>
      <c r="E23" s="47" t="s">
        <v>431</v>
      </c>
      <c r="F23" s="48">
        <v>10020000</v>
      </c>
      <c r="G23" s="49"/>
      <c r="H23" s="43">
        <f t="shared" si="0"/>
        <v>0</v>
      </c>
      <c r="I23" s="43">
        <v>0</v>
      </c>
      <c r="J23" s="43">
        <v>10020000</v>
      </c>
      <c r="K23" s="43">
        <v>0</v>
      </c>
      <c r="L23" s="43">
        <v>0</v>
      </c>
      <c r="M23" s="43">
        <v>0</v>
      </c>
      <c r="N23" s="43">
        <v>0</v>
      </c>
      <c r="O23" s="43">
        <v>0</v>
      </c>
      <c r="P23" s="43">
        <v>0</v>
      </c>
      <c r="Q23" s="43">
        <v>0</v>
      </c>
      <c r="R23" s="43">
        <v>0</v>
      </c>
      <c r="S23" s="43">
        <v>0</v>
      </c>
      <c r="T23" s="43">
        <v>0</v>
      </c>
      <c r="U23" s="43">
        <v>0</v>
      </c>
      <c r="V23" s="44">
        <v>0</v>
      </c>
      <c r="W23" s="24"/>
    </row>
    <row r="24" spans="1:23" ht="21.75">
      <c r="A24" s="36">
        <v>614</v>
      </c>
      <c r="B24" s="37">
        <v>6</v>
      </c>
      <c r="C24" s="45">
        <v>21</v>
      </c>
      <c r="D24" s="46" t="s">
        <v>432</v>
      </c>
      <c r="E24" s="47" t="s">
        <v>433</v>
      </c>
      <c r="F24" s="48">
        <v>21585916</v>
      </c>
      <c r="G24" s="49"/>
      <c r="H24" s="43">
        <f t="shared" si="0"/>
        <v>0</v>
      </c>
      <c r="I24" s="43">
        <v>0</v>
      </c>
      <c r="J24" s="43">
        <v>21585916</v>
      </c>
      <c r="K24" s="43">
        <v>0</v>
      </c>
      <c r="L24" s="43">
        <v>0</v>
      </c>
      <c r="M24" s="43">
        <v>0</v>
      </c>
      <c r="N24" s="43">
        <v>0</v>
      </c>
      <c r="O24" s="43">
        <v>0</v>
      </c>
      <c r="P24" s="43">
        <v>0</v>
      </c>
      <c r="Q24" s="43">
        <v>0</v>
      </c>
      <c r="R24" s="43">
        <v>0</v>
      </c>
      <c r="S24" s="43">
        <v>0</v>
      </c>
      <c r="T24" s="43">
        <v>0</v>
      </c>
      <c r="U24" s="43">
        <v>0</v>
      </c>
      <c r="V24" s="44">
        <v>0</v>
      </c>
      <c r="W24" s="24"/>
    </row>
    <row r="25" spans="1:23" ht="21.75">
      <c r="A25" s="36">
        <v>614</v>
      </c>
      <c r="B25" s="37">
        <v>6</v>
      </c>
      <c r="C25" s="45">
        <v>22</v>
      </c>
      <c r="D25" s="46" t="s">
        <v>434</v>
      </c>
      <c r="E25" s="47" t="s">
        <v>435</v>
      </c>
      <c r="F25" s="48">
        <v>11851962</v>
      </c>
      <c r="G25" s="49"/>
      <c r="H25" s="43">
        <f t="shared" si="0"/>
        <v>0</v>
      </c>
      <c r="I25" s="43">
        <v>0</v>
      </c>
      <c r="J25" s="43">
        <v>11851962</v>
      </c>
      <c r="K25" s="43">
        <v>0</v>
      </c>
      <c r="L25" s="43">
        <v>0</v>
      </c>
      <c r="M25" s="43">
        <v>0</v>
      </c>
      <c r="N25" s="43">
        <v>0</v>
      </c>
      <c r="O25" s="43">
        <v>0</v>
      </c>
      <c r="P25" s="43">
        <v>0</v>
      </c>
      <c r="Q25" s="43">
        <v>0</v>
      </c>
      <c r="R25" s="43">
        <v>0</v>
      </c>
      <c r="S25" s="43">
        <v>0</v>
      </c>
      <c r="T25" s="43">
        <v>0</v>
      </c>
      <c r="U25" s="43">
        <v>0</v>
      </c>
      <c r="V25" s="44">
        <v>0</v>
      </c>
      <c r="W25" s="24"/>
    </row>
    <row r="26" spans="1:23" ht="21.75">
      <c r="A26" s="36">
        <v>614</v>
      </c>
      <c r="B26" s="37">
        <v>6</v>
      </c>
      <c r="C26" s="45">
        <v>23</v>
      </c>
      <c r="D26" s="46" t="s">
        <v>436</v>
      </c>
      <c r="E26" s="47" t="s">
        <v>437</v>
      </c>
      <c r="F26" s="48">
        <v>45216</v>
      </c>
      <c r="G26" s="49"/>
      <c r="H26" s="43">
        <f t="shared" si="0"/>
        <v>0</v>
      </c>
      <c r="I26" s="43">
        <v>0</v>
      </c>
      <c r="J26" s="43">
        <v>45216</v>
      </c>
      <c r="K26" s="43">
        <v>0</v>
      </c>
      <c r="L26" s="43">
        <v>0</v>
      </c>
      <c r="M26" s="43">
        <v>0</v>
      </c>
      <c r="N26" s="43">
        <v>0</v>
      </c>
      <c r="O26" s="43">
        <v>0</v>
      </c>
      <c r="P26" s="43">
        <v>0</v>
      </c>
      <c r="Q26" s="43">
        <v>0</v>
      </c>
      <c r="R26" s="43">
        <v>0</v>
      </c>
      <c r="S26" s="43">
        <v>0</v>
      </c>
      <c r="T26" s="43">
        <v>0</v>
      </c>
      <c r="U26" s="43">
        <v>0</v>
      </c>
      <c r="V26" s="44">
        <v>0</v>
      </c>
      <c r="W26" s="24"/>
    </row>
    <row r="27" spans="1:23" ht="21.75">
      <c r="A27" s="36">
        <v>1212</v>
      </c>
      <c r="B27" s="37">
        <v>12</v>
      </c>
      <c r="C27" s="45">
        <v>24</v>
      </c>
      <c r="D27" s="46" t="s">
        <v>438</v>
      </c>
      <c r="E27" s="47" t="s">
        <v>176</v>
      </c>
      <c r="F27" s="48">
        <v>-36381344</v>
      </c>
      <c r="G27" s="48">
        <v>36381344</v>
      </c>
      <c r="H27" s="43">
        <f t="shared" si="0"/>
        <v>0</v>
      </c>
      <c r="I27" s="43">
        <v>0</v>
      </c>
      <c r="J27" s="43">
        <v>0</v>
      </c>
      <c r="K27" s="43">
        <v>0</v>
      </c>
      <c r="L27" s="43">
        <v>0</v>
      </c>
      <c r="M27" s="43">
        <v>0</v>
      </c>
      <c r="N27" s="43">
        <v>0</v>
      </c>
      <c r="O27" s="43">
        <v>0</v>
      </c>
      <c r="P27" s="43">
        <v>0</v>
      </c>
      <c r="Q27" s="43">
        <v>-36381344</v>
      </c>
      <c r="R27" s="43">
        <v>0</v>
      </c>
      <c r="S27" s="43">
        <v>0</v>
      </c>
      <c r="T27" s="43">
        <v>0</v>
      </c>
      <c r="U27" s="43">
        <v>0</v>
      </c>
      <c r="V27" s="44">
        <v>0</v>
      </c>
      <c r="W27" s="24"/>
    </row>
    <row r="28" spans="1:23" ht="21.75">
      <c r="A28" s="36">
        <v>614</v>
      </c>
      <c r="B28" s="37">
        <v>6</v>
      </c>
      <c r="C28" s="45">
        <v>25</v>
      </c>
      <c r="D28" s="46" t="s">
        <v>472</v>
      </c>
      <c r="E28" s="47" t="s">
        <v>473</v>
      </c>
      <c r="F28" s="48">
        <v>1441679288</v>
      </c>
      <c r="G28" s="49"/>
      <c r="H28" s="43">
        <f t="shared" si="0"/>
        <v>0</v>
      </c>
      <c r="I28" s="43">
        <v>0</v>
      </c>
      <c r="J28" s="43">
        <v>1441679288</v>
      </c>
      <c r="K28" s="43">
        <v>0</v>
      </c>
      <c r="L28" s="43">
        <v>0</v>
      </c>
      <c r="M28" s="43">
        <v>0</v>
      </c>
      <c r="N28" s="43">
        <v>0</v>
      </c>
      <c r="O28" s="43">
        <v>0</v>
      </c>
      <c r="P28" s="43">
        <v>0</v>
      </c>
      <c r="Q28" s="43">
        <v>0</v>
      </c>
      <c r="R28" s="43">
        <v>0</v>
      </c>
      <c r="S28" s="43">
        <v>0</v>
      </c>
      <c r="T28" s="43">
        <v>0</v>
      </c>
      <c r="U28" s="43">
        <v>0</v>
      </c>
      <c r="V28" s="44">
        <v>0</v>
      </c>
      <c r="W28" s="24"/>
    </row>
    <row r="29" spans="1:23" ht="21.75">
      <c r="A29" s="36">
        <v>1212</v>
      </c>
      <c r="B29" s="37">
        <v>12</v>
      </c>
      <c r="C29" s="45">
        <v>26</v>
      </c>
      <c r="D29" s="46" t="s">
        <v>127</v>
      </c>
      <c r="E29" s="47" t="s">
        <v>230</v>
      </c>
      <c r="F29" s="48">
        <v>-797708</v>
      </c>
      <c r="G29" s="48">
        <v>797708</v>
      </c>
      <c r="H29" s="43">
        <f t="shared" si="0"/>
        <v>0</v>
      </c>
      <c r="I29" s="43">
        <v>0</v>
      </c>
      <c r="J29" s="43">
        <v>0</v>
      </c>
      <c r="K29" s="43">
        <v>0</v>
      </c>
      <c r="L29" s="43">
        <v>0</v>
      </c>
      <c r="M29" s="43">
        <v>0</v>
      </c>
      <c r="N29" s="43">
        <v>0</v>
      </c>
      <c r="O29" s="43">
        <v>0</v>
      </c>
      <c r="P29" s="43">
        <v>0</v>
      </c>
      <c r="Q29" s="43">
        <v>-797708</v>
      </c>
      <c r="R29" s="43">
        <v>0</v>
      </c>
      <c r="S29" s="43">
        <v>0</v>
      </c>
      <c r="T29" s="43">
        <v>0</v>
      </c>
      <c r="U29" s="43">
        <v>0</v>
      </c>
      <c r="V29" s="44">
        <v>0</v>
      </c>
      <c r="W29" s="24"/>
    </row>
    <row r="30" spans="1:23" ht="21.75">
      <c r="A30" s="36">
        <v>1212</v>
      </c>
      <c r="B30" s="37">
        <v>12</v>
      </c>
      <c r="C30" s="45">
        <v>27</v>
      </c>
      <c r="D30" s="46" t="s">
        <v>128</v>
      </c>
      <c r="E30" s="47" t="s">
        <v>129</v>
      </c>
      <c r="F30" s="48">
        <v>-79358071</v>
      </c>
      <c r="G30" s="48">
        <v>79358071</v>
      </c>
      <c r="H30" s="43">
        <f t="shared" si="0"/>
        <v>0</v>
      </c>
      <c r="I30" s="43">
        <v>0</v>
      </c>
      <c r="J30" s="43">
        <v>0</v>
      </c>
      <c r="K30" s="43">
        <v>0</v>
      </c>
      <c r="L30" s="43">
        <v>0</v>
      </c>
      <c r="M30" s="43">
        <v>0</v>
      </c>
      <c r="N30" s="43">
        <v>0</v>
      </c>
      <c r="O30" s="43">
        <v>0</v>
      </c>
      <c r="P30" s="43">
        <v>0</v>
      </c>
      <c r="Q30" s="43">
        <v>-79358071</v>
      </c>
      <c r="R30" s="43">
        <v>0</v>
      </c>
      <c r="S30" s="43">
        <v>0</v>
      </c>
      <c r="T30" s="43">
        <v>0</v>
      </c>
      <c r="U30" s="43">
        <v>0</v>
      </c>
      <c r="V30" s="44">
        <v>0</v>
      </c>
      <c r="W30" s="24"/>
    </row>
    <row r="31" spans="1:23" ht="21.75">
      <c r="A31" s="36">
        <v>1212</v>
      </c>
      <c r="B31" s="37">
        <v>12</v>
      </c>
      <c r="C31" s="45">
        <v>28</v>
      </c>
      <c r="D31" s="46" t="s">
        <v>130</v>
      </c>
      <c r="E31" s="47" t="s">
        <v>131</v>
      </c>
      <c r="F31" s="48">
        <v>-445357783</v>
      </c>
      <c r="G31" s="48">
        <v>445357783</v>
      </c>
      <c r="H31" s="43">
        <f t="shared" si="0"/>
        <v>0</v>
      </c>
      <c r="I31" s="43">
        <v>0</v>
      </c>
      <c r="J31" s="43">
        <v>0</v>
      </c>
      <c r="K31" s="43">
        <v>0</v>
      </c>
      <c r="L31" s="43">
        <v>0</v>
      </c>
      <c r="M31" s="43">
        <v>0</v>
      </c>
      <c r="N31" s="43">
        <v>0</v>
      </c>
      <c r="O31" s="43">
        <v>0</v>
      </c>
      <c r="P31" s="43">
        <v>0</v>
      </c>
      <c r="Q31" s="43">
        <v>-445357783</v>
      </c>
      <c r="R31" s="43">
        <v>0</v>
      </c>
      <c r="S31" s="43">
        <v>0</v>
      </c>
      <c r="T31" s="43">
        <v>0</v>
      </c>
      <c r="U31" s="43">
        <v>0</v>
      </c>
      <c r="V31" s="44">
        <v>0</v>
      </c>
      <c r="W31" s="24"/>
    </row>
    <row r="32" spans="1:23" ht="21.75">
      <c r="A32" s="36">
        <v>1206</v>
      </c>
      <c r="B32" s="37">
        <v>12</v>
      </c>
      <c r="C32" s="45">
        <v>29</v>
      </c>
      <c r="D32" s="46" t="s">
        <v>132</v>
      </c>
      <c r="E32" s="47" t="s">
        <v>133</v>
      </c>
      <c r="F32" s="48">
        <v>-1028851018</v>
      </c>
      <c r="G32" s="48">
        <v>1028851018</v>
      </c>
      <c r="H32" s="43">
        <f t="shared" si="0"/>
        <v>0</v>
      </c>
      <c r="I32" s="43">
        <v>0</v>
      </c>
      <c r="J32" s="43">
        <v>0</v>
      </c>
      <c r="K32" s="43">
        <v>0</v>
      </c>
      <c r="L32" s="43">
        <v>0</v>
      </c>
      <c r="M32" s="43">
        <v>0</v>
      </c>
      <c r="N32" s="43">
        <v>0</v>
      </c>
      <c r="O32" s="43">
        <v>0</v>
      </c>
      <c r="P32" s="43">
        <v>0</v>
      </c>
      <c r="Q32" s="43">
        <v>-1028851018</v>
      </c>
      <c r="R32" s="43">
        <v>0</v>
      </c>
      <c r="S32" s="43">
        <v>0</v>
      </c>
      <c r="T32" s="43">
        <v>0</v>
      </c>
      <c r="U32" s="43">
        <v>0</v>
      </c>
      <c r="V32" s="44">
        <v>0</v>
      </c>
      <c r="W32" s="24"/>
    </row>
    <row r="33" spans="1:23" ht="21.75">
      <c r="A33" s="36">
        <v>1301</v>
      </c>
      <c r="B33" s="37">
        <v>13</v>
      </c>
      <c r="C33" s="45">
        <v>30</v>
      </c>
      <c r="D33" s="46" t="s">
        <v>134</v>
      </c>
      <c r="E33" s="47" t="s">
        <v>135</v>
      </c>
      <c r="F33" s="48">
        <v>-6673170510</v>
      </c>
      <c r="G33" s="48">
        <v>6673170510</v>
      </c>
      <c r="H33" s="43">
        <f t="shared" si="0"/>
        <v>0</v>
      </c>
      <c r="I33" s="43">
        <v>0</v>
      </c>
      <c r="J33" s="43">
        <v>0</v>
      </c>
      <c r="K33" s="43">
        <v>0</v>
      </c>
      <c r="L33" s="43">
        <v>0</v>
      </c>
      <c r="M33" s="43">
        <v>0</v>
      </c>
      <c r="N33" s="43">
        <v>0</v>
      </c>
      <c r="O33" s="43">
        <v>0</v>
      </c>
      <c r="P33" s="43">
        <v>0</v>
      </c>
      <c r="Q33" s="43">
        <v>0</v>
      </c>
      <c r="R33" s="43">
        <v>-6673170510</v>
      </c>
      <c r="S33" s="43">
        <v>0</v>
      </c>
      <c r="T33" s="43">
        <v>0</v>
      </c>
      <c r="U33" s="43">
        <v>0</v>
      </c>
      <c r="V33" s="44">
        <v>0</v>
      </c>
      <c r="W33" s="24"/>
    </row>
    <row r="34" spans="1:23" ht="21.75">
      <c r="A34" s="36">
        <v>1212</v>
      </c>
      <c r="B34" s="37">
        <v>12</v>
      </c>
      <c r="C34" s="45">
        <v>31</v>
      </c>
      <c r="D34" s="46" t="s">
        <v>136</v>
      </c>
      <c r="E34" s="47" t="s">
        <v>82</v>
      </c>
      <c r="F34" s="48">
        <v>-76331388</v>
      </c>
      <c r="G34" s="48">
        <v>76331388</v>
      </c>
      <c r="H34" s="43">
        <f t="shared" si="0"/>
        <v>0</v>
      </c>
      <c r="I34" s="43">
        <v>0</v>
      </c>
      <c r="J34" s="43">
        <v>0</v>
      </c>
      <c r="K34" s="43">
        <v>0</v>
      </c>
      <c r="L34" s="43">
        <v>0</v>
      </c>
      <c r="M34" s="43">
        <v>0</v>
      </c>
      <c r="N34" s="43">
        <v>0</v>
      </c>
      <c r="O34" s="43">
        <v>0</v>
      </c>
      <c r="P34" s="43">
        <v>0</v>
      </c>
      <c r="Q34" s="43">
        <v>-76331388</v>
      </c>
      <c r="R34" s="43">
        <v>0</v>
      </c>
      <c r="S34" s="43">
        <v>0</v>
      </c>
      <c r="T34" s="43">
        <v>0</v>
      </c>
      <c r="U34" s="43">
        <v>0</v>
      </c>
      <c r="V34" s="44">
        <v>0</v>
      </c>
      <c r="W34" s="24"/>
    </row>
    <row r="35" spans="1:23" ht="21.75">
      <c r="A35" s="36">
        <v>1212</v>
      </c>
      <c r="B35" s="37">
        <v>12</v>
      </c>
      <c r="C35" s="45">
        <v>32</v>
      </c>
      <c r="D35" s="46" t="s">
        <v>83</v>
      </c>
      <c r="E35" s="47" t="s">
        <v>177</v>
      </c>
      <c r="F35" s="48">
        <v>-54000</v>
      </c>
      <c r="G35" s="48">
        <v>54000</v>
      </c>
      <c r="H35" s="43">
        <f t="shared" si="0"/>
        <v>0</v>
      </c>
      <c r="I35" s="43">
        <v>0</v>
      </c>
      <c r="J35" s="43">
        <v>0</v>
      </c>
      <c r="K35" s="43">
        <v>0</v>
      </c>
      <c r="L35" s="43">
        <v>0</v>
      </c>
      <c r="M35" s="43">
        <v>0</v>
      </c>
      <c r="N35" s="43">
        <v>0</v>
      </c>
      <c r="O35" s="43">
        <v>0</v>
      </c>
      <c r="P35" s="43">
        <v>0</v>
      </c>
      <c r="Q35" s="43">
        <v>-54000</v>
      </c>
      <c r="R35" s="43">
        <v>0</v>
      </c>
      <c r="S35" s="43">
        <v>0</v>
      </c>
      <c r="T35" s="43">
        <v>0</v>
      </c>
      <c r="U35" s="43">
        <v>0</v>
      </c>
      <c r="V35" s="44">
        <v>0</v>
      </c>
      <c r="W35" s="24"/>
    </row>
    <row r="36" spans="1:23" ht="21.75">
      <c r="A36" s="36">
        <v>614</v>
      </c>
      <c r="B36" s="37">
        <v>6</v>
      </c>
      <c r="C36" s="45">
        <v>33</v>
      </c>
      <c r="D36" s="46" t="s">
        <v>84</v>
      </c>
      <c r="E36" s="47" t="s">
        <v>85</v>
      </c>
      <c r="F36" s="48">
        <v>39608639</v>
      </c>
      <c r="G36" s="49"/>
      <c r="H36" s="43">
        <f t="shared" si="0"/>
        <v>0</v>
      </c>
      <c r="I36" s="43">
        <v>0</v>
      </c>
      <c r="J36" s="43">
        <v>39608639</v>
      </c>
      <c r="K36" s="43">
        <v>0</v>
      </c>
      <c r="L36" s="43">
        <v>0</v>
      </c>
      <c r="M36" s="43">
        <v>0</v>
      </c>
      <c r="N36" s="43">
        <v>0</v>
      </c>
      <c r="O36" s="43">
        <v>0</v>
      </c>
      <c r="P36" s="43">
        <v>0</v>
      </c>
      <c r="Q36" s="43">
        <v>0</v>
      </c>
      <c r="R36" s="43">
        <v>0</v>
      </c>
      <c r="S36" s="43">
        <v>0</v>
      </c>
      <c r="T36" s="43">
        <v>0</v>
      </c>
      <c r="U36" s="43">
        <v>0</v>
      </c>
      <c r="V36" s="44">
        <v>0</v>
      </c>
      <c r="W36" s="24"/>
    </row>
    <row r="37" spans="1:23" ht="21.75">
      <c r="A37" s="36">
        <v>614</v>
      </c>
      <c r="B37" s="37">
        <v>6</v>
      </c>
      <c r="C37" s="45">
        <v>34</v>
      </c>
      <c r="D37" s="46" t="s">
        <v>86</v>
      </c>
      <c r="E37" s="47" t="s">
        <v>178</v>
      </c>
      <c r="F37" s="48">
        <v>29085659</v>
      </c>
      <c r="G37" s="49"/>
      <c r="H37" s="43">
        <f t="shared" si="0"/>
        <v>0</v>
      </c>
      <c r="I37" s="43">
        <v>0</v>
      </c>
      <c r="J37" s="43">
        <v>29085659</v>
      </c>
      <c r="K37" s="43">
        <v>0</v>
      </c>
      <c r="L37" s="43">
        <v>0</v>
      </c>
      <c r="M37" s="43">
        <v>0</v>
      </c>
      <c r="N37" s="43">
        <v>0</v>
      </c>
      <c r="O37" s="43">
        <v>0</v>
      </c>
      <c r="P37" s="43">
        <v>0</v>
      </c>
      <c r="Q37" s="43">
        <v>0</v>
      </c>
      <c r="R37" s="43">
        <v>0</v>
      </c>
      <c r="S37" s="43">
        <v>0</v>
      </c>
      <c r="T37" s="43">
        <v>0</v>
      </c>
      <c r="U37" s="43">
        <v>0</v>
      </c>
      <c r="V37" s="44">
        <v>0</v>
      </c>
      <c r="W37" s="24"/>
    </row>
    <row r="38" spans="1:23" ht="21.75">
      <c r="A38" s="36">
        <v>1212</v>
      </c>
      <c r="B38" s="37">
        <v>12</v>
      </c>
      <c r="C38" s="45">
        <v>35</v>
      </c>
      <c r="D38" s="46" t="s">
        <v>87</v>
      </c>
      <c r="E38" s="47" t="s">
        <v>88</v>
      </c>
      <c r="F38" s="48">
        <v>-80000</v>
      </c>
      <c r="G38" s="48">
        <v>80000</v>
      </c>
      <c r="H38" s="43">
        <f t="shared" si="0"/>
        <v>0</v>
      </c>
      <c r="I38" s="43">
        <v>0</v>
      </c>
      <c r="J38" s="43">
        <v>0</v>
      </c>
      <c r="K38" s="43">
        <v>0</v>
      </c>
      <c r="L38" s="43">
        <v>0</v>
      </c>
      <c r="M38" s="43">
        <v>0</v>
      </c>
      <c r="N38" s="43">
        <v>0</v>
      </c>
      <c r="O38" s="43">
        <v>0</v>
      </c>
      <c r="P38" s="43">
        <v>0</v>
      </c>
      <c r="Q38" s="43">
        <v>-80000</v>
      </c>
      <c r="R38" s="43">
        <v>0</v>
      </c>
      <c r="S38" s="43">
        <v>0</v>
      </c>
      <c r="T38" s="43">
        <v>0</v>
      </c>
      <c r="U38" s="43">
        <v>0</v>
      </c>
      <c r="V38" s="44">
        <v>0</v>
      </c>
      <c r="W38" s="24"/>
    </row>
    <row r="39" spans="1:23" ht="21.75">
      <c r="A39" s="36">
        <v>1212</v>
      </c>
      <c r="B39" s="37">
        <v>12</v>
      </c>
      <c r="C39" s="45">
        <v>36</v>
      </c>
      <c r="D39" s="46" t="s">
        <v>89</v>
      </c>
      <c r="E39" s="47" t="s">
        <v>362</v>
      </c>
      <c r="F39" s="48">
        <v>-215000</v>
      </c>
      <c r="G39" s="48">
        <v>215000</v>
      </c>
      <c r="H39" s="43">
        <f t="shared" si="0"/>
        <v>0</v>
      </c>
      <c r="I39" s="43">
        <v>0</v>
      </c>
      <c r="J39" s="43">
        <v>0</v>
      </c>
      <c r="K39" s="43">
        <v>0</v>
      </c>
      <c r="L39" s="43">
        <v>0</v>
      </c>
      <c r="M39" s="43">
        <v>0</v>
      </c>
      <c r="N39" s="43">
        <v>0</v>
      </c>
      <c r="O39" s="43">
        <v>0</v>
      </c>
      <c r="P39" s="43">
        <v>0</v>
      </c>
      <c r="Q39" s="43">
        <v>-215000</v>
      </c>
      <c r="R39" s="43">
        <v>0</v>
      </c>
      <c r="S39" s="43">
        <v>0</v>
      </c>
      <c r="T39" s="43">
        <v>0</v>
      </c>
      <c r="U39" s="43">
        <v>0</v>
      </c>
      <c r="V39" s="44">
        <v>0</v>
      </c>
      <c r="W39" s="24"/>
    </row>
    <row r="40" spans="1:23" ht="21.75">
      <c r="A40" s="36">
        <v>1212</v>
      </c>
      <c r="B40" s="37">
        <v>12</v>
      </c>
      <c r="C40" s="45">
        <v>37</v>
      </c>
      <c r="D40" s="46" t="s">
        <v>90</v>
      </c>
      <c r="E40" s="47" t="s">
        <v>91</v>
      </c>
      <c r="F40" s="48">
        <v>-7554080</v>
      </c>
      <c r="G40" s="48">
        <v>7554080</v>
      </c>
      <c r="H40" s="43">
        <f t="shared" si="0"/>
        <v>0</v>
      </c>
      <c r="I40" s="43">
        <v>0</v>
      </c>
      <c r="J40" s="43">
        <v>0</v>
      </c>
      <c r="K40" s="43">
        <v>0</v>
      </c>
      <c r="L40" s="43">
        <v>0</v>
      </c>
      <c r="M40" s="43">
        <v>0</v>
      </c>
      <c r="N40" s="43">
        <v>0</v>
      </c>
      <c r="O40" s="43">
        <v>0</v>
      </c>
      <c r="P40" s="43">
        <v>0</v>
      </c>
      <c r="Q40" s="43">
        <v>-7554080</v>
      </c>
      <c r="R40" s="43">
        <v>0</v>
      </c>
      <c r="S40" s="43">
        <v>0</v>
      </c>
      <c r="T40" s="43">
        <v>0</v>
      </c>
      <c r="U40" s="43">
        <v>0</v>
      </c>
      <c r="V40" s="44">
        <v>0</v>
      </c>
      <c r="W40" s="24"/>
    </row>
    <row r="41" spans="1:23" ht="21.75">
      <c r="A41" s="36">
        <v>605</v>
      </c>
      <c r="B41" s="37">
        <v>6</v>
      </c>
      <c r="C41" s="45">
        <v>38</v>
      </c>
      <c r="D41" s="46" t="s">
        <v>92</v>
      </c>
      <c r="E41" s="47" t="s">
        <v>179</v>
      </c>
      <c r="F41" s="48">
        <v>14333354</v>
      </c>
      <c r="G41" s="49"/>
      <c r="H41" s="43">
        <f t="shared" si="0"/>
        <v>0</v>
      </c>
      <c r="I41" s="43">
        <v>0</v>
      </c>
      <c r="J41" s="43">
        <v>14333354</v>
      </c>
      <c r="K41" s="43">
        <v>0</v>
      </c>
      <c r="L41" s="43">
        <v>0</v>
      </c>
      <c r="M41" s="43">
        <v>0</v>
      </c>
      <c r="N41" s="43">
        <v>0</v>
      </c>
      <c r="O41" s="43">
        <v>0</v>
      </c>
      <c r="P41" s="43">
        <v>0</v>
      </c>
      <c r="Q41" s="43">
        <v>0</v>
      </c>
      <c r="R41" s="43">
        <v>0</v>
      </c>
      <c r="S41" s="43">
        <v>0</v>
      </c>
      <c r="T41" s="43">
        <v>0</v>
      </c>
      <c r="U41" s="43">
        <v>0</v>
      </c>
      <c r="V41" s="44">
        <v>0</v>
      </c>
      <c r="W41" s="24"/>
    </row>
    <row r="42" spans="1:23" ht="21.75">
      <c r="A42" s="36">
        <v>1212</v>
      </c>
      <c r="B42" s="37">
        <v>12</v>
      </c>
      <c r="C42" s="45">
        <v>39</v>
      </c>
      <c r="D42" s="46" t="s">
        <v>93</v>
      </c>
      <c r="E42" s="47" t="s">
        <v>561</v>
      </c>
      <c r="F42" s="48">
        <v>-600000</v>
      </c>
      <c r="G42" s="48">
        <v>600000</v>
      </c>
      <c r="H42" s="43">
        <f t="shared" si="0"/>
        <v>0</v>
      </c>
      <c r="I42" s="43">
        <v>0</v>
      </c>
      <c r="J42" s="43">
        <v>0</v>
      </c>
      <c r="K42" s="43">
        <v>0</v>
      </c>
      <c r="L42" s="43">
        <v>0</v>
      </c>
      <c r="M42" s="43">
        <v>0</v>
      </c>
      <c r="N42" s="43">
        <v>0</v>
      </c>
      <c r="O42" s="43">
        <v>0</v>
      </c>
      <c r="P42" s="43">
        <v>0</v>
      </c>
      <c r="Q42" s="43">
        <v>-600000</v>
      </c>
      <c r="R42" s="43">
        <v>0</v>
      </c>
      <c r="S42" s="43">
        <v>0</v>
      </c>
      <c r="T42" s="43">
        <v>0</v>
      </c>
      <c r="U42" s="43">
        <v>0</v>
      </c>
      <c r="V42" s="44">
        <v>0</v>
      </c>
      <c r="W42" s="24"/>
    </row>
    <row r="43" spans="1:23" ht="21.75">
      <c r="A43" s="36">
        <v>1212</v>
      </c>
      <c r="B43" s="37">
        <v>12</v>
      </c>
      <c r="C43" s="45">
        <v>40</v>
      </c>
      <c r="D43" s="46" t="s">
        <v>562</v>
      </c>
      <c r="E43" s="47" t="s">
        <v>563</v>
      </c>
      <c r="F43" s="48">
        <v>-390608</v>
      </c>
      <c r="G43" s="48">
        <v>390608</v>
      </c>
      <c r="H43" s="43">
        <f t="shared" si="0"/>
        <v>0</v>
      </c>
      <c r="I43" s="43">
        <v>0</v>
      </c>
      <c r="J43" s="43">
        <v>0</v>
      </c>
      <c r="K43" s="43">
        <v>0</v>
      </c>
      <c r="L43" s="43">
        <v>0</v>
      </c>
      <c r="M43" s="43">
        <v>0</v>
      </c>
      <c r="N43" s="43">
        <v>0</v>
      </c>
      <c r="O43" s="43">
        <v>0</v>
      </c>
      <c r="P43" s="43">
        <v>0</v>
      </c>
      <c r="Q43" s="43">
        <v>-390608</v>
      </c>
      <c r="R43" s="43">
        <v>0</v>
      </c>
      <c r="S43" s="43">
        <v>0</v>
      </c>
      <c r="T43" s="43">
        <v>0</v>
      </c>
      <c r="U43" s="43">
        <v>0</v>
      </c>
      <c r="V43" s="44">
        <v>0</v>
      </c>
      <c r="W43" s="24"/>
    </row>
    <row r="44" spans="1:23" ht="21.75">
      <c r="A44" s="36">
        <v>1212</v>
      </c>
      <c r="B44" s="37">
        <v>12</v>
      </c>
      <c r="C44" s="45">
        <v>41</v>
      </c>
      <c r="D44" s="46" t="s">
        <v>564</v>
      </c>
      <c r="E44" s="47" t="s">
        <v>183</v>
      </c>
      <c r="F44" s="48">
        <v>-1065760</v>
      </c>
      <c r="G44" s="48">
        <v>1065760</v>
      </c>
      <c r="H44" s="43">
        <f t="shared" si="0"/>
        <v>0</v>
      </c>
      <c r="I44" s="43">
        <v>0</v>
      </c>
      <c r="J44" s="43">
        <v>0</v>
      </c>
      <c r="K44" s="43">
        <v>0</v>
      </c>
      <c r="L44" s="43">
        <v>0</v>
      </c>
      <c r="M44" s="43">
        <v>0</v>
      </c>
      <c r="N44" s="43">
        <v>0</v>
      </c>
      <c r="O44" s="43">
        <v>0</v>
      </c>
      <c r="P44" s="43">
        <v>0</v>
      </c>
      <c r="Q44" s="43">
        <v>-1065760</v>
      </c>
      <c r="R44" s="43">
        <v>0</v>
      </c>
      <c r="S44" s="43">
        <v>0</v>
      </c>
      <c r="T44" s="43">
        <v>0</v>
      </c>
      <c r="U44" s="43">
        <v>0</v>
      </c>
      <c r="V44" s="44">
        <v>0</v>
      </c>
      <c r="W44" s="24"/>
    </row>
    <row r="45" spans="1:23" ht="21.75">
      <c r="A45" s="36">
        <v>605</v>
      </c>
      <c r="B45" s="37">
        <v>6</v>
      </c>
      <c r="C45" s="45">
        <v>42</v>
      </c>
      <c r="D45" s="46" t="s">
        <v>184</v>
      </c>
      <c r="E45" s="47" t="s">
        <v>161</v>
      </c>
      <c r="F45" s="48">
        <v>5266734</v>
      </c>
      <c r="G45" s="49"/>
      <c r="H45" s="43">
        <f t="shared" si="0"/>
        <v>0</v>
      </c>
      <c r="I45" s="43">
        <v>0</v>
      </c>
      <c r="J45" s="43">
        <v>5266734</v>
      </c>
      <c r="K45" s="43">
        <v>0</v>
      </c>
      <c r="L45" s="43">
        <v>0</v>
      </c>
      <c r="M45" s="43">
        <v>0</v>
      </c>
      <c r="N45" s="43">
        <v>0</v>
      </c>
      <c r="O45" s="43">
        <v>0</v>
      </c>
      <c r="P45" s="43">
        <v>0</v>
      </c>
      <c r="Q45" s="43">
        <v>0</v>
      </c>
      <c r="R45" s="43">
        <v>0</v>
      </c>
      <c r="S45" s="43">
        <v>0</v>
      </c>
      <c r="T45" s="43">
        <v>0</v>
      </c>
      <c r="U45" s="43">
        <v>0</v>
      </c>
      <c r="V45" s="44">
        <v>0</v>
      </c>
      <c r="W45" s="24"/>
    </row>
    <row r="46" spans="1:23" ht="21.75">
      <c r="A46" s="36">
        <v>1212</v>
      </c>
      <c r="B46" s="37">
        <v>12</v>
      </c>
      <c r="C46" s="45">
        <v>43</v>
      </c>
      <c r="D46" s="46" t="s">
        <v>479</v>
      </c>
      <c r="E46" s="47" t="s">
        <v>218</v>
      </c>
      <c r="F46" s="48">
        <v>-42446679</v>
      </c>
      <c r="G46" s="48">
        <v>42446679</v>
      </c>
      <c r="H46" s="43">
        <f t="shared" si="0"/>
        <v>0</v>
      </c>
      <c r="I46" s="43">
        <v>0</v>
      </c>
      <c r="J46" s="43">
        <v>0</v>
      </c>
      <c r="K46" s="43">
        <v>0</v>
      </c>
      <c r="L46" s="43">
        <v>0</v>
      </c>
      <c r="M46" s="43">
        <v>0</v>
      </c>
      <c r="N46" s="43">
        <v>0</v>
      </c>
      <c r="O46" s="43">
        <v>0</v>
      </c>
      <c r="P46" s="43">
        <v>0</v>
      </c>
      <c r="Q46" s="43">
        <v>-42446679</v>
      </c>
      <c r="R46" s="43">
        <v>0</v>
      </c>
      <c r="S46" s="43">
        <v>0</v>
      </c>
      <c r="T46" s="43">
        <v>0</v>
      </c>
      <c r="U46" s="43">
        <v>0</v>
      </c>
      <c r="V46" s="44">
        <v>0</v>
      </c>
      <c r="W46" s="24"/>
    </row>
    <row r="47" spans="1:23" ht="21.75">
      <c r="A47" s="36">
        <v>605</v>
      </c>
      <c r="B47" s="37">
        <v>6</v>
      </c>
      <c r="C47" s="45">
        <v>44</v>
      </c>
      <c r="D47" s="46" t="s">
        <v>480</v>
      </c>
      <c r="E47" s="47" t="s">
        <v>219</v>
      </c>
      <c r="F47" s="48">
        <v>122098166</v>
      </c>
      <c r="G47" s="49"/>
      <c r="H47" s="43">
        <f t="shared" si="0"/>
        <v>0</v>
      </c>
      <c r="I47" s="43">
        <v>0</v>
      </c>
      <c r="J47" s="43">
        <v>122098166</v>
      </c>
      <c r="K47" s="43">
        <v>0</v>
      </c>
      <c r="L47" s="43">
        <v>0</v>
      </c>
      <c r="M47" s="43">
        <v>0</v>
      </c>
      <c r="N47" s="43">
        <v>0</v>
      </c>
      <c r="O47" s="43">
        <v>0</v>
      </c>
      <c r="P47" s="43">
        <v>0</v>
      </c>
      <c r="Q47" s="43">
        <v>0</v>
      </c>
      <c r="R47" s="43">
        <v>0</v>
      </c>
      <c r="S47" s="43">
        <v>0</v>
      </c>
      <c r="T47" s="43">
        <v>0</v>
      </c>
      <c r="U47" s="43">
        <v>0</v>
      </c>
      <c r="V47" s="44">
        <v>0</v>
      </c>
      <c r="W47" s="24"/>
    </row>
    <row r="48" spans="1:23" ht="21.75">
      <c r="A48" s="36">
        <v>1212</v>
      </c>
      <c r="B48" s="37">
        <v>12</v>
      </c>
      <c r="C48" s="45">
        <v>45</v>
      </c>
      <c r="D48" s="46" t="s">
        <v>481</v>
      </c>
      <c r="E48" s="47" t="s">
        <v>482</v>
      </c>
      <c r="F48" s="48">
        <v>-3600000</v>
      </c>
      <c r="G48" s="48">
        <v>3600000</v>
      </c>
      <c r="H48" s="43">
        <f t="shared" si="0"/>
        <v>0</v>
      </c>
      <c r="I48" s="43">
        <v>0</v>
      </c>
      <c r="J48" s="43">
        <v>0</v>
      </c>
      <c r="K48" s="43">
        <v>0</v>
      </c>
      <c r="L48" s="43">
        <v>0</v>
      </c>
      <c r="M48" s="43">
        <v>0</v>
      </c>
      <c r="N48" s="43">
        <v>0</v>
      </c>
      <c r="O48" s="43">
        <v>0</v>
      </c>
      <c r="P48" s="43">
        <v>0</v>
      </c>
      <c r="Q48" s="43">
        <v>-3600000</v>
      </c>
      <c r="R48" s="43">
        <v>0</v>
      </c>
      <c r="S48" s="43">
        <v>0</v>
      </c>
      <c r="T48" s="43">
        <v>0</v>
      </c>
      <c r="U48" s="43">
        <v>0</v>
      </c>
      <c r="V48" s="44">
        <v>0</v>
      </c>
      <c r="W48" s="24"/>
    </row>
    <row r="49" spans="1:23" ht="21.75">
      <c r="A49" s="36">
        <v>605</v>
      </c>
      <c r="B49" s="37">
        <v>6</v>
      </c>
      <c r="C49" s="45">
        <v>46</v>
      </c>
      <c r="D49" s="46" t="s">
        <v>483</v>
      </c>
      <c r="E49" s="47" t="s">
        <v>484</v>
      </c>
      <c r="F49" s="48">
        <v>690000000</v>
      </c>
      <c r="G49" s="49"/>
      <c r="H49" s="43">
        <f t="shared" si="0"/>
        <v>0</v>
      </c>
      <c r="I49" s="43">
        <v>0</v>
      </c>
      <c r="J49" s="43">
        <v>690000000</v>
      </c>
      <c r="K49" s="43">
        <v>0</v>
      </c>
      <c r="L49" s="43">
        <v>0</v>
      </c>
      <c r="M49" s="43">
        <v>0</v>
      </c>
      <c r="N49" s="43">
        <v>0</v>
      </c>
      <c r="O49" s="43">
        <v>0</v>
      </c>
      <c r="P49" s="43">
        <v>0</v>
      </c>
      <c r="Q49" s="43">
        <v>0</v>
      </c>
      <c r="R49" s="43">
        <v>0</v>
      </c>
      <c r="S49" s="43">
        <v>0</v>
      </c>
      <c r="T49" s="43">
        <v>0</v>
      </c>
      <c r="U49" s="43">
        <v>0</v>
      </c>
      <c r="V49" s="44">
        <v>0</v>
      </c>
      <c r="W49" s="24"/>
    </row>
    <row r="50" spans="1:23" ht="21.75">
      <c r="A50" s="36">
        <v>1212</v>
      </c>
      <c r="B50" s="37">
        <v>12</v>
      </c>
      <c r="C50" s="45">
        <v>47</v>
      </c>
      <c r="D50" s="46" t="s">
        <v>0</v>
      </c>
      <c r="E50" s="47" t="s">
        <v>1</v>
      </c>
      <c r="F50" s="48">
        <v>-940000</v>
      </c>
      <c r="G50" s="48">
        <v>940000</v>
      </c>
      <c r="H50" s="43">
        <f t="shared" si="0"/>
        <v>0</v>
      </c>
      <c r="I50" s="43">
        <v>0</v>
      </c>
      <c r="J50" s="43">
        <v>0</v>
      </c>
      <c r="K50" s="43">
        <v>0</v>
      </c>
      <c r="L50" s="43">
        <v>0</v>
      </c>
      <c r="M50" s="43">
        <v>0</v>
      </c>
      <c r="N50" s="43">
        <v>0</v>
      </c>
      <c r="O50" s="43">
        <v>0</v>
      </c>
      <c r="P50" s="43">
        <v>0</v>
      </c>
      <c r="Q50" s="43">
        <v>-940000</v>
      </c>
      <c r="R50" s="43">
        <v>0</v>
      </c>
      <c r="S50" s="43">
        <v>0</v>
      </c>
      <c r="T50" s="43">
        <v>0</v>
      </c>
      <c r="U50" s="43">
        <v>0</v>
      </c>
      <c r="V50" s="44">
        <v>0</v>
      </c>
      <c r="W50" s="24"/>
    </row>
    <row r="51" spans="1:23" ht="21.75">
      <c r="A51" s="36">
        <v>605</v>
      </c>
      <c r="B51" s="37">
        <v>6</v>
      </c>
      <c r="C51" s="45">
        <v>48</v>
      </c>
      <c r="D51" s="46" t="s">
        <v>2</v>
      </c>
      <c r="E51" s="47" t="s">
        <v>475</v>
      </c>
      <c r="F51" s="48">
        <v>137875669</v>
      </c>
      <c r="G51" s="49"/>
      <c r="H51" s="43">
        <f t="shared" si="0"/>
        <v>0</v>
      </c>
      <c r="I51" s="43">
        <v>0</v>
      </c>
      <c r="J51" s="43">
        <v>137875669</v>
      </c>
      <c r="K51" s="43">
        <v>0</v>
      </c>
      <c r="L51" s="43">
        <v>0</v>
      </c>
      <c r="M51" s="43">
        <v>0</v>
      </c>
      <c r="N51" s="43">
        <v>0</v>
      </c>
      <c r="O51" s="43">
        <v>0</v>
      </c>
      <c r="P51" s="43">
        <v>0</v>
      </c>
      <c r="Q51" s="43">
        <v>0</v>
      </c>
      <c r="R51" s="43">
        <v>0</v>
      </c>
      <c r="S51" s="43">
        <v>0</v>
      </c>
      <c r="T51" s="43">
        <v>0</v>
      </c>
      <c r="U51" s="43">
        <v>0</v>
      </c>
      <c r="V51" s="44">
        <v>0</v>
      </c>
      <c r="W51" s="24"/>
    </row>
    <row r="52" spans="1:23" ht="21.75">
      <c r="A52" s="36">
        <v>605</v>
      </c>
      <c r="B52" s="37">
        <v>6</v>
      </c>
      <c r="C52" s="45">
        <v>49</v>
      </c>
      <c r="D52" s="46" t="s">
        <v>3</v>
      </c>
      <c r="E52" s="47" t="s">
        <v>439</v>
      </c>
      <c r="F52" s="48">
        <v>80000</v>
      </c>
      <c r="G52" s="49"/>
      <c r="H52" s="43">
        <f t="shared" si="0"/>
        <v>0</v>
      </c>
      <c r="I52" s="43">
        <v>0</v>
      </c>
      <c r="J52" s="43">
        <v>80000</v>
      </c>
      <c r="K52" s="43">
        <v>0</v>
      </c>
      <c r="L52" s="43">
        <v>0</v>
      </c>
      <c r="M52" s="43">
        <v>0</v>
      </c>
      <c r="N52" s="43">
        <v>0</v>
      </c>
      <c r="O52" s="43">
        <v>0</v>
      </c>
      <c r="P52" s="43">
        <v>0</v>
      </c>
      <c r="Q52" s="43">
        <v>0</v>
      </c>
      <c r="R52" s="43">
        <v>0</v>
      </c>
      <c r="S52" s="43">
        <v>0</v>
      </c>
      <c r="T52" s="43">
        <v>0</v>
      </c>
      <c r="U52" s="43">
        <v>0</v>
      </c>
      <c r="V52" s="44">
        <v>0</v>
      </c>
      <c r="W52" s="24"/>
    </row>
    <row r="53" spans="1:23" ht="21.75">
      <c r="A53" s="36">
        <v>1212</v>
      </c>
      <c r="B53" s="37">
        <v>12</v>
      </c>
      <c r="C53" s="45">
        <v>50</v>
      </c>
      <c r="D53" s="46" t="s">
        <v>4</v>
      </c>
      <c r="E53" s="47" t="s">
        <v>440</v>
      </c>
      <c r="F53" s="48">
        <v>-1248162991</v>
      </c>
      <c r="G53" s="48">
        <v>1248162991</v>
      </c>
      <c r="H53" s="43">
        <f t="shared" si="0"/>
        <v>0</v>
      </c>
      <c r="I53" s="43">
        <v>0</v>
      </c>
      <c r="J53" s="43">
        <v>0</v>
      </c>
      <c r="K53" s="43">
        <v>0</v>
      </c>
      <c r="L53" s="43">
        <v>0</v>
      </c>
      <c r="M53" s="43">
        <v>0</v>
      </c>
      <c r="N53" s="43">
        <v>0</v>
      </c>
      <c r="O53" s="43">
        <v>0</v>
      </c>
      <c r="P53" s="43">
        <v>0</v>
      </c>
      <c r="Q53" s="43">
        <v>-1248162991</v>
      </c>
      <c r="R53" s="43">
        <v>0</v>
      </c>
      <c r="S53" s="43">
        <v>0</v>
      </c>
      <c r="T53" s="43">
        <v>0</v>
      </c>
      <c r="U53" s="43">
        <v>0</v>
      </c>
      <c r="V53" s="44">
        <v>0</v>
      </c>
      <c r="W53" s="24"/>
    </row>
    <row r="54" spans="1:23" ht="21.75">
      <c r="A54" s="36">
        <v>1212</v>
      </c>
      <c r="B54" s="37">
        <v>12</v>
      </c>
      <c r="C54" s="45">
        <v>51</v>
      </c>
      <c r="D54" s="46" t="s">
        <v>5</v>
      </c>
      <c r="E54" s="47" t="s">
        <v>226</v>
      </c>
      <c r="F54" s="48">
        <v>-266473937</v>
      </c>
      <c r="G54" s="48">
        <v>266473937</v>
      </c>
      <c r="H54" s="43">
        <f t="shared" si="0"/>
        <v>0</v>
      </c>
      <c r="I54" s="43">
        <v>0</v>
      </c>
      <c r="J54" s="43">
        <v>0</v>
      </c>
      <c r="K54" s="43">
        <v>0</v>
      </c>
      <c r="L54" s="43">
        <v>0</v>
      </c>
      <c r="M54" s="43">
        <v>0</v>
      </c>
      <c r="N54" s="43">
        <v>0</v>
      </c>
      <c r="O54" s="43">
        <v>0</v>
      </c>
      <c r="P54" s="43">
        <v>0</v>
      </c>
      <c r="Q54" s="43">
        <v>-266473937</v>
      </c>
      <c r="R54" s="43">
        <v>0</v>
      </c>
      <c r="S54" s="43">
        <v>0</v>
      </c>
      <c r="T54" s="43">
        <v>0</v>
      </c>
      <c r="U54" s="43">
        <v>0</v>
      </c>
      <c r="V54" s="44">
        <v>0</v>
      </c>
      <c r="W54" s="24"/>
    </row>
    <row r="55" spans="1:23" ht="21.75">
      <c r="A55" s="36">
        <v>605</v>
      </c>
      <c r="B55" s="37">
        <v>6</v>
      </c>
      <c r="C55" s="45">
        <v>52</v>
      </c>
      <c r="D55" s="46" t="s">
        <v>6</v>
      </c>
      <c r="E55" s="47" t="s">
        <v>204</v>
      </c>
      <c r="F55" s="48">
        <v>1676667605</v>
      </c>
      <c r="G55" s="49"/>
      <c r="H55" s="43">
        <f t="shared" si="0"/>
        <v>0</v>
      </c>
      <c r="I55" s="43">
        <v>0</v>
      </c>
      <c r="J55" s="43">
        <v>1676667605</v>
      </c>
      <c r="K55" s="43">
        <v>0</v>
      </c>
      <c r="L55" s="43">
        <v>0</v>
      </c>
      <c r="M55" s="43">
        <v>0</v>
      </c>
      <c r="N55" s="43">
        <v>0</v>
      </c>
      <c r="O55" s="43">
        <v>0</v>
      </c>
      <c r="P55" s="43">
        <v>0</v>
      </c>
      <c r="Q55" s="43">
        <v>0</v>
      </c>
      <c r="R55" s="43">
        <v>0</v>
      </c>
      <c r="S55" s="43">
        <v>0</v>
      </c>
      <c r="T55" s="43">
        <v>0</v>
      </c>
      <c r="U55" s="43">
        <v>0</v>
      </c>
      <c r="V55" s="44">
        <v>0</v>
      </c>
      <c r="W55" s="24"/>
    </row>
    <row r="56" spans="1:23" ht="21.75">
      <c r="A56" s="36">
        <v>605</v>
      </c>
      <c r="B56" s="37">
        <v>6</v>
      </c>
      <c r="C56" s="45">
        <v>53</v>
      </c>
      <c r="D56" s="46" t="s">
        <v>7</v>
      </c>
      <c r="E56" s="47" t="s">
        <v>180</v>
      </c>
      <c r="F56" s="48">
        <v>576670455</v>
      </c>
      <c r="G56" s="49"/>
      <c r="H56" s="43">
        <f t="shared" si="0"/>
        <v>0</v>
      </c>
      <c r="I56" s="43">
        <v>0</v>
      </c>
      <c r="J56" s="43">
        <v>576670455</v>
      </c>
      <c r="K56" s="43">
        <v>0</v>
      </c>
      <c r="L56" s="43">
        <v>0</v>
      </c>
      <c r="M56" s="43">
        <v>0</v>
      </c>
      <c r="N56" s="43">
        <v>0</v>
      </c>
      <c r="O56" s="43">
        <v>0</v>
      </c>
      <c r="P56" s="43">
        <v>0</v>
      </c>
      <c r="Q56" s="43">
        <v>0</v>
      </c>
      <c r="R56" s="43">
        <v>0</v>
      </c>
      <c r="S56" s="43">
        <v>0</v>
      </c>
      <c r="T56" s="43">
        <v>0</v>
      </c>
      <c r="U56" s="43">
        <v>0</v>
      </c>
      <c r="V56" s="44">
        <v>0</v>
      </c>
      <c r="W56" s="24"/>
    </row>
    <row r="57" spans="1:23" ht="21.75">
      <c r="A57" s="36">
        <v>605</v>
      </c>
      <c r="B57" s="37">
        <v>6</v>
      </c>
      <c r="C57" s="45">
        <v>54</v>
      </c>
      <c r="D57" s="46" t="s">
        <v>8</v>
      </c>
      <c r="E57" s="47" t="s">
        <v>203</v>
      </c>
      <c r="F57" s="48">
        <v>46342927</v>
      </c>
      <c r="G57" s="49"/>
      <c r="H57" s="43">
        <f t="shared" si="0"/>
        <v>0</v>
      </c>
      <c r="I57" s="43">
        <v>0</v>
      </c>
      <c r="J57" s="43">
        <v>46342927</v>
      </c>
      <c r="K57" s="43">
        <v>0</v>
      </c>
      <c r="L57" s="43">
        <v>0</v>
      </c>
      <c r="M57" s="43">
        <v>0</v>
      </c>
      <c r="N57" s="43">
        <v>0</v>
      </c>
      <c r="O57" s="43">
        <v>0</v>
      </c>
      <c r="P57" s="43">
        <v>0</v>
      </c>
      <c r="Q57" s="43">
        <v>0</v>
      </c>
      <c r="R57" s="43">
        <v>0</v>
      </c>
      <c r="S57" s="43">
        <v>0</v>
      </c>
      <c r="T57" s="43">
        <v>0</v>
      </c>
      <c r="U57" s="43">
        <v>0</v>
      </c>
      <c r="V57" s="44">
        <v>0</v>
      </c>
      <c r="W57" s="24"/>
    </row>
    <row r="58" spans="1:23" ht="21.75">
      <c r="A58" s="36">
        <v>1302</v>
      </c>
      <c r="B58" s="37">
        <v>13</v>
      </c>
      <c r="C58" s="45">
        <v>55</v>
      </c>
      <c r="D58" s="46" t="s">
        <v>9</v>
      </c>
      <c r="E58" s="47" t="s">
        <v>10</v>
      </c>
      <c r="F58" s="48">
        <v>-832906481408</v>
      </c>
      <c r="G58" s="48">
        <v>832906481408</v>
      </c>
      <c r="H58" s="43">
        <f t="shared" si="0"/>
        <v>0</v>
      </c>
      <c r="I58" s="43">
        <v>0</v>
      </c>
      <c r="J58" s="43">
        <v>0</v>
      </c>
      <c r="K58" s="43">
        <v>0</v>
      </c>
      <c r="L58" s="43">
        <v>0</v>
      </c>
      <c r="M58" s="43">
        <v>0</v>
      </c>
      <c r="N58" s="43">
        <v>0</v>
      </c>
      <c r="O58" s="43">
        <v>0</v>
      </c>
      <c r="P58" s="43">
        <v>0</v>
      </c>
      <c r="Q58" s="43">
        <v>0</v>
      </c>
      <c r="R58" s="43">
        <v>-832906481408</v>
      </c>
      <c r="S58" s="43">
        <v>0</v>
      </c>
      <c r="T58" s="43">
        <v>0</v>
      </c>
      <c r="U58" s="43">
        <v>0</v>
      </c>
      <c r="V58" s="44">
        <v>0</v>
      </c>
      <c r="W58" s="24"/>
    </row>
    <row r="59" spans="1:23" ht="21.75">
      <c r="A59" s="36">
        <v>1212</v>
      </c>
      <c r="B59" s="37">
        <v>12</v>
      </c>
      <c r="C59" s="45">
        <v>56</v>
      </c>
      <c r="D59" s="46" t="s">
        <v>11</v>
      </c>
      <c r="E59" s="47" t="s">
        <v>551</v>
      </c>
      <c r="F59" s="48">
        <v>-65655046</v>
      </c>
      <c r="G59" s="48">
        <v>65655046</v>
      </c>
      <c r="H59" s="43">
        <f t="shared" si="0"/>
        <v>0</v>
      </c>
      <c r="I59" s="43">
        <v>0</v>
      </c>
      <c r="J59" s="43">
        <v>0</v>
      </c>
      <c r="K59" s="43">
        <v>0</v>
      </c>
      <c r="L59" s="43">
        <v>0</v>
      </c>
      <c r="M59" s="43">
        <v>0</v>
      </c>
      <c r="N59" s="43">
        <v>0</v>
      </c>
      <c r="O59" s="43">
        <v>0</v>
      </c>
      <c r="P59" s="43">
        <v>0</v>
      </c>
      <c r="Q59" s="43">
        <v>-65655046</v>
      </c>
      <c r="R59" s="43">
        <v>0</v>
      </c>
      <c r="S59" s="43">
        <v>0</v>
      </c>
      <c r="T59" s="43">
        <v>0</v>
      </c>
      <c r="U59" s="43">
        <v>0</v>
      </c>
      <c r="V59" s="44">
        <v>0</v>
      </c>
      <c r="W59" s="24"/>
    </row>
    <row r="60" spans="1:23" ht="21.75">
      <c r="A60" s="36">
        <v>605</v>
      </c>
      <c r="B60" s="37">
        <v>6</v>
      </c>
      <c r="C60" s="45">
        <v>57</v>
      </c>
      <c r="D60" s="46" t="s">
        <v>12</v>
      </c>
      <c r="E60" s="47" t="s">
        <v>13</v>
      </c>
      <c r="F60" s="48">
        <v>22010739</v>
      </c>
      <c r="G60" s="49"/>
      <c r="H60" s="43">
        <f t="shared" si="0"/>
        <v>0</v>
      </c>
      <c r="I60" s="43">
        <v>0</v>
      </c>
      <c r="J60" s="43">
        <v>22010739</v>
      </c>
      <c r="K60" s="43">
        <v>0</v>
      </c>
      <c r="L60" s="43">
        <v>0</v>
      </c>
      <c r="M60" s="43">
        <v>0</v>
      </c>
      <c r="N60" s="43">
        <v>0</v>
      </c>
      <c r="O60" s="43">
        <v>0</v>
      </c>
      <c r="P60" s="43">
        <v>0</v>
      </c>
      <c r="Q60" s="43">
        <v>0</v>
      </c>
      <c r="R60" s="43">
        <v>0</v>
      </c>
      <c r="S60" s="43">
        <v>0</v>
      </c>
      <c r="T60" s="43">
        <v>0</v>
      </c>
      <c r="U60" s="43">
        <v>0</v>
      </c>
      <c r="V60" s="44">
        <v>0</v>
      </c>
      <c r="W60" s="24"/>
    </row>
    <row r="61" spans="1:23" ht="21.75">
      <c r="A61" s="36">
        <v>1212</v>
      </c>
      <c r="B61" s="37">
        <v>12</v>
      </c>
      <c r="C61" s="45">
        <v>58</v>
      </c>
      <c r="D61" s="46" t="s">
        <v>14</v>
      </c>
      <c r="E61" s="47" t="s">
        <v>363</v>
      </c>
      <c r="F61" s="48">
        <v>-931084120</v>
      </c>
      <c r="G61" s="48">
        <v>931084120</v>
      </c>
      <c r="H61" s="43">
        <f t="shared" si="0"/>
        <v>0</v>
      </c>
      <c r="I61" s="43">
        <v>0</v>
      </c>
      <c r="J61" s="43">
        <v>0</v>
      </c>
      <c r="K61" s="43">
        <v>0</v>
      </c>
      <c r="L61" s="43">
        <v>0</v>
      </c>
      <c r="M61" s="43">
        <v>0</v>
      </c>
      <c r="N61" s="43">
        <v>0</v>
      </c>
      <c r="O61" s="43">
        <v>0</v>
      </c>
      <c r="P61" s="43">
        <v>0</v>
      </c>
      <c r="Q61" s="43">
        <v>-931084120</v>
      </c>
      <c r="R61" s="43">
        <v>0</v>
      </c>
      <c r="S61" s="43">
        <v>0</v>
      </c>
      <c r="T61" s="43">
        <v>0</v>
      </c>
      <c r="U61" s="43">
        <v>0</v>
      </c>
      <c r="V61" s="44">
        <v>0</v>
      </c>
      <c r="W61" s="24"/>
    </row>
    <row r="62" spans="1:23" ht="21.75">
      <c r="A62" s="36">
        <v>1212</v>
      </c>
      <c r="B62" s="37">
        <v>12</v>
      </c>
      <c r="C62" s="45">
        <v>59</v>
      </c>
      <c r="D62" s="46" t="s">
        <v>15</v>
      </c>
      <c r="E62" s="47" t="s">
        <v>552</v>
      </c>
      <c r="F62" s="48">
        <v>-91264000</v>
      </c>
      <c r="G62" s="48">
        <v>91264000</v>
      </c>
      <c r="H62" s="43">
        <f t="shared" si="0"/>
        <v>0</v>
      </c>
      <c r="I62" s="43">
        <v>0</v>
      </c>
      <c r="J62" s="43">
        <v>0</v>
      </c>
      <c r="K62" s="43">
        <v>0</v>
      </c>
      <c r="L62" s="43">
        <v>0</v>
      </c>
      <c r="M62" s="43">
        <v>0</v>
      </c>
      <c r="N62" s="43">
        <v>0</v>
      </c>
      <c r="O62" s="43">
        <v>0</v>
      </c>
      <c r="P62" s="43">
        <v>0</v>
      </c>
      <c r="Q62" s="43">
        <v>-91264000</v>
      </c>
      <c r="R62" s="43">
        <v>0</v>
      </c>
      <c r="S62" s="43">
        <v>0</v>
      </c>
      <c r="T62" s="43">
        <v>0</v>
      </c>
      <c r="U62" s="43">
        <v>0</v>
      </c>
      <c r="V62" s="44">
        <v>0</v>
      </c>
      <c r="W62" s="24"/>
    </row>
    <row r="63" spans="1:23" ht="21.75">
      <c r="A63" s="36">
        <v>1206</v>
      </c>
      <c r="B63" s="37">
        <v>12</v>
      </c>
      <c r="C63" s="45">
        <v>60</v>
      </c>
      <c r="D63" s="46" t="s">
        <v>39</v>
      </c>
      <c r="E63" s="47" t="s">
        <v>181</v>
      </c>
      <c r="F63" s="48">
        <v>-25580306524</v>
      </c>
      <c r="G63" s="48">
        <v>25580306524</v>
      </c>
      <c r="H63" s="43">
        <f t="shared" si="0"/>
        <v>0</v>
      </c>
      <c r="I63" s="43">
        <v>0</v>
      </c>
      <c r="J63" s="43">
        <v>0</v>
      </c>
      <c r="K63" s="43">
        <v>0</v>
      </c>
      <c r="L63" s="43">
        <v>0</v>
      </c>
      <c r="M63" s="43">
        <v>0</v>
      </c>
      <c r="N63" s="43">
        <v>0</v>
      </c>
      <c r="O63" s="43">
        <v>0</v>
      </c>
      <c r="P63" s="43">
        <v>0</v>
      </c>
      <c r="Q63" s="43">
        <v>-25580306524</v>
      </c>
      <c r="R63" s="43">
        <v>0</v>
      </c>
      <c r="S63" s="43">
        <v>0</v>
      </c>
      <c r="T63" s="43">
        <v>0</v>
      </c>
      <c r="U63" s="43">
        <v>0</v>
      </c>
      <c r="V63" s="44">
        <v>0</v>
      </c>
      <c r="W63" s="24"/>
    </row>
    <row r="64" spans="1:23" ht="21.75">
      <c r="A64" s="36">
        <v>1212</v>
      </c>
      <c r="B64" s="37">
        <v>12</v>
      </c>
      <c r="C64" s="45">
        <v>61</v>
      </c>
      <c r="D64" s="46" t="s">
        <v>40</v>
      </c>
      <c r="E64" s="47" t="s">
        <v>41</v>
      </c>
      <c r="F64" s="48">
        <v>-30025818</v>
      </c>
      <c r="G64" s="48">
        <v>30025818</v>
      </c>
      <c r="H64" s="43">
        <f t="shared" si="0"/>
        <v>0</v>
      </c>
      <c r="I64" s="43">
        <v>0</v>
      </c>
      <c r="J64" s="43">
        <v>0</v>
      </c>
      <c r="K64" s="43">
        <v>0</v>
      </c>
      <c r="L64" s="43">
        <v>0</v>
      </c>
      <c r="M64" s="43">
        <v>0</v>
      </c>
      <c r="N64" s="43">
        <v>0</v>
      </c>
      <c r="O64" s="43">
        <v>0</v>
      </c>
      <c r="P64" s="43">
        <v>0</v>
      </c>
      <c r="Q64" s="43">
        <v>-30025818</v>
      </c>
      <c r="R64" s="43">
        <v>0</v>
      </c>
      <c r="S64" s="43">
        <v>0</v>
      </c>
      <c r="T64" s="43">
        <v>0</v>
      </c>
      <c r="U64" s="43">
        <v>0</v>
      </c>
      <c r="V64" s="44">
        <v>0</v>
      </c>
      <c r="W64" s="24"/>
    </row>
    <row r="65" spans="1:23" ht="21.75">
      <c r="A65" s="36">
        <v>605</v>
      </c>
      <c r="B65" s="37">
        <v>6</v>
      </c>
      <c r="C65" s="45">
        <v>62</v>
      </c>
      <c r="D65" s="46" t="s">
        <v>42</v>
      </c>
      <c r="E65" s="47" t="s">
        <v>553</v>
      </c>
      <c r="F65" s="48">
        <v>1853400</v>
      </c>
      <c r="G65" s="49"/>
      <c r="H65" s="43">
        <f t="shared" si="0"/>
        <v>0</v>
      </c>
      <c r="I65" s="43">
        <v>0</v>
      </c>
      <c r="J65" s="43">
        <v>1853400</v>
      </c>
      <c r="K65" s="43">
        <v>0</v>
      </c>
      <c r="L65" s="43">
        <v>0</v>
      </c>
      <c r="M65" s="43">
        <v>0</v>
      </c>
      <c r="N65" s="43">
        <v>0</v>
      </c>
      <c r="O65" s="43">
        <v>0</v>
      </c>
      <c r="P65" s="43">
        <v>0</v>
      </c>
      <c r="Q65" s="43">
        <v>0</v>
      </c>
      <c r="R65" s="43">
        <v>0</v>
      </c>
      <c r="S65" s="43">
        <v>0</v>
      </c>
      <c r="T65" s="43">
        <v>0</v>
      </c>
      <c r="U65" s="43">
        <v>0</v>
      </c>
      <c r="V65" s="44">
        <v>0</v>
      </c>
      <c r="W65" s="24"/>
    </row>
    <row r="66" spans="1:23" ht="21.75">
      <c r="A66" s="36">
        <v>605</v>
      </c>
      <c r="B66" s="37">
        <v>6</v>
      </c>
      <c r="C66" s="45">
        <v>63</v>
      </c>
      <c r="D66" s="46" t="s">
        <v>43</v>
      </c>
      <c r="E66" s="47" t="s">
        <v>554</v>
      </c>
      <c r="F66" s="48">
        <v>3700980</v>
      </c>
      <c r="G66" s="49"/>
      <c r="H66" s="43">
        <f t="shared" si="0"/>
        <v>0</v>
      </c>
      <c r="I66" s="43">
        <v>0</v>
      </c>
      <c r="J66" s="43">
        <v>3700980</v>
      </c>
      <c r="K66" s="43">
        <v>0</v>
      </c>
      <c r="L66" s="43">
        <v>0</v>
      </c>
      <c r="M66" s="43">
        <v>0</v>
      </c>
      <c r="N66" s="43">
        <v>0</v>
      </c>
      <c r="O66" s="43">
        <v>0</v>
      </c>
      <c r="P66" s="43">
        <v>0</v>
      </c>
      <c r="Q66" s="43">
        <v>0</v>
      </c>
      <c r="R66" s="43">
        <v>0</v>
      </c>
      <c r="S66" s="43">
        <v>0</v>
      </c>
      <c r="T66" s="43">
        <v>0</v>
      </c>
      <c r="U66" s="43">
        <v>0</v>
      </c>
      <c r="V66" s="44">
        <v>0</v>
      </c>
      <c r="W66" s="24"/>
    </row>
    <row r="67" spans="1:23" ht="21.75">
      <c r="A67" s="36">
        <v>1212</v>
      </c>
      <c r="B67" s="37">
        <v>12</v>
      </c>
      <c r="C67" s="45">
        <v>64</v>
      </c>
      <c r="D67" s="46" t="s">
        <v>44</v>
      </c>
      <c r="E67" s="47" t="s">
        <v>182</v>
      </c>
      <c r="F67" s="48">
        <v>-550132</v>
      </c>
      <c r="G67" s="48">
        <v>550132</v>
      </c>
      <c r="H67" s="43">
        <f t="shared" si="0"/>
        <v>0</v>
      </c>
      <c r="I67" s="43">
        <v>0</v>
      </c>
      <c r="J67" s="43">
        <v>0</v>
      </c>
      <c r="K67" s="43">
        <v>0</v>
      </c>
      <c r="L67" s="43">
        <v>0</v>
      </c>
      <c r="M67" s="43">
        <v>0</v>
      </c>
      <c r="N67" s="43">
        <v>0</v>
      </c>
      <c r="O67" s="43">
        <v>0</v>
      </c>
      <c r="P67" s="43">
        <v>0</v>
      </c>
      <c r="Q67" s="43">
        <v>-550132</v>
      </c>
      <c r="R67" s="43">
        <v>0</v>
      </c>
      <c r="S67" s="43">
        <v>0</v>
      </c>
      <c r="T67" s="43">
        <v>0</v>
      </c>
      <c r="U67" s="43">
        <v>0</v>
      </c>
      <c r="V67" s="44">
        <v>0</v>
      </c>
      <c r="W67" s="24"/>
    </row>
    <row r="68" spans="1:23" ht="21.75">
      <c r="A68" s="36">
        <v>605</v>
      </c>
      <c r="B68" s="37">
        <v>6</v>
      </c>
      <c r="C68" s="45">
        <v>65</v>
      </c>
      <c r="D68" s="46" t="s">
        <v>45</v>
      </c>
      <c r="E68" s="47" t="s">
        <v>46</v>
      </c>
      <c r="F68" s="48">
        <v>1416535033</v>
      </c>
      <c r="G68" s="49"/>
      <c r="H68" s="43">
        <f t="shared" si="0"/>
        <v>0</v>
      </c>
      <c r="I68" s="43">
        <v>0</v>
      </c>
      <c r="J68" s="43">
        <v>1416535033</v>
      </c>
      <c r="K68" s="43">
        <v>0</v>
      </c>
      <c r="L68" s="43">
        <v>0</v>
      </c>
      <c r="M68" s="43">
        <v>0</v>
      </c>
      <c r="N68" s="43">
        <v>0</v>
      </c>
      <c r="O68" s="43">
        <v>0</v>
      </c>
      <c r="P68" s="43">
        <v>0</v>
      </c>
      <c r="Q68" s="43">
        <v>0</v>
      </c>
      <c r="R68" s="43">
        <v>0</v>
      </c>
      <c r="S68" s="43">
        <v>0</v>
      </c>
      <c r="T68" s="43">
        <v>0</v>
      </c>
      <c r="U68" s="43">
        <v>0</v>
      </c>
      <c r="V68" s="44">
        <v>0</v>
      </c>
      <c r="W68" s="24"/>
    </row>
    <row r="69" spans="1:23" ht="21.75">
      <c r="A69" s="36">
        <v>1212</v>
      </c>
      <c r="B69" s="37">
        <v>12</v>
      </c>
      <c r="C69" s="45">
        <v>66</v>
      </c>
      <c r="D69" s="46" t="s">
        <v>47</v>
      </c>
      <c r="E69" s="47" t="s">
        <v>555</v>
      </c>
      <c r="F69" s="48">
        <v>-686470126</v>
      </c>
      <c r="G69" s="48">
        <v>686470126</v>
      </c>
      <c r="H69" s="43">
        <f t="shared" ref="H69:H132" si="1">IF($B69=$H$3,$F69,0)</f>
        <v>0</v>
      </c>
      <c r="I69" s="43">
        <v>0</v>
      </c>
      <c r="J69" s="43">
        <v>0</v>
      </c>
      <c r="K69" s="43">
        <v>0</v>
      </c>
      <c r="L69" s="43">
        <v>0</v>
      </c>
      <c r="M69" s="43">
        <v>0</v>
      </c>
      <c r="N69" s="43">
        <v>0</v>
      </c>
      <c r="O69" s="43">
        <v>0</v>
      </c>
      <c r="P69" s="43">
        <v>0</v>
      </c>
      <c r="Q69" s="43">
        <v>-686470126</v>
      </c>
      <c r="R69" s="43">
        <v>0</v>
      </c>
      <c r="S69" s="43">
        <v>0</v>
      </c>
      <c r="T69" s="43">
        <v>0</v>
      </c>
      <c r="U69" s="43">
        <v>0</v>
      </c>
      <c r="V69" s="44">
        <v>0</v>
      </c>
      <c r="W69" s="24"/>
    </row>
    <row r="70" spans="1:23" ht="21.75">
      <c r="A70" s="36">
        <v>611</v>
      </c>
      <c r="B70" s="37">
        <v>6</v>
      </c>
      <c r="C70" s="45">
        <v>67</v>
      </c>
      <c r="D70" s="46" t="s">
        <v>48</v>
      </c>
      <c r="E70" s="47" t="s">
        <v>49</v>
      </c>
      <c r="F70" s="48">
        <v>18569699322</v>
      </c>
      <c r="G70" s="49"/>
      <c r="H70" s="43">
        <f t="shared" si="1"/>
        <v>0</v>
      </c>
      <c r="I70" s="43">
        <v>0</v>
      </c>
      <c r="J70" s="43">
        <v>18569699322</v>
      </c>
      <c r="K70" s="43">
        <v>0</v>
      </c>
      <c r="L70" s="43">
        <v>0</v>
      </c>
      <c r="M70" s="43">
        <v>0</v>
      </c>
      <c r="N70" s="43">
        <v>0</v>
      </c>
      <c r="O70" s="43">
        <v>0</v>
      </c>
      <c r="P70" s="43">
        <v>0</v>
      </c>
      <c r="Q70" s="43">
        <v>0</v>
      </c>
      <c r="R70" s="43">
        <v>0</v>
      </c>
      <c r="S70" s="43">
        <v>0</v>
      </c>
      <c r="T70" s="43">
        <v>0</v>
      </c>
      <c r="U70" s="43">
        <v>0</v>
      </c>
      <c r="V70" s="44">
        <v>0</v>
      </c>
      <c r="W70" s="24"/>
    </row>
    <row r="71" spans="1:23" ht="21.75">
      <c r="A71" s="36">
        <v>1202</v>
      </c>
      <c r="B71" s="37">
        <v>12</v>
      </c>
      <c r="C71" s="45">
        <v>68</v>
      </c>
      <c r="D71" s="46" t="s">
        <v>50</v>
      </c>
      <c r="E71" s="47" t="s">
        <v>205</v>
      </c>
      <c r="F71" s="48">
        <v>-7936991631</v>
      </c>
      <c r="G71" s="48">
        <v>6059303546</v>
      </c>
      <c r="H71" s="43">
        <f t="shared" si="1"/>
        <v>0</v>
      </c>
      <c r="I71" s="43">
        <v>0</v>
      </c>
      <c r="J71" s="43">
        <v>0</v>
      </c>
      <c r="K71" s="43">
        <v>0</v>
      </c>
      <c r="L71" s="43">
        <v>0</v>
      </c>
      <c r="M71" s="43">
        <v>0</v>
      </c>
      <c r="N71" s="43">
        <v>0</v>
      </c>
      <c r="O71" s="43">
        <v>0</v>
      </c>
      <c r="P71" s="43">
        <v>0</v>
      </c>
      <c r="Q71" s="43">
        <v>-7936991631</v>
      </c>
      <c r="R71" s="43">
        <v>0</v>
      </c>
      <c r="S71" s="43">
        <v>0</v>
      </c>
      <c r="T71" s="43">
        <v>0</v>
      </c>
      <c r="U71" s="43">
        <v>0</v>
      </c>
      <c r="V71" s="44">
        <v>0</v>
      </c>
      <c r="W71" s="24"/>
    </row>
    <row r="72" spans="1:23" ht="21.75">
      <c r="A72" s="36">
        <v>1202</v>
      </c>
      <c r="B72" s="37">
        <v>12</v>
      </c>
      <c r="C72" s="45">
        <v>69</v>
      </c>
      <c r="D72" s="46" t="s">
        <v>51</v>
      </c>
      <c r="E72" s="47" t="s">
        <v>155</v>
      </c>
      <c r="F72" s="48">
        <v>-784408434</v>
      </c>
      <c r="G72" s="48">
        <v>784408434</v>
      </c>
      <c r="H72" s="43">
        <f t="shared" si="1"/>
        <v>0</v>
      </c>
      <c r="I72" s="43">
        <v>0</v>
      </c>
      <c r="J72" s="43">
        <v>0</v>
      </c>
      <c r="K72" s="43">
        <v>0</v>
      </c>
      <c r="L72" s="43">
        <v>0</v>
      </c>
      <c r="M72" s="43">
        <v>0</v>
      </c>
      <c r="N72" s="43">
        <v>0</v>
      </c>
      <c r="O72" s="43">
        <v>0</v>
      </c>
      <c r="P72" s="43">
        <v>0</v>
      </c>
      <c r="Q72" s="43">
        <v>-784408434</v>
      </c>
      <c r="R72" s="43">
        <v>0</v>
      </c>
      <c r="S72" s="43">
        <v>0</v>
      </c>
      <c r="T72" s="43">
        <v>0</v>
      </c>
      <c r="U72" s="43">
        <v>0</v>
      </c>
      <c r="V72" s="44">
        <v>0</v>
      </c>
      <c r="W72" s="24"/>
    </row>
    <row r="73" spans="1:23" ht="21.75">
      <c r="A73" s="36">
        <v>601</v>
      </c>
      <c r="B73" s="37">
        <v>6</v>
      </c>
      <c r="C73" s="45">
        <v>70</v>
      </c>
      <c r="D73" s="46" t="s">
        <v>52</v>
      </c>
      <c r="E73" s="47" t="s">
        <v>206</v>
      </c>
      <c r="F73" s="48">
        <v>439285151</v>
      </c>
      <c r="G73" s="49"/>
      <c r="H73" s="43">
        <f t="shared" si="1"/>
        <v>0</v>
      </c>
      <c r="I73" s="43">
        <v>0</v>
      </c>
      <c r="J73" s="43">
        <v>439285151</v>
      </c>
      <c r="K73" s="43">
        <v>0</v>
      </c>
      <c r="L73" s="43">
        <v>0</v>
      </c>
      <c r="M73" s="43">
        <v>0</v>
      </c>
      <c r="N73" s="43">
        <v>0</v>
      </c>
      <c r="O73" s="43">
        <v>0</v>
      </c>
      <c r="P73" s="43">
        <v>0</v>
      </c>
      <c r="Q73" s="43">
        <v>0</v>
      </c>
      <c r="R73" s="43">
        <v>0</v>
      </c>
      <c r="S73" s="43">
        <v>0</v>
      </c>
      <c r="T73" s="43">
        <v>0</v>
      </c>
      <c r="U73" s="43">
        <v>0</v>
      </c>
      <c r="V73" s="44">
        <v>0</v>
      </c>
      <c r="W73" s="24"/>
    </row>
    <row r="74" spans="1:23" ht="21.75">
      <c r="A74" s="36">
        <v>601</v>
      </c>
      <c r="B74" s="37">
        <v>6</v>
      </c>
      <c r="C74" s="45">
        <v>71</v>
      </c>
      <c r="D74" s="46" t="s">
        <v>53</v>
      </c>
      <c r="E74" s="47" t="s">
        <v>465</v>
      </c>
      <c r="F74" s="48">
        <v>1144011729</v>
      </c>
      <c r="G74" s="49"/>
      <c r="H74" s="43">
        <f t="shared" si="1"/>
        <v>0</v>
      </c>
      <c r="I74" s="43">
        <v>0</v>
      </c>
      <c r="J74" s="43">
        <v>1144011729</v>
      </c>
      <c r="K74" s="43">
        <v>0</v>
      </c>
      <c r="L74" s="43">
        <v>0</v>
      </c>
      <c r="M74" s="43">
        <v>0</v>
      </c>
      <c r="N74" s="43">
        <v>0</v>
      </c>
      <c r="O74" s="43">
        <v>0</v>
      </c>
      <c r="P74" s="43">
        <v>0</v>
      </c>
      <c r="Q74" s="43">
        <v>0</v>
      </c>
      <c r="R74" s="43">
        <v>0</v>
      </c>
      <c r="S74" s="43">
        <v>0</v>
      </c>
      <c r="T74" s="43">
        <v>0</v>
      </c>
      <c r="U74" s="43">
        <v>0</v>
      </c>
      <c r="V74" s="44">
        <v>0</v>
      </c>
      <c r="W74" s="24"/>
    </row>
    <row r="75" spans="1:23" ht="21.75">
      <c r="A75" s="36">
        <v>601</v>
      </c>
      <c r="B75" s="37">
        <v>6</v>
      </c>
      <c r="C75" s="45">
        <v>72</v>
      </c>
      <c r="D75" s="46" t="s">
        <v>54</v>
      </c>
      <c r="E75" s="47" t="s">
        <v>138</v>
      </c>
      <c r="F75" s="48">
        <v>-459430516</v>
      </c>
      <c r="G75" s="48">
        <v>459430516</v>
      </c>
      <c r="H75" s="43">
        <f t="shared" si="1"/>
        <v>0</v>
      </c>
      <c r="I75" s="43">
        <v>0</v>
      </c>
      <c r="J75" s="43">
        <v>-459430516</v>
      </c>
      <c r="K75" s="43">
        <v>0</v>
      </c>
      <c r="L75" s="43">
        <v>0</v>
      </c>
      <c r="M75" s="43">
        <v>0</v>
      </c>
      <c r="N75" s="43">
        <v>0</v>
      </c>
      <c r="O75" s="43">
        <v>0</v>
      </c>
      <c r="P75" s="43">
        <v>0</v>
      </c>
      <c r="Q75" s="43">
        <v>0</v>
      </c>
      <c r="R75" s="43">
        <v>0</v>
      </c>
      <c r="S75" s="43">
        <v>0</v>
      </c>
      <c r="T75" s="43">
        <v>0</v>
      </c>
      <c r="U75" s="43">
        <v>0</v>
      </c>
      <c r="V75" s="44">
        <v>0</v>
      </c>
      <c r="W75" s="24"/>
    </row>
    <row r="76" spans="1:23" ht="21.75">
      <c r="A76" s="36">
        <v>1202</v>
      </c>
      <c r="B76" s="37">
        <v>12</v>
      </c>
      <c r="C76" s="45">
        <v>73</v>
      </c>
      <c r="D76" s="46" t="s">
        <v>55</v>
      </c>
      <c r="E76" s="47" t="s">
        <v>547</v>
      </c>
      <c r="F76" s="48">
        <v>-75989018</v>
      </c>
      <c r="G76" s="48">
        <v>75989018</v>
      </c>
      <c r="H76" s="43">
        <f t="shared" si="1"/>
        <v>0</v>
      </c>
      <c r="I76" s="43">
        <v>0</v>
      </c>
      <c r="J76" s="43">
        <v>0</v>
      </c>
      <c r="K76" s="43">
        <v>0</v>
      </c>
      <c r="L76" s="43">
        <v>0</v>
      </c>
      <c r="M76" s="43">
        <v>0</v>
      </c>
      <c r="N76" s="43">
        <v>0</v>
      </c>
      <c r="O76" s="43">
        <v>0</v>
      </c>
      <c r="P76" s="43">
        <v>0</v>
      </c>
      <c r="Q76" s="43">
        <v>-75989018</v>
      </c>
      <c r="R76" s="43">
        <v>0</v>
      </c>
      <c r="S76" s="43">
        <v>0</v>
      </c>
      <c r="T76" s="43">
        <v>0</v>
      </c>
      <c r="U76" s="43">
        <v>0</v>
      </c>
      <c r="V76" s="44">
        <v>0</v>
      </c>
      <c r="W76" s="24"/>
    </row>
    <row r="77" spans="1:23" ht="21.75">
      <c r="A77" s="36">
        <v>1202</v>
      </c>
      <c r="B77" s="37">
        <v>12</v>
      </c>
      <c r="C77" s="45">
        <v>74</v>
      </c>
      <c r="D77" s="46" t="s">
        <v>56</v>
      </c>
      <c r="E77" s="47" t="s">
        <v>597</v>
      </c>
      <c r="F77" s="48">
        <v>-1937100</v>
      </c>
      <c r="G77" s="48">
        <v>1937100</v>
      </c>
      <c r="H77" s="43">
        <f t="shared" si="1"/>
        <v>0</v>
      </c>
      <c r="I77" s="43">
        <v>0</v>
      </c>
      <c r="J77" s="43">
        <v>0</v>
      </c>
      <c r="K77" s="43">
        <v>0</v>
      </c>
      <c r="L77" s="43">
        <v>0</v>
      </c>
      <c r="M77" s="43">
        <v>0</v>
      </c>
      <c r="N77" s="43">
        <v>0</v>
      </c>
      <c r="O77" s="43">
        <v>0</v>
      </c>
      <c r="P77" s="43">
        <v>0</v>
      </c>
      <c r="Q77" s="43">
        <v>-1937100</v>
      </c>
      <c r="R77" s="43">
        <v>0</v>
      </c>
      <c r="S77" s="43">
        <v>0</v>
      </c>
      <c r="T77" s="43">
        <v>0</v>
      </c>
      <c r="U77" s="43">
        <v>0</v>
      </c>
      <c r="V77" s="44">
        <v>0</v>
      </c>
      <c r="W77" s="24"/>
    </row>
    <row r="78" spans="1:23" ht="21.75">
      <c r="A78" s="36">
        <v>1202</v>
      </c>
      <c r="B78" s="37">
        <v>12</v>
      </c>
      <c r="C78" s="45">
        <v>75</v>
      </c>
      <c r="D78" s="46" t="s">
        <v>57</v>
      </c>
      <c r="E78" s="47" t="s">
        <v>137</v>
      </c>
      <c r="F78" s="48">
        <v>-1222873070</v>
      </c>
      <c r="G78" s="48">
        <v>1222873070</v>
      </c>
      <c r="H78" s="43">
        <f t="shared" si="1"/>
        <v>0</v>
      </c>
      <c r="I78" s="43">
        <v>0</v>
      </c>
      <c r="J78" s="43">
        <v>0</v>
      </c>
      <c r="K78" s="43">
        <v>0</v>
      </c>
      <c r="L78" s="43">
        <v>0</v>
      </c>
      <c r="M78" s="43">
        <v>0</v>
      </c>
      <c r="N78" s="43">
        <v>0</v>
      </c>
      <c r="O78" s="43">
        <v>0</v>
      </c>
      <c r="P78" s="43">
        <v>0</v>
      </c>
      <c r="Q78" s="43">
        <v>-1222873070</v>
      </c>
      <c r="R78" s="43">
        <v>0</v>
      </c>
      <c r="S78" s="43">
        <v>0</v>
      </c>
      <c r="T78" s="43">
        <v>0</v>
      </c>
      <c r="U78" s="43">
        <v>0</v>
      </c>
      <c r="V78" s="44">
        <v>0</v>
      </c>
      <c r="W78" s="24"/>
    </row>
    <row r="79" spans="1:23" ht="21.75">
      <c r="A79" s="36">
        <v>1202</v>
      </c>
      <c r="B79" s="37">
        <v>12</v>
      </c>
      <c r="C79" s="45">
        <v>76</v>
      </c>
      <c r="D79" s="46" t="s">
        <v>58</v>
      </c>
      <c r="E79" s="47" t="s">
        <v>466</v>
      </c>
      <c r="F79" s="48">
        <v>-8239690595</v>
      </c>
      <c r="G79" s="48">
        <v>7680398717</v>
      </c>
      <c r="H79" s="43">
        <f t="shared" si="1"/>
        <v>0</v>
      </c>
      <c r="I79" s="43">
        <v>0</v>
      </c>
      <c r="J79" s="43">
        <v>0</v>
      </c>
      <c r="K79" s="43">
        <v>0</v>
      </c>
      <c r="L79" s="43">
        <v>0</v>
      </c>
      <c r="M79" s="43">
        <v>0</v>
      </c>
      <c r="N79" s="43">
        <v>0</v>
      </c>
      <c r="O79" s="43">
        <v>0</v>
      </c>
      <c r="P79" s="43">
        <v>0</v>
      </c>
      <c r="Q79" s="43">
        <v>-8239690595</v>
      </c>
      <c r="R79" s="43">
        <v>0</v>
      </c>
      <c r="S79" s="43">
        <v>0</v>
      </c>
      <c r="T79" s="43">
        <v>0</v>
      </c>
      <c r="U79" s="43">
        <v>0</v>
      </c>
      <c r="V79" s="44">
        <v>0</v>
      </c>
      <c r="W79" s="24"/>
    </row>
    <row r="80" spans="1:23" ht="21.75">
      <c r="A80" s="36">
        <v>502</v>
      </c>
      <c r="B80" s="37">
        <v>5</v>
      </c>
      <c r="C80" s="45">
        <v>77</v>
      </c>
      <c r="D80" s="46" t="s">
        <v>59</v>
      </c>
      <c r="E80" s="47" t="s">
        <v>342</v>
      </c>
      <c r="F80" s="48">
        <v>-215551154673</v>
      </c>
      <c r="G80" s="48">
        <v>61955995709</v>
      </c>
      <c r="H80" s="43">
        <f t="shared" si="1"/>
        <v>0</v>
      </c>
      <c r="I80" s="43">
        <v>-215551154673</v>
      </c>
      <c r="J80" s="43">
        <v>0</v>
      </c>
      <c r="K80" s="43">
        <v>0</v>
      </c>
      <c r="L80" s="43">
        <v>0</v>
      </c>
      <c r="M80" s="43">
        <v>0</v>
      </c>
      <c r="N80" s="43">
        <v>0</v>
      </c>
      <c r="O80" s="43">
        <v>0</v>
      </c>
      <c r="P80" s="43">
        <v>0</v>
      </c>
      <c r="Q80" s="43">
        <v>0</v>
      </c>
      <c r="R80" s="43">
        <v>0</v>
      </c>
      <c r="S80" s="43">
        <v>0</v>
      </c>
      <c r="T80" s="43">
        <v>0</v>
      </c>
      <c r="U80" s="43">
        <v>0</v>
      </c>
      <c r="V80" s="44">
        <v>0</v>
      </c>
      <c r="W80" s="24"/>
    </row>
    <row r="81" spans="1:23" ht="21.75">
      <c r="A81" s="36">
        <v>601</v>
      </c>
      <c r="B81" s="37">
        <v>6</v>
      </c>
      <c r="C81" s="45">
        <v>78</v>
      </c>
      <c r="D81" s="46" t="s">
        <v>60</v>
      </c>
      <c r="E81" s="47" t="s">
        <v>140</v>
      </c>
      <c r="F81" s="48">
        <v>50369234635</v>
      </c>
      <c r="G81" s="49"/>
      <c r="H81" s="43">
        <f t="shared" si="1"/>
        <v>0</v>
      </c>
      <c r="I81" s="43">
        <v>0</v>
      </c>
      <c r="J81" s="43">
        <v>50369234635</v>
      </c>
      <c r="K81" s="43">
        <v>0</v>
      </c>
      <c r="L81" s="43">
        <v>0</v>
      </c>
      <c r="M81" s="43">
        <v>0</v>
      </c>
      <c r="N81" s="43">
        <v>0</v>
      </c>
      <c r="O81" s="43">
        <v>0</v>
      </c>
      <c r="P81" s="43">
        <v>0</v>
      </c>
      <c r="Q81" s="43">
        <v>0</v>
      </c>
      <c r="R81" s="43">
        <v>0</v>
      </c>
      <c r="S81" s="43">
        <v>0</v>
      </c>
      <c r="T81" s="43">
        <v>0</v>
      </c>
      <c r="U81" s="43">
        <v>0</v>
      </c>
      <c r="V81" s="44">
        <v>0</v>
      </c>
      <c r="W81" s="24"/>
    </row>
    <row r="82" spans="1:23" ht="21.75">
      <c r="A82" s="36">
        <v>601</v>
      </c>
      <c r="B82" s="37">
        <v>6</v>
      </c>
      <c r="C82" s="45">
        <v>79</v>
      </c>
      <c r="D82" s="46" t="s">
        <v>567</v>
      </c>
      <c r="E82" s="47" t="s">
        <v>536</v>
      </c>
      <c r="F82" s="48">
        <v>3808000</v>
      </c>
      <c r="G82" s="49"/>
      <c r="H82" s="43">
        <f t="shared" si="1"/>
        <v>0</v>
      </c>
      <c r="I82" s="43">
        <v>0</v>
      </c>
      <c r="J82" s="43">
        <v>3808000</v>
      </c>
      <c r="K82" s="43">
        <v>0</v>
      </c>
      <c r="L82" s="43">
        <v>0</v>
      </c>
      <c r="M82" s="43">
        <v>0</v>
      </c>
      <c r="N82" s="43">
        <v>0</v>
      </c>
      <c r="O82" s="43">
        <v>0</v>
      </c>
      <c r="P82" s="43">
        <v>0</v>
      </c>
      <c r="Q82" s="43">
        <v>0</v>
      </c>
      <c r="R82" s="43">
        <v>0</v>
      </c>
      <c r="S82" s="43">
        <v>0</v>
      </c>
      <c r="T82" s="43">
        <v>0</v>
      </c>
      <c r="U82" s="43">
        <v>0</v>
      </c>
      <c r="V82" s="44">
        <v>0</v>
      </c>
      <c r="W82" s="24"/>
    </row>
    <row r="83" spans="1:23" ht="21.75">
      <c r="A83" s="36">
        <v>1202</v>
      </c>
      <c r="B83" s="37">
        <v>12</v>
      </c>
      <c r="C83" s="45">
        <v>80</v>
      </c>
      <c r="D83" s="46" t="s">
        <v>568</v>
      </c>
      <c r="E83" s="47" t="s">
        <v>153</v>
      </c>
      <c r="F83" s="48">
        <v>-2463430957</v>
      </c>
      <c r="G83" s="48">
        <v>2463430957</v>
      </c>
      <c r="H83" s="43">
        <f t="shared" si="1"/>
        <v>0</v>
      </c>
      <c r="I83" s="43">
        <v>0</v>
      </c>
      <c r="J83" s="43">
        <v>0</v>
      </c>
      <c r="K83" s="43">
        <v>0</v>
      </c>
      <c r="L83" s="43">
        <v>0</v>
      </c>
      <c r="M83" s="43">
        <v>0</v>
      </c>
      <c r="N83" s="43">
        <v>0</v>
      </c>
      <c r="O83" s="43">
        <v>0</v>
      </c>
      <c r="P83" s="43">
        <v>0</v>
      </c>
      <c r="Q83" s="43">
        <v>-2463430957</v>
      </c>
      <c r="R83" s="43">
        <v>0</v>
      </c>
      <c r="S83" s="43">
        <v>0</v>
      </c>
      <c r="T83" s="43">
        <v>0</v>
      </c>
      <c r="U83" s="43">
        <v>0</v>
      </c>
      <c r="V83" s="44">
        <v>0</v>
      </c>
      <c r="W83" s="24"/>
    </row>
    <row r="84" spans="1:23" ht="21.75">
      <c r="A84" s="36">
        <v>1202</v>
      </c>
      <c r="B84" s="37">
        <v>12</v>
      </c>
      <c r="C84" s="45">
        <v>81</v>
      </c>
      <c r="D84" s="46" t="s">
        <v>569</v>
      </c>
      <c r="E84" s="47" t="s">
        <v>154</v>
      </c>
      <c r="F84" s="48">
        <v>-99127256</v>
      </c>
      <c r="G84" s="48">
        <v>99127256</v>
      </c>
      <c r="H84" s="43">
        <f t="shared" si="1"/>
        <v>0</v>
      </c>
      <c r="I84" s="43">
        <v>0</v>
      </c>
      <c r="J84" s="43">
        <v>0</v>
      </c>
      <c r="K84" s="43">
        <v>0</v>
      </c>
      <c r="L84" s="43">
        <v>0</v>
      </c>
      <c r="M84" s="43">
        <v>0</v>
      </c>
      <c r="N84" s="43">
        <v>0</v>
      </c>
      <c r="O84" s="43">
        <v>0</v>
      </c>
      <c r="P84" s="43">
        <v>0</v>
      </c>
      <c r="Q84" s="43">
        <v>-99127256</v>
      </c>
      <c r="R84" s="43">
        <v>0</v>
      </c>
      <c r="S84" s="43">
        <v>0</v>
      </c>
      <c r="T84" s="43">
        <v>0</v>
      </c>
      <c r="U84" s="43">
        <v>0</v>
      </c>
      <c r="V84" s="44">
        <v>0</v>
      </c>
      <c r="W84" s="24"/>
    </row>
    <row r="85" spans="1:23" ht="21.75">
      <c r="A85" s="36">
        <v>601</v>
      </c>
      <c r="B85" s="37">
        <v>6</v>
      </c>
      <c r="C85" s="45">
        <v>82</v>
      </c>
      <c r="D85" s="46" t="s">
        <v>570</v>
      </c>
      <c r="E85" s="47" t="s">
        <v>257</v>
      </c>
      <c r="F85" s="48">
        <v>57452155</v>
      </c>
      <c r="G85" s="49"/>
      <c r="H85" s="43">
        <f t="shared" si="1"/>
        <v>0</v>
      </c>
      <c r="I85" s="43">
        <v>0</v>
      </c>
      <c r="J85" s="43">
        <v>57452155</v>
      </c>
      <c r="K85" s="43">
        <v>0</v>
      </c>
      <c r="L85" s="43">
        <v>0</v>
      </c>
      <c r="M85" s="43">
        <v>0</v>
      </c>
      <c r="N85" s="43">
        <v>0</v>
      </c>
      <c r="O85" s="43">
        <v>0</v>
      </c>
      <c r="P85" s="43">
        <v>0</v>
      </c>
      <c r="Q85" s="43">
        <v>0</v>
      </c>
      <c r="R85" s="43">
        <v>0</v>
      </c>
      <c r="S85" s="43">
        <v>0</v>
      </c>
      <c r="T85" s="43">
        <v>0</v>
      </c>
      <c r="U85" s="43">
        <v>0</v>
      </c>
      <c r="V85" s="44">
        <v>0</v>
      </c>
      <c r="W85" s="24"/>
    </row>
    <row r="86" spans="1:23" ht="21.75">
      <c r="A86" s="36">
        <v>601</v>
      </c>
      <c r="B86" s="37">
        <v>6</v>
      </c>
      <c r="C86" s="45">
        <v>83</v>
      </c>
      <c r="D86" s="46" t="s">
        <v>571</v>
      </c>
      <c r="E86" s="47" t="s">
        <v>259</v>
      </c>
      <c r="F86" s="48">
        <v>82111378</v>
      </c>
      <c r="G86" s="49"/>
      <c r="H86" s="43">
        <f t="shared" si="1"/>
        <v>0</v>
      </c>
      <c r="I86" s="43">
        <v>0</v>
      </c>
      <c r="J86" s="43">
        <v>82111378</v>
      </c>
      <c r="K86" s="43">
        <v>0</v>
      </c>
      <c r="L86" s="43">
        <v>0</v>
      </c>
      <c r="M86" s="43">
        <v>0</v>
      </c>
      <c r="N86" s="43">
        <v>0</v>
      </c>
      <c r="O86" s="43">
        <v>0</v>
      </c>
      <c r="P86" s="43">
        <v>0</v>
      </c>
      <c r="Q86" s="43">
        <v>0</v>
      </c>
      <c r="R86" s="43">
        <v>0</v>
      </c>
      <c r="S86" s="43">
        <v>0</v>
      </c>
      <c r="T86" s="43">
        <v>0</v>
      </c>
      <c r="U86" s="43">
        <v>0</v>
      </c>
      <c r="V86" s="44">
        <v>0</v>
      </c>
      <c r="W86" s="24"/>
    </row>
    <row r="87" spans="1:23" ht="21.75">
      <c r="A87" s="36">
        <v>601</v>
      </c>
      <c r="B87" s="37">
        <v>6</v>
      </c>
      <c r="C87" s="45">
        <v>84</v>
      </c>
      <c r="D87" s="46" t="s">
        <v>572</v>
      </c>
      <c r="E87" s="47" t="s">
        <v>168</v>
      </c>
      <c r="F87" s="48">
        <v>273392606</v>
      </c>
      <c r="G87" s="49"/>
      <c r="H87" s="43">
        <f t="shared" si="1"/>
        <v>0</v>
      </c>
      <c r="I87" s="43">
        <v>0</v>
      </c>
      <c r="J87" s="43">
        <v>273392606</v>
      </c>
      <c r="K87" s="43">
        <v>0</v>
      </c>
      <c r="L87" s="43">
        <v>0</v>
      </c>
      <c r="M87" s="43">
        <v>0</v>
      </c>
      <c r="N87" s="43">
        <v>0</v>
      </c>
      <c r="O87" s="43">
        <v>0</v>
      </c>
      <c r="P87" s="43">
        <v>0</v>
      </c>
      <c r="Q87" s="43">
        <v>0</v>
      </c>
      <c r="R87" s="43">
        <v>0</v>
      </c>
      <c r="S87" s="43">
        <v>0</v>
      </c>
      <c r="T87" s="43">
        <v>0</v>
      </c>
      <c r="U87" s="43">
        <v>0</v>
      </c>
      <c r="V87" s="44">
        <v>0</v>
      </c>
      <c r="W87" s="24"/>
    </row>
    <row r="88" spans="1:23" ht="21.75">
      <c r="A88" s="36">
        <v>601</v>
      </c>
      <c r="B88" s="37">
        <v>6</v>
      </c>
      <c r="C88" s="45">
        <v>85</v>
      </c>
      <c r="D88" s="46" t="s">
        <v>573</v>
      </c>
      <c r="E88" s="47" t="s">
        <v>574</v>
      </c>
      <c r="F88" s="48">
        <v>6551100</v>
      </c>
      <c r="G88" s="49"/>
      <c r="H88" s="43">
        <f t="shared" si="1"/>
        <v>0</v>
      </c>
      <c r="I88" s="43">
        <v>0</v>
      </c>
      <c r="J88" s="43">
        <v>6551100</v>
      </c>
      <c r="K88" s="43">
        <v>0</v>
      </c>
      <c r="L88" s="43">
        <v>0</v>
      </c>
      <c r="M88" s="43">
        <v>0</v>
      </c>
      <c r="N88" s="43">
        <v>0</v>
      </c>
      <c r="O88" s="43">
        <v>0</v>
      </c>
      <c r="P88" s="43">
        <v>0</v>
      </c>
      <c r="Q88" s="43">
        <v>0</v>
      </c>
      <c r="R88" s="43">
        <v>0</v>
      </c>
      <c r="S88" s="43">
        <v>0</v>
      </c>
      <c r="T88" s="43">
        <v>0</v>
      </c>
      <c r="U88" s="43">
        <v>0</v>
      </c>
      <c r="V88" s="44">
        <v>0</v>
      </c>
      <c r="W88" s="24"/>
    </row>
    <row r="89" spans="1:23" ht="21.75">
      <c r="A89" s="36">
        <v>601</v>
      </c>
      <c r="B89" s="37">
        <v>6</v>
      </c>
      <c r="C89" s="45">
        <v>86</v>
      </c>
      <c r="D89" s="46" t="s">
        <v>575</v>
      </c>
      <c r="E89" s="47" t="s">
        <v>576</v>
      </c>
      <c r="F89" s="48">
        <v>94774621</v>
      </c>
      <c r="G89" s="49"/>
      <c r="H89" s="43">
        <f t="shared" si="1"/>
        <v>0</v>
      </c>
      <c r="I89" s="43">
        <v>0</v>
      </c>
      <c r="J89" s="43">
        <v>94774621</v>
      </c>
      <c r="K89" s="43">
        <v>0</v>
      </c>
      <c r="L89" s="43">
        <v>0</v>
      </c>
      <c r="M89" s="43">
        <v>0</v>
      </c>
      <c r="N89" s="43">
        <v>0</v>
      </c>
      <c r="O89" s="43">
        <v>0</v>
      </c>
      <c r="P89" s="43">
        <v>0</v>
      </c>
      <c r="Q89" s="43">
        <v>0</v>
      </c>
      <c r="R89" s="43">
        <v>0</v>
      </c>
      <c r="S89" s="43">
        <v>0</v>
      </c>
      <c r="T89" s="43">
        <v>0</v>
      </c>
      <c r="U89" s="43">
        <v>0</v>
      </c>
      <c r="V89" s="44">
        <v>0</v>
      </c>
      <c r="W89" s="24"/>
    </row>
    <row r="90" spans="1:23" ht="21.75">
      <c r="A90" s="36">
        <v>601</v>
      </c>
      <c r="B90" s="37">
        <v>6</v>
      </c>
      <c r="C90" s="45">
        <v>87</v>
      </c>
      <c r="D90" s="46" t="s">
        <v>577</v>
      </c>
      <c r="E90" s="47" t="s">
        <v>578</v>
      </c>
      <c r="F90" s="48">
        <v>441307057</v>
      </c>
      <c r="G90" s="49"/>
      <c r="H90" s="43">
        <f t="shared" si="1"/>
        <v>0</v>
      </c>
      <c r="I90" s="43">
        <v>0</v>
      </c>
      <c r="J90" s="43">
        <v>441307057</v>
      </c>
      <c r="K90" s="43">
        <v>0</v>
      </c>
      <c r="L90" s="43">
        <v>0</v>
      </c>
      <c r="M90" s="43">
        <v>0</v>
      </c>
      <c r="N90" s="43">
        <v>0</v>
      </c>
      <c r="O90" s="43">
        <v>0</v>
      </c>
      <c r="P90" s="43">
        <v>0</v>
      </c>
      <c r="Q90" s="43">
        <v>0</v>
      </c>
      <c r="R90" s="43">
        <v>0</v>
      </c>
      <c r="S90" s="43">
        <v>0</v>
      </c>
      <c r="T90" s="43">
        <v>0</v>
      </c>
      <c r="U90" s="43">
        <v>0</v>
      </c>
      <c r="V90" s="44">
        <v>0</v>
      </c>
      <c r="W90" s="24"/>
    </row>
    <row r="91" spans="1:23" ht="21.75">
      <c r="A91" s="36">
        <v>601</v>
      </c>
      <c r="B91" s="37">
        <v>6</v>
      </c>
      <c r="C91" s="45">
        <v>88</v>
      </c>
      <c r="D91" s="46" t="s">
        <v>579</v>
      </c>
      <c r="E91" s="47" t="s">
        <v>580</v>
      </c>
      <c r="F91" s="48">
        <v>5865212711</v>
      </c>
      <c r="G91" s="49"/>
      <c r="H91" s="43">
        <f t="shared" si="1"/>
        <v>0</v>
      </c>
      <c r="I91" s="43">
        <v>0</v>
      </c>
      <c r="J91" s="43">
        <v>5865212711</v>
      </c>
      <c r="K91" s="43">
        <v>0</v>
      </c>
      <c r="L91" s="43">
        <v>0</v>
      </c>
      <c r="M91" s="43">
        <v>0</v>
      </c>
      <c r="N91" s="43">
        <v>0</v>
      </c>
      <c r="O91" s="43">
        <v>0</v>
      </c>
      <c r="P91" s="43">
        <v>0</v>
      </c>
      <c r="Q91" s="43">
        <v>0</v>
      </c>
      <c r="R91" s="43">
        <v>0</v>
      </c>
      <c r="S91" s="43">
        <v>0</v>
      </c>
      <c r="T91" s="43">
        <v>0</v>
      </c>
      <c r="U91" s="43">
        <v>0</v>
      </c>
      <c r="V91" s="44">
        <v>0</v>
      </c>
      <c r="W91" s="24"/>
    </row>
    <row r="92" spans="1:23" ht="21.75">
      <c r="A92" s="36">
        <v>601</v>
      </c>
      <c r="B92" s="37">
        <v>6</v>
      </c>
      <c r="C92" s="45">
        <v>89</v>
      </c>
      <c r="D92" s="46" t="s">
        <v>581</v>
      </c>
      <c r="E92" s="47" t="s">
        <v>169</v>
      </c>
      <c r="F92" s="48">
        <v>1920157499</v>
      </c>
      <c r="G92" s="49"/>
      <c r="H92" s="43">
        <f t="shared" si="1"/>
        <v>0</v>
      </c>
      <c r="I92" s="43">
        <v>0</v>
      </c>
      <c r="J92" s="43">
        <v>1920157499</v>
      </c>
      <c r="K92" s="43">
        <v>0</v>
      </c>
      <c r="L92" s="43">
        <v>0</v>
      </c>
      <c r="M92" s="43">
        <v>0</v>
      </c>
      <c r="N92" s="43">
        <v>0</v>
      </c>
      <c r="O92" s="43">
        <v>0</v>
      </c>
      <c r="P92" s="43">
        <v>0</v>
      </c>
      <c r="Q92" s="43">
        <v>0</v>
      </c>
      <c r="R92" s="43">
        <v>0</v>
      </c>
      <c r="S92" s="43">
        <v>0</v>
      </c>
      <c r="T92" s="43">
        <v>0</v>
      </c>
      <c r="U92" s="43">
        <v>0</v>
      </c>
      <c r="V92" s="44">
        <v>0</v>
      </c>
      <c r="W92" s="24"/>
    </row>
    <row r="93" spans="1:23" ht="21.75">
      <c r="A93" s="36">
        <v>601</v>
      </c>
      <c r="B93" s="37">
        <v>6</v>
      </c>
      <c r="C93" s="45">
        <v>90</v>
      </c>
      <c r="D93" s="46" t="s">
        <v>582</v>
      </c>
      <c r="E93" s="47" t="s">
        <v>583</v>
      </c>
      <c r="F93" s="48">
        <v>2607284</v>
      </c>
      <c r="G93" s="49"/>
      <c r="H93" s="43">
        <f t="shared" si="1"/>
        <v>0</v>
      </c>
      <c r="I93" s="43">
        <v>0</v>
      </c>
      <c r="J93" s="43">
        <v>2607284</v>
      </c>
      <c r="K93" s="43">
        <v>0</v>
      </c>
      <c r="L93" s="43">
        <v>0</v>
      </c>
      <c r="M93" s="43">
        <v>0</v>
      </c>
      <c r="N93" s="43">
        <v>0</v>
      </c>
      <c r="O93" s="43">
        <v>0</v>
      </c>
      <c r="P93" s="43">
        <v>0</v>
      </c>
      <c r="Q93" s="43">
        <v>0</v>
      </c>
      <c r="R93" s="43">
        <v>0</v>
      </c>
      <c r="S93" s="43">
        <v>0</v>
      </c>
      <c r="T93" s="43">
        <v>0</v>
      </c>
      <c r="U93" s="43">
        <v>0</v>
      </c>
      <c r="V93" s="44">
        <v>0</v>
      </c>
      <c r="W93" s="24"/>
    </row>
    <row r="94" spans="1:23" ht="21.75">
      <c r="A94" s="36">
        <v>601</v>
      </c>
      <c r="B94" s="37">
        <v>6</v>
      </c>
      <c r="C94" s="45">
        <v>91</v>
      </c>
      <c r="D94" s="46" t="s">
        <v>584</v>
      </c>
      <c r="E94" s="47" t="s">
        <v>585</v>
      </c>
      <c r="F94" s="48">
        <v>2160000</v>
      </c>
      <c r="G94" s="49"/>
      <c r="H94" s="43">
        <f t="shared" si="1"/>
        <v>0</v>
      </c>
      <c r="I94" s="43">
        <v>0</v>
      </c>
      <c r="J94" s="43">
        <v>2160000</v>
      </c>
      <c r="K94" s="43">
        <v>0</v>
      </c>
      <c r="L94" s="43">
        <v>0</v>
      </c>
      <c r="M94" s="43">
        <v>0</v>
      </c>
      <c r="N94" s="43">
        <v>0</v>
      </c>
      <c r="O94" s="43">
        <v>0</v>
      </c>
      <c r="P94" s="43">
        <v>0</v>
      </c>
      <c r="Q94" s="43">
        <v>0</v>
      </c>
      <c r="R94" s="43">
        <v>0</v>
      </c>
      <c r="S94" s="43">
        <v>0</v>
      </c>
      <c r="T94" s="43">
        <v>0</v>
      </c>
      <c r="U94" s="43">
        <v>0</v>
      </c>
      <c r="V94" s="44">
        <v>0</v>
      </c>
      <c r="W94" s="24"/>
    </row>
    <row r="95" spans="1:23" ht="21.75">
      <c r="A95" s="36">
        <v>601</v>
      </c>
      <c r="B95" s="37">
        <v>6</v>
      </c>
      <c r="C95" s="45">
        <v>92</v>
      </c>
      <c r="D95" s="46" t="s">
        <v>546</v>
      </c>
      <c r="E95" s="47" t="s">
        <v>170</v>
      </c>
      <c r="F95" s="48">
        <v>1060000</v>
      </c>
      <c r="G95" s="49"/>
      <c r="H95" s="43">
        <f t="shared" si="1"/>
        <v>0</v>
      </c>
      <c r="I95" s="43">
        <v>0</v>
      </c>
      <c r="J95" s="43">
        <v>1060000</v>
      </c>
      <c r="K95" s="43">
        <v>0</v>
      </c>
      <c r="L95" s="43">
        <v>0</v>
      </c>
      <c r="M95" s="43">
        <v>0</v>
      </c>
      <c r="N95" s="43">
        <v>0</v>
      </c>
      <c r="O95" s="43">
        <v>0</v>
      </c>
      <c r="P95" s="43">
        <v>0</v>
      </c>
      <c r="Q95" s="43">
        <v>0</v>
      </c>
      <c r="R95" s="43">
        <v>0</v>
      </c>
      <c r="S95" s="43">
        <v>0</v>
      </c>
      <c r="T95" s="43">
        <v>0</v>
      </c>
      <c r="U95" s="43">
        <v>0</v>
      </c>
      <c r="V95" s="44">
        <v>0</v>
      </c>
      <c r="W95" s="24"/>
    </row>
    <row r="96" spans="1:23" ht="21.75">
      <c r="A96" s="36">
        <v>601</v>
      </c>
      <c r="B96" s="37">
        <v>6</v>
      </c>
      <c r="C96" s="45">
        <v>93</v>
      </c>
      <c r="D96" s="46" t="s">
        <v>162</v>
      </c>
      <c r="E96" s="47" t="s">
        <v>171</v>
      </c>
      <c r="F96" s="48">
        <v>366450</v>
      </c>
      <c r="G96" s="49"/>
      <c r="H96" s="43">
        <f t="shared" si="1"/>
        <v>0</v>
      </c>
      <c r="I96" s="43">
        <v>0</v>
      </c>
      <c r="J96" s="43">
        <v>366450</v>
      </c>
      <c r="K96" s="43">
        <v>0</v>
      </c>
      <c r="L96" s="43">
        <v>0</v>
      </c>
      <c r="M96" s="43">
        <v>0</v>
      </c>
      <c r="N96" s="43">
        <v>0</v>
      </c>
      <c r="O96" s="43">
        <v>0</v>
      </c>
      <c r="P96" s="43">
        <v>0</v>
      </c>
      <c r="Q96" s="43">
        <v>0</v>
      </c>
      <c r="R96" s="43">
        <v>0</v>
      </c>
      <c r="S96" s="43">
        <v>0</v>
      </c>
      <c r="T96" s="43">
        <v>0</v>
      </c>
      <c r="U96" s="43">
        <v>0</v>
      </c>
      <c r="V96" s="44">
        <v>0</v>
      </c>
      <c r="W96" s="24"/>
    </row>
    <row r="97" spans="1:23" ht="21.75">
      <c r="A97" s="36">
        <v>601</v>
      </c>
      <c r="B97" s="37">
        <v>6</v>
      </c>
      <c r="C97" s="45">
        <v>94</v>
      </c>
      <c r="D97" s="46" t="s">
        <v>299</v>
      </c>
      <c r="E97" s="47" t="s">
        <v>300</v>
      </c>
      <c r="F97" s="48">
        <v>128326234</v>
      </c>
      <c r="G97" s="49"/>
      <c r="H97" s="43">
        <f t="shared" si="1"/>
        <v>0</v>
      </c>
      <c r="I97" s="43">
        <v>0</v>
      </c>
      <c r="J97" s="43">
        <v>128326234</v>
      </c>
      <c r="K97" s="43">
        <v>0</v>
      </c>
      <c r="L97" s="43">
        <v>0</v>
      </c>
      <c r="M97" s="43">
        <v>0</v>
      </c>
      <c r="N97" s="43">
        <v>0</v>
      </c>
      <c r="O97" s="43">
        <v>0</v>
      </c>
      <c r="P97" s="43">
        <v>0</v>
      </c>
      <c r="Q97" s="43">
        <v>0</v>
      </c>
      <c r="R97" s="43">
        <v>0</v>
      </c>
      <c r="S97" s="43">
        <v>0</v>
      </c>
      <c r="T97" s="43">
        <v>0</v>
      </c>
      <c r="U97" s="43">
        <v>0</v>
      </c>
      <c r="V97" s="44">
        <v>0</v>
      </c>
      <c r="W97" s="24"/>
    </row>
    <row r="98" spans="1:23" ht="21.75">
      <c r="A98" s="36">
        <v>1202</v>
      </c>
      <c r="B98" s="37">
        <v>12</v>
      </c>
      <c r="C98" s="45">
        <v>95</v>
      </c>
      <c r="D98" s="46" t="s">
        <v>301</v>
      </c>
      <c r="E98" s="47" t="s">
        <v>302</v>
      </c>
      <c r="F98" s="48">
        <v>-8999690</v>
      </c>
      <c r="G98" s="48">
        <v>8999690</v>
      </c>
      <c r="H98" s="43">
        <f t="shared" si="1"/>
        <v>0</v>
      </c>
      <c r="I98" s="43">
        <v>0</v>
      </c>
      <c r="J98" s="43">
        <v>0</v>
      </c>
      <c r="K98" s="43">
        <v>0</v>
      </c>
      <c r="L98" s="43">
        <v>0</v>
      </c>
      <c r="M98" s="43">
        <v>0</v>
      </c>
      <c r="N98" s="43">
        <v>0</v>
      </c>
      <c r="O98" s="43">
        <v>0</v>
      </c>
      <c r="P98" s="43">
        <v>0</v>
      </c>
      <c r="Q98" s="43">
        <v>-8999690</v>
      </c>
      <c r="R98" s="43">
        <v>0</v>
      </c>
      <c r="S98" s="43">
        <v>0</v>
      </c>
      <c r="T98" s="43">
        <v>0</v>
      </c>
      <c r="U98" s="43">
        <v>0</v>
      </c>
      <c r="V98" s="44">
        <v>0</v>
      </c>
      <c r="W98" s="24"/>
    </row>
    <row r="99" spans="1:23" ht="21.75">
      <c r="A99" s="36">
        <v>601</v>
      </c>
      <c r="B99" s="37">
        <v>6</v>
      </c>
      <c r="C99" s="45">
        <v>96</v>
      </c>
      <c r="D99" s="46" t="s">
        <v>303</v>
      </c>
      <c r="E99" s="47" t="s">
        <v>304</v>
      </c>
      <c r="F99" s="48">
        <v>44299247</v>
      </c>
      <c r="G99" s="49"/>
      <c r="H99" s="43">
        <f t="shared" si="1"/>
        <v>0</v>
      </c>
      <c r="I99" s="43">
        <v>0</v>
      </c>
      <c r="J99" s="43">
        <v>44299247</v>
      </c>
      <c r="K99" s="43">
        <v>0</v>
      </c>
      <c r="L99" s="43">
        <v>0</v>
      </c>
      <c r="M99" s="43">
        <v>0</v>
      </c>
      <c r="N99" s="43">
        <v>0</v>
      </c>
      <c r="O99" s="43">
        <v>0</v>
      </c>
      <c r="P99" s="43">
        <v>0</v>
      </c>
      <c r="Q99" s="43">
        <v>0</v>
      </c>
      <c r="R99" s="43">
        <v>0</v>
      </c>
      <c r="S99" s="43">
        <v>0</v>
      </c>
      <c r="T99" s="43">
        <v>0</v>
      </c>
      <c r="U99" s="43">
        <v>0</v>
      </c>
      <c r="V99" s="44">
        <v>0</v>
      </c>
      <c r="W99" s="24"/>
    </row>
    <row r="100" spans="1:23" ht="21.75">
      <c r="A100" s="36">
        <v>1202</v>
      </c>
      <c r="B100" s="37">
        <v>12</v>
      </c>
      <c r="C100" s="45">
        <v>97</v>
      </c>
      <c r="D100" s="46" t="s">
        <v>305</v>
      </c>
      <c r="E100" s="47" t="s">
        <v>172</v>
      </c>
      <c r="F100" s="48">
        <v>-772499035</v>
      </c>
      <c r="G100" s="48">
        <v>772499035</v>
      </c>
      <c r="H100" s="43">
        <f t="shared" si="1"/>
        <v>0</v>
      </c>
      <c r="I100" s="43">
        <v>0</v>
      </c>
      <c r="J100" s="43">
        <v>0</v>
      </c>
      <c r="K100" s="43">
        <v>0</v>
      </c>
      <c r="L100" s="43">
        <v>0</v>
      </c>
      <c r="M100" s="43">
        <v>0</v>
      </c>
      <c r="N100" s="43">
        <v>0</v>
      </c>
      <c r="O100" s="43">
        <v>0</v>
      </c>
      <c r="P100" s="43">
        <v>0</v>
      </c>
      <c r="Q100" s="43">
        <v>-772499035</v>
      </c>
      <c r="R100" s="43">
        <v>0</v>
      </c>
      <c r="S100" s="43">
        <v>0</v>
      </c>
      <c r="T100" s="43">
        <v>0</v>
      </c>
      <c r="U100" s="43">
        <v>0</v>
      </c>
      <c r="V100" s="44">
        <v>0</v>
      </c>
      <c r="W100" s="24"/>
    </row>
    <row r="101" spans="1:23" ht="21.75">
      <c r="A101" s="36">
        <v>1202</v>
      </c>
      <c r="B101" s="37">
        <v>12</v>
      </c>
      <c r="C101" s="45">
        <v>98</v>
      </c>
      <c r="D101" s="46" t="s">
        <v>306</v>
      </c>
      <c r="E101" s="47" t="s">
        <v>307</v>
      </c>
      <c r="F101" s="48">
        <v>-202440823</v>
      </c>
      <c r="G101" s="48">
        <v>202440823</v>
      </c>
      <c r="H101" s="43">
        <f t="shared" si="1"/>
        <v>0</v>
      </c>
      <c r="I101" s="43">
        <v>0</v>
      </c>
      <c r="J101" s="43">
        <v>0</v>
      </c>
      <c r="K101" s="43">
        <v>0</v>
      </c>
      <c r="L101" s="43">
        <v>0</v>
      </c>
      <c r="M101" s="43">
        <v>0</v>
      </c>
      <c r="N101" s="43">
        <v>0</v>
      </c>
      <c r="O101" s="43">
        <v>0</v>
      </c>
      <c r="P101" s="43">
        <v>0</v>
      </c>
      <c r="Q101" s="43">
        <v>-202440823</v>
      </c>
      <c r="R101" s="43">
        <v>0</v>
      </c>
      <c r="S101" s="43">
        <v>0</v>
      </c>
      <c r="T101" s="43">
        <v>0</v>
      </c>
      <c r="U101" s="43">
        <v>0</v>
      </c>
      <c r="V101" s="44">
        <v>0</v>
      </c>
      <c r="W101" s="24"/>
    </row>
    <row r="102" spans="1:23" ht="21.75">
      <c r="A102" s="36">
        <v>1202</v>
      </c>
      <c r="B102" s="37">
        <v>12</v>
      </c>
      <c r="C102" s="45">
        <v>99</v>
      </c>
      <c r="D102" s="46" t="s">
        <v>308</v>
      </c>
      <c r="E102" s="47" t="s">
        <v>309</v>
      </c>
      <c r="F102" s="48">
        <v>-18374388</v>
      </c>
      <c r="G102" s="48">
        <v>18374388</v>
      </c>
      <c r="H102" s="43">
        <f t="shared" si="1"/>
        <v>0</v>
      </c>
      <c r="I102" s="43">
        <v>0</v>
      </c>
      <c r="J102" s="43">
        <v>0</v>
      </c>
      <c r="K102" s="43">
        <v>0</v>
      </c>
      <c r="L102" s="43">
        <v>0</v>
      </c>
      <c r="M102" s="43">
        <v>0</v>
      </c>
      <c r="N102" s="43">
        <v>0</v>
      </c>
      <c r="O102" s="43">
        <v>0</v>
      </c>
      <c r="P102" s="43">
        <v>0</v>
      </c>
      <c r="Q102" s="43">
        <v>-18374388</v>
      </c>
      <c r="R102" s="43">
        <v>0</v>
      </c>
      <c r="S102" s="43">
        <v>0</v>
      </c>
      <c r="T102" s="43">
        <v>0</v>
      </c>
      <c r="U102" s="43">
        <v>0</v>
      </c>
      <c r="V102" s="44">
        <v>0</v>
      </c>
      <c r="W102" s="24"/>
    </row>
    <row r="103" spans="1:23" ht="21.75">
      <c r="A103" s="36">
        <v>1202</v>
      </c>
      <c r="B103" s="37">
        <v>12</v>
      </c>
      <c r="C103" s="45">
        <v>100</v>
      </c>
      <c r="D103" s="46" t="s">
        <v>310</v>
      </c>
      <c r="E103" s="47" t="s">
        <v>108</v>
      </c>
      <c r="F103" s="48">
        <v>-28702140</v>
      </c>
      <c r="G103" s="48">
        <v>28702140</v>
      </c>
      <c r="H103" s="43">
        <f t="shared" si="1"/>
        <v>0</v>
      </c>
      <c r="I103" s="43">
        <v>0</v>
      </c>
      <c r="J103" s="43">
        <v>0</v>
      </c>
      <c r="K103" s="43">
        <v>0</v>
      </c>
      <c r="L103" s="43">
        <v>0</v>
      </c>
      <c r="M103" s="43">
        <v>0</v>
      </c>
      <c r="N103" s="43">
        <v>0</v>
      </c>
      <c r="O103" s="43">
        <v>0</v>
      </c>
      <c r="P103" s="43">
        <v>0</v>
      </c>
      <c r="Q103" s="43">
        <v>-28702140</v>
      </c>
      <c r="R103" s="43">
        <v>0</v>
      </c>
      <c r="S103" s="43">
        <v>0</v>
      </c>
      <c r="T103" s="43">
        <v>0</v>
      </c>
      <c r="U103" s="43">
        <v>0</v>
      </c>
      <c r="V103" s="44">
        <v>0</v>
      </c>
      <c r="W103" s="24"/>
    </row>
    <row r="104" spans="1:23" ht="21.75">
      <c r="A104" s="36">
        <v>601</v>
      </c>
      <c r="B104" s="37">
        <v>6</v>
      </c>
      <c r="C104" s="45">
        <v>101</v>
      </c>
      <c r="D104" s="46" t="s">
        <v>109</v>
      </c>
      <c r="E104" s="47" t="s">
        <v>173</v>
      </c>
      <c r="F104" s="48">
        <v>608256000</v>
      </c>
      <c r="G104" s="49"/>
      <c r="H104" s="43">
        <f t="shared" si="1"/>
        <v>0</v>
      </c>
      <c r="I104" s="43">
        <v>0</v>
      </c>
      <c r="J104" s="43">
        <v>608256000</v>
      </c>
      <c r="K104" s="43">
        <v>0</v>
      </c>
      <c r="L104" s="43">
        <v>0</v>
      </c>
      <c r="M104" s="43">
        <v>0</v>
      </c>
      <c r="N104" s="43">
        <v>0</v>
      </c>
      <c r="O104" s="43">
        <v>0</v>
      </c>
      <c r="P104" s="43">
        <v>0</v>
      </c>
      <c r="Q104" s="43">
        <v>0</v>
      </c>
      <c r="R104" s="43">
        <v>0</v>
      </c>
      <c r="S104" s="43">
        <v>0</v>
      </c>
      <c r="T104" s="43">
        <v>0</v>
      </c>
      <c r="U104" s="43">
        <v>0</v>
      </c>
      <c r="V104" s="44">
        <v>0</v>
      </c>
      <c r="W104" s="24"/>
    </row>
    <row r="105" spans="1:23" ht="21.75">
      <c r="A105" s="36">
        <v>601</v>
      </c>
      <c r="B105" s="37">
        <v>6</v>
      </c>
      <c r="C105" s="45">
        <v>102</v>
      </c>
      <c r="D105" s="46" t="s">
        <v>110</v>
      </c>
      <c r="E105" s="47" t="s">
        <v>174</v>
      </c>
      <c r="F105" s="48">
        <v>225492627</v>
      </c>
      <c r="G105" s="49"/>
      <c r="H105" s="43">
        <f t="shared" si="1"/>
        <v>0</v>
      </c>
      <c r="I105" s="43">
        <v>0</v>
      </c>
      <c r="J105" s="43">
        <v>225492627</v>
      </c>
      <c r="K105" s="43">
        <v>0</v>
      </c>
      <c r="L105" s="43">
        <v>0</v>
      </c>
      <c r="M105" s="43">
        <v>0</v>
      </c>
      <c r="N105" s="43">
        <v>0</v>
      </c>
      <c r="O105" s="43">
        <v>0</v>
      </c>
      <c r="P105" s="43">
        <v>0</v>
      </c>
      <c r="Q105" s="43">
        <v>0</v>
      </c>
      <c r="R105" s="43">
        <v>0</v>
      </c>
      <c r="S105" s="43">
        <v>0</v>
      </c>
      <c r="T105" s="43">
        <v>0</v>
      </c>
      <c r="U105" s="43">
        <v>0</v>
      </c>
      <c r="V105" s="44">
        <v>0</v>
      </c>
      <c r="W105" s="24"/>
    </row>
    <row r="106" spans="1:23" ht="21.75">
      <c r="A106" s="36">
        <v>601</v>
      </c>
      <c r="B106" s="37">
        <v>6</v>
      </c>
      <c r="C106" s="45">
        <v>103</v>
      </c>
      <c r="D106" s="46" t="s">
        <v>335</v>
      </c>
      <c r="E106" s="47" t="s">
        <v>175</v>
      </c>
      <c r="F106" s="48">
        <v>5181185</v>
      </c>
      <c r="G106" s="49"/>
      <c r="H106" s="43">
        <f t="shared" si="1"/>
        <v>0</v>
      </c>
      <c r="I106" s="43">
        <v>0</v>
      </c>
      <c r="J106" s="43">
        <v>5181185</v>
      </c>
      <c r="K106" s="43">
        <v>0</v>
      </c>
      <c r="L106" s="43">
        <v>0</v>
      </c>
      <c r="M106" s="43">
        <v>0</v>
      </c>
      <c r="N106" s="43">
        <v>0</v>
      </c>
      <c r="O106" s="43">
        <v>0</v>
      </c>
      <c r="P106" s="43">
        <v>0</v>
      </c>
      <c r="Q106" s="43">
        <v>0</v>
      </c>
      <c r="R106" s="43">
        <v>0</v>
      </c>
      <c r="S106" s="43">
        <v>0</v>
      </c>
      <c r="T106" s="43">
        <v>0</v>
      </c>
      <c r="U106" s="43">
        <v>0</v>
      </c>
      <c r="V106" s="44">
        <v>0</v>
      </c>
      <c r="W106" s="24"/>
    </row>
    <row r="107" spans="1:23" ht="21.75">
      <c r="A107" s="36">
        <v>601</v>
      </c>
      <c r="B107" s="37">
        <v>6</v>
      </c>
      <c r="C107" s="45">
        <v>104</v>
      </c>
      <c r="D107" s="46" t="s">
        <v>336</v>
      </c>
      <c r="E107" s="47" t="s">
        <v>337</v>
      </c>
      <c r="F107" s="48">
        <v>5238000000</v>
      </c>
      <c r="G107" s="49"/>
      <c r="H107" s="43">
        <f t="shared" si="1"/>
        <v>0</v>
      </c>
      <c r="I107" s="43">
        <v>0</v>
      </c>
      <c r="J107" s="43">
        <v>5238000000</v>
      </c>
      <c r="K107" s="43">
        <v>0</v>
      </c>
      <c r="L107" s="43">
        <v>0</v>
      </c>
      <c r="M107" s="43">
        <v>0</v>
      </c>
      <c r="N107" s="43">
        <v>0</v>
      </c>
      <c r="O107" s="43">
        <v>0</v>
      </c>
      <c r="P107" s="43">
        <v>0</v>
      </c>
      <c r="Q107" s="43">
        <v>0</v>
      </c>
      <c r="R107" s="43">
        <v>0</v>
      </c>
      <c r="S107" s="43">
        <v>0</v>
      </c>
      <c r="T107" s="43">
        <v>0</v>
      </c>
      <c r="U107" s="43">
        <v>0</v>
      </c>
      <c r="V107" s="44">
        <v>0</v>
      </c>
      <c r="W107" s="24"/>
    </row>
    <row r="108" spans="1:23" ht="21.75">
      <c r="A108" s="36">
        <v>503</v>
      </c>
      <c r="B108" s="37">
        <v>5</v>
      </c>
      <c r="C108" s="45">
        <v>105</v>
      </c>
      <c r="D108" s="46" t="s">
        <v>336</v>
      </c>
      <c r="E108" s="47" t="s">
        <v>337</v>
      </c>
      <c r="F108" s="48">
        <v>1377089272</v>
      </c>
      <c r="G108" s="49"/>
      <c r="H108" s="43">
        <f t="shared" si="1"/>
        <v>0</v>
      </c>
      <c r="I108" s="43">
        <v>1377089272</v>
      </c>
      <c r="J108" s="43">
        <v>0</v>
      </c>
      <c r="K108" s="43">
        <v>0</v>
      </c>
      <c r="L108" s="43">
        <v>0</v>
      </c>
      <c r="M108" s="43">
        <v>0</v>
      </c>
      <c r="N108" s="43">
        <v>0</v>
      </c>
      <c r="O108" s="43">
        <v>0</v>
      </c>
      <c r="P108" s="43">
        <v>0</v>
      </c>
      <c r="Q108" s="43">
        <v>0</v>
      </c>
      <c r="R108" s="43">
        <v>0</v>
      </c>
      <c r="S108" s="43">
        <v>0</v>
      </c>
      <c r="T108" s="43">
        <v>0</v>
      </c>
      <c r="U108" s="43">
        <v>0</v>
      </c>
      <c r="V108" s="44">
        <v>0</v>
      </c>
      <c r="W108" s="24"/>
    </row>
    <row r="109" spans="1:23" ht="21.75">
      <c r="A109" s="36">
        <v>1202</v>
      </c>
      <c r="B109" s="37">
        <v>12</v>
      </c>
      <c r="C109" s="45">
        <v>106</v>
      </c>
      <c r="D109" s="46" t="s">
        <v>338</v>
      </c>
      <c r="E109" s="47" t="s">
        <v>152</v>
      </c>
      <c r="F109" s="48">
        <v>-9342497181</v>
      </c>
      <c r="G109" s="48">
        <v>9342497181</v>
      </c>
      <c r="H109" s="43">
        <f t="shared" si="1"/>
        <v>0</v>
      </c>
      <c r="I109" s="43">
        <v>0</v>
      </c>
      <c r="J109" s="43">
        <v>0</v>
      </c>
      <c r="K109" s="43">
        <v>0</v>
      </c>
      <c r="L109" s="43">
        <v>0</v>
      </c>
      <c r="M109" s="43">
        <v>0</v>
      </c>
      <c r="N109" s="43">
        <v>0</v>
      </c>
      <c r="O109" s="43">
        <v>0</v>
      </c>
      <c r="P109" s="43">
        <v>0</v>
      </c>
      <c r="Q109" s="43">
        <v>-9342497181</v>
      </c>
      <c r="R109" s="43">
        <v>0</v>
      </c>
      <c r="S109" s="43">
        <v>0</v>
      </c>
      <c r="T109" s="43">
        <v>0</v>
      </c>
      <c r="U109" s="43">
        <v>0</v>
      </c>
      <c r="V109" s="44">
        <v>0</v>
      </c>
      <c r="W109" s="24"/>
    </row>
    <row r="110" spans="1:23" ht="21.75">
      <c r="A110" s="36">
        <v>601</v>
      </c>
      <c r="B110" s="37">
        <v>6</v>
      </c>
      <c r="C110" s="45">
        <v>107</v>
      </c>
      <c r="D110" s="46" t="s">
        <v>527</v>
      </c>
      <c r="E110" s="47" t="s">
        <v>528</v>
      </c>
      <c r="F110" s="48">
        <v>457317997</v>
      </c>
      <c r="G110" s="49"/>
      <c r="H110" s="43">
        <f t="shared" si="1"/>
        <v>0</v>
      </c>
      <c r="I110" s="43">
        <v>0</v>
      </c>
      <c r="J110" s="43">
        <v>457317997</v>
      </c>
      <c r="K110" s="43">
        <v>0</v>
      </c>
      <c r="L110" s="43">
        <v>0</v>
      </c>
      <c r="M110" s="43">
        <v>0</v>
      </c>
      <c r="N110" s="43">
        <v>0</v>
      </c>
      <c r="O110" s="43">
        <v>0</v>
      </c>
      <c r="P110" s="43">
        <v>0</v>
      </c>
      <c r="Q110" s="43">
        <v>0</v>
      </c>
      <c r="R110" s="43">
        <v>0</v>
      </c>
      <c r="S110" s="43">
        <v>0</v>
      </c>
      <c r="T110" s="43">
        <v>0</v>
      </c>
      <c r="U110" s="43">
        <v>0</v>
      </c>
      <c r="V110" s="44">
        <v>0</v>
      </c>
      <c r="W110" s="24"/>
    </row>
    <row r="111" spans="1:23" ht="21.75">
      <c r="A111" s="36">
        <v>1202</v>
      </c>
      <c r="B111" s="37">
        <v>12</v>
      </c>
      <c r="C111" s="45">
        <v>108</v>
      </c>
      <c r="D111" s="46" t="s">
        <v>529</v>
      </c>
      <c r="E111" s="47" t="s">
        <v>156</v>
      </c>
      <c r="F111" s="48">
        <v>-5945128972</v>
      </c>
      <c r="G111" s="48">
        <v>5945128972</v>
      </c>
      <c r="H111" s="43">
        <f t="shared" si="1"/>
        <v>0</v>
      </c>
      <c r="I111" s="43">
        <v>0</v>
      </c>
      <c r="J111" s="43">
        <v>0</v>
      </c>
      <c r="K111" s="43">
        <v>0</v>
      </c>
      <c r="L111" s="43">
        <v>0</v>
      </c>
      <c r="M111" s="43">
        <v>0</v>
      </c>
      <c r="N111" s="43">
        <v>0</v>
      </c>
      <c r="O111" s="43">
        <v>0</v>
      </c>
      <c r="P111" s="43">
        <v>0</v>
      </c>
      <c r="Q111" s="43">
        <v>-5945128972</v>
      </c>
      <c r="R111" s="43">
        <v>0</v>
      </c>
      <c r="S111" s="43">
        <v>0</v>
      </c>
      <c r="T111" s="43">
        <v>0</v>
      </c>
      <c r="U111" s="43">
        <v>0</v>
      </c>
      <c r="V111" s="44">
        <v>0</v>
      </c>
      <c r="W111" s="24"/>
    </row>
    <row r="112" spans="1:23" ht="21.75">
      <c r="A112" s="36">
        <v>601</v>
      </c>
      <c r="B112" s="37">
        <v>6</v>
      </c>
      <c r="C112" s="45">
        <v>109</v>
      </c>
      <c r="D112" s="46" t="s">
        <v>157</v>
      </c>
      <c r="E112" s="47" t="s">
        <v>558</v>
      </c>
      <c r="F112" s="48">
        <v>263153974</v>
      </c>
      <c r="G112" s="49"/>
      <c r="H112" s="43">
        <f t="shared" si="1"/>
        <v>0</v>
      </c>
      <c r="I112" s="43">
        <v>0</v>
      </c>
      <c r="J112" s="43">
        <v>263153974</v>
      </c>
      <c r="K112" s="43">
        <v>0</v>
      </c>
      <c r="L112" s="43">
        <v>0</v>
      </c>
      <c r="M112" s="43">
        <v>0</v>
      </c>
      <c r="N112" s="43">
        <v>0</v>
      </c>
      <c r="O112" s="43">
        <v>0</v>
      </c>
      <c r="P112" s="43">
        <v>0</v>
      </c>
      <c r="Q112" s="43">
        <v>0</v>
      </c>
      <c r="R112" s="43">
        <v>0</v>
      </c>
      <c r="S112" s="43">
        <v>0</v>
      </c>
      <c r="T112" s="43">
        <v>0</v>
      </c>
      <c r="U112" s="43">
        <v>0</v>
      </c>
      <c r="V112" s="44">
        <v>0</v>
      </c>
      <c r="W112" s="24"/>
    </row>
    <row r="113" spans="1:23" ht="21.75">
      <c r="A113" s="36">
        <v>1202</v>
      </c>
      <c r="B113" s="37">
        <v>12</v>
      </c>
      <c r="C113" s="45">
        <v>110</v>
      </c>
      <c r="D113" s="46"/>
      <c r="E113" s="47"/>
      <c r="F113" s="50">
        <v>-3690228003</v>
      </c>
      <c r="G113" s="49"/>
      <c r="H113" s="43">
        <f t="shared" si="1"/>
        <v>0</v>
      </c>
      <c r="I113" s="43">
        <v>0</v>
      </c>
      <c r="J113" s="43">
        <v>0</v>
      </c>
      <c r="K113" s="43">
        <v>0</v>
      </c>
      <c r="L113" s="43">
        <v>0</v>
      </c>
      <c r="M113" s="43">
        <v>0</v>
      </c>
      <c r="N113" s="43">
        <v>0</v>
      </c>
      <c r="O113" s="43">
        <v>0</v>
      </c>
      <c r="P113" s="43">
        <v>0</v>
      </c>
      <c r="Q113" s="43">
        <v>-3690228003</v>
      </c>
      <c r="R113" s="43">
        <v>0</v>
      </c>
      <c r="S113" s="43">
        <v>0</v>
      </c>
      <c r="T113" s="43">
        <v>0</v>
      </c>
      <c r="U113" s="43">
        <v>0</v>
      </c>
      <c r="V113" s="44">
        <v>0</v>
      </c>
      <c r="W113" s="24"/>
    </row>
    <row r="114" spans="1:23" ht="21.75">
      <c r="A114" s="36">
        <v>1202</v>
      </c>
      <c r="B114" s="37">
        <v>12</v>
      </c>
      <c r="C114" s="45">
        <v>111</v>
      </c>
      <c r="D114" s="46" t="s">
        <v>158</v>
      </c>
      <c r="E114" s="47" t="s">
        <v>159</v>
      </c>
      <c r="F114" s="48">
        <v>-3235855199</v>
      </c>
      <c r="G114" s="48">
        <v>3235855199</v>
      </c>
      <c r="H114" s="43">
        <f t="shared" si="1"/>
        <v>0</v>
      </c>
      <c r="I114" s="43">
        <v>0</v>
      </c>
      <c r="J114" s="43">
        <v>0</v>
      </c>
      <c r="K114" s="43">
        <v>0</v>
      </c>
      <c r="L114" s="43">
        <v>0</v>
      </c>
      <c r="M114" s="43">
        <v>0</v>
      </c>
      <c r="N114" s="43">
        <v>0</v>
      </c>
      <c r="O114" s="43">
        <v>0</v>
      </c>
      <c r="P114" s="43">
        <v>0</v>
      </c>
      <c r="Q114" s="43">
        <v>-3235855199</v>
      </c>
      <c r="R114" s="43">
        <v>0</v>
      </c>
      <c r="S114" s="43">
        <v>0</v>
      </c>
      <c r="T114" s="43">
        <v>0</v>
      </c>
      <c r="U114" s="43">
        <v>0</v>
      </c>
      <c r="V114" s="44">
        <v>0</v>
      </c>
      <c r="W114" s="24"/>
    </row>
    <row r="115" spans="1:23" ht="21.75">
      <c r="A115" s="36">
        <v>1202</v>
      </c>
      <c r="B115" s="37">
        <v>12</v>
      </c>
      <c r="C115" s="45">
        <v>112</v>
      </c>
      <c r="D115" s="46" t="s">
        <v>521</v>
      </c>
      <c r="E115" s="47" t="s">
        <v>207</v>
      </c>
      <c r="F115" s="48">
        <v>-19991818404</v>
      </c>
      <c r="G115" s="48">
        <v>11630393026</v>
      </c>
      <c r="H115" s="43">
        <f t="shared" si="1"/>
        <v>0</v>
      </c>
      <c r="I115" s="43">
        <v>0</v>
      </c>
      <c r="J115" s="43">
        <v>0</v>
      </c>
      <c r="K115" s="43">
        <v>0</v>
      </c>
      <c r="L115" s="43">
        <v>0</v>
      </c>
      <c r="M115" s="43">
        <v>0</v>
      </c>
      <c r="N115" s="43">
        <v>0</v>
      </c>
      <c r="O115" s="43">
        <v>0</v>
      </c>
      <c r="P115" s="43">
        <v>0</v>
      </c>
      <c r="Q115" s="43">
        <v>-19991818404</v>
      </c>
      <c r="R115" s="43">
        <v>0</v>
      </c>
      <c r="S115" s="43">
        <v>0</v>
      </c>
      <c r="T115" s="43">
        <v>0</v>
      </c>
      <c r="U115" s="43">
        <v>0</v>
      </c>
      <c r="V115" s="44">
        <v>0</v>
      </c>
      <c r="W115" s="24"/>
    </row>
    <row r="116" spans="1:23" ht="21.75">
      <c r="A116" s="36">
        <v>1202</v>
      </c>
      <c r="B116" s="37">
        <v>12</v>
      </c>
      <c r="C116" s="45">
        <v>113</v>
      </c>
      <c r="D116" s="46" t="s">
        <v>208</v>
      </c>
      <c r="E116" s="47" t="s">
        <v>209</v>
      </c>
      <c r="F116" s="48">
        <v>-1555610105</v>
      </c>
      <c r="G116" s="48">
        <v>1555610105</v>
      </c>
      <c r="H116" s="43">
        <f t="shared" si="1"/>
        <v>0</v>
      </c>
      <c r="I116" s="43">
        <v>0</v>
      </c>
      <c r="J116" s="43">
        <v>0</v>
      </c>
      <c r="K116" s="43">
        <v>0</v>
      </c>
      <c r="L116" s="43">
        <v>0</v>
      </c>
      <c r="M116" s="43">
        <v>0</v>
      </c>
      <c r="N116" s="43">
        <v>0</v>
      </c>
      <c r="O116" s="43">
        <v>0</v>
      </c>
      <c r="P116" s="43">
        <v>0</v>
      </c>
      <c r="Q116" s="43">
        <v>-1555610105</v>
      </c>
      <c r="R116" s="43">
        <v>0</v>
      </c>
      <c r="S116" s="43">
        <v>0</v>
      </c>
      <c r="T116" s="43">
        <v>0</v>
      </c>
      <c r="U116" s="43">
        <v>0</v>
      </c>
      <c r="V116" s="44">
        <v>0</v>
      </c>
      <c r="W116" s="24"/>
    </row>
    <row r="117" spans="1:23" ht="21.75">
      <c r="A117" s="36">
        <v>1202</v>
      </c>
      <c r="B117" s="37">
        <v>12</v>
      </c>
      <c r="C117" s="45">
        <v>114</v>
      </c>
      <c r="D117" s="46" t="s">
        <v>343</v>
      </c>
      <c r="E117" s="47" t="s">
        <v>344</v>
      </c>
      <c r="F117" s="48">
        <v>-3179245660</v>
      </c>
      <c r="G117" s="48">
        <v>3179245660</v>
      </c>
      <c r="H117" s="43">
        <f t="shared" si="1"/>
        <v>0</v>
      </c>
      <c r="I117" s="43">
        <v>0</v>
      </c>
      <c r="J117" s="43">
        <v>0</v>
      </c>
      <c r="K117" s="43">
        <v>0</v>
      </c>
      <c r="L117" s="43">
        <v>0</v>
      </c>
      <c r="M117" s="43">
        <v>0</v>
      </c>
      <c r="N117" s="43">
        <v>0</v>
      </c>
      <c r="O117" s="43">
        <v>0</v>
      </c>
      <c r="P117" s="43">
        <v>0</v>
      </c>
      <c r="Q117" s="43">
        <v>-3179245660</v>
      </c>
      <c r="R117" s="43">
        <v>0</v>
      </c>
      <c r="S117" s="43">
        <v>0</v>
      </c>
      <c r="T117" s="43">
        <v>0</v>
      </c>
      <c r="U117" s="43">
        <v>0</v>
      </c>
      <c r="V117" s="44">
        <v>0</v>
      </c>
      <c r="W117" s="24"/>
    </row>
    <row r="118" spans="1:23" ht="21.75">
      <c r="A118" s="36">
        <v>601</v>
      </c>
      <c r="B118" s="37">
        <v>6</v>
      </c>
      <c r="C118" s="45">
        <v>115</v>
      </c>
      <c r="D118" s="46" t="s">
        <v>345</v>
      </c>
      <c r="E118" s="47" t="s">
        <v>346</v>
      </c>
      <c r="F118" s="48">
        <v>10761408</v>
      </c>
      <c r="G118" s="49"/>
      <c r="H118" s="43">
        <f t="shared" si="1"/>
        <v>0</v>
      </c>
      <c r="I118" s="43">
        <v>0</v>
      </c>
      <c r="J118" s="43">
        <v>10761408</v>
      </c>
      <c r="K118" s="43">
        <v>0</v>
      </c>
      <c r="L118" s="43">
        <v>0</v>
      </c>
      <c r="M118" s="43">
        <v>0</v>
      </c>
      <c r="N118" s="43">
        <v>0</v>
      </c>
      <c r="O118" s="43">
        <v>0</v>
      </c>
      <c r="P118" s="43">
        <v>0</v>
      </c>
      <c r="Q118" s="43">
        <v>0</v>
      </c>
      <c r="R118" s="43">
        <v>0</v>
      </c>
      <c r="S118" s="43">
        <v>0</v>
      </c>
      <c r="T118" s="43">
        <v>0</v>
      </c>
      <c r="U118" s="43">
        <v>0</v>
      </c>
      <c r="V118" s="44">
        <v>0</v>
      </c>
      <c r="W118" s="24"/>
    </row>
    <row r="119" spans="1:23" ht="21.75">
      <c r="A119" s="36">
        <v>1202</v>
      </c>
      <c r="B119" s="37">
        <v>12</v>
      </c>
      <c r="C119" s="45">
        <v>116</v>
      </c>
      <c r="D119" s="46" t="s">
        <v>347</v>
      </c>
      <c r="E119" s="47" t="s">
        <v>348</v>
      </c>
      <c r="F119" s="48">
        <v>-2723000</v>
      </c>
      <c r="G119" s="48">
        <v>2723000</v>
      </c>
      <c r="H119" s="43">
        <f t="shared" si="1"/>
        <v>0</v>
      </c>
      <c r="I119" s="43">
        <v>0</v>
      </c>
      <c r="J119" s="43">
        <v>0</v>
      </c>
      <c r="K119" s="43">
        <v>0</v>
      </c>
      <c r="L119" s="43">
        <v>0</v>
      </c>
      <c r="M119" s="43">
        <v>0</v>
      </c>
      <c r="N119" s="43">
        <v>0</v>
      </c>
      <c r="O119" s="43">
        <v>0</v>
      </c>
      <c r="P119" s="43">
        <v>0</v>
      </c>
      <c r="Q119" s="43">
        <v>-2723000</v>
      </c>
      <c r="R119" s="43">
        <v>0</v>
      </c>
      <c r="S119" s="43">
        <v>0</v>
      </c>
      <c r="T119" s="43">
        <v>0</v>
      </c>
      <c r="U119" s="43">
        <v>0</v>
      </c>
      <c r="V119" s="44">
        <v>0</v>
      </c>
      <c r="W119" s="24"/>
    </row>
    <row r="120" spans="1:23" ht="21.75">
      <c r="A120" s="36">
        <v>1202</v>
      </c>
      <c r="B120" s="37">
        <v>12</v>
      </c>
      <c r="C120" s="45">
        <v>117</v>
      </c>
      <c r="D120" s="46" t="s">
        <v>349</v>
      </c>
      <c r="E120" s="47" t="s">
        <v>285</v>
      </c>
      <c r="F120" s="48">
        <v>-1820613920</v>
      </c>
      <c r="G120" s="48">
        <v>1820613920</v>
      </c>
      <c r="H120" s="43">
        <f t="shared" si="1"/>
        <v>0</v>
      </c>
      <c r="I120" s="43">
        <v>0</v>
      </c>
      <c r="J120" s="43">
        <v>0</v>
      </c>
      <c r="K120" s="43">
        <v>0</v>
      </c>
      <c r="L120" s="43">
        <v>0</v>
      </c>
      <c r="M120" s="43">
        <v>0</v>
      </c>
      <c r="N120" s="43">
        <v>0</v>
      </c>
      <c r="O120" s="43">
        <v>0</v>
      </c>
      <c r="P120" s="43">
        <v>0</v>
      </c>
      <c r="Q120" s="43">
        <v>-1820613920</v>
      </c>
      <c r="R120" s="43">
        <v>0</v>
      </c>
      <c r="S120" s="43">
        <v>0</v>
      </c>
      <c r="T120" s="43">
        <v>0</v>
      </c>
      <c r="U120" s="43">
        <v>0</v>
      </c>
      <c r="V120" s="44">
        <v>0</v>
      </c>
      <c r="W120" s="24"/>
    </row>
    <row r="121" spans="1:23" ht="21.75">
      <c r="A121" s="36">
        <v>601</v>
      </c>
      <c r="B121" s="37">
        <v>6</v>
      </c>
      <c r="C121" s="45">
        <v>118</v>
      </c>
      <c r="D121" s="46" t="s">
        <v>235</v>
      </c>
      <c r="E121" s="47" t="s">
        <v>236</v>
      </c>
      <c r="F121" s="48">
        <v>5629408</v>
      </c>
      <c r="G121" s="49"/>
      <c r="H121" s="43">
        <f t="shared" si="1"/>
        <v>0</v>
      </c>
      <c r="I121" s="43">
        <v>0</v>
      </c>
      <c r="J121" s="43">
        <v>5629408</v>
      </c>
      <c r="K121" s="43">
        <v>0</v>
      </c>
      <c r="L121" s="43">
        <v>0</v>
      </c>
      <c r="M121" s="43">
        <v>0</v>
      </c>
      <c r="N121" s="43">
        <v>0</v>
      </c>
      <c r="O121" s="43">
        <v>0</v>
      </c>
      <c r="P121" s="43">
        <v>0</v>
      </c>
      <c r="Q121" s="43">
        <v>0</v>
      </c>
      <c r="R121" s="43">
        <v>0</v>
      </c>
      <c r="S121" s="43">
        <v>0</v>
      </c>
      <c r="T121" s="43">
        <v>0</v>
      </c>
      <c r="U121" s="43">
        <v>0</v>
      </c>
      <c r="V121" s="44">
        <v>0</v>
      </c>
      <c r="W121" s="24"/>
    </row>
    <row r="122" spans="1:23" ht="21.75">
      <c r="A122" s="36">
        <v>601</v>
      </c>
      <c r="B122" s="37">
        <v>6</v>
      </c>
      <c r="C122" s="45">
        <v>119</v>
      </c>
      <c r="D122" s="46" t="s">
        <v>237</v>
      </c>
      <c r="E122" s="47" t="s">
        <v>238</v>
      </c>
      <c r="F122" s="48">
        <v>17338884</v>
      </c>
      <c r="G122" s="49"/>
      <c r="H122" s="43">
        <f t="shared" si="1"/>
        <v>0</v>
      </c>
      <c r="I122" s="43">
        <v>0</v>
      </c>
      <c r="J122" s="43">
        <v>17338884</v>
      </c>
      <c r="K122" s="43">
        <v>0</v>
      </c>
      <c r="L122" s="43">
        <v>0</v>
      </c>
      <c r="M122" s="43">
        <v>0</v>
      </c>
      <c r="N122" s="43">
        <v>0</v>
      </c>
      <c r="O122" s="43">
        <v>0</v>
      </c>
      <c r="P122" s="43">
        <v>0</v>
      </c>
      <c r="Q122" s="43">
        <v>0</v>
      </c>
      <c r="R122" s="43">
        <v>0</v>
      </c>
      <c r="S122" s="43">
        <v>0</v>
      </c>
      <c r="T122" s="43">
        <v>0</v>
      </c>
      <c r="U122" s="43">
        <v>0</v>
      </c>
      <c r="V122" s="44">
        <v>0</v>
      </c>
      <c r="W122" s="24"/>
    </row>
    <row r="123" spans="1:23" ht="21.75">
      <c r="A123" s="36">
        <v>1202</v>
      </c>
      <c r="B123" s="37">
        <v>12</v>
      </c>
      <c r="C123" s="45">
        <v>120</v>
      </c>
      <c r="D123" s="46" t="s">
        <v>239</v>
      </c>
      <c r="E123" s="47" t="s">
        <v>240</v>
      </c>
      <c r="F123" s="48">
        <v>-1268247</v>
      </c>
      <c r="G123" s="48">
        <v>1268247</v>
      </c>
      <c r="H123" s="43">
        <f t="shared" si="1"/>
        <v>0</v>
      </c>
      <c r="I123" s="43">
        <v>0</v>
      </c>
      <c r="J123" s="43">
        <v>0</v>
      </c>
      <c r="K123" s="43">
        <v>0</v>
      </c>
      <c r="L123" s="43">
        <v>0</v>
      </c>
      <c r="M123" s="43">
        <v>0</v>
      </c>
      <c r="N123" s="43">
        <v>0</v>
      </c>
      <c r="O123" s="43">
        <v>0</v>
      </c>
      <c r="P123" s="43">
        <v>0</v>
      </c>
      <c r="Q123" s="43">
        <v>-1268247</v>
      </c>
      <c r="R123" s="43">
        <v>0</v>
      </c>
      <c r="S123" s="43">
        <v>0</v>
      </c>
      <c r="T123" s="43">
        <v>0</v>
      </c>
      <c r="U123" s="43">
        <v>0</v>
      </c>
      <c r="V123" s="44">
        <v>0</v>
      </c>
      <c r="W123" s="24"/>
    </row>
    <row r="124" spans="1:23" ht="21.75">
      <c r="A124" s="36">
        <v>601</v>
      </c>
      <c r="B124" s="37">
        <v>6</v>
      </c>
      <c r="C124" s="45">
        <v>121</v>
      </c>
      <c r="D124" s="46" t="s">
        <v>241</v>
      </c>
      <c r="E124" s="47" t="s">
        <v>242</v>
      </c>
      <c r="F124" s="48">
        <v>163503166</v>
      </c>
      <c r="G124" s="49"/>
      <c r="H124" s="43">
        <f t="shared" si="1"/>
        <v>0</v>
      </c>
      <c r="I124" s="43">
        <v>0</v>
      </c>
      <c r="J124" s="43">
        <v>163503166</v>
      </c>
      <c r="K124" s="43">
        <v>0</v>
      </c>
      <c r="L124" s="43">
        <v>0</v>
      </c>
      <c r="M124" s="43">
        <v>0</v>
      </c>
      <c r="N124" s="43">
        <v>0</v>
      </c>
      <c r="O124" s="43">
        <v>0</v>
      </c>
      <c r="P124" s="43">
        <v>0</v>
      </c>
      <c r="Q124" s="43">
        <v>0</v>
      </c>
      <c r="R124" s="43">
        <v>0</v>
      </c>
      <c r="S124" s="43">
        <v>0</v>
      </c>
      <c r="T124" s="43">
        <v>0</v>
      </c>
      <c r="U124" s="43">
        <v>0</v>
      </c>
      <c r="V124" s="44">
        <v>0</v>
      </c>
      <c r="W124" s="24"/>
    </row>
    <row r="125" spans="1:23" ht="21.75">
      <c r="A125" s="36">
        <v>601</v>
      </c>
      <c r="B125" s="37">
        <v>6</v>
      </c>
      <c r="C125" s="45">
        <v>122</v>
      </c>
      <c r="D125" s="46" t="s">
        <v>491</v>
      </c>
      <c r="E125" s="47" t="s">
        <v>492</v>
      </c>
      <c r="F125" s="48">
        <v>484247</v>
      </c>
      <c r="G125" s="49"/>
      <c r="H125" s="43">
        <f t="shared" si="1"/>
        <v>0</v>
      </c>
      <c r="I125" s="43">
        <v>0</v>
      </c>
      <c r="J125" s="43">
        <v>484247</v>
      </c>
      <c r="K125" s="43">
        <v>0</v>
      </c>
      <c r="L125" s="43">
        <v>0</v>
      </c>
      <c r="M125" s="43">
        <v>0</v>
      </c>
      <c r="N125" s="43">
        <v>0</v>
      </c>
      <c r="O125" s="43">
        <v>0</v>
      </c>
      <c r="P125" s="43">
        <v>0</v>
      </c>
      <c r="Q125" s="43">
        <v>0</v>
      </c>
      <c r="R125" s="43">
        <v>0</v>
      </c>
      <c r="S125" s="43">
        <v>0</v>
      </c>
      <c r="T125" s="43">
        <v>0</v>
      </c>
      <c r="U125" s="43">
        <v>0</v>
      </c>
      <c r="V125" s="44">
        <v>0</v>
      </c>
      <c r="W125" s="24"/>
    </row>
    <row r="126" spans="1:23" ht="21.75">
      <c r="A126" s="36">
        <v>601</v>
      </c>
      <c r="B126" s="37">
        <v>6</v>
      </c>
      <c r="C126" s="45">
        <v>123</v>
      </c>
      <c r="D126" s="46" t="s">
        <v>493</v>
      </c>
      <c r="E126" s="47" t="s">
        <v>494</v>
      </c>
      <c r="F126" s="48">
        <v>1018710</v>
      </c>
      <c r="G126" s="49"/>
      <c r="H126" s="43">
        <f t="shared" si="1"/>
        <v>0</v>
      </c>
      <c r="I126" s="43">
        <v>0</v>
      </c>
      <c r="J126" s="43">
        <v>1018710</v>
      </c>
      <c r="K126" s="43">
        <v>0</v>
      </c>
      <c r="L126" s="43">
        <v>0</v>
      </c>
      <c r="M126" s="43">
        <v>0</v>
      </c>
      <c r="N126" s="43">
        <v>0</v>
      </c>
      <c r="O126" s="43">
        <v>0</v>
      </c>
      <c r="P126" s="43">
        <v>0</v>
      </c>
      <c r="Q126" s="43">
        <v>0</v>
      </c>
      <c r="R126" s="43">
        <v>0</v>
      </c>
      <c r="S126" s="43">
        <v>0</v>
      </c>
      <c r="T126" s="43">
        <v>0</v>
      </c>
      <c r="U126" s="43">
        <v>0</v>
      </c>
      <c r="V126" s="44">
        <v>0</v>
      </c>
      <c r="W126" s="24"/>
    </row>
    <row r="127" spans="1:23" ht="21.75">
      <c r="A127" s="36">
        <v>601</v>
      </c>
      <c r="B127" s="37">
        <v>6</v>
      </c>
      <c r="C127" s="45">
        <v>124</v>
      </c>
      <c r="D127" s="46" t="s">
        <v>560</v>
      </c>
      <c r="E127" s="47" t="s">
        <v>115</v>
      </c>
      <c r="F127" s="48">
        <v>42231000</v>
      </c>
      <c r="G127" s="49"/>
      <c r="H127" s="43">
        <f t="shared" si="1"/>
        <v>0</v>
      </c>
      <c r="I127" s="43">
        <v>0</v>
      </c>
      <c r="J127" s="43">
        <v>42231000</v>
      </c>
      <c r="K127" s="43">
        <v>0</v>
      </c>
      <c r="L127" s="43">
        <v>0</v>
      </c>
      <c r="M127" s="43">
        <v>0</v>
      </c>
      <c r="N127" s="43">
        <v>0</v>
      </c>
      <c r="O127" s="43">
        <v>0</v>
      </c>
      <c r="P127" s="43">
        <v>0</v>
      </c>
      <c r="Q127" s="43">
        <v>0</v>
      </c>
      <c r="R127" s="43">
        <v>0</v>
      </c>
      <c r="S127" s="43">
        <v>0</v>
      </c>
      <c r="T127" s="43">
        <v>0</v>
      </c>
      <c r="U127" s="43">
        <v>0</v>
      </c>
      <c r="V127" s="44">
        <v>0</v>
      </c>
      <c r="W127" s="24"/>
    </row>
    <row r="128" spans="1:23" ht="21.75">
      <c r="A128" s="36">
        <v>1212</v>
      </c>
      <c r="B128" s="37">
        <v>12</v>
      </c>
      <c r="C128" s="45">
        <v>125</v>
      </c>
      <c r="D128" s="46" t="s">
        <v>116</v>
      </c>
      <c r="E128" s="47" t="s">
        <v>117</v>
      </c>
      <c r="F128" s="48">
        <v>-22020000</v>
      </c>
      <c r="G128" s="48">
        <v>22020000</v>
      </c>
      <c r="H128" s="43">
        <f t="shared" si="1"/>
        <v>0</v>
      </c>
      <c r="I128" s="43">
        <v>0</v>
      </c>
      <c r="J128" s="43">
        <v>0</v>
      </c>
      <c r="K128" s="43">
        <v>0</v>
      </c>
      <c r="L128" s="43">
        <v>0</v>
      </c>
      <c r="M128" s="43">
        <v>0</v>
      </c>
      <c r="N128" s="43">
        <v>0</v>
      </c>
      <c r="O128" s="43">
        <v>0</v>
      </c>
      <c r="P128" s="43">
        <v>0</v>
      </c>
      <c r="Q128" s="43">
        <v>-22020000</v>
      </c>
      <c r="R128" s="43">
        <v>0</v>
      </c>
      <c r="S128" s="43">
        <v>0</v>
      </c>
      <c r="T128" s="43">
        <v>0</v>
      </c>
      <c r="U128" s="43">
        <v>0</v>
      </c>
      <c r="V128" s="44">
        <v>0</v>
      </c>
      <c r="W128" s="24"/>
    </row>
    <row r="129" spans="1:23" ht="21.75">
      <c r="A129" s="36">
        <v>614</v>
      </c>
      <c r="B129" s="37">
        <v>6</v>
      </c>
      <c r="C129" s="45">
        <v>126</v>
      </c>
      <c r="D129" s="46" t="s">
        <v>485</v>
      </c>
      <c r="E129" s="47" t="s">
        <v>486</v>
      </c>
      <c r="F129" s="48">
        <v>3097560</v>
      </c>
      <c r="G129" s="49"/>
      <c r="H129" s="43">
        <f t="shared" si="1"/>
        <v>0</v>
      </c>
      <c r="I129" s="43">
        <v>0</v>
      </c>
      <c r="J129" s="43">
        <v>3097560</v>
      </c>
      <c r="K129" s="43">
        <v>0</v>
      </c>
      <c r="L129" s="43">
        <v>0</v>
      </c>
      <c r="M129" s="43">
        <v>0</v>
      </c>
      <c r="N129" s="43">
        <v>0</v>
      </c>
      <c r="O129" s="43">
        <v>0</v>
      </c>
      <c r="P129" s="43">
        <v>0</v>
      </c>
      <c r="Q129" s="43">
        <v>0</v>
      </c>
      <c r="R129" s="43">
        <v>0</v>
      </c>
      <c r="S129" s="43">
        <v>0</v>
      </c>
      <c r="T129" s="43">
        <v>0</v>
      </c>
      <c r="U129" s="43">
        <v>0</v>
      </c>
      <c r="V129" s="44">
        <v>0</v>
      </c>
      <c r="W129" s="24"/>
    </row>
    <row r="130" spans="1:23" ht="21.75">
      <c r="A130" s="36">
        <v>1212</v>
      </c>
      <c r="B130" s="37">
        <v>12</v>
      </c>
      <c r="C130" s="45">
        <v>127</v>
      </c>
      <c r="D130" s="46" t="s">
        <v>487</v>
      </c>
      <c r="E130" s="47" t="s">
        <v>488</v>
      </c>
      <c r="F130" s="48">
        <v>-2032500</v>
      </c>
      <c r="G130" s="48">
        <v>2032500</v>
      </c>
      <c r="H130" s="43">
        <f t="shared" si="1"/>
        <v>0</v>
      </c>
      <c r="I130" s="43">
        <v>0</v>
      </c>
      <c r="J130" s="43">
        <v>0</v>
      </c>
      <c r="K130" s="43">
        <v>0</v>
      </c>
      <c r="L130" s="43">
        <v>0</v>
      </c>
      <c r="M130" s="43">
        <v>0</v>
      </c>
      <c r="N130" s="43">
        <v>0</v>
      </c>
      <c r="O130" s="43">
        <v>0</v>
      </c>
      <c r="P130" s="43">
        <v>0</v>
      </c>
      <c r="Q130" s="43">
        <v>-2032500</v>
      </c>
      <c r="R130" s="43">
        <v>0</v>
      </c>
      <c r="S130" s="43">
        <v>0</v>
      </c>
      <c r="T130" s="43">
        <v>0</v>
      </c>
      <c r="U130" s="43">
        <v>0</v>
      </c>
      <c r="V130" s="44">
        <v>0</v>
      </c>
      <c r="W130" s="24"/>
    </row>
    <row r="131" spans="1:23" ht="21.75">
      <c r="A131" s="36">
        <v>614</v>
      </c>
      <c r="B131" s="37">
        <v>6</v>
      </c>
      <c r="C131" s="45">
        <v>128</v>
      </c>
      <c r="D131" s="46" t="s">
        <v>489</v>
      </c>
      <c r="E131" s="47" t="s">
        <v>292</v>
      </c>
      <c r="F131" s="48">
        <v>72320783</v>
      </c>
      <c r="G131" s="49"/>
      <c r="H131" s="43">
        <f t="shared" si="1"/>
        <v>0</v>
      </c>
      <c r="I131" s="43">
        <v>0</v>
      </c>
      <c r="J131" s="43">
        <v>72320783</v>
      </c>
      <c r="K131" s="43">
        <v>0</v>
      </c>
      <c r="L131" s="43">
        <v>0</v>
      </c>
      <c r="M131" s="43">
        <v>0</v>
      </c>
      <c r="N131" s="43">
        <v>0</v>
      </c>
      <c r="O131" s="43">
        <v>0</v>
      </c>
      <c r="P131" s="43">
        <v>0</v>
      </c>
      <c r="Q131" s="43">
        <v>0</v>
      </c>
      <c r="R131" s="43">
        <v>0</v>
      </c>
      <c r="S131" s="43">
        <v>0</v>
      </c>
      <c r="T131" s="43">
        <v>0</v>
      </c>
      <c r="U131" s="43">
        <v>0</v>
      </c>
      <c r="V131" s="44">
        <v>0</v>
      </c>
      <c r="W131" s="24"/>
    </row>
    <row r="132" spans="1:23" ht="21.75">
      <c r="A132" s="36">
        <v>611</v>
      </c>
      <c r="B132" s="37">
        <v>6</v>
      </c>
      <c r="C132" s="45">
        <v>129</v>
      </c>
      <c r="D132" s="46" t="s">
        <v>293</v>
      </c>
      <c r="E132" s="47" t="s">
        <v>467</v>
      </c>
      <c r="F132" s="48">
        <v>12195337816</v>
      </c>
      <c r="G132" s="49"/>
      <c r="H132" s="43">
        <f t="shared" si="1"/>
        <v>0</v>
      </c>
      <c r="I132" s="43">
        <v>0</v>
      </c>
      <c r="J132" s="43">
        <v>12195337816</v>
      </c>
      <c r="K132" s="43">
        <v>0</v>
      </c>
      <c r="L132" s="43">
        <v>0</v>
      </c>
      <c r="M132" s="43">
        <v>0</v>
      </c>
      <c r="N132" s="43">
        <v>0</v>
      </c>
      <c r="O132" s="43">
        <v>0</v>
      </c>
      <c r="P132" s="43">
        <v>0</v>
      </c>
      <c r="Q132" s="43">
        <v>0</v>
      </c>
      <c r="R132" s="43">
        <v>0</v>
      </c>
      <c r="S132" s="43">
        <v>0</v>
      </c>
      <c r="T132" s="43">
        <v>0</v>
      </c>
      <c r="U132" s="43">
        <v>0</v>
      </c>
      <c r="V132" s="44">
        <v>0</v>
      </c>
      <c r="W132" s="24"/>
    </row>
    <row r="133" spans="1:23" ht="21.75">
      <c r="A133" s="36">
        <v>805</v>
      </c>
      <c r="B133" s="37">
        <v>8</v>
      </c>
      <c r="C133" s="45">
        <v>130</v>
      </c>
      <c r="D133" s="46" t="s">
        <v>294</v>
      </c>
      <c r="E133" s="47" t="s">
        <v>295</v>
      </c>
      <c r="F133" s="48">
        <v>3078710255</v>
      </c>
      <c r="G133" s="49"/>
      <c r="H133" s="43">
        <f t="shared" ref="H133:H196" si="2">IF($B133=$H$3,$F133,0)</f>
        <v>0</v>
      </c>
      <c r="I133" s="43">
        <v>0</v>
      </c>
      <c r="J133" s="43">
        <v>0</v>
      </c>
      <c r="K133" s="43">
        <v>0</v>
      </c>
      <c r="L133" s="43">
        <v>3078710255</v>
      </c>
      <c r="M133" s="43">
        <v>0</v>
      </c>
      <c r="N133" s="43">
        <v>0</v>
      </c>
      <c r="O133" s="43">
        <v>0</v>
      </c>
      <c r="P133" s="43">
        <v>0</v>
      </c>
      <c r="Q133" s="43">
        <v>0</v>
      </c>
      <c r="R133" s="43">
        <v>0</v>
      </c>
      <c r="S133" s="43">
        <v>0</v>
      </c>
      <c r="T133" s="43">
        <v>0</v>
      </c>
      <c r="U133" s="43">
        <v>0</v>
      </c>
      <c r="V133" s="44">
        <v>0</v>
      </c>
      <c r="W133" s="24"/>
    </row>
    <row r="134" spans="1:23" ht="21.75">
      <c r="A134" s="36">
        <v>805</v>
      </c>
      <c r="B134" s="37">
        <v>8</v>
      </c>
      <c r="C134" s="45">
        <v>131</v>
      </c>
      <c r="D134" s="46" t="s">
        <v>296</v>
      </c>
      <c r="E134" s="47" t="s">
        <v>297</v>
      </c>
      <c r="F134" s="48">
        <v>217090642734</v>
      </c>
      <c r="G134" s="49"/>
      <c r="H134" s="43">
        <f t="shared" si="2"/>
        <v>0</v>
      </c>
      <c r="I134" s="43">
        <v>0</v>
      </c>
      <c r="J134" s="43">
        <v>0</v>
      </c>
      <c r="K134" s="43">
        <v>0</v>
      </c>
      <c r="L134" s="43">
        <v>217090642734</v>
      </c>
      <c r="M134" s="43">
        <v>0</v>
      </c>
      <c r="N134" s="43">
        <v>0</v>
      </c>
      <c r="O134" s="43">
        <v>0</v>
      </c>
      <c r="P134" s="43">
        <v>0</v>
      </c>
      <c r="Q134" s="43">
        <v>0</v>
      </c>
      <c r="R134" s="43">
        <v>0</v>
      </c>
      <c r="S134" s="43">
        <v>0</v>
      </c>
      <c r="T134" s="43">
        <v>0</v>
      </c>
      <c r="U134" s="43">
        <v>0</v>
      </c>
      <c r="V134" s="44">
        <v>0</v>
      </c>
      <c r="W134" s="24"/>
    </row>
    <row r="135" spans="1:23" ht="21.75">
      <c r="A135" s="36">
        <v>805</v>
      </c>
      <c r="B135" s="37">
        <v>8</v>
      </c>
      <c r="C135" s="45">
        <v>132</v>
      </c>
      <c r="D135" s="46" t="s">
        <v>298</v>
      </c>
      <c r="E135" s="47" t="s">
        <v>78</v>
      </c>
      <c r="F135" s="48">
        <v>-4193017055</v>
      </c>
      <c r="G135" s="48">
        <v>4193017055</v>
      </c>
      <c r="H135" s="43">
        <f t="shared" si="2"/>
        <v>0</v>
      </c>
      <c r="I135" s="43">
        <v>0</v>
      </c>
      <c r="J135" s="43">
        <v>0</v>
      </c>
      <c r="K135" s="43">
        <v>0</v>
      </c>
      <c r="L135" s="43">
        <v>-4193017055</v>
      </c>
      <c r="M135" s="43">
        <v>0</v>
      </c>
      <c r="N135" s="43">
        <v>0</v>
      </c>
      <c r="O135" s="43">
        <v>0</v>
      </c>
      <c r="P135" s="43">
        <v>0</v>
      </c>
      <c r="Q135" s="43">
        <v>0</v>
      </c>
      <c r="R135" s="43">
        <v>0</v>
      </c>
      <c r="S135" s="43">
        <v>0</v>
      </c>
      <c r="T135" s="43">
        <v>0</v>
      </c>
      <c r="U135" s="43">
        <v>0</v>
      </c>
      <c r="V135" s="44">
        <v>0</v>
      </c>
      <c r="W135" s="24"/>
    </row>
    <row r="136" spans="1:23" ht="21.75">
      <c r="A136" s="36">
        <v>805</v>
      </c>
      <c r="B136" s="37">
        <v>8</v>
      </c>
      <c r="C136" s="45">
        <v>133</v>
      </c>
      <c r="D136" s="46" t="s">
        <v>79</v>
      </c>
      <c r="E136" s="47" t="s">
        <v>80</v>
      </c>
      <c r="F136" s="48">
        <v>-13985182555</v>
      </c>
      <c r="G136" s="48">
        <v>13985182555</v>
      </c>
      <c r="H136" s="43">
        <f t="shared" si="2"/>
        <v>0</v>
      </c>
      <c r="I136" s="43">
        <v>0</v>
      </c>
      <c r="J136" s="43">
        <v>0</v>
      </c>
      <c r="K136" s="43">
        <v>0</v>
      </c>
      <c r="L136" s="43">
        <v>-13985182555</v>
      </c>
      <c r="M136" s="43">
        <v>0</v>
      </c>
      <c r="N136" s="43">
        <v>0</v>
      </c>
      <c r="O136" s="43">
        <v>0</v>
      </c>
      <c r="P136" s="43">
        <v>0</v>
      </c>
      <c r="Q136" s="43">
        <v>0</v>
      </c>
      <c r="R136" s="43">
        <v>0</v>
      </c>
      <c r="S136" s="43">
        <v>0</v>
      </c>
      <c r="T136" s="43">
        <v>0</v>
      </c>
      <c r="U136" s="43">
        <v>0</v>
      </c>
      <c r="V136" s="44">
        <v>0</v>
      </c>
      <c r="W136" s="24"/>
    </row>
    <row r="137" spans="1:23" ht="21.75">
      <c r="A137" s="36">
        <v>805</v>
      </c>
      <c r="B137" s="37">
        <v>8</v>
      </c>
      <c r="C137" s="45">
        <v>134</v>
      </c>
      <c r="D137" s="46" t="s">
        <v>443</v>
      </c>
      <c r="E137" s="47" t="s">
        <v>444</v>
      </c>
      <c r="F137" s="48">
        <v>-15272510964</v>
      </c>
      <c r="G137" s="48">
        <v>15272510964</v>
      </c>
      <c r="H137" s="43">
        <f t="shared" si="2"/>
        <v>0</v>
      </c>
      <c r="I137" s="43">
        <v>0</v>
      </c>
      <c r="J137" s="43">
        <v>0</v>
      </c>
      <c r="K137" s="43">
        <v>0</v>
      </c>
      <c r="L137" s="43">
        <v>-15272510964</v>
      </c>
      <c r="M137" s="43">
        <v>0</v>
      </c>
      <c r="N137" s="43">
        <v>0</v>
      </c>
      <c r="O137" s="43">
        <v>0</v>
      </c>
      <c r="P137" s="43">
        <v>0</v>
      </c>
      <c r="Q137" s="43">
        <v>0</v>
      </c>
      <c r="R137" s="43">
        <v>0</v>
      </c>
      <c r="S137" s="43">
        <v>0</v>
      </c>
      <c r="T137" s="43">
        <v>0</v>
      </c>
      <c r="U137" s="43">
        <v>0</v>
      </c>
      <c r="V137" s="44">
        <v>0</v>
      </c>
      <c r="W137" s="24"/>
    </row>
    <row r="138" spans="1:23" ht="21.75">
      <c r="A138" s="36">
        <v>805</v>
      </c>
      <c r="B138" s="37">
        <v>8</v>
      </c>
      <c r="C138" s="45">
        <v>135</v>
      </c>
      <c r="D138" s="46" t="s">
        <v>445</v>
      </c>
      <c r="E138" s="47" t="s">
        <v>446</v>
      </c>
      <c r="F138" s="48">
        <v>179073243</v>
      </c>
      <c r="G138" s="49"/>
      <c r="H138" s="43">
        <f t="shared" si="2"/>
        <v>0</v>
      </c>
      <c r="I138" s="43">
        <v>0</v>
      </c>
      <c r="J138" s="43">
        <v>0</v>
      </c>
      <c r="K138" s="43">
        <v>0</v>
      </c>
      <c r="L138" s="43">
        <v>179073243</v>
      </c>
      <c r="M138" s="43">
        <v>0</v>
      </c>
      <c r="N138" s="43">
        <v>0</v>
      </c>
      <c r="O138" s="43">
        <v>0</v>
      </c>
      <c r="P138" s="43">
        <v>0</v>
      </c>
      <c r="Q138" s="43">
        <v>0</v>
      </c>
      <c r="R138" s="43">
        <v>0</v>
      </c>
      <c r="S138" s="43">
        <v>0</v>
      </c>
      <c r="T138" s="43">
        <v>0</v>
      </c>
      <c r="U138" s="43">
        <v>0</v>
      </c>
      <c r="V138" s="44">
        <v>0</v>
      </c>
      <c r="W138" s="24"/>
    </row>
    <row r="139" spans="1:23" ht="21.75">
      <c r="A139" s="36">
        <v>701</v>
      </c>
      <c r="B139" s="37">
        <v>7</v>
      </c>
      <c r="C139" s="45">
        <v>136</v>
      </c>
      <c r="D139" s="46" t="s">
        <v>447</v>
      </c>
      <c r="E139" s="47" t="s">
        <v>448</v>
      </c>
      <c r="F139" s="48">
        <v>58054696</v>
      </c>
      <c r="G139" s="49"/>
      <c r="H139" s="43">
        <f t="shared" si="2"/>
        <v>0</v>
      </c>
      <c r="I139" s="43">
        <v>0</v>
      </c>
      <c r="J139" s="43">
        <v>0</v>
      </c>
      <c r="K139" s="43">
        <v>58054696</v>
      </c>
      <c r="L139" s="43">
        <v>0</v>
      </c>
      <c r="M139" s="43">
        <v>0</v>
      </c>
      <c r="N139" s="43">
        <v>0</v>
      </c>
      <c r="O139" s="43">
        <v>0</v>
      </c>
      <c r="P139" s="43">
        <v>0</v>
      </c>
      <c r="Q139" s="43">
        <v>0</v>
      </c>
      <c r="R139" s="43">
        <v>0</v>
      </c>
      <c r="S139" s="43">
        <v>0</v>
      </c>
      <c r="T139" s="43">
        <v>0</v>
      </c>
      <c r="U139" s="43">
        <v>0</v>
      </c>
      <c r="V139" s="44">
        <v>0</v>
      </c>
      <c r="W139" s="24"/>
    </row>
    <row r="140" spans="1:23" ht="21.75">
      <c r="A140" s="36">
        <v>701</v>
      </c>
      <c r="B140" s="37">
        <v>7</v>
      </c>
      <c r="C140" s="45">
        <v>137</v>
      </c>
      <c r="D140" s="46" t="s">
        <v>449</v>
      </c>
      <c r="E140" s="47" t="s">
        <v>448</v>
      </c>
      <c r="F140" s="48">
        <v>487794604</v>
      </c>
      <c r="G140" s="49"/>
      <c r="H140" s="43">
        <f t="shared" si="2"/>
        <v>0</v>
      </c>
      <c r="I140" s="43">
        <v>0</v>
      </c>
      <c r="J140" s="43">
        <v>0</v>
      </c>
      <c r="K140" s="43">
        <v>487794604</v>
      </c>
      <c r="L140" s="43">
        <v>0</v>
      </c>
      <c r="M140" s="43">
        <v>0</v>
      </c>
      <c r="N140" s="43">
        <v>0</v>
      </c>
      <c r="O140" s="43">
        <v>0</v>
      </c>
      <c r="P140" s="43">
        <v>0</v>
      </c>
      <c r="Q140" s="43">
        <v>0</v>
      </c>
      <c r="R140" s="43">
        <v>0</v>
      </c>
      <c r="S140" s="43">
        <v>0</v>
      </c>
      <c r="T140" s="43">
        <v>0</v>
      </c>
      <c r="U140" s="43">
        <v>0</v>
      </c>
      <c r="V140" s="44">
        <v>0</v>
      </c>
      <c r="W140" s="24"/>
    </row>
    <row r="141" spans="1:23" ht="21.75">
      <c r="A141" s="36">
        <v>701</v>
      </c>
      <c r="B141" s="37">
        <v>7</v>
      </c>
      <c r="C141" s="45">
        <v>138</v>
      </c>
      <c r="D141" s="46" t="s">
        <v>450</v>
      </c>
      <c r="E141" s="47" t="s">
        <v>451</v>
      </c>
      <c r="F141" s="48">
        <v>3553641</v>
      </c>
      <c r="G141" s="49"/>
      <c r="H141" s="43">
        <f t="shared" si="2"/>
        <v>0</v>
      </c>
      <c r="I141" s="43">
        <v>0</v>
      </c>
      <c r="J141" s="43">
        <v>0</v>
      </c>
      <c r="K141" s="43">
        <v>3553641</v>
      </c>
      <c r="L141" s="43">
        <v>0</v>
      </c>
      <c r="M141" s="43">
        <v>0</v>
      </c>
      <c r="N141" s="43">
        <v>0</v>
      </c>
      <c r="O141" s="43">
        <v>0</v>
      </c>
      <c r="P141" s="43">
        <v>0</v>
      </c>
      <c r="Q141" s="43">
        <v>0</v>
      </c>
      <c r="R141" s="43">
        <v>0</v>
      </c>
      <c r="S141" s="43">
        <v>0</v>
      </c>
      <c r="T141" s="43">
        <v>0</v>
      </c>
      <c r="U141" s="43">
        <v>0</v>
      </c>
      <c r="V141" s="44">
        <v>0</v>
      </c>
      <c r="W141" s="24"/>
    </row>
    <row r="142" spans="1:23" ht="21.75">
      <c r="A142" s="36">
        <v>701</v>
      </c>
      <c r="B142" s="37">
        <v>7</v>
      </c>
      <c r="C142" s="45">
        <v>139</v>
      </c>
      <c r="D142" s="46" t="s">
        <v>452</v>
      </c>
      <c r="E142" s="47" t="s">
        <v>453</v>
      </c>
      <c r="F142" s="48">
        <v>53940391</v>
      </c>
      <c r="G142" s="49"/>
      <c r="H142" s="43">
        <f t="shared" si="2"/>
        <v>0</v>
      </c>
      <c r="I142" s="43">
        <v>0</v>
      </c>
      <c r="J142" s="43">
        <v>0</v>
      </c>
      <c r="K142" s="43">
        <v>53940391</v>
      </c>
      <c r="L142" s="43">
        <v>0</v>
      </c>
      <c r="M142" s="43">
        <v>0</v>
      </c>
      <c r="N142" s="43">
        <v>0</v>
      </c>
      <c r="O142" s="43">
        <v>0</v>
      </c>
      <c r="P142" s="43">
        <v>0</v>
      </c>
      <c r="Q142" s="43">
        <v>0</v>
      </c>
      <c r="R142" s="43">
        <v>0</v>
      </c>
      <c r="S142" s="43">
        <v>0</v>
      </c>
      <c r="T142" s="43">
        <v>0</v>
      </c>
      <c r="U142" s="43">
        <v>0</v>
      </c>
      <c r="V142" s="44">
        <v>0</v>
      </c>
      <c r="W142" s="24"/>
    </row>
    <row r="143" spans="1:23" ht="21.75">
      <c r="A143" s="36">
        <v>701</v>
      </c>
      <c r="B143" s="37">
        <v>7</v>
      </c>
      <c r="C143" s="45">
        <v>140</v>
      </c>
      <c r="D143" s="46" t="s">
        <v>454</v>
      </c>
      <c r="E143" s="47" t="s">
        <v>455</v>
      </c>
      <c r="F143" s="48">
        <v>914641953</v>
      </c>
      <c r="G143" s="49"/>
      <c r="H143" s="43">
        <f t="shared" si="2"/>
        <v>0</v>
      </c>
      <c r="I143" s="43">
        <v>0</v>
      </c>
      <c r="J143" s="43">
        <v>0</v>
      </c>
      <c r="K143" s="43">
        <v>914641953</v>
      </c>
      <c r="L143" s="43">
        <v>0</v>
      </c>
      <c r="M143" s="43">
        <v>0</v>
      </c>
      <c r="N143" s="43">
        <v>0</v>
      </c>
      <c r="O143" s="43">
        <v>0</v>
      </c>
      <c r="P143" s="43">
        <v>0</v>
      </c>
      <c r="Q143" s="43">
        <v>0</v>
      </c>
      <c r="R143" s="43">
        <v>0</v>
      </c>
      <c r="S143" s="43">
        <v>0</v>
      </c>
      <c r="T143" s="43">
        <v>0</v>
      </c>
      <c r="U143" s="43">
        <v>0</v>
      </c>
      <c r="V143" s="44">
        <v>0</v>
      </c>
      <c r="W143" s="24"/>
    </row>
    <row r="144" spans="1:23" ht="21.75">
      <c r="A144" s="36">
        <v>805</v>
      </c>
      <c r="B144" s="37">
        <v>8</v>
      </c>
      <c r="C144" s="45">
        <v>141</v>
      </c>
      <c r="D144" s="46" t="s">
        <v>456</v>
      </c>
      <c r="E144" s="47" t="s">
        <v>457</v>
      </c>
      <c r="F144" s="48">
        <v>-120126360</v>
      </c>
      <c r="G144" s="48">
        <v>120126360</v>
      </c>
      <c r="H144" s="43">
        <f t="shared" si="2"/>
        <v>0</v>
      </c>
      <c r="I144" s="43">
        <v>0</v>
      </c>
      <c r="J144" s="43">
        <v>0</v>
      </c>
      <c r="K144" s="43">
        <v>0</v>
      </c>
      <c r="L144" s="43">
        <v>-120126360</v>
      </c>
      <c r="M144" s="43">
        <v>0</v>
      </c>
      <c r="N144" s="43">
        <v>0</v>
      </c>
      <c r="O144" s="43">
        <v>0</v>
      </c>
      <c r="P144" s="43">
        <v>0</v>
      </c>
      <c r="Q144" s="43">
        <v>0</v>
      </c>
      <c r="R144" s="43">
        <v>0</v>
      </c>
      <c r="S144" s="43">
        <v>0</v>
      </c>
      <c r="T144" s="43">
        <v>0</v>
      </c>
      <c r="U144" s="43">
        <v>0</v>
      </c>
      <c r="V144" s="44">
        <v>0</v>
      </c>
      <c r="W144" s="24"/>
    </row>
    <row r="145" spans="1:23" ht="21.75">
      <c r="A145" s="36">
        <v>801</v>
      </c>
      <c r="B145" s="37">
        <v>8</v>
      </c>
      <c r="C145" s="45">
        <v>142</v>
      </c>
      <c r="D145" s="46" t="s">
        <v>458</v>
      </c>
      <c r="E145" s="47" t="s">
        <v>459</v>
      </c>
      <c r="F145" s="48">
        <v>-24920366496</v>
      </c>
      <c r="G145" s="48">
        <v>24920366496</v>
      </c>
      <c r="H145" s="43">
        <f t="shared" si="2"/>
        <v>0</v>
      </c>
      <c r="I145" s="43">
        <v>0</v>
      </c>
      <c r="J145" s="43">
        <v>0</v>
      </c>
      <c r="K145" s="43">
        <v>0</v>
      </c>
      <c r="L145" s="43">
        <v>-24920366496</v>
      </c>
      <c r="M145" s="43">
        <v>0</v>
      </c>
      <c r="N145" s="43">
        <v>0</v>
      </c>
      <c r="O145" s="43">
        <v>0</v>
      </c>
      <c r="P145" s="43">
        <v>0</v>
      </c>
      <c r="Q145" s="43">
        <v>0</v>
      </c>
      <c r="R145" s="43">
        <v>0</v>
      </c>
      <c r="S145" s="43">
        <v>0</v>
      </c>
      <c r="T145" s="43">
        <v>0</v>
      </c>
      <c r="U145" s="43">
        <v>0</v>
      </c>
      <c r="V145" s="44">
        <v>0</v>
      </c>
      <c r="W145" s="24"/>
    </row>
    <row r="146" spans="1:23" ht="21.75">
      <c r="A146" s="36">
        <v>701</v>
      </c>
      <c r="B146" s="37">
        <v>7</v>
      </c>
      <c r="C146" s="45">
        <v>143</v>
      </c>
      <c r="D146" s="46" t="s">
        <v>460</v>
      </c>
      <c r="E146" s="47" t="s">
        <v>461</v>
      </c>
      <c r="F146" s="48">
        <v>1113378586897</v>
      </c>
      <c r="G146" s="49"/>
      <c r="H146" s="43">
        <f t="shared" si="2"/>
        <v>0</v>
      </c>
      <c r="I146" s="43">
        <v>0</v>
      </c>
      <c r="J146" s="43">
        <v>0</v>
      </c>
      <c r="K146" s="43">
        <v>1113378586897</v>
      </c>
      <c r="L146" s="43">
        <v>0</v>
      </c>
      <c r="M146" s="43">
        <v>0</v>
      </c>
      <c r="N146" s="43">
        <v>0</v>
      </c>
      <c r="O146" s="43">
        <v>0</v>
      </c>
      <c r="P146" s="43">
        <v>0</v>
      </c>
      <c r="Q146" s="43">
        <v>0</v>
      </c>
      <c r="R146" s="43">
        <v>0</v>
      </c>
      <c r="S146" s="43">
        <v>0</v>
      </c>
      <c r="T146" s="43">
        <v>0</v>
      </c>
      <c r="U146" s="43">
        <v>0</v>
      </c>
      <c r="V146" s="44">
        <v>0</v>
      </c>
      <c r="W146" s="24"/>
    </row>
    <row r="147" spans="1:23" ht="21.75">
      <c r="A147" s="36">
        <v>908</v>
      </c>
      <c r="B147" s="37">
        <v>9</v>
      </c>
      <c r="C147" s="45">
        <v>144</v>
      </c>
      <c r="D147" s="46" t="s">
        <v>462</v>
      </c>
      <c r="E147" s="47" t="s">
        <v>463</v>
      </c>
      <c r="F147" s="48">
        <v>495230071539</v>
      </c>
      <c r="G147" s="49"/>
      <c r="H147" s="43">
        <f t="shared" si="2"/>
        <v>0</v>
      </c>
      <c r="I147" s="43">
        <v>0</v>
      </c>
      <c r="J147" s="43">
        <v>0</v>
      </c>
      <c r="K147" s="43">
        <v>0</v>
      </c>
      <c r="L147" s="43">
        <v>0</v>
      </c>
      <c r="M147" s="43">
        <v>0</v>
      </c>
      <c r="N147" s="43">
        <v>495230071539</v>
      </c>
      <c r="O147" s="43">
        <v>0</v>
      </c>
      <c r="P147" s="43">
        <v>0</v>
      </c>
      <c r="Q147" s="43">
        <v>0</v>
      </c>
      <c r="R147" s="43">
        <v>0</v>
      </c>
      <c r="S147" s="43">
        <v>0</v>
      </c>
      <c r="T147" s="43">
        <v>0</v>
      </c>
      <c r="U147" s="43">
        <v>0</v>
      </c>
      <c r="V147" s="44">
        <v>0</v>
      </c>
      <c r="W147" s="24"/>
    </row>
    <row r="148" spans="1:23" ht="21.75">
      <c r="A148" s="36">
        <v>805</v>
      </c>
      <c r="B148" s="37">
        <v>8</v>
      </c>
      <c r="C148" s="45">
        <v>145</v>
      </c>
      <c r="D148" s="46" t="s">
        <v>163</v>
      </c>
      <c r="E148" s="47" t="s">
        <v>164</v>
      </c>
      <c r="F148" s="48">
        <v>1005693949</v>
      </c>
      <c r="G148" s="49"/>
      <c r="H148" s="43">
        <f t="shared" si="2"/>
        <v>0</v>
      </c>
      <c r="I148" s="43">
        <v>0</v>
      </c>
      <c r="J148" s="43">
        <v>0</v>
      </c>
      <c r="K148" s="43">
        <v>0</v>
      </c>
      <c r="L148" s="43">
        <v>1005693949</v>
      </c>
      <c r="M148" s="43">
        <v>0</v>
      </c>
      <c r="N148" s="43">
        <v>0</v>
      </c>
      <c r="O148" s="43">
        <v>0</v>
      </c>
      <c r="P148" s="43">
        <v>0</v>
      </c>
      <c r="Q148" s="43">
        <v>0</v>
      </c>
      <c r="R148" s="43">
        <v>0</v>
      </c>
      <c r="S148" s="43">
        <v>0</v>
      </c>
      <c r="T148" s="43">
        <v>0</v>
      </c>
      <c r="U148" s="43">
        <v>0</v>
      </c>
      <c r="V148" s="44">
        <v>0</v>
      </c>
      <c r="W148" s="24"/>
    </row>
    <row r="149" spans="1:23" ht="21.75">
      <c r="A149" s="36">
        <v>805</v>
      </c>
      <c r="B149" s="37">
        <v>8</v>
      </c>
      <c r="C149" s="45">
        <v>146</v>
      </c>
      <c r="D149" s="46" t="s">
        <v>165</v>
      </c>
      <c r="E149" s="47" t="s">
        <v>166</v>
      </c>
      <c r="F149" s="48">
        <v>15035358409</v>
      </c>
      <c r="G149" s="49"/>
      <c r="H149" s="43">
        <f t="shared" si="2"/>
        <v>0</v>
      </c>
      <c r="I149" s="43">
        <v>0</v>
      </c>
      <c r="J149" s="43">
        <v>0</v>
      </c>
      <c r="K149" s="43">
        <v>0</v>
      </c>
      <c r="L149" s="43">
        <v>15035358409</v>
      </c>
      <c r="M149" s="43">
        <v>0</v>
      </c>
      <c r="N149" s="43">
        <v>0</v>
      </c>
      <c r="O149" s="43">
        <v>0</v>
      </c>
      <c r="P149" s="43">
        <v>0</v>
      </c>
      <c r="Q149" s="43">
        <v>0</v>
      </c>
      <c r="R149" s="43">
        <v>0</v>
      </c>
      <c r="S149" s="43">
        <v>0</v>
      </c>
      <c r="T149" s="43">
        <v>0</v>
      </c>
      <c r="U149" s="43">
        <v>0</v>
      </c>
      <c r="V149" s="44">
        <v>0</v>
      </c>
      <c r="W149" s="24"/>
    </row>
    <row r="150" spans="1:23" ht="21.75">
      <c r="A150" s="36">
        <v>801</v>
      </c>
      <c r="B150" s="37">
        <v>8</v>
      </c>
      <c r="C150" s="45">
        <v>147</v>
      </c>
      <c r="D150" s="46" t="s">
        <v>167</v>
      </c>
      <c r="E150" s="47" t="s">
        <v>281</v>
      </c>
      <c r="F150" s="48">
        <v>93281</v>
      </c>
      <c r="G150" s="49"/>
      <c r="H150" s="43">
        <f t="shared" si="2"/>
        <v>0</v>
      </c>
      <c r="I150" s="43">
        <v>0</v>
      </c>
      <c r="J150" s="43">
        <v>0</v>
      </c>
      <c r="K150" s="43">
        <v>0</v>
      </c>
      <c r="L150" s="43">
        <v>93281</v>
      </c>
      <c r="M150" s="43">
        <v>0</v>
      </c>
      <c r="N150" s="43">
        <v>0</v>
      </c>
      <c r="O150" s="43">
        <v>0</v>
      </c>
      <c r="P150" s="43">
        <v>0</v>
      </c>
      <c r="Q150" s="43">
        <v>0</v>
      </c>
      <c r="R150" s="43">
        <v>0</v>
      </c>
      <c r="S150" s="43">
        <v>0</v>
      </c>
      <c r="T150" s="43">
        <v>0</v>
      </c>
      <c r="U150" s="43">
        <v>0</v>
      </c>
      <c r="V150" s="44">
        <v>0</v>
      </c>
      <c r="W150" s="24"/>
    </row>
    <row r="151" spans="1:23" ht="21.75">
      <c r="A151" s="36">
        <v>805</v>
      </c>
      <c r="B151" s="37">
        <v>8</v>
      </c>
      <c r="C151" s="45">
        <v>148</v>
      </c>
      <c r="D151" s="46" t="s">
        <v>282</v>
      </c>
      <c r="E151" s="47" t="s">
        <v>283</v>
      </c>
      <c r="F151" s="48">
        <v>1276078692</v>
      </c>
      <c r="G151" s="49"/>
      <c r="H151" s="43">
        <f t="shared" si="2"/>
        <v>0</v>
      </c>
      <c r="I151" s="43">
        <v>0</v>
      </c>
      <c r="J151" s="43">
        <v>0</v>
      </c>
      <c r="K151" s="43">
        <v>0</v>
      </c>
      <c r="L151" s="43">
        <v>1276078692</v>
      </c>
      <c r="M151" s="43">
        <v>0</v>
      </c>
      <c r="N151" s="43">
        <v>0</v>
      </c>
      <c r="O151" s="43">
        <v>0</v>
      </c>
      <c r="P151" s="43">
        <v>0</v>
      </c>
      <c r="Q151" s="43">
        <v>0</v>
      </c>
      <c r="R151" s="43">
        <v>0</v>
      </c>
      <c r="S151" s="43">
        <v>0</v>
      </c>
      <c r="T151" s="43">
        <v>0</v>
      </c>
      <c r="U151" s="43">
        <v>0</v>
      </c>
      <c r="V151" s="44">
        <v>0</v>
      </c>
      <c r="W151" s="24"/>
    </row>
    <row r="152" spans="1:23" ht="21.75">
      <c r="A152" s="36">
        <v>801</v>
      </c>
      <c r="B152" s="37">
        <v>8</v>
      </c>
      <c r="C152" s="45">
        <v>149</v>
      </c>
      <c r="D152" s="46" t="s">
        <v>76</v>
      </c>
      <c r="E152" s="47" t="s">
        <v>77</v>
      </c>
      <c r="F152" s="48">
        <v>84070</v>
      </c>
      <c r="G152" s="49"/>
      <c r="H152" s="43">
        <f t="shared" si="2"/>
        <v>0</v>
      </c>
      <c r="I152" s="43">
        <v>0</v>
      </c>
      <c r="J152" s="43">
        <v>0</v>
      </c>
      <c r="K152" s="43">
        <v>0</v>
      </c>
      <c r="L152" s="43">
        <v>84070</v>
      </c>
      <c r="M152" s="43">
        <v>0</v>
      </c>
      <c r="N152" s="43">
        <v>0</v>
      </c>
      <c r="O152" s="43">
        <v>0</v>
      </c>
      <c r="P152" s="43">
        <v>0</v>
      </c>
      <c r="Q152" s="43">
        <v>0</v>
      </c>
      <c r="R152" s="43">
        <v>0</v>
      </c>
      <c r="S152" s="43">
        <v>0</v>
      </c>
      <c r="T152" s="43">
        <v>0</v>
      </c>
      <c r="U152" s="43">
        <v>0</v>
      </c>
      <c r="V152" s="44">
        <v>0</v>
      </c>
      <c r="W152" s="24"/>
    </row>
    <row r="153" spans="1:23" ht="21.75">
      <c r="A153" s="36">
        <v>805</v>
      </c>
      <c r="B153" s="37">
        <v>8</v>
      </c>
      <c r="C153" s="45">
        <v>150</v>
      </c>
      <c r="D153" s="46" t="s">
        <v>464</v>
      </c>
      <c r="E153" s="47" t="s">
        <v>311</v>
      </c>
      <c r="F153" s="48">
        <v>1160863066</v>
      </c>
      <c r="G153" s="49"/>
      <c r="H153" s="43">
        <f t="shared" si="2"/>
        <v>0</v>
      </c>
      <c r="I153" s="43">
        <v>0</v>
      </c>
      <c r="J153" s="43">
        <v>0</v>
      </c>
      <c r="K153" s="43">
        <v>0</v>
      </c>
      <c r="L153" s="43">
        <v>1160863066</v>
      </c>
      <c r="M153" s="43">
        <v>0</v>
      </c>
      <c r="N153" s="43">
        <v>0</v>
      </c>
      <c r="O153" s="43">
        <v>0</v>
      </c>
      <c r="P153" s="43">
        <v>0</v>
      </c>
      <c r="Q153" s="43">
        <v>0</v>
      </c>
      <c r="R153" s="43">
        <v>0</v>
      </c>
      <c r="S153" s="43">
        <v>0</v>
      </c>
      <c r="T153" s="43">
        <v>0</v>
      </c>
      <c r="U153" s="43">
        <v>0</v>
      </c>
      <c r="V153" s="44">
        <v>0</v>
      </c>
      <c r="W153" s="24"/>
    </row>
    <row r="154" spans="1:23" ht="21.75">
      <c r="A154" s="36">
        <v>805</v>
      </c>
      <c r="B154" s="37">
        <v>8</v>
      </c>
      <c r="C154" s="45">
        <v>151</v>
      </c>
      <c r="D154" s="46" t="s">
        <v>312</v>
      </c>
      <c r="E154" s="47" t="s">
        <v>313</v>
      </c>
      <c r="F154" s="48">
        <v>-1799248</v>
      </c>
      <c r="G154" s="48">
        <v>1799248</v>
      </c>
      <c r="H154" s="43">
        <f t="shared" si="2"/>
        <v>0</v>
      </c>
      <c r="I154" s="43">
        <v>0</v>
      </c>
      <c r="J154" s="43">
        <v>0</v>
      </c>
      <c r="K154" s="43">
        <v>0</v>
      </c>
      <c r="L154" s="43">
        <v>-1799248</v>
      </c>
      <c r="M154" s="43">
        <v>0</v>
      </c>
      <c r="N154" s="43">
        <v>0</v>
      </c>
      <c r="O154" s="43">
        <v>0</v>
      </c>
      <c r="P154" s="43">
        <v>0</v>
      </c>
      <c r="Q154" s="43">
        <v>0</v>
      </c>
      <c r="R154" s="43">
        <v>0</v>
      </c>
      <c r="S154" s="43">
        <v>0</v>
      </c>
      <c r="T154" s="43">
        <v>0</v>
      </c>
      <c r="U154" s="43">
        <v>0</v>
      </c>
      <c r="V154" s="44">
        <v>0</v>
      </c>
      <c r="W154" s="24"/>
    </row>
    <row r="155" spans="1:23" ht="21.75">
      <c r="A155" s="36">
        <v>805</v>
      </c>
      <c r="B155" s="37">
        <v>8</v>
      </c>
      <c r="C155" s="45">
        <v>152</v>
      </c>
      <c r="D155" s="46" t="s">
        <v>594</v>
      </c>
      <c r="E155" s="47" t="s">
        <v>314</v>
      </c>
      <c r="F155" s="48">
        <v>-19501457</v>
      </c>
      <c r="G155" s="48">
        <v>19501457</v>
      </c>
      <c r="H155" s="43">
        <f t="shared" si="2"/>
        <v>0</v>
      </c>
      <c r="I155" s="43">
        <v>0</v>
      </c>
      <c r="J155" s="43">
        <v>0</v>
      </c>
      <c r="K155" s="43">
        <v>0</v>
      </c>
      <c r="L155" s="43">
        <v>-19501457</v>
      </c>
      <c r="M155" s="43">
        <v>0</v>
      </c>
      <c r="N155" s="43">
        <v>0</v>
      </c>
      <c r="O155" s="43">
        <v>0</v>
      </c>
      <c r="P155" s="43">
        <v>0</v>
      </c>
      <c r="Q155" s="43">
        <v>0</v>
      </c>
      <c r="R155" s="43">
        <v>0</v>
      </c>
      <c r="S155" s="43">
        <v>0</v>
      </c>
      <c r="T155" s="43">
        <v>0</v>
      </c>
      <c r="U155" s="43">
        <v>0</v>
      </c>
      <c r="V155" s="44">
        <v>0</v>
      </c>
      <c r="W155" s="24"/>
    </row>
    <row r="156" spans="1:23" ht="21.75">
      <c r="A156" s="36">
        <v>805</v>
      </c>
      <c r="B156" s="37">
        <v>8</v>
      </c>
      <c r="C156" s="45">
        <v>153</v>
      </c>
      <c r="D156" s="46" t="s">
        <v>595</v>
      </c>
      <c r="E156" s="47" t="s">
        <v>315</v>
      </c>
      <c r="F156" s="48">
        <v>-103939513</v>
      </c>
      <c r="G156" s="48">
        <v>103939513</v>
      </c>
      <c r="H156" s="43">
        <f t="shared" si="2"/>
        <v>0</v>
      </c>
      <c r="I156" s="43">
        <v>0</v>
      </c>
      <c r="J156" s="43">
        <v>0</v>
      </c>
      <c r="K156" s="43">
        <v>0</v>
      </c>
      <c r="L156" s="43">
        <v>-103939513</v>
      </c>
      <c r="M156" s="43">
        <v>0</v>
      </c>
      <c r="N156" s="43">
        <v>0</v>
      </c>
      <c r="O156" s="43">
        <v>0</v>
      </c>
      <c r="P156" s="43">
        <v>0</v>
      </c>
      <c r="Q156" s="43">
        <v>0</v>
      </c>
      <c r="R156" s="43">
        <v>0</v>
      </c>
      <c r="S156" s="43">
        <v>0</v>
      </c>
      <c r="T156" s="43">
        <v>0</v>
      </c>
      <c r="U156" s="43">
        <v>0</v>
      </c>
      <c r="V156" s="44">
        <v>0</v>
      </c>
      <c r="W156" s="24"/>
    </row>
    <row r="157" spans="1:23" ht="21.75">
      <c r="A157" s="36">
        <v>801</v>
      </c>
      <c r="B157" s="37">
        <v>8</v>
      </c>
      <c r="C157" s="45">
        <v>154</v>
      </c>
      <c r="D157" s="46" t="s">
        <v>316</v>
      </c>
      <c r="E157" s="47" t="s">
        <v>317</v>
      </c>
      <c r="F157" s="48">
        <v>53</v>
      </c>
      <c r="G157" s="49"/>
      <c r="H157" s="43">
        <f t="shared" si="2"/>
        <v>0</v>
      </c>
      <c r="I157" s="43">
        <v>0</v>
      </c>
      <c r="J157" s="43">
        <v>0</v>
      </c>
      <c r="K157" s="43">
        <v>0</v>
      </c>
      <c r="L157" s="43">
        <v>53</v>
      </c>
      <c r="M157" s="43">
        <v>0</v>
      </c>
      <c r="N157" s="43">
        <v>0</v>
      </c>
      <c r="O157" s="43">
        <v>0</v>
      </c>
      <c r="P157" s="43">
        <v>0</v>
      </c>
      <c r="Q157" s="43">
        <v>0</v>
      </c>
      <c r="R157" s="43">
        <v>0</v>
      </c>
      <c r="S157" s="43">
        <v>0</v>
      </c>
      <c r="T157" s="43">
        <v>0</v>
      </c>
      <c r="U157" s="43">
        <v>0</v>
      </c>
      <c r="V157" s="44">
        <v>0</v>
      </c>
      <c r="W157" s="24"/>
    </row>
    <row r="158" spans="1:23" ht="21.75">
      <c r="A158" s="36">
        <v>805</v>
      </c>
      <c r="B158" s="37">
        <v>8</v>
      </c>
      <c r="C158" s="45">
        <v>155</v>
      </c>
      <c r="D158" s="46" t="s">
        <v>596</v>
      </c>
      <c r="E158" s="47" t="s">
        <v>318</v>
      </c>
      <c r="F158" s="48">
        <v>98077499964</v>
      </c>
      <c r="G158" s="49"/>
      <c r="H158" s="43">
        <f t="shared" si="2"/>
        <v>0</v>
      </c>
      <c r="I158" s="43">
        <v>0</v>
      </c>
      <c r="J158" s="43">
        <v>0</v>
      </c>
      <c r="K158" s="43">
        <v>0</v>
      </c>
      <c r="L158" s="43">
        <v>98077499964</v>
      </c>
      <c r="M158" s="43">
        <v>0</v>
      </c>
      <c r="N158" s="43">
        <v>0</v>
      </c>
      <c r="O158" s="43">
        <v>0</v>
      </c>
      <c r="P158" s="43">
        <v>0</v>
      </c>
      <c r="Q158" s="43">
        <v>0</v>
      </c>
      <c r="R158" s="43">
        <v>0</v>
      </c>
      <c r="S158" s="43">
        <v>0</v>
      </c>
      <c r="T158" s="43">
        <v>0</v>
      </c>
      <c r="U158" s="43">
        <v>0</v>
      </c>
      <c r="V158" s="44">
        <v>0</v>
      </c>
      <c r="W158" s="24"/>
    </row>
    <row r="159" spans="1:23" ht="21.75">
      <c r="A159" s="36">
        <v>801</v>
      </c>
      <c r="B159" s="37">
        <v>8</v>
      </c>
      <c r="C159" s="45">
        <v>156</v>
      </c>
      <c r="D159" s="46" t="s">
        <v>319</v>
      </c>
      <c r="E159" s="47" t="s">
        <v>320</v>
      </c>
      <c r="F159" s="48">
        <v>78855841648</v>
      </c>
      <c r="G159" s="49"/>
      <c r="H159" s="43">
        <f t="shared" si="2"/>
        <v>0</v>
      </c>
      <c r="I159" s="43">
        <v>0</v>
      </c>
      <c r="J159" s="43">
        <v>0</v>
      </c>
      <c r="K159" s="43">
        <v>0</v>
      </c>
      <c r="L159" s="43">
        <v>78855841648</v>
      </c>
      <c r="M159" s="43">
        <v>0</v>
      </c>
      <c r="N159" s="43">
        <v>0</v>
      </c>
      <c r="O159" s="43">
        <v>0</v>
      </c>
      <c r="P159" s="43">
        <v>0</v>
      </c>
      <c r="Q159" s="43">
        <v>0</v>
      </c>
      <c r="R159" s="43">
        <v>0</v>
      </c>
      <c r="S159" s="43">
        <v>0</v>
      </c>
      <c r="T159" s="43">
        <v>0</v>
      </c>
      <c r="U159" s="43">
        <v>0</v>
      </c>
      <c r="V159" s="44">
        <v>0</v>
      </c>
      <c r="W159" s="24"/>
    </row>
    <row r="160" spans="1:23" ht="21.75">
      <c r="A160" s="36">
        <v>803</v>
      </c>
      <c r="B160" s="37">
        <v>8</v>
      </c>
      <c r="C160" s="45">
        <v>157</v>
      </c>
      <c r="D160" s="46" t="s">
        <v>321</v>
      </c>
      <c r="E160" s="47" t="s">
        <v>322</v>
      </c>
      <c r="F160" s="48">
        <v>4119660250</v>
      </c>
      <c r="G160" s="49"/>
      <c r="H160" s="43">
        <f t="shared" si="2"/>
        <v>0</v>
      </c>
      <c r="I160" s="43">
        <v>0</v>
      </c>
      <c r="J160" s="43">
        <v>0</v>
      </c>
      <c r="K160" s="43">
        <v>0</v>
      </c>
      <c r="L160" s="43">
        <v>4119660250</v>
      </c>
      <c r="M160" s="43">
        <v>0</v>
      </c>
      <c r="N160" s="43">
        <v>0</v>
      </c>
      <c r="O160" s="43">
        <v>0</v>
      </c>
      <c r="P160" s="43">
        <v>0</v>
      </c>
      <c r="Q160" s="43">
        <v>0</v>
      </c>
      <c r="R160" s="43">
        <v>0</v>
      </c>
      <c r="S160" s="43">
        <v>0</v>
      </c>
      <c r="T160" s="43">
        <v>0</v>
      </c>
      <c r="U160" s="43">
        <v>0</v>
      </c>
      <c r="V160" s="44">
        <v>0</v>
      </c>
      <c r="W160" s="24"/>
    </row>
    <row r="161" spans="1:23" ht="21.75">
      <c r="A161" s="36">
        <v>907</v>
      </c>
      <c r="B161" s="37">
        <v>9</v>
      </c>
      <c r="C161" s="45">
        <v>158</v>
      </c>
      <c r="D161" s="46" t="s">
        <v>323</v>
      </c>
      <c r="E161" s="47" t="s">
        <v>324</v>
      </c>
      <c r="F161" s="48">
        <v>291688110466</v>
      </c>
      <c r="G161" s="49"/>
      <c r="H161" s="43">
        <f t="shared" si="2"/>
        <v>0</v>
      </c>
      <c r="I161" s="43">
        <v>0</v>
      </c>
      <c r="J161" s="43">
        <v>0</v>
      </c>
      <c r="K161" s="43">
        <v>0</v>
      </c>
      <c r="L161" s="43">
        <v>0</v>
      </c>
      <c r="M161" s="43">
        <v>0</v>
      </c>
      <c r="N161" s="43">
        <v>291688110466</v>
      </c>
      <c r="O161" s="43">
        <v>0</v>
      </c>
      <c r="P161" s="43">
        <v>0</v>
      </c>
      <c r="Q161" s="43">
        <v>0</v>
      </c>
      <c r="R161" s="43">
        <v>0</v>
      </c>
      <c r="S161" s="43">
        <v>0</v>
      </c>
      <c r="T161" s="43">
        <v>0</v>
      </c>
      <c r="U161" s="43">
        <v>0</v>
      </c>
      <c r="V161" s="44">
        <v>0</v>
      </c>
      <c r="W161" s="24"/>
    </row>
    <row r="162" spans="1:23" ht="21.75">
      <c r="A162" s="36">
        <v>907</v>
      </c>
      <c r="B162" s="37">
        <v>9</v>
      </c>
      <c r="C162" s="45">
        <v>159</v>
      </c>
      <c r="D162" s="46" t="s">
        <v>325</v>
      </c>
      <c r="E162" s="47" t="s">
        <v>326</v>
      </c>
      <c r="F162" s="48">
        <v>138130000</v>
      </c>
      <c r="G162" s="49"/>
      <c r="H162" s="43">
        <f t="shared" si="2"/>
        <v>0</v>
      </c>
      <c r="I162" s="43">
        <v>0</v>
      </c>
      <c r="J162" s="43">
        <v>0</v>
      </c>
      <c r="K162" s="43">
        <v>0</v>
      </c>
      <c r="L162" s="43">
        <v>0</v>
      </c>
      <c r="M162" s="43">
        <v>0</v>
      </c>
      <c r="N162" s="43">
        <v>138130000</v>
      </c>
      <c r="O162" s="43">
        <v>0</v>
      </c>
      <c r="P162" s="43">
        <v>0</v>
      </c>
      <c r="Q162" s="43">
        <v>0</v>
      </c>
      <c r="R162" s="43">
        <v>0</v>
      </c>
      <c r="S162" s="43">
        <v>0</v>
      </c>
      <c r="T162" s="43">
        <v>0</v>
      </c>
      <c r="U162" s="43">
        <v>0</v>
      </c>
      <c r="V162" s="44">
        <v>0</v>
      </c>
      <c r="W162" s="24"/>
    </row>
    <row r="163" spans="1:23" ht="21.75">
      <c r="A163" s="36">
        <v>1601</v>
      </c>
      <c r="B163" s="37">
        <v>16</v>
      </c>
      <c r="C163" s="45">
        <v>160</v>
      </c>
      <c r="D163" s="46" t="s">
        <v>327</v>
      </c>
      <c r="E163" s="47" t="s">
        <v>328</v>
      </c>
      <c r="F163" s="48">
        <v>-9507722000000</v>
      </c>
      <c r="G163" s="48">
        <v>9507722000000</v>
      </c>
      <c r="H163" s="43">
        <f t="shared" si="2"/>
        <v>0</v>
      </c>
      <c r="I163" s="43">
        <v>0</v>
      </c>
      <c r="J163" s="43">
        <v>0</v>
      </c>
      <c r="K163" s="43">
        <v>0</v>
      </c>
      <c r="L163" s="43">
        <v>0</v>
      </c>
      <c r="M163" s="43">
        <v>0</v>
      </c>
      <c r="N163" s="43">
        <v>0</v>
      </c>
      <c r="O163" s="43">
        <v>0</v>
      </c>
      <c r="P163" s="43">
        <v>0</v>
      </c>
      <c r="Q163" s="43">
        <v>0</v>
      </c>
      <c r="R163" s="43">
        <v>0</v>
      </c>
      <c r="S163" s="43">
        <v>0</v>
      </c>
      <c r="T163" s="43">
        <v>-9507722000000</v>
      </c>
      <c r="U163" s="43">
        <v>0</v>
      </c>
      <c r="V163" s="44">
        <v>0</v>
      </c>
      <c r="W163" s="24"/>
    </row>
    <row r="164" spans="1:23" ht="21.75">
      <c r="A164" s="36">
        <v>1701</v>
      </c>
      <c r="B164" s="37">
        <v>17</v>
      </c>
      <c r="C164" s="45">
        <v>161</v>
      </c>
      <c r="D164" s="46" t="s">
        <v>329</v>
      </c>
      <c r="E164" s="47" t="s">
        <v>330</v>
      </c>
      <c r="F164" s="48">
        <v>-500000</v>
      </c>
      <c r="G164" s="48">
        <v>500000</v>
      </c>
      <c r="H164" s="43">
        <f t="shared" si="2"/>
        <v>0</v>
      </c>
      <c r="I164" s="43">
        <v>0</v>
      </c>
      <c r="J164" s="43">
        <v>0</v>
      </c>
      <c r="K164" s="43">
        <v>0</v>
      </c>
      <c r="L164" s="43">
        <v>0</v>
      </c>
      <c r="M164" s="43">
        <v>0</v>
      </c>
      <c r="N164" s="43">
        <v>0</v>
      </c>
      <c r="O164" s="43">
        <v>0</v>
      </c>
      <c r="P164" s="43">
        <v>0</v>
      </c>
      <c r="Q164" s="43">
        <v>0</v>
      </c>
      <c r="R164" s="43">
        <v>0</v>
      </c>
      <c r="S164" s="43">
        <v>0</v>
      </c>
      <c r="T164" s="43">
        <v>0</v>
      </c>
      <c r="U164" s="43">
        <v>-500000</v>
      </c>
      <c r="V164" s="44">
        <v>0</v>
      </c>
      <c r="W164" s="24"/>
    </row>
    <row r="165" spans="1:23" ht="21.75">
      <c r="A165" s="36">
        <v>1702</v>
      </c>
      <c r="B165" s="37">
        <v>17</v>
      </c>
      <c r="C165" s="45">
        <v>162</v>
      </c>
      <c r="D165" s="46" t="s">
        <v>331</v>
      </c>
      <c r="E165" s="47" t="s">
        <v>332</v>
      </c>
      <c r="F165" s="48">
        <v>-8876565944</v>
      </c>
      <c r="G165" s="48">
        <v>8876565944</v>
      </c>
      <c r="H165" s="43">
        <f t="shared" si="2"/>
        <v>0</v>
      </c>
      <c r="I165" s="43">
        <v>0</v>
      </c>
      <c r="J165" s="43">
        <v>0</v>
      </c>
      <c r="K165" s="43">
        <v>0</v>
      </c>
      <c r="L165" s="43">
        <v>0</v>
      </c>
      <c r="M165" s="43">
        <v>0</v>
      </c>
      <c r="N165" s="43">
        <v>0</v>
      </c>
      <c r="O165" s="43">
        <v>0</v>
      </c>
      <c r="P165" s="43">
        <v>0</v>
      </c>
      <c r="Q165" s="43">
        <v>0</v>
      </c>
      <c r="R165" s="43">
        <v>0</v>
      </c>
      <c r="S165" s="43">
        <v>0</v>
      </c>
      <c r="T165" s="43">
        <v>0</v>
      </c>
      <c r="U165" s="43">
        <v>-8876565944</v>
      </c>
      <c r="V165" s="44">
        <v>0</v>
      </c>
      <c r="W165" s="24"/>
    </row>
    <row r="166" spans="1:23" ht="21.75">
      <c r="A166" s="36">
        <v>1501</v>
      </c>
      <c r="B166" s="37">
        <v>15</v>
      </c>
      <c r="C166" s="45">
        <v>163</v>
      </c>
      <c r="D166" s="46" t="s">
        <v>391</v>
      </c>
      <c r="E166" s="47" t="s">
        <v>392</v>
      </c>
      <c r="F166" s="48">
        <v>-3089410104170</v>
      </c>
      <c r="G166" s="48">
        <v>3089410104170</v>
      </c>
      <c r="H166" s="43">
        <f t="shared" si="2"/>
        <v>0</v>
      </c>
      <c r="I166" s="43">
        <v>0</v>
      </c>
      <c r="J166" s="43">
        <v>0</v>
      </c>
      <c r="K166" s="43">
        <v>0</v>
      </c>
      <c r="L166" s="43">
        <v>0</v>
      </c>
      <c r="M166" s="43">
        <v>0</v>
      </c>
      <c r="N166" s="43">
        <v>0</v>
      </c>
      <c r="O166" s="43">
        <v>0</v>
      </c>
      <c r="P166" s="43">
        <v>0</v>
      </c>
      <c r="Q166" s="43">
        <v>0</v>
      </c>
      <c r="R166" s="43">
        <v>0</v>
      </c>
      <c r="S166" s="43">
        <v>-3089410104170</v>
      </c>
      <c r="T166" s="43">
        <v>0</v>
      </c>
      <c r="U166" s="43">
        <v>0</v>
      </c>
      <c r="V166" s="44">
        <v>0</v>
      </c>
      <c r="W166" s="24"/>
    </row>
    <row r="167" spans="1:23" ht="21.75">
      <c r="A167" s="36">
        <v>901</v>
      </c>
      <c r="B167" s="37">
        <v>9</v>
      </c>
      <c r="C167" s="45">
        <v>164</v>
      </c>
      <c r="D167" s="46" t="s">
        <v>112</v>
      </c>
      <c r="E167" s="47" t="s">
        <v>113</v>
      </c>
      <c r="F167" s="48">
        <v>936994371396</v>
      </c>
      <c r="G167" s="49"/>
      <c r="H167" s="43">
        <f t="shared" si="2"/>
        <v>0</v>
      </c>
      <c r="I167" s="43">
        <v>0</v>
      </c>
      <c r="J167" s="43">
        <v>0</v>
      </c>
      <c r="K167" s="43">
        <v>0</v>
      </c>
      <c r="L167" s="43">
        <v>0</v>
      </c>
      <c r="M167" s="43">
        <v>0</v>
      </c>
      <c r="N167" s="43">
        <v>936994371396</v>
      </c>
      <c r="O167" s="43">
        <v>0</v>
      </c>
      <c r="P167" s="43">
        <v>0</v>
      </c>
      <c r="Q167" s="43">
        <v>0</v>
      </c>
      <c r="R167" s="43">
        <v>0</v>
      </c>
      <c r="S167" s="43">
        <v>0</v>
      </c>
      <c r="T167" s="43">
        <v>0</v>
      </c>
      <c r="U167" s="43">
        <v>0</v>
      </c>
      <c r="V167" s="44">
        <v>0</v>
      </c>
      <c r="W167" s="24"/>
    </row>
    <row r="168" spans="1:23" ht="21.75">
      <c r="A168" s="36">
        <v>902</v>
      </c>
      <c r="B168" s="37">
        <v>9</v>
      </c>
      <c r="C168" s="45">
        <v>165</v>
      </c>
      <c r="D168" s="46" t="s">
        <v>114</v>
      </c>
      <c r="E168" s="47" t="s">
        <v>104</v>
      </c>
      <c r="F168" s="48">
        <v>13697863137414</v>
      </c>
      <c r="G168" s="49"/>
      <c r="H168" s="43">
        <f t="shared" si="2"/>
        <v>0</v>
      </c>
      <c r="I168" s="43">
        <v>0</v>
      </c>
      <c r="J168" s="43">
        <v>0</v>
      </c>
      <c r="K168" s="43">
        <v>0</v>
      </c>
      <c r="L168" s="43">
        <v>0</v>
      </c>
      <c r="M168" s="43">
        <v>0</v>
      </c>
      <c r="N168" s="43">
        <v>13697863137414</v>
      </c>
      <c r="O168" s="43">
        <v>0</v>
      </c>
      <c r="P168" s="43">
        <v>0</v>
      </c>
      <c r="Q168" s="43">
        <v>0</v>
      </c>
      <c r="R168" s="43">
        <v>0</v>
      </c>
      <c r="S168" s="43">
        <v>0</v>
      </c>
      <c r="T168" s="43">
        <v>0</v>
      </c>
      <c r="U168" s="43">
        <v>0</v>
      </c>
      <c r="V168" s="44">
        <v>0</v>
      </c>
      <c r="W168" s="24"/>
    </row>
    <row r="169" spans="1:23" ht="21.75">
      <c r="A169" s="36">
        <v>903</v>
      </c>
      <c r="B169" s="37">
        <v>9</v>
      </c>
      <c r="C169" s="45">
        <v>166</v>
      </c>
      <c r="D169" s="46" t="s">
        <v>105</v>
      </c>
      <c r="E169" s="47" t="s">
        <v>106</v>
      </c>
      <c r="F169" s="48">
        <v>273609742531</v>
      </c>
      <c r="G169" s="49"/>
      <c r="H169" s="43">
        <f t="shared" si="2"/>
        <v>0</v>
      </c>
      <c r="I169" s="43">
        <v>0</v>
      </c>
      <c r="J169" s="43">
        <v>0</v>
      </c>
      <c r="K169" s="43">
        <v>0</v>
      </c>
      <c r="L169" s="43">
        <v>0</v>
      </c>
      <c r="M169" s="43">
        <v>0</v>
      </c>
      <c r="N169" s="43">
        <v>273609742531</v>
      </c>
      <c r="O169" s="43">
        <v>0</v>
      </c>
      <c r="P169" s="43">
        <v>0</v>
      </c>
      <c r="Q169" s="43">
        <v>0</v>
      </c>
      <c r="R169" s="43">
        <v>0</v>
      </c>
      <c r="S169" s="43">
        <v>0</v>
      </c>
      <c r="T169" s="43">
        <v>0</v>
      </c>
      <c r="U169" s="43">
        <v>0</v>
      </c>
      <c r="V169" s="44">
        <v>0</v>
      </c>
      <c r="W169" s="24"/>
    </row>
    <row r="170" spans="1:23" ht="21.75">
      <c r="A170" s="36">
        <v>905</v>
      </c>
      <c r="B170" s="37">
        <v>9</v>
      </c>
      <c r="C170" s="45">
        <v>167</v>
      </c>
      <c r="D170" s="46" t="s">
        <v>107</v>
      </c>
      <c r="E170" s="47" t="s">
        <v>148</v>
      </c>
      <c r="F170" s="48">
        <v>293297280761</v>
      </c>
      <c r="G170" s="49"/>
      <c r="H170" s="43">
        <f t="shared" si="2"/>
        <v>0</v>
      </c>
      <c r="I170" s="43">
        <v>0</v>
      </c>
      <c r="J170" s="43">
        <v>0</v>
      </c>
      <c r="K170" s="43">
        <v>0</v>
      </c>
      <c r="L170" s="43">
        <v>0</v>
      </c>
      <c r="M170" s="43">
        <v>0</v>
      </c>
      <c r="N170" s="43">
        <v>293297280761</v>
      </c>
      <c r="O170" s="43">
        <v>0</v>
      </c>
      <c r="P170" s="43">
        <v>0</v>
      </c>
      <c r="Q170" s="43">
        <v>0</v>
      </c>
      <c r="R170" s="43">
        <v>0</v>
      </c>
      <c r="S170" s="43">
        <v>0</v>
      </c>
      <c r="T170" s="43">
        <v>0</v>
      </c>
      <c r="U170" s="43">
        <v>0</v>
      </c>
      <c r="V170" s="44">
        <v>0</v>
      </c>
      <c r="W170" s="24"/>
    </row>
    <row r="171" spans="1:23" ht="21.75">
      <c r="A171" s="36">
        <v>904</v>
      </c>
      <c r="B171" s="37">
        <v>9</v>
      </c>
      <c r="C171" s="45">
        <v>168</v>
      </c>
      <c r="D171" s="46" t="s">
        <v>149</v>
      </c>
      <c r="E171" s="47" t="s">
        <v>150</v>
      </c>
      <c r="F171" s="48">
        <v>49506890958</v>
      </c>
      <c r="G171" s="49"/>
      <c r="H171" s="43">
        <f t="shared" si="2"/>
        <v>0</v>
      </c>
      <c r="I171" s="43">
        <v>0</v>
      </c>
      <c r="J171" s="43">
        <v>0</v>
      </c>
      <c r="K171" s="43">
        <v>0</v>
      </c>
      <c r="L171" s="43">
        <v>0</v>
      </c>
      <c r="M171" s="43">
        <v>0</v>
      </c>
      <c r="N171" s="43">
        <v>49506890958</v>
      </c>
      <c r="O171" s="43">
        <v>0</v>
      </c>
      <c r="P171" s="43">
        <v>0</v>
      </c>
      <c r="Q171" s="43">
        <v>0</v>
      </c>
      <c r="R171" s="43">
        <v>0</v>
      </c>
      <c r="S171" s="43">
        <v>0</v>
      </c>
      <c r="T171" s="43">
        <v>0</v>
      </c>
      <c r="U171" s="43">
        <v>0</v>
      </c>
      <c r="V171" s="44">
        <v>0</v>
      </c>
      <c r="W171" s="24"/>
    </row>
    <row r="172" spans="1:23" ht="21.75">
      <c r="A172" s="36">
        <v>902</v>
      </c>
      <c r="B172" s="37">
        <v>9</v>
      </c>
      <c r="C172" s="45">
        <v>169</v>
      </c>
      <c r="D172" s="46" t="s">
        <v>151</v>
      </c>
      <c r="E172" s="47" t="s">
        <v>508</v>
      </c>
      <c r="F172" s="48">
        <v>-4767674743818</v>
      </c>
      <c r="G172" s="48">
        <v>4767674743818</v>
      </c>
      <c r="H172" s="43">
        <f t="shared" si="2"/>
        <v>0</v>
      </c>
      <c r="I172" s="43">
        <v>0</v>
      </c>
      <c r="J172" s="43">
        <v>0</v>
      </c>
      <c r="K172" s="43">
        <v>0</v>
      </c>
      <c r="L172" s="43">
        <v>0</v>
      </c>
      <c r="M172" s="43">
        <v>0</v>
      </c>
      <c r="N172" s="43">
        <v>-4767674743818</v>
      </c>
      <c r="O172" s="43">
        <v>0</v>
      </c>
      <c r="P172" s="43">
        <v>0</v>
      </c>
      <c r="Q172" s="43">
        <v>0</v>
      </c>
      <c r="R172" s="43">
        <v>0</v>
      </c>
      <c r="S172" s="43">
        <v>0</v>
      </c>
      <c r="T172" s="43">
        <v>0</v>
      </c>
      <c r="U172" s="43">
        <v>0</v>
      </c>
      <c r="V172" s="44">
        <v>0</v>
      </c>
      <c r="W172" s="24"/>
    </row>
    <row r="173" spans="1:23" ht="21.75">
      <c r="A173" s="36">
        <v>903</v>
      </c>
      <c r="B173" s="37">
        <v>9</v>
      </c>
      <c r="C173" s="45">
        <v>170</v>
      </c>
      <c r="D173" s="46" t="s">
        <v>509</v>
      </c>
      <c r="E173" s="47" t="s">
        <v>286</v>
      </c>
      <c r="F173" s="48">
        <v>-111397898668</v>
      </c>
      <c r="G173" s="48">
        <v>111397898668</v>
      </c>
      <c r="H173" s="43">
        <f t="shared" si="2"/>
        <v>0</v>
      </c>
      <c r="I173" s="43">
        <v>0</v>
      </c>
      <c r="J173" s="43">
        <v>0</v>
      </c>
      <c r="K173" s="43">
        <v>0</v>
      </c>
      <c r="L173" s="43">
        <v>0</v>
      </c>
      <c r="M173" s="43">
        <v>0</v>
      </c>
      <c r="N173" s="43">
        <v>-111397898668</v>
      </c>
      <c r="O173" s="43">
        <v>0</v>
      </c>
      <c r="P173" s="43">
        <v>0</v>
      </c>
      <c r="Q173" s="43">
        <v>0</v>
      </c>
      <c r="R173" s="43">
        <v>0</v>
      </c>
      <c r="S173" s="43">
        <v>0</v>
      </c>
      <c r="T173" s="43">
        <v>0</v>
      </c>
      <c r="U173" s="43">
        <v>0</v>
      </c>
      <c r="V173" s="44">
        <v>0</v>
      </c>
      <c r="W173" s="24"/>
    </row>
    <row r="174" spans="1:23" ht="21.75">
      <c r="A174" s="36">
        <v>905</v>
      </c>
      <c r="B174" s="37">
        <v>9</v>
      </c>
      <c r="C174" s="45">
        <v>171</v>
      </c>
      <c r="D174" s="46" t="s">
        <v>287</v>
      </c>
      <c r="E174" s="47" t="s">
        <v>288</v>
      </c>
      <c r="F174" s="48">
        <v>-154100180924</v>
      </c>
      <c r="G174" s="48">
        <v>154100180924</v>
      </c>
      <c r="H174" s="43">
        <f t="shared" si="2"/>
        <v>0</v>
      </c>
      <c r="I174" s="43">
        <v>0</v>
      </c>
      <c r="J174" s="43">
        <v>0</v>
      </c>
      <c r="K174" s="43">
        <v>0</v>
      </c>
      <c r="L174" s="43">
        <v>0</v>
      </c>
      <c r="M174" s="43">
        <v>0</v>
      </c>
      <c r="N174" s="43">
        <v>-154100180924</v>
      </c>
      <c r="O174" s="43">
        <v>0</v>
      </c>
      <c r="P174" s="43">
        <v>0</v>
      </c>
      <c r="Q174" s="43">
        <v>0</v>
      </c>
      <c r="R174" s="43">
        <v>0</v>
      </c>
      <c r="S174" s="43">
        <v>0</v>
      </c>
      <c r="T174" s="43">
        <v>0</v>
      </c>
      <c r="U174" s="43">
        <v>0</v>
      </c>
      <c r="V174" s="44">
        <v>0</v>
      </c>
      <c r="W174" s="24"/>
    </row>
    <row r="175" spans="1:23" ht="21.75">
      <c r="A175" s="36">
        <v>904</v>
      </c>
      <c r="B175" s="37">
        <v>9</v>
      </c>
      <c r="C175" s="45">
        <v>172</v>
      </c>
      <c r="D175" s="46" t="s">
        <v>289</v>
      </c>
      <c r="E175" s="47" t="s">
        <v>290</v>
      </c>
      <c r="F175" s="48">
        <v>-28253244456</v>
      </c>
      <c r="G175" s="48">
        <v>28253244456</v>
      </c>
      <c r="H175" s="43">
        <f t="shared" si="2"/>
        <v>0</v>
      </c>
      <c r="I175" s="43">
        <v>0</v>
      </c>
      <c r="J175" s="43">
        <v>0</v>
      </c>
      <c r="K175" s="43">
        <v>0</v>
      </c>
      <c r="L175" s="43">
        <v>0</v>
      </c>
      <c r="M175" s="43">
        <v>0</v>
      </c>
      <c r="N175" s="43">
        <v>-28253244456</v>
      </c>
      <c r="O175" s="43">
        <v>0</v>
      </c>
      <c r="P175" s="43">
        <v>0</v>
      </c>
      <c r="Q175" s="43">
        <v>0</v>
      </c>
      <c r="R175" s="43">
        <v>0</v>
      </c>
      <c r="S175" s="43">
        <v>0</v>
      </c>
      <c r="T175" s="43">
        <v>0</v>
      </c>
      <c r="U175" s="43">
        <v>0</v>
      </c>
      <c r="V175" s="44">
        <v>0</v>
      </c>
      <c r="W175" s="24"/>
    </row>
    <row r="176" spans="1:23" ht="21.75">
      <c r="A176" s="36">
        <v>1101</v>
      </c>
      <c r="B176" s="37">
        <v>11</v>
      </c>
      <c r="C176" s="45">
        <v>173</v>
      </c>
      <c r="D176" s="46" t="s">
        <v>291</v>
      </c>
      <c r="E176" s="47" t="s">
        <v>495</v>
      </c>
      <c r="F176" s="48">
        <v>1000000</v>
      </c>
      <c r="G176" s="49"/>
      <c r="H176" s="43">
        <f t="shared" si="2"/>
        <v>0</v>
      </c>
      <c r="I176" s="43">
        <v>0</v>
      </c>
      <c r="J176" s="43">
        <v>0</v>
      </c>
      <c r="K176" s="43">
        <v>0</v>
      </c>
      <c r="L176" s="43">
        <v>0</v>
      </c>
      <c r="M176" s="43">
        <v>0</v>
      </c>
      <c r="N176" s="43">
        <v>0</v>
      </c>
      <c r="O176" s="43">
        <v>0</v>
      </c>
      <c r="P176" s="43">
        <v>1000000</v>
      </c>
      <c r="Q176" s="43">
        <v>0</v>
      </c>
      <c r="R176" s="43">
        <v>0</v>
      </c>
      <c r="S176" s="43">
        <v>0</v>
      </c>
      <c r="T176" s="43">
        <v>0</v>
      </c>
      <c r="U176" s="43">
        <v>0</v>
      </c>
      <c r="V176" s="44">
        <v>0</v>
      </c>
      <c r="W176" s="24"/>
    </row>
    <row r="177" spans="1:23" ht="21.75">
      <c r="A177" s="36">
        <v>805</v>
      </c>
      <c r="B177" s="37">
        <v>8</v>
      </c>
      <c r="C177" s="45">
        <v>174</v>
      </c>
      <c r="D177" s="46" t="s">
        <v>145</v>
      </c>
      <c r="E177" s="47" t="s">
        <v>496</v>
      </c>
      <c r="F177" s="48">
        <v>214844387</v>
      </c>
      <c r="G177" s="49"/>
      <c r="H177" s="43">
        <f t="shared" si="2"/>
        <v>0</v>
      </c>
      <c r="I177" s="43">
        <v>0</v>
      </c>
      <c r="J177" s="43">
        <v>0</v>
      </c>
      <c r="K177" s="43">
        <v>0</v>
      </c>
      <c r="L177" s="43">
        <v>214844387</v>
      </c>
      <c r="M177" s="43">
        <v>0</v>
      </c>
      <c r="N177" s="43">
        <v>0</v>
      </c>
      <c r="O177" s="43">
        <v>0</v>
      </c>
      <c r="P177" s="43">
        <v>0</v>
      </c>
      <c r="Q177" s="43">
        <v>0</v>
      </c>
      <c r="R177" s="43">
        <v>0</v>
      </c>
      <c r="S177" s="43">
        <v>0</v>
      </c>
      <c r="T177" s="43">
        <v>0</v>
      </c>
      <c r="U177" s="43">
        <v>0</v>
      </c>
      <c r="V177" s="44">
        <v>0</v>
      </c>
      <c r="W177" s="24"/>
    </row>
    <row r="178" spans="1:23" ht="21.75">
      <c r="A178" s="36">
        <v>704</v>
      </c>
      <c r="B178" s="37">
        <v>7</v>
      </c>
      <c r="C178" s="45">
        <v>175</v>
      </c>
      <c r="D178" s="46" t="s">
        <v>497</v>
      </c>
      <c r="E178" s="47" t="s">
        <v>118</v>
      </c>
      <c r="F178" s="48">
        <v>4827678059</v>
      </c>
      <c r="G178" s="49"/>
      <c r="H178" s="43">
        <f t="shared" si="2"/>
        <v>0</v>
      </c>
      <c r="I178" s="43">
        <v>0</v>
      </c>
      <c r="J178" s="43">
        <v>0</v>
      </c>
      <c r="K178" s="43">
        <v>4827678059</v>
      </c>
      <c r="L178" s="43">
        <v>0</v>
      </c>
      <c r="M178" s="43">
        <v>0</v>
      </c>
      <c r="N178" s="43">
        <v>0</v>
      </c>
      <c r="O178" s="43">
        <v>0</v>
      </c>
      <c r="P178" s="43">
        <v>0</v>
      </c>
      <c r="Q178" s="43">
        <v>0</v>
      </c>
      <c r="R178" s="43">
        <v>0</v>
      </c>
      <c r="S178" s="43">
        <v>0</v>
      </c>
      <c r="T178" s="43">
        <v>0</v>
      </c>
      <c r="U178" s="43">
        <v>0</v>
      </c>
      <c r="V178" s="44">
        <v>0</v>
      </c>
      <c r="W178" s="24"/>
    </row>
    <row r="179" spans="1:23" ht="21.75">
      <c r="A179" s="36">
        <v>704</v>
      </c>
      <c r="B179" s="37">
        <v>7</v>
      </c>
      <c r="C179" s="45">
        <v>176</v>
      </c>
      <c r="D179" s="46" t="s">
        <v>119</v>
      </c>
      <c r="E179" s="47" t="s">
        <v>120</v>
      </c>
      <c r="F179" s="48">
        <v>23533028725</v>
      </c>
      <c r="G179" s="49"/>
      <c r="H179" s="43">
        <f t="shared" si="2"/>
        <v>0</v>
      </c>
      <c r="I179" s="43">
        <v>0</v>
      </c>
      <c r="J179" s="43">
        <v>0</v>
      </c>
      <c r="K179" s="43">
        <v>23533028725</v>
      </c>
      <c r="L179" s="43">
        <v>0</v>
      </c>
      <c r="M179" s="43">
        <v>0</v>
      </c>
      <c r="N179" s="43">
        <v>0</v>
      </c>
      <c r="O179" s="43">
        <v>0</v>
      </c>
      <c r="P179" s="43">
        <v>0</v>
      </c>
      <c r="Q179" s="43">
        <v>0</v>
      </c>
      <c r="R179" s="43">
        <v>0</v>
      </c>
      <c r="S179" s="43">
        <v>0</v>
      </c>
      <c r="T179" s="43">
        <v>0</v>
      </c>
      <c r="U179" s="43">
        <v>0</v>
      </c>
      <c r="V179" s="44">
        <v>0</v>
      </c>
      <c r="W179" s="24"/>
    </row>
    <row r="180" spans="1:23" ht="21.75">
      <c r="A180" s="36">
        <v>1212</v>
      </c>
      <c r="B180" s="37">
        <v>12</v>
      </c>
      <c r="C180" s="45">
        <v>177</v>
      </c>
      <c r="D180" s="46" t="s">
        <v>121</v>
      </c>
      <c r="E180" s="47" t="s">
        <v>122</v>
      </c>
      <c r="F180" s="48">
        <v>-26007660516</v>
      </c>
      <c r="G180" s="48">
        <v>26007660516</v>
      </c>
      <c r="H180" s="43">
        <f t="shared" si="2"/>
        <v>0</v>
      </c>
      <c r="I180" s="43">
        <v>0</v>
      </c>
      <c r="J180" s="43">
        <v>0</v>
      </c>
      <c r="K180" s="43">
        <v>0</v>
      </c>
      <c r="L180" s="43">
        <v>0</v>
      </c>
      <c r="M180" s="43">
        <v>0</v>
      </c>
      <c r="N180" s="43">
        <v>0</v>
      </c>
      <c r="O180" s="43">
        <v>0</v>
      </c>
      <c r="P180" s="43">
        <v>0</v>
      </c>
      <c r="Q180" s="43">
        <v>-26007660516</v>
      </c>
      <c r="R180" s="43">
        <v>0</v>
      </c>
      <c r="S180" s="43">
        <v>0</v>
      </c>
      <c r="T180" s="43">
        <v>0</v>
      </c>
      <c r="U180" s="43">
        <v>0</v>
      </c>
      <c r="V180" s="44">
        <v>0</v>
      </c>
      <c r="W180" s="24"/>
    </row>
    <row r="181" spans="1:23" ht="21.75">
      <c r="A181" s="36">
        <v>701</v>
      </c>
      <c r="B181" s="37">
        <v>7</v>
      </c>
      <c r="C181" s="45">
        <v>178</v>
      </c>
      <c r="D181" s="46" t="s">
        <v>123</v>
      </c>
      <c r="E181" s="47" t="s">
        <v>124</v>
      </c>
      <c r="F181" s="48">
        <v>-4978</v>
      </c>
      <c r="G181" s="48">
        <v>4978</v>
      </c>
      <c r="H181" s="43">
        <f t="shared" si="2"/>
        <v>0</v>
      </c>
      <c r="I181" s="43">
        <v>0</v>
      </c>
      <c r="J181" s="43">
        <v>0</v>
      </c>
      <c r="K181" s="43">
        <v>-4978</v>
      </c>
      <c r="L181" s="43">
        <v>0</v>
      </c>
      <c r="M181" s="43">
        <v>0</v>
      </c>
      <c r="N181" s="43">
        <v>0</v>
      </c>
      <c r="O181" s="43">
        <v>0</v>
      </c>
      <c r="P181" s="43">
        <v>0</v>
      </c>
      <c r="Q181" s="43">
        <v>0</v>
      </c>
      <c r="R181" s="43">
        <v>0</v>
      </c>
      <c r="S181" s="43">
        <v>0</v>
      </c>
      <c r="T181" s="43">
        <v>0</v>
      </c>
      <c r="U181" s="43">
        <v>0</v>
      </c>
      <c r="V181" s="44">
        <v>0</v>
      </c>
      <c r="W181" s="24"/>
    </row>
    <row r="182" spans="1:23" ht="21.75">
      <c r="A182" s="36">
        <v>1001</v>
      </c>
      <c r="B182" s="37">
        <v>10</v>
      </c>
      <c r="C182" s="45">
        <v>179</v>
      </c>
      <c r="D182" s="46" t="s">
        <v>125</v>
      </c>
      <c r="E182" s="47" t="s">
        <v>126</v>
      </c>
      <c r="F182" s="48">
        <v>5392785921</v>
      </c>
      <c r="G182" s="49"/>
      <c r="H182" s="43">
        <f t="shared" si="2"/>
        <v>0</v>
      </c>
      <c r="I182" s="43">
        <v>0</v>
      </c>
      <c r="J182" s="43">
        <v>0</v>
      </c>
      <c r="K182" s="43">
        <v>0</v>
      </c>
      <c r="L182" s="43">
        <v>0</v>
      </c>
      <c r="M182" s="43">
        <v>0</v>
      </c>
      <c r="N182" s="43">
        <v>0</v>
      </c>
      <c r="O182" s="43">
        <v>5392785921</v>
      </c>
      <c r="P182" s="43">
        <v>0</v>
      </c>
      <c r="Q182" s="43">
        <v>0</v>
      </c>
      <c r="R182" s="43">
        <v>0</v>
      </c>
      <c r="S182" s="43">
        <v>0</v>
      </c>
      <c r="T182" s="43">
        <v>0</v>
      </c>
      <c r="U182" s="43">
        <v>0</v>
      </c>
      <c r="V182" s="44">
        <v>0</v>
      </c>
      <c r="W182" s="24"/>
    </row>
    <row r="183" spans="1:23" ht="21.75">
      <c r="A183" s="36">
        <v>602</v>
      </c>
      <c r="B183" s="37">
        <v>6</v>
      </c>
      <c r="C183" s="45">
        <v>180</v>
      </c>
      <c r="D183" s="46" t="s">
        <v>63</v>
      </c>
      <c r="E183" s="47" t="s">
        <v>559</v>
      </c>
      <c r="F183" s="48">
        <v>7966060000</v>
      </c>
      <c r="G183" s="49"/>
      <c r="H183" s="43">
        <f t="shared" si="2"/>
        <v>0</v>
      </c>
      <c r="I183" s="43">
        <v>0</v>
      </c>
      <c r="J183" s="43">
        <v>7966060000</v>
      </c>
      <c r="K183" s="43">
        <v>0</v>
      </c>
      <c r="L183" s="43">
        <v>0</v>
      </c>
      <c r="M183" s="43">
        <v>0</v>
      </c>
      <c r="N183" s="43">
        <v>0</v>
      </c>
      <c r="O183" s="43">
        <v>0</v>
      </c>
      <c r="P183" s="43">
        <v>0</v>
      </c>
      <c r="Q183" s="43">
        <v>0</v>
      </c>
      <c r="R183" s="43">
        <v>0</v>
      </c>
      <c r="S183" s="43">
        <v>0</v>
      </c>
      <c r="T183" s="43">
        <v>0</v>
      </c>
      <c r="U183" s="43">
        <v>0</v>
      </c>
      <c r="V183" s="44">
        <v>0</v>
      </c>
      <c r="W183" s="24"/>
    </row>
    <row r="184" spans="1:23" ht="21.75">
      <c r="A184" s="36">
        <v>805</v>
      </c>
      <c r="B184" s="37">
        <v>8</v>
      </c>
      <c r="C184" s="45">
        <v>181</v>
      </c>
      <c r="D184" s="46" t="s">
        <v>69</v>
      </c>
      <c r="E184" s="47" t="s">
        <v>70</v>
      </c>
      <c r="F184" s="48">
        <v>1327524000</v>
      </c>
      <c r="G184" s="49"/>
      <c r="H184" s="43">
        <f t="shared" si="2"/>
        <v>0</v>
      </c>
      <c r="I184" s="43">
        <v>0</v>
      </c>
      <c r="J184" s="43">
        <v>0</v>
      </c>
      <c r="K184" s="43">
        <v>0</v>
      </c>
      <c r="L184" s="43">
        <v>1327524000</v>
      </c>
      <c r="M184" s="43">
        <v>0</v>
      </c>
      <c r="N184" s="43">
        <v>0</v>
      </c>
      <c r="O184" s="43">
        <v>0</v>
      </c>
      <c r="P184" s="43">
        <v>0</v>
      </c>
      <c r="Q184" s="43">
        <v>0</v>
      </c>
      <c r="R184" s="43">
        <v>0</v>
      </c>
      <c r="S184" s="43">
        <v>0</v>
      </c>
      <c r="T184" s="43">
        <v>0</v>
      </c>
      <c r="U184" s="43">
        <v>0</v>
      </c>
      <c r="V184" s="44">
        <v>0</v>
      </c>
      <c r="W184" s="24"/>
    </row>
    <row r="185" spans="1:23" ht="21.75">
      <c r="A185" s="36">
        <v>907</v>
      </c>
      <c r="B185" s="37">
        <v>9</v>
      </c>
      <c r="C185" s="45">
        <v>182</v>
      </c>
      <c r="D185" s="46" t="s">
        <v>71</v>
      </c>
      <c r="E185" s="47" t="s">
        <v>72</v>
      </c>
      <c r="F185" s="48">
        <v>85617868582</v>
      </c>
      <c r="G185" s="49"/>
      <c r="H185" s="43">
        <f t="shared" si="2"/>
        <v>0</v>
      </c>
      <c r="I185" s="43">
        <v>0</v>
      </c>
      <c r="J185" s="43">
        <v>0</v>
      </c>
      <c r="K185" s="43">
        <v>0</v>
      </c>
      <c r="L185" s="43">
        <v>0</v>
      </c>
      <c r="M185" s="43">
        <v>0</v>
      </c>
      <c r="N185" s="43">
        <v>85617868582</v>
      </c>
      <c r="O185" s="43">
        <v>0</v>
      </c>
      <c r="P185" s="43">
        <v>0</v>
      </c>
      <c r="Q185" s="43">
        <v>0</v>
      </c>
      <c r="R185" s="43">
        <v>0</v>
      </c>
      <c r="S185" s="43">
        <v>0</v>
      </c>
      <c r="T185" s="43">
        <v>0</v>
      </c>
      <c r="U185" s="43">
        <v>0</v>
      </c>
      <c r="V185" s="44">
        <v>0</v>
      </c>
      <c r="W185" s="24"/>
    </row>
    <row r="186" spans="1:23" ht="21.75">
      <c r="A186" s="36">
        <v>614</v>
      </c>
      <c r="B186" s="37">
        <v>6</v>
      </c>
      <c r="C186" s="45">
        <v>183</v>
      </c>
      <c r="D186" s="46" t="s">
        <v>73</v>
      </c>
      <c r="E186" s="47" t="s">
        <v>74</v>
      </c>
      <c r="F186" s="48">
        <v>9210856480</v>
      </c>
      <c r="G186" s="49"/>
      <c r="H186" s="43">
        <f t="shared" si="2"/>
        <v>0</v>
      </c>
      <c r="I186" s="43">
        <v>0</v>
      </c>
      <c r="J186" s="43">
        <v>9210856480</v>
      </c>
      <c r="K186" s="43">
        <v>0</v>
      </c>
      <c r="L186" s="43">
        <v>0</v>
      </c>
      <c r="M186" s="43">
        <v>0</v>
      </c>
      <c r="N186" s="43">
        <v>0</v>
      </c>
      <c r="O186" s="43">
        <v>0</v>
      </c>
      <c r="P186" s="43">
        <v>0</v>
      </c>
      <c r="Q186" s="43">
        <v>0</v>
      </c>
      <c r="R186" s="43">
        <v>0</v>
      </c>
      <c r="S186" s="43">
        <v>0</v>
      </c>
      <c r="T186" s="43">
        <v>0</v>
      </c>
      <c r="U186" s="43">
        <v>0</v>
      </c>
      <c r="V186" s="44">
        <v>0</v>
      </c>
      <c r="W186" s="24"/>
    </row>
    <row r="187" spans="1:23" ht="21.75">
      <c r="A187" s="36">
        <v>612</v>
      </c>
      <c r="B187" s="37">
        <v>6</v>
      </c>
      <c r="C187" s="45">
        <v>184</v>
      </c>
      <c r="D187" s="46" t="s">
        <v>75</v>
      </c>
      <c r="E187" s="47" t="s">
        <v>406</v>
      </c>
      <c r="F187" s="48">
        <v>30828127416</v>
      </c>
      <c r="G187" s="49"/>
      <c r="H187" s="43">
        <f t="shared" si="2"/>
        <v>0</v>
      </c>
      <c r="I187" s="43">
        <v>0</v>
      </c>
      <c r="J187" s="43">
        <v>30828127416</v>
      </c>
      <c r="K187" s="43">
        <v>0</v>
      </c>
      <c r="L187" s="43">
        <v>0</v>
      </c>
      <c r="M187" s="43">
        <v>0</v>
      </c>
      <c r="N187" s="43">
        <v>0</v>
      </c>
      <c r="O187" s="43">
        <v>0</v>
      </c>
      <c r="P187" s="43">
        <v>0</v>
      </c>
      <c r="Q187" s="43">
        <v>0</v>
      </c>
      <c r="R187" s="43">
        <v>0</v>
      </c>
      <c r="S187" s="43">
        <v>0</v>
      </c>
      <c r="T187" s="43">
        <v>0</v>
      </c>
      <c r="U187" s="43">
        <v>0</v>
      </c>
      <c r="V187" s="44">
        <v>0</v>
      </c>
      <c r="W187" s="24"/>
    </row>
    <row r="188" spans="1:23" ht="21.75">
      <c r="A188" s="36">
        <v>614</v>
      </c>
      <c r="B188" s="37">
        <v>6</v>
      </c>
      <c r="C188" s="45">
        <v>185</v>
      </c>
      <c r="D188" s="46" t="s">
        <v>407</v>
      </c>
      <c r="E188" s="47" t="s">
        <v>408</v>
      </c>
      <c r="F188" s="48">
        <v>257128360</v>
      </c>
      <c r="G188" s="49"/>
      <c r="H188" s="43">
        <f t="shared" si="2"/>
        <v>0</v>
      </c>
      <c r="I188" s="43">
        <v>0</v>
      </c>
      <c r="J188" s="43">
        <v>257128360</v>
      </c>
      <c r="K188" s="43">
        <v>0</v>
      </c>
      <c r="L188" s="43">
        <v>0</v>
      </c>
      <c r="M188" s="43">
        <v>0</v>
      </c>
      <c r="N188" s="43">
        <v>0</v>
      </c>
      <c r="O188" s="43">
        <v>0</v>
      </c>
      <c r="P188" s="43">
        <v>0</v>
      </c>
      <c r="Q188" s="43">
        <v>0</v>
      </c>
      <c r="R188" s="43">
        <v>0</v>
      </c>
      <c r="S188" s="43">
        <v>0</v>
      </c>
      <c r="T188" s="43">
        <v>0</v>
      </c>
      <c r="U188" s="43">
        <v>0</v>
      </c>
      <c r="V188" s="44">
        <v>0</v>
      </c>
      <c r="W188" s="24"/>
    </row>
    <row r="189" spans="1:23" ht="21.75">
      <c r="A189" s="36">
        <v>614</v>
      </c>
      <c r="B189" s="37">
        <v>6</v>
      </c>
      <c r="C189" s="45">
        <v>186</v>
      </c>
      <c r="D189" s="46" t="s">
        <v>409</v>
      </c>
      <c r="E189" s="47" t="s">
        <v>410</v>
      </c>
      <c r="F189" s="48">
        <v>270244902</v>
      </c>
      <c r="G189" s="49"/>
      <c r="H189" s="43">
        <f t="shared" si="2"/>
        <v>0</v>
      </c>
      <c r="I189" s="43">
        <v>0</v>
      </c>
      <c r="J189" s="43">
        <v>270244902</v>
      </c>
      <c r="K189" s="43">
        <v>0</v>
      </c>
      <c r="L189" s="43">
        <v>0</v>
      </c>
      <c r="M189" s="43">
        <v>0</v>
      </c>
      <c r="N189" s="43">
        <v>0</v>
      </c>
      <c r="O189" s="43">
        <v>0</v>
      </c>
      <c r="P189" s="43">
        <v>0</v>
      </c>
      <c r="Q189" s="43">
        <v>0</v>
      </c>
      <c r="R189" s="43">
        <v>0</v>
      </c>
      <c r="S189" s="43">
        <v>0</v>
      </c>
      <c r="T189" s="43">
        <v>0</v>
      </c>
      <c r="U189" s="43">
        <v>0</v>
      </c>
      <c r="V189" s="44">
        <v>0</v>
      </c>
      <c r="W189" s="24"/>
    </row>
    <row r="190" spans="1:23" ht="21.75">
      <c r="A190" s="36">
        <v>907</v>
      </c>
      <c r="B190" s="37">
        <v>9</v>
      </c>
      <c r="C190" s="45">
        <v>187</v>
      </c>
      <c r="D190" s="46" t="s">
        <v>411</v>
      </c>
      <c r="E190" s="47" t="s">
        <v>352</v>
      </c>
      <c r="F190" s="48">
        <v>328487961389</v>
      </c>
      <c r="G190" s="49"/>
      <c r="H190" s="43">
        <f t="shared" si="2"/>
        <v>0</v>
      </c>
      <c r="I190" s="43">
        <v>0</v>
      </c>
      <c r="J190" s="43">
        <v>0</v>
      </c>
      <c r="K190" s="43">
        <v>0</v>
      </c>
      <c r="L190" s="43">
        <v>0</v>
      </c>
      <c r="M190" s="43">
        <v>0</v>
      </c>
      <c r="N190" s="43">
        <v>328487961389</v>
      </c>
      <c r="O190" s="43">
        <v>0</v>
      </c>
      <c r="P190" s="43">
        <v>0</v>
      </c>
      <c r="Q190" s="43">
        <v>0</v>
      </c>
      <c r="R190" s="43">
        <v>0</v>
      </c>
      <c r="S190" s="43">
        <v>0</v>
      </c>
      <c r="T190" s="43">
        <v>0</v>
      </c>
      <c r="U190" s="43">
        <v>0</v>
      </c>
      <c r="V190" s="44">
        <v>0</v>
      </c>
      <c r="W190" s="24"/>
    </row>
    <row r="191" spans="1:23" ht="21.75">
      <c r="A191" s="36">
        <v>805</v>
      </c>
      <c r="B191" s="37">
        <v>8</v>
      </c>
      <c r="C191" s="45">
        <v>188</v>
      </c>
      <c r="D191" s="46" t="s">
        <v>353</v>
      </c>
      <c r="E191" s="47" t="s">
        <v>354</v>
      </c>
      <c r="F191" s="48">
        <v>13711386379</v>
      </c>
      <c r="G191" s="49"/>
      <c r="H191" s="43">
        <f t="shared" si="2"/>
        <v>0</v>
      </c>
      <c r="I191" s="43">
        <v>0</v>
      </c>
      <c r="J191" s="43">
        <v>0</v>
      </c>
      <c r="K191" s="43">
        <v>0</v>
      </c>
      <c r="L191" s="43">
        <v>13711386379</v>
      </c>
      <c r="M191" s="43">
        <v>0</v>
      </c>
      <c r="N191" s="43">
        <v>0</v>
      </c>
      <c r="O191" s="43">
        <v>0</v>
      </c>
      <c r="P191" s="43">
        <v>0</v>
      </c>
      <c r="Q191" s="43">
        <v>0</v>
      </c>
      <c r="R191" s="43">
        <v>0</v>
      </c>
      <c r="S191" s="43">
        <v>0</v>
      </c>
      <c r="T191" s="43">
        <v>0</v>
      </c>
      <c r="U191" s="43">
        <v>0</v>
      </c>
      <c r="V191" s="44">
        <v>0</v>
      </c>
      <c r="W191" s="24"/>
    </row>
    <row r="192" spans="1:23" ht="21.75">
      <c r="A192" s="36">
        <v>1212</v>
      </c>
      <c r="B192" s="37">
        <v>12</v>
      </c>
      <c r="C192" s="45">
        <v>189</v>
      </c>
      <c r="D192" s="46" t="s">
        <v>355</v>
      </c>
      <c r="E192" s="47" t="s">
        <v>356</v>
      </c>
      <c r="F192" s="48">
        <v>-4161008457</v>
      </c>
      <c r="G192" s="48">
        <v>4161008457</v>
      </c>
      <c r="H192" s="43">
        <f t="shared" si="2"/>
        <v>0</v>
      </c>
      <c r="I192" s="43">
        <v>0</v>
      </c>
      <c r="J192" s="43">
        <v>0</v>
      </c>
      <c r="K192" s="43">
        <v>0</v>
      </c>
      <c r="L192" s="43">
        <v>0</v>
      </c>
      <c r="M192" s="43">
        <v>0</v>
      </c>
      <c r="N192" s="43">
        <v>0</v>
      </c>
      <c r="O192" s="43">
        <v>0</v>
      </c>
      <c r="P192" s="43">
        <v>0</v>
      </c>
      <c r="Q192" s="43">
        <v>-4161008457</v>
      </c>
      <c r="R192" s="43">
        <v>0</v>
      </c>
      <c r="S192" s="43">
        <v>0</v>
      </c>
      <c r="T192" s="43">
        <v>0</v>
      </c>
      <c r="U192" s="43">
        <v>0</v>
      </c>
      <c r="V192" s="44">
        <v>0</v>
      </c>
      <c r="W192" s="24"/>
    </row>
    <row r="193" spans="1:23" ht="21.75">
      <c r="A193" s="36">
        <v>1212</v>
      </c>
      <c r="B193" s="37">
        <v>12</v>
      </c>
      <c r="C193" s="45">
        <v>190</v>
      </c>
      <c r="D193" s="46" t="s">
        <v>357</v>
      </c>
      <c r="E193" s="47" t="s">
        <v>358</v>
      </c>
      <c r="F193" s="48">
        <v>-1594745572</v>
      </c>
      <c r="G193" s="48">
        <v>1594745572</v>
      </c>
      <c r="H193" s="43">
        <f t="shared" si="2"/>
        <v>0</v>
      </c>
      <c r="I193" s="43">
        <v>0</v>
      </c>
      <c r="J193" s="43">
        <v>0</v>
      </c>
      <c r="K193" s="43">
        <v>0</v>
      </c>
      <c r="L193" s="43">
        <v>0</v>
      </c>
      <c r="M193" s="43">
        <v>0</v>
      </c>
      <c r="N193" s="43">
        <v>0</v>
      </c>
      <c r="O193" s="43">
        <v>0</v>
      </c>
      <c r="P193" s="43">
        <v>0</v>
      </c>
      <c r="Q193" s="43">
        <v>-1594745572</v>
      </c>
      <c r="R193" s="43">
        <v>0</v>
      </c>
      <c r="S193" s="43">
        <v>0</v>
      </c>
      <c r="T193" s="43">
        <v>0</v>
      </c>
      <c r="U193" s="43">
        <v>0</v>
      </c>
      <c r="V193" s="44">
        <v>0</v>
      </c>
      <c r="W193" s="24"/>
    </row>
    <row r="194" spans="1:23" ht="21.75">
      <c r="A194" s="36">
        <v>1212</v>
      </c>
      <c r="B194" s="37">
        <v>12</v>
      </c>
      <c r="C194" s="45">
        <v>191</v>
      </c>
      <c r="D194" s="46" t="s">
        <v>359</v>
      </c>
      <c r="E194" s="47" t="s">
        <v>215</v>
      </c>
      <c r="F194" s="48">
        <v>-31560455</v>
      </c>
      <c r="G194" s="48">
        <v>31560455</v>
      </c>
      <c r="H194" s="43">
        <f t="shared" si="2"/>
        <v>0</v>
      </c>
      <c r="I194" s="43">
        <v>0</v>
      </c>
      <c r="J194" s="43">
        <v>0</v>
      </c>
      <c r="K194" s="43">
        <v>0</v>
      </c>
      <c r="L194" s="43">
        <v>0</v>
      </c>
      <c r="M194" s="43">
        <v>0</v>
      </c>
      <c r="N194" s="43">
        <v>0</v>
      </c>
      <c r="O194" s="43">
        <v>0</v>
      </c>
      <c r="P194" s="43">
        <v>0</v>
      </c>
      <c r="Q194" s="43">
        <v>-31560455</v>
      </c>
      <c r="R194" s="43">
        <v>0</v>
      </c>
      <c r="S194" s="43">
        <v>0</v>
      </c>
      <c r="T194" s="43">
        <v>0</v>
      </c>
      <c r="U194" s="43">
        <v>0</v>
      </c>
      <c r="V194" s="44">
        <v>0</v>
      </c>
      <c r="W194" s="24"/>
    </row>
    <row r="195" spans="1:23" ht="21.75">
      <c r="A195" s="36">
        <v>1212</v>
      </c>
      <c r="B195" s="37">
        <v>12</v>
      </c>
      <c r="C195" s="45">
        <v>192</v>
      </c>
      <c r="D195" s="46" t="s">
        <v>598</v>
      </c>
      <c r="E195" s="47" t="s">
        <v>599</v>
      </c>
      <c r="F195" s="48">
        <v>-30806056</v>
      </c>
      <c r="G195" s="48">
        <v>30806056</v>
      </c>
      <c r="H195" s="43">
        <f t="shared" si="2"/>
        <v>0</v>
      </c>
      <c r="I195" s="43">
        <v>0</v>
      </c>
      <c r="J195" s="43">
        <v>0</v>
      </c>
      <c r="K195" s="43">
        <v>0</v>
      </c>
      <c r="L195" s="43">
        <v>0</v>
      </c>
      <c r="M195" s="43">
        <v>0</v>
      </c>
      <c r="N195" s="43">
        <v>0</v>
      </c>
      <c r="O195" s="43">
        <v>0</v>
      </c>
      <c r="P195" s="43">
        <v>0</v>
      </c>
      <c r="Q195" s="43">
        <v>-30806056</v>
      </c>
      <c r="R195" s="43">
        <v>0</v>
      </c>
      <c r="S195" s="43">
        <v>0</v>
      </c>
      <c r="T195" s="43">
        <v>0</v>
      </c>
      <c r="U195" s="43">
        <v>0</v>
      </c>
      <c r="V195" s="44">
        <v>0</v>
      </c>
      <c r="W195" s="24"/>
    </row>
    <row r="196" spans="1:23" ht="21.75">
      <c r="A196" s="36">
        <v>1401</v>
      </c>
      <c r="B196" s="37">
        <v>14</v>
      </c>
      <c r="C196" s="45">
        <v>193</v>
      </c>
      <c r="D196" s="46" t="s">
        <v>600</v>
      </c>
      <c r="E196" s="47" t="s">
        <v>601</v>
      </c>
      <c r="F196" s="48">
        <v>12651524857</v>
      </c>
      <c r="G196" s="49"/>
      <c r="H196" s="43">
        <f t="shared" si="2"/>
        <v>0</v>
      </c>
      <c r="I196" s="43">
        <v>0</v>
      </c>
      <c r="J196" s="43">
        <v>0</v>
      </c>
      <c r="K196" s="43">
        <v>0</v>
      </c>
      <c r="L196" s="43">
        <v>0</v>
      </c>
      <c r="M196" s="43">
        <v>12651524857</v>
      </c>
      <c r="N196" s="43">
        <v>0</v>
      </c>
      <c r="O196" s="43">
        <v>0</v>
      </c>
      <c r="P196" s="43">
        <v>0</v>
      </c>
      <c r="Q196" s="43">
        <v>0</v>
      </c>
      <c r="R196" s="43">
        <v>0</v>
      </c>
      <c r="S196" s="43">
        <v>0</v>
      </c>
      <c r="T196" s="43">
        <v>0</v>
      </c>
      <c r="U196" s="43">
        <v>0</v>
      </c>
      <c r="V196" s="44">
        <v>0</v>
      </c>
      <c r="W196" s="24"/>
    </row>
    <row r="197" spans="1:23" ht="21.75">
      <c r="A197" s="36">
        <v>1212</v>
      </c>
      <c r="B197" s="37">
        <v>12</v>
      </c>
      <c r="C197" s="45">
        <v>194</v>
      </c>
      <c r="D197" s="46" t="s">
        <v>602</v>
      </c>
      <c r="E197" s="47" t="s">
        <v>603</v>
      </c>
      <c r="F197" s="48">
        <v>-1665783469</v>
      </c>
      <c r="G197" s="48">
        <v>1665783469</v>
      </c>
      <c r="H197" s="43">
        <f t="shared" ref="H197:H241" si="3">IF($B197=$H$3,$F197,0)</f>
        <v>0</v>
      </c>
      <c r="I197" s="43">
        <v>0</v>
      </c>
      <c r="J197" s="43">
        <v>0</v>
      </c>
      <c r="K197" s="43">
        <v>0</v>
      </c>
      <c r="L197" s="43">
        <v>0</v>
      </c>
      <c r="M197" s="43">
        <v>0</v>
      </c>
      <c r="N197" s="43">
        <v>0</v>
      </c>
      <c r="O197" s="43">
        <v>0</v>
      </c>
      <c r="P197" s="43">
        <v>0</v>
      </c>
      <c r="Q197" s="43">
        <v>-1665783469</v>
      </c>
      <c r="R197" s="43">
        <v>0</v>
      </c>
      <c r="S197" s="43">
        <v>0</v>
      </c>
      <c r="T197" s="43">
        <v>0</v>
      </c>
      <c r="U197" s="43">
        <v>0</v>
      </c>
      <c r="V197" s="44">
        <v>0</v>
      </c>
      <c r="W197" s="24"/>
    </row>
    <row r="198" spans="1:23" ht="21.75">
      <c r="A198" s="36">
        <v>1317</v>
      </c>
      <c r="B198" s="37">
        <v>13</v>
      </c>
      <c r="C198" s="45">
        <v>195</v>
      </c>
      <c r="D198" s="46" t="s">
        <v>604</v>
      </c>
      <c r="E198" s="47" t="s">
        <v>532</v>
      </c>
      <c r="F198" s="48">
        <v>-3228642573034</v>
      </c>
      <c r="G198" s="48">
        <v>3228642573034</v>
      </c>
      <c r="H198" s="43">
        <f t="shared" si="3"/>
        <v>0</v>
      </c>
      <c r="I198" s="43">
        <v>0</v>
      </c>
      <c r="J198" s="43">
        <v>0</v>
      </c>
      <c r="K198" s="43">
        <v>0</v>
      </c>
      <c r="L198" s="43">
        <v>0</v>
      </c>
      <c r="M198" s="43">
        <v>0</v>
      </c>
      <c r="N198" s="43">
        <v>0</v>
      </c>
      <c r="O198" s="43">
        <v>0</v>
      </c>
      <c r="P198" s="43">
        <v>0</v>
      </c>
      <c r="Q198" s="43">
        <v>0</v>
      </c>
      <c r="R198" s="43">
        <v>-3228642573034</v>
      </c>
      <c r="S198" s="43">
        <v>0</v>
      </c>
      <c r="T198" s="43">
        <v>0</v>
      </c>
      <c r="U198" s="43">
        <v>0</v>
      </c>
      <c r="V198" s="44">
        <v>0</v>
      </c>
      <c r="W198" s="24"/>
    </row>
    <row r="199" spans="1:23" ht="21.75">
      <c r="A199" s="36">
        <v>1212</v>
      </c>
      <c r="B199" s="37">
        <v>12</v>
      </c>
      <c r="C199" s="45">
        <v>196</v>
      </c>
      <c r="D199" s="46" t="s">
        <v>605</v>
      </c>
      <c r="E199" s="47" t="s">
        <v>227</v>
      </c>
      <c r="F199" s="48">
        <v>-1804799432</v>
      </c>
      <c r="G199" s="48">
        <v>1804799432</v>
      </c>
      <c r="H199" s="43">
        <f t="shared" si="3"/>
        <v>0</v>
      </c>
      <c r="I199" s="43">
        <v>0</v>
      </c>
      <c r="J199" s="43">
        <v>0</v>
      </c>
      <c r="K199" s="43">
        <v>0</v>
      </c>
      <c r="L199" s="43">
        <v>0</v>
      </c>
      <c r="M199" s="43">
        <v>0</v>
      </c>
      <c r="N199" s="43">
        <v>0</v>
      </c>
      <c r="O199" s="43">
        <v>0</v>
      </c>
      <c r="P199" s="43">
        <v>0</v>
      </c>
      <c r="Q199" s="43">
        <v>-1804799432</v>
      </c>
      <c r="R199" s="43">
        <v>0</v>
      </c>
      <c r="S199" s="43">
        <v>0</v>
      </c>
      <c r="T199" s="43">
        <v>0</v>
      </c>
      <c r="U199" s="43">
        <v>0</v>
      </c>
      <c r="V199" s="44">
        <v>0</v>
      </c>
      <c r="W199" s="24"/>
    </row>
    <row r="200" spans="1:23" ht="21.75">
      <c r="A200" s="36">
        <v>1212</v>
      </c>
      <c r="B200" s="37">
        <v>12</v>
      </c>
      <c r="C200" s="45">
        <v>197</v>
      </c>
      <c r="D200" s="46" t="s">
        <v>515</v>
      </c>
      <c r="E200" s="47" t="s">
        <v>516</v>
      </c>
      <c r="F200" s="48">
        <v>-70000000</v>
      </c>
      <c r="G200" s="48">
        <v>70000000</v>
      </c>
      <c r="H200" s="43">
        <f t="shared" si="3"/>
        <v>0</v>
      </c>
      <c r="I200" s="43">
        <v>0</v>
      </c>
      <c r="J200" s="43">
        <v>0</v>
      </c>
      <c r="K200" s="43">
        <v>0</v>
      </c>
      <c r="L200" s="43">
        <v>0</v>
      </c>
      <c r="M200" s="43">
        <v>0</v>
      </c>
      <c r="N200" s="43">
        <v>0</v>
      </c>
      <c r="O200" s="43">
        <v>0</v>
      </c>
      <c r="P200" s="43">
        <v>0</v>
      </c>
      <c r="Q200" s="43">
        <v>-70000000</v>
      </c>
      <c r="R200" s="43">
        <v>0</v>
      </c>
      <c r="S200" s="43">
        <v>0</v>
      </c>
      <c r="T200" s="43">
        <v>0</v>
      </c>
      <c r="U200" s="43">
        <v>0</v>
      </c>
      <c r="V200" s="44">
        <v>0</v>
      </c>
      <c r="W200" s="24"/>
    </row>
    <row r="201" spans="1:23" ht="21.75">
      <c r="A201" s="36">
        <v>1212</v>
      </c>
      <c r="B201" s="37">
        <v>12</v>
      </c>
      <c r="C201" s="45">
        <v>198</v>
      </c>
      <c r="D201" s="46" t="s">
        <v>18</v>
      </c>
      <c r="E201" s="47" t="s">
        <v>228</v>
      </c>
      <c r="F201" s="48">
        <v>-23368979331</v>
      </c>
      <c r="G201" s="48">
        <v>23368979331</v>
      </c>
      <c r="H201" s="43">
        <f t="shared" si="3"/>
        <v>0</v>
      </c>
      <c r="I201" s="43">
        <v>0</v>
      </c>
      <c r="J201" s="43">
        <v>0</v>
      </c>
      <c r="K201" s="43">
        <v>0</v>
      </c>
      <c r="L201" s="43">
        <v>0</v>
      </c>
      <c r="M201" s="43">
        <v>0</v>
      </c>
      <c r="N201" s="43">
        <v>0</v>
      </c>
      <c r="O201" s="43">
        <v>0</v>
      </c>
      <c r="P201" s="43">
        <v>0</v>
      </c>
      <c r="Q201" s="43">
        <v>-23368979331</v>
      </c>
      <c r="R201" s="43">
        <v>0</v>
      </c>
      <c r="S201" s="43">
        <v>0</v>
      </c>
      <c r="T201" s="43">
        <v>0</v>
      </c>
      <c r="U201" s="43">
        <v>0</v>
      </c>
      <c r="V201" s="44">
        <v>0</v>
      </c>
      <c r="W201" s="24"/>
    </row>
    <row r="202" spans="1:23" ht="21.75">
      <c r="A202" s="36">
        <v>501</v>
      </c>
      <c r="B202" s="37">
        <v>5</v>
      </c>
      <c r="C202" s="45">
        <v>199</v>
      </c>
      <c r="D202" s="46" t="s">
        <v>19</v>
      </c>
      <c r="E202" s="47" t="s">
        <v>20</v>
      </c>
      <c r="F202" s="48">
        <v>1505887329639</v>
      </c>
      <c r="G202" s="49"/>
      <c r="H202" s="43">
        <f t="shared" si="3"/>
        <v>0</v>
      </c>
      <c r="I202" s="43">
        <v>1505887329639</v>
      </c>
      <c r="J202" s="43">
        <v>0</v>
      </c>
      <c r="K202" s="43">
        <v>0</v>
      </c>
      <c r="L202" s="43">
        <v>0</v>
      </c>
      <c r="M202" s="43">
        <v>0</v>
      </c>
      <c r="N202" s="43">
        <v>0</v>
      </c>
      <c r="O202" s="43">
        <v>0</v>
      </c>
      <c r="P202" s="43">
        <v>0</v>
      </c>
      <c r="Q202" s="43">
        <v>0</v>
      </c>
      <c r="R202" s="43">
        <v>0</v>
      </c>
      <c r="S202" s="43">
        <v>0</v>
      </c>
      <c r="T202" s="43">
        <v>0</v>
      </c>
      <c r="U202" s="43">
        <v>0</v>
      </c>
      <c r="V202" s="44">
        <v>0</v>
      </c>
      <c r="W202" s="24"/>
    </row>
    <row r="203" spans="1:23" ht="21.75">
      <c r="A203" s="36">
        <v>1206</v>
      </c>
      <c r="B203" s="37">
        <v>12</v>
      </c>
      <c r="C203" s="45">
        <v>200</v>
      </c>
      <c r="D203" s="46" t="s">
        <v>21</v>
      </c>
      <c r="E203" s="47" t="s">
        <v>22</v>
      </c>
      <c r="F203" s="48">
        <v>-86121299529</v>
      </c>
      <c r="G203" s="48">
        <v>30379950872</v>
      </c>
      <c r="H203" s="43">
        <f t="shared" si="3"/>
        <v>0</v>
      </c>
      <c r="I203" s="43">
        <v>0</v>
      </c>
      <c r="J203" s="43">
        <v>0</v>
      </c>
      <c r="K203" s="43">
        <v>0</v>
      </c>
      <c r="L203" s="43">
        <v>0</v>
      </c>
      <c r="M203" s="43">
        <v>0</v>
      </c>
      <c r="N203" s="43">
        <v>0</v>
      </c>
      <c r="O203" s="43">
        <v>0</v>
      </c>
      <c r="P203" s="43">
        <v>0</v>
      </c>
      <c r="Q203" s="43">
        <v>-86121299529</v>
      </c>
      <c r="R203" s="43">
        <v>0</v>
      </c>
      <c r="S203" s="43">
        <v>0</v>
      </c>
      <c r="T203" s="43">
        <v>0</v>
      </c>
      <c r="U203" s="43">
        <v>0</v>
      </c>
      <c r="V203" s="44">
        <v>0</v>
      </c>
      <c r="W203" s="24"/>
    </row>
    <row r="204" spans="1:23" ht="21.75">
      <c r="A204" s="36">
        <v>1316</v>
      </c>
      <c r="B204" s="37">
        <v>13</v>
      </c>
      <c r="C204" s="45">
        <v>201</v>
      </c>
      <c r="D204" s="46" t="s">
        <v>23</v>
      </c>
      <c r="E204" s="47" t="s">
        <v>537</v>
      </c>
      <c r="F204" s="48">
        <v>-2362394935753</v>
      </c>
      <c r="G204" s="48">
        <v>2362394935753</v>
      </c>
      <c r="H204" s="43">
        <f t="shared" si="3"/>
        <v>0</v>
      </c>
      <c r="I204" s="43">
        <v>0</v>
      </c>
      <c r="J204" s="43">
        <v>0</v>
      </c>
      <c r="K204" s="43">
        <v>0</v>
      </c>
      <c r="L204" s="43">
        <v>0</v>
      </c>
      <c r="M204" s="43">
        <v>0</v>
      </c>
      <c r="N204" s="43">
        <v>0</v>
      </c>
      <c r="O204" s="43">
        <v>0</v>
      </c>
      <c r="P204" s="43">
        <v>0</v>
      </c>
      <c r="Q204" s="43">
        <v>0</v>
      </c>
      <c r="R204" s="43">
        <v>-2362394935753</v>
      </c>
      <c r="S204" s="43">
        <v>0</v>
      </c>
      <c r="T204" s="43">
        <v>0</v>
      </c>
      <c r="U204" s="43">
        <v>0</v>
      </c>
      <c r="V204" s="44">
        <v>0</v>
      </c>
      <c r="W204" s="24"/>
    </row>
    <row r="205" spans="1:23" ht="21.75">
      <c r="A205" s="36">
        <v>1316</v>
      </c>
      <c r="B205" s="37">
        <v>13</v>
      </c>
      <c r="C205" s="45">
        <v>202</v>
      </c>
      <c r="D205" s="46" t="s">
        <v>538</v>
      </c>
      <c r="E205" s="47" t="s">
        <v>539</v>
      </c>
      <c r="F205" s="48">
        <v>-24866347713</v>
      </c>
      <c r="G205" s="48">
        <v>24866347713</v>
      </c>
      <c r="H205" s="43">
        <f t="shared" si="3"/>
        <v>0</v>
      </c>
      <c r="I205" s="43">
        <v>0</v>
      </c>
      <c r="J205" s="43">
        <v>0</v>
      </c>
      <c r="K205" s="43">
        <v>0</v>
      </c>
      <c r="L205" s="43">
        <v>0</v>
      </c>
      <c r="M205" s="43">
        <v>0</v>
      </c>
      <c r="N205" s="43">
        <v>0</v>
      </c>
      <c r="O205" s="43">
        <v>0</v>
      </c>
      <c r="P205" s="43">
        <v>0</v>
      </c>
      <c r="Q205" s="43">
        <v>0</v>
      </c>
      <c r="R205" s="43">
        <v>-24866347713</v>
      </c>
      <c r="S205" s="43">
        <v>0</v>
      </c>
      <c r="T205" s="43">
        <v>0</v>
      </c>
      <c r="U205" s="43">
        <v>0</v>
      </c>
      <c r="V205" s="44">
        <v>0</v>
      </c>
      <c r="W205" s="24"/>
    </row>
    <row r="206" spans="1:23" ht="21.75">
      <c r="A206" s="36">
        <v>1215</v>
      </c>
      <c r="B206" s="37">
        <v>12</v>
      </c>
      <c r="C206" s="45">
        <v>203</v>
      </c>
      <c r="D206" s="46" t="s">
        <v>540</v>
      </c>
      <c r="E206" s="47" t="s">
        <v>229</v>
      </c>
      <c r="F206" s="48">
        <v>-692186400</v>
      </c>
      <c r="G206" s="48">
        <v>692186400</v>
      </c>
      <c r="H206" s="43">
        <f t="shared" si="3"/>
        <v>0</v>
      </c>
      <c r="I206" s="43">
        <v>0</v>
      </c>
      <c r="J206" s="43">
        <v>0</v>
      </c>
      <c r="K206" s="43">
        <v>0</v>
      </c>
      <c r="L206" s="43">
        <v>0</v>
      </c>
      <c r="M206" s="43">
        <v>0</v>
      </c>
      <c r="N206" s="43">
        <v>0</v>
      </c>
      <c r="O206" s="43">
        <v>0</v>
      </c>
      <c r="P206" s="43">
        <v>0</v>
      </c>
      <c r="Q206" s="43">
        <v>-692186400</v>
      </c>
      <c r="R206" s="43">
        <v>0</v>
      </c>
      <c r="S206" s="43">
        <v>0</v>
      </c>
      <c r="T206" s="43">
        <v>0</v>
      </c>
      <c r="U206" s="43">
        <v>0</v>
      </c>
      <c r="V206" s="44">
        <v>0</v>
      </c>
      <c r="W206" s="24"/>
    </row>
    <row r="207" spans="1:23" ht="21.75">
      <c r="A207" s="36">
        <v>1212</v>
      </c>
      <c r="B207" s="37">
        <v>12</v>
      </c>
      <c r="C207" s="45">
        <v>204</v>
      </c>
      <c r="D207" s="46" t="s">
        <v>541</v>
      </c>
      <c r="E207" s="47" t="s">
        <v>542</v>
      </c>
      <c r="F207" s="48">
        <v>-3</v>
      </c>
      <c r="G207" s="48">
        <v>3</v>
      </c>
      <c r="H207" s="43">
        <f t="shared" si="3"/>
        <v>0</v>
      </c>
      <c r="I207" s="43">
        <v>0</v>
      </c>
      <c r="J207" s="43">
        <v>0</v>
      </c>
      <c r="K207" s="43">
        <v>0</v>
      </c>
      <c r="L207" s="43">
        <v>0</v>
      </c>
      <c r="M207" s="43">
        <v>0</v>
      </c>
      <c r="N207" s="43">
        <v>0</v>
      </c>
      <c r="O207" s="43">
        <v>0</v>
      </c>
      <c r="P207" s="43">
        <v>0</v>
      </c>
      <c r="Q207" s="43">
        <v>-3</v>
      </c>
      <c r="R207" s="43">
        <v>0</v>
      </c>
      <c r="S207" s="43">
        <v>0</v>
      </c>
      <c r="T207" s="43">
        <v>0</v>
      </c>
      <c r="U207" s="43">
        <v>0</v>
      </c>
      <c r="V207" s="44">
        <v>0</v>
      </c>
      <c r="W207" s="24"/>
    </row>
    <row r="208" spans="1:23" ht="21.75">
      <c r="A208" s="36">
        <v>1207</v>
      </c>
      <c r="B208" s="37">
        <v>12</v>
      </c>
      <c r="C208" s="45">
        <v>205</v>
      </c>
      <c r="D208" s="46" t="s">
        <v>543</v>
      </c>
      <c r="E208" s="47" t="s">
        <v>544</v>
      </c>
      <c r="F208" s="48">
        <v>-156905770406</v>
      </c>
      <c r="G208" s="48">
        <v>156905770406</v>
      </c>
      <c r="H208" s="43">
        <f t="shared" si="3"/>
        <v>0</v>
      </c>
      <c r="I208" s="43">
        <v>0</v>
      </c>
      <c r="J208" s="43">
        <v>0</v>
      </c>
      <c r="K208" s="43">
        <v>0</v>
      </c>
      <c r="L208" s="43">
        <v>0</v>
      </c>
      <c r="M208" s="43">
        <v>0</v>
      </c>
      <c r="N208" s="43">
        <v>0</v>
      </c>
      <c r="O208" s="43">
        <v>0</v>
      </c>
      <c r="P208" s="43">
        <v>0</v>
      </c>
      <c r="Q208" s="43">
        <v>-156905770406</v>
      </c>
      <c r="R208" s="43">
        <v>0</v>
      </c>
      <c r="S208" s="43">
        <v>0</v>
      </c>
      <c r="T208" s="43">
        <v>0</v>
      </c>
      <c r="U208" s="43">
        <v>0</v>
      </c>
      <c r="V208" s="44">
        <v>0</v>
      </c>
      <c r="W208" s="24"/>
    </row>
    <row r="209" spans="1:23" ht="21.75">
      <c r="A209" s="36">
        <v>1207</v>
      </c>
      <c r="B209" s="37">
        <v>12</v>
      </c>
      <c r="C209" s="45">
        <v>206</v>
      </c>
      <c r="D209" s="46" t="s">
        <v>545</v>
      </c>
      <c r="E209" s="47" t="s">
        <v>510</v>
      </c>
      <c r="F209" s="48">
        <v>-12200000</v>
      </c>
      <c r="G209" s="48">
        <v>12200000</v>
      </c>
      <c r="H209" s="43">
        <f t="shared" si="3"/>
        <v>0</v>
      </c>
      <c r="I209" s="43">
        <v>0</v>
      </c>
      <c r="J209" s="43">
        <v>0</v>
      </c>
      <c r="K209" s="43">
        <v>0</v>
      </c>
      <c r="L209" s="43">
        <v>0</v>
      </c>
      <c r="M209" s="43">
        <v>0</v>
      </c>
      <c r="N209" s="43">
        <v>0</v>
      </c>
      <c r="O209" s="43">
        <v>0</v>
      </c>
      <c r="P209" s="43">
        <v>0</v>
      </c>
      <c r="Q209" s="43">
        <v>-12200000</v>
      </c>
      <c r="R209" s="43">
        <v>0</v>
      </c>
      <c r="S209" s="43">
        <v>0</v>
      </c>
      <c r="T209" s="43">
        <v>0</v>
      </c>
      <c r="U209" s="43">
        <v>0</v>
      </c>
      <c r="V209" s="44">
        <v>0</v>
      </c>
      <c r="W209" s="24"/>
    </row>
    <row r="210" spans="1:23" ht="21.75">
      <c r="A210" s="36">
        <v>1208</v>
      </c>
      <c r="B210" s="37">
        <v>12</v>
      </c>
      <c r="C210" s="45">
        <v>207</v>
      </c>
      <c r="D210" s="46" t="s">
        <v>511</v>
      </c>
      <c r="E210" s="47" t="s">
        <v>512</v>
      </c>
      <c r="F210" s="48">
        <v>-1009591644</v>
      </c>
      <c r="G210" s="48">
        <v>1009591644</v>
      </c>
      <c r="H210" s="43">
        <f t="shared" si="3"/>
        <v>0</v>
      </c>
      <c r="I210" s="43">
        <v>0</v>
      </c>
      <c r="J210" s="43">
        <v>0</v>
      </c>
      <c r="K210" s="43">
        <v>0</v>
      </c>
      <c r="L210" s="43">
        <v>0</v>
      </c>
      <c r="M210" s="43">
        <v>0</v>
      </c>
      <c r="N210" s="43">
        <v>0</v>
      </c>
      <c r="O210" s="43">
        <v>0</v>
      </c>
      <c r="P210" s="43">
        <v>0</v>
      </c>
      <c r="Q210" s="43">
        <v>-1009591644</v>
      </c>
      <c r="R210" s="43">
        <v>0</v>
      </c>
      <c r="S210" s="43">
        <v>0</v>
      </c>
      <c r="T210" s="43">
        <v>0</v>
      </c>
      <c r="U210" s="43">
        <v>0</v>
      </c>
      <c r="V210" s="44">
        <v>0</v>
      </c>
      <c r="W210" s="24"/>
    </row>
    <row r="211" spans="1:23" ht="21.75">
      <c r="A211" s="36">
        <v>1208</v>
      </c>
      <c r="B211" s="37">
        <v>12</v>
      </c>
      <c r="C211" s="45">
        <v>208</v>
      </c>
      <c r="D211" s="46" t="s">
        <v>513</v>
      </c>
      <c r="E211" s="47" t="s">
        <v>279</v>
      </c>
      <c r="F211" s="48">
        <v>-75975252102</v>
      </c>
      <c r="G211" s="48">
        <v>75975252102</v>
      </c>
      <c r="H211" s="43">
        <f t="shared" si="3"/>
        <v>0</v>
      </c>
      <c r="I211" s="43">
        <v>0</v>
      </c>
      <c r="J211" s="43">
        <v>0</v>
      </c>
      <c r="K211" s="43">
        <v>0</v>
      </c>
      <c r="L211" s="43">
        <v>0</v>
      </c>
      <c r="M211" s="43">
        <v>0</v>
      </c>
      <c r="N211" s="43">
        <v>0</v>
      </c>
      <c r="O211" s="43">
        <v>0</v>
      </c>
      <c r="P211" s="43">
        <v>0</v>
      </c>
      <c r="Q211" s="43">
        <v>-75975252102</v>
      </c>
      <c r="R211" s="43">
        <v>0</v>
      </c>
      <c r="S211" s="43">
        <v>0</v>
      </c>
      <c r="T211" s="43">
        <v>0</v>
      </c>
      <c r="U211" s="43">
        <v>0</v>
      </c>
      <c r="V211" s="44">
        <v>0</v>
      </c>
      <c r="W211" s="24"/>
    </row>
    <row r="212" spans="1:23" ht="21.75">
      <c r="A212" s="36">
        <v>1212</v>
      </c>
      <c r="B212" s="37">
        <v>12</v>
      </c>
      <c r="C212" s="45">
        <v>209</v>
      </c>
      <c r="D212" s="46" t="s">
        <v>280</v>
      </c>
      <c r="E212" s="47" t="s">
        <v>498</v>
      </c>
      <c r="F212" s="48">
        <v>-129744092</v>
      </c>
      <c r="G212" s="48">
        <v>129744092</v>
      </c>
      <c r="H212" s="43">
        <f t="shared" si="3"/>
        <v>0</v>
      </c>
      <c r="I212" s="43">
        <v>0</v>
      </c>
      <c r="J212" s="43">
        <v>0</v>
      </c>
      <c r="K212" s="43">
        <v>0</v>
      </c>
      <c r="L212" s="43">
        <v>0</v>
      </c>
      <c r="M212" s="43">
        <v>0</v>
      </c>
      <c r="N212" s="43">
        <v>0</v>
      </c>
      <c r="O212" s="43">
        <v>0</v>
      </c>
      <c r="P212" s="43">
        <v>0</v>
      </c>
      <c r="Q212" s="43">
        <v>-129744092</v>
      </c>
      <c r="R212" s="43">
        <v>0</v>
      </c>
      <c r="S212" s="43">
        <v>0</v>
      </c>
      <c r="T212" s="43">
        <v>0</v>
      </c>
      <c r="U212" s="43">
        <v>0</v>
      </c>
      <c r="V212" s="44">
        <v>0</v>
      </c>
      <c r="W212" s="24"/>
    </row>
    <row r="213" spans="1:23" ht="21.75">
      <c r="A213" s="36">
        <v>1207</v>
      </c>
      <c r="B213" s="37">
        <v>12</v>
      </c>
      <c r="C213" s="45">
        <v>210</v>
      </c>
      <c r="D213" s="46" t="s">
        <v>499</v>
      </c>
      <c r="E213" s="47" t="s">
        <v>500</v>
      </c>
      <c r="F213" s="48">
        <v>-1578686804</v>
      </c>
      <c r="G213" s="48">
        <v>1578686804</v>
      </c>
      <c r="H213" s="43">
        <f t="shared" si="3"/>
        <v>0</v>
      </c>
      <c r="I213" s="43">
        <v>0</v>
      </c>
      <c r="J213" s="43">
        <v>0</v>
      </c>
      <c r="K213" s="43">
        <v>0</v>
      </c>
      <c r="L213" s="43">
        <v>0</v>
      </c>
      <c r="M213" s="43">
        <v>0</v>
      </c>
      <c r="N213" s="43">
        <v>0</v>
      </c>
      <c r="O213" s="43">
        <v>0</v>
      </c>
      <c r="P213" s="43">
        <v>0</v>
      </c>
      <c r="Q213" s="43">
        <v>-1578686804</v>
      </c>
      <c r="R213" s="43">
        <v>0</v>
      </c>
      <c r="S213" s="43">
        <v>0</v>
      </c>
      <c r="T213" s="43">
        <v>0</v>
      </c>
      <c r="U213" s="43">
        <v>0</v>
      </c>
      <c r="V213" s="44">
        <v>0</v>
      </c>
      <c r="W213" s="24"/>
    </row>
    <row r="214" spans="1:23" ht="21.75">
      <c r="A214" s="36">
        <v>1212</v>
      </c>
      <c r="B214" s="37">
        <v>12</v>
      </c>
      <c r="C214" s="45">
        <v>211</v>
      </c>
      <c r="D214" s="46" t="s">
        <v>501</v>
      </c>
      <c r="E214" s="47" t="s">
        <v>502</v>
      </c>
      <c r="F214" s="48">
        <v>-12587500</v>
      </c>
      <c r="G214" s="48">
        <v>12587500</v>
      </c>
      <c r="H214" s="43">
        <f t="shared" si="3"/>
        <v>0</v>
      </c>
      <c r="I214" s="43">
        <v>0</v>
      </c>
      <c r="J214" s="43">
        <v>0</v>
      </c>
      <c r="K214" s="43">
        <v>0</v>
      </c>
      <c r="L214" s="43">
        <v>0</v>
      </c>
      <c r="M214" s="43">
        <v>0</v>
      </c>
      <c r="N214" s="43">
        <v>0</v>
      </c>
      <c r="O214" s="43">
        <v>0</v>
      </c>
      <c r="P214" s="43">
        <v>0</v>
      </c>
      <c r="Q214" s="43">
        <v>-12587500</v>
      </c>
      <c r="R214" s="43">
        <v>0</v>
      </c>
      <c r="S214" s="43">
        <v>0</v>
      </c>
      <c r="T214" s="43">
        <v>0</v>
      </c>
      <c r="U214" s="43">
        <v>0</v>
      </c>
      <c r="V214" s="44">
        <v>0</v>
      </c>
      <c r="W214" s="24"/>
    </row>
    <row r="215" spans="1:23" ht="21.75">
      <c r="A215" s="36">
        <v>1212</v>
      </c>
      <c r="B215" s="37">
        <v>12</v>
      </c>
      <c r="C215" s="45">
        <v>212</v>
      </c>
      <c r="D215" s="46" t="s">
        <v>503</v>
      </c>
      <c r="E215" s="47" t="s">
        <v>504</v>
      </c>
      <c r="F215" s="48">
        <v>-7047389145</v>
      </c>
      <c r="G215" s="48">
        <v>7047389145</v>
      </c>
      <c r="H215" s="43">
        <f t="shared" si="3"/>
        <v>0</v>
      </c>
      <c r="I215" s="43">
        <v>0</v>
      </c>
      <c r="J215" s="43">
        <v>0</v>
      </c>
      <c r="K215" s="43">
        <v>0</v>
      </c>
      <c r="L215" s="43">
        <v>0</v>
      </c>
      <c r="M215" s="43">
        <v>0</v>
      </c>
      <c r="N215" s="43">
        <v>0</v>
      </c>
      <c r="O215" s="43">
        <v>0</v>
      </c>
      <c r="P215" s="43">
        <v>0</v>
      </c>
      <c r="Q215" s="43">
        <v>-7047389145</v>
      </c>
      <c r="R215" s="43">
        <v>0</v>
      </c>
      <c r="S215" s="43">
        <v>0</v>
      </c>
      <c r="T215" s="43">
        <v>0</v>
      </c>
      <c r="U215" s="43">
        <v>0</v>
      </c>
      <c r="V215" s="44">
        <v>0</v>
      </c>
      <c r="W215" s="24"/>
    </row>
    <row r="216" spans="1:23" ht="21.75">
      <c r="A216" s="36">
        <v>1209</v>
      </c>
      <c r="B216" s="37">
        <v>12</v>
      </c>
      <c r="C216" s="45">
        <v>213</v>
      </c>
      <c r="D216" s="46" t="s">
        <v>505</v>
      </c>
      <c r="E216" s="47" t="s">
        <v>506</v>
      </c>
      <c r="F216" s="48">
        <v>-5514058356</v>
      </c>
      <c r="G216" s="48">
        <v>5514058356</v>
      </c>
      <c r="H216" s="43">
        <f t="shared" si="3"/>
        <v>0</v>
      </c>
      <c r="I216" s="43">
        <v>0</v>
      </c>
      <c r="J216" s="43">
        <v>0</v>
      </c>
      <c r="K216" s="43">
        <v>0</v>
      </c>
      <c r="L216" s="43">
        <v>0</v>
      </c>
      <c r="M216" s="43">
        <v>0</v>
      </c>
      <c r="N216" s="43">
        <v>0</v>
      </c>
      <c r="O216" s="43">
        <v>0</v>
      </c>
      <c r="P216" s="43">
        <v>0</v>
      </c>
      <c r="Q216" s="43">
        <v>-5514058356</v>
      </c>
      <c r="R216" s="43">
        <v>0</v>
      </c>
      <c r="S216" s="43">
        <v>0</v>
      </c>
      <c r="T216" s="43">
        <v>0</v>
      </c>
      <c r="U216" s="43">
        <v>0</v>
      </c>
      <c r="V216" s="44">
        <v>0</v>
      </c>
      <c r="W216" s="24"/>
    </row>
    <row r="217" spans="1:23" ht="21.75">
      <c r="A217" s="36">
        <v>1209</v>
      </c>
      <c r="B217" s="37">
        <v>12</v>
      </c>
      <c r="C217" s="45">
        <v>214</v>
      </c>
      <c r="D217" s="46" t="s">
        <v>507</v>
      </c>
      <c r="E217" s="47" t="s">
        <v>185</v>
      </c>
      <c r="F217" s="48">
        <v>-5219238126</v>
      </c>
      <c r="G217" s="48">
        <v>5219238126</v>
      </c>
      <c r="H217" s="43">
        <f t="shared" si="3"/>
        <v>0</v>
      </c>
      <c r="I217" s="43">
        <v>0</v>
      </c>
      <c r="J217" s="43">
        <v>0</v>
      </c>
      <c r="K217" s="43">
        <v>0</v>
      </c>
      <c r="L217" s="43">
        <v>0</v>
      </c>
      <c r="M217" s="43">
        <v>0</v>
      </c>
      <c r="N217" s="43">
        <v>0</v>
      </c>
      <c r="O217" s="43">
        <v>0</v>
      </c>
      <c r="P217" s="43">
        <v>0</v>
      </c>
      <c r="Q217" s="43">
        <v>-5219238126</v>
      </c>
      <c r="R217" s="43">
        <v>0</v>
      </c>
      <c r="S217" s="43">
        <v>0</v>
      </c>
      <c r="T217" s="43">
        <v>0</v>
      </c>
      <c r="U217" s="43">
        <v>0</v>
      </c>
      <c r="V217" s="44">
        <v>0</v>
      </c>
      <c r="W217" s="24"/>
    </row>
    <row r="218" spans="1:23" ht="21.75">
      <c r="A218" s="36">
        <v>1210</v>
      </c>
      <c r="B218" s="37">
        <v>12</v>
      </c>
      <c r="C218" s="45">
        <v>215</v>
      </c>
      <c r="D218" s="46" t="s">
        <v>186</v>
      </c>
      <c r="E218" s="47" t="s">
        <v>187</v>
      </c>
      <c r="F218" s="48">
        <v>-85931608</v>
      </c>
      <c r="G218" s="48">
        <v>85931608</v>
      </c>
      <c r="H218" s="43">
        <f t="shared" si="3"/>
        <v>0</v>
      </c>
      <c r="I218" s="43">
        <v>0</v>
      </c>
      <c r="J218" s="43">
        <v>0</v>
      </c>
      <c r="K218" s="43">
        <v>0</v>
      </c>
      <c r="L218" s="43">
        <v>0</v>
      </c>
      <c r="M218" s="43">
        <v>0</v>
      </c>
      <c r="N218" s="43">
        <v>0</v>
      </c>
      <c r="O218" s="43">
        <v>0</v>
      </c>
      <c r="P218" s="43">
        <v>0</v>
      </c>
      <c r="Q218" s="43">
        <v>-85931608</v>
      </c>
      <c r="R218" s="43">
        <v>0</v>
      </c>
      <c r="S218" s="43">
        <v>0</v>
      </c>
      <c r="T218" s="43">
        <v>0</v>
      </c>
      <c r="U218" s="43">
        <v>0</v>
      </c>
      <c r="V218" s="44">
        <v>0</v>
      </c>
      <c r="W218" s="24"/>
    </row>
    <row r="219" spans="1:23" ht="21.75">
      <c r="A219" s="36">
        <v>1210</v>
      </c>
      <c r="B219" s="37">
        <v>12</v>
      </c>
      <c r="C219" s="45">
        <v>216</v>
      </c>
      <c r="D219" s="46" t="s">
        <v>188</v>
      </c>
      <c r="E219" s="47" t="s">
        <v>189</v>
      </c>
      <c r="F219" s="48">
        <v>-12460493142</v>
      </c>
      <c r="G219" s="48">
        <v>12460493142</v>
      </c>
      <c r="H219" s="43">
        <f t="shared" si="3"/>
        <v>0</v>
      </c>
      <c r="I219" s="43">
        <v>0</v>
      </c>
      <c r="J219" s="43">
        <v>0</v>
      </c>
      <c r="K219" s="43">
        <v>0</v>
      </c>
      <c r="L219" s="43">
        <v>0</v>
      </c>
      <c r="M219" s="43">
        <v>0</v>
      </c>
      <c r="N219" s="43">
        <v>0</v>
      </c>
      <c r="O219" s="43">
        <v>0</v>
      </c>
      <c r="P219" s="43">
        <v>0</v>
      </c>
      <c r="Q219" s="43">
        <v>-12460493142</v>
      </c>
      <c r="R219" s="43">
        <v>0</v>
      </c>
      <c r="S219" s="43">
        <v>0</v>
      </c>
      <c r="T219" s="43">
        <v>0</v>
      </c>
      <c r="U219" s="43">
        <v>0</v>
      </c>
      <c r="V219" s="44">
        <v>0</v>
      </c>
      <c r="W219" s="24"/>
    </row>
    <row r="220" spans="1:23" ht="21.75">
      <c r="A220" s="36">
        <v>1209</v>
      </c>
      <c r="B220" s="37">
        <v>12</v>
      </c>
      <c r="C220" s="45">
        <v>217</v>
      </c>
      <c r="D220" s="46" t="s">
        <v>190</v>
      </c>
      <c r="E220" s="47" t="s">
        <v>191</v>
      </c>
      <c r="F220" s="48">
        <v>-1444456450</v>
      </c>
      <c r="G220" s="48">
        <v>1444456450</v>
      </c>
      <c r="H220" s="43">
        <f t="shared" si="3"/>
        <v>0</v>
      </c>
      <c r="I220" s="43">
        <v>0</v>
      </c>
      <c r="J220" s="43">
        <v>0</v>
      </c>
      <c r="K220" s="43">
        <v>0</v>
      </c>
      <c r="L220" s="43">
        <v>0</v>
      </c>
      <c r="M220" s="43">
        <v>0</v>
      </c>
      <c r="N220" s="43">
        <v>0</v>
      </c>
      <c r="O220" s="43">
        <v>0</v>
      </c>
      <c r="P220" s="43">
        <v>0</v>
      </c>
      <c r="Q220" s="43">
        <v>-1444456450</v>
      </c>
      <c r="R220" s="43">
        <v>0</v>
      </c>
      <c r="S220" s="43">
        <v>0</v>
      </c>
      <c r="T220" s="43">
        <v>0</v>
      </c>
      <c r="U220" s="43">
        <v>0</v>
      </c>
      <c r="V220" s="44">
        <v>0</v>
      </c>
      <c r="W220" s="24"/>
    </row>
    <row r="221" spans="1:23" ht="21.75">
      <c r="A221" s="36">
        <v>1212</v>
      </c>
      <c r="B221" s="37">
        <v>12</v>
      </c>
      <c r="C221" s="45">
        <v>218</v>
      </c>
      <c r="D221" s="46" t="s">
        <v>192</v>
      </c>
      <c r="E221" s="47" t="s">
        <v>25</v>
      </c>
      <c r="F221" s="48">
        <v>-3068973110</v>
      </c>
      <c r="G221" s="48">
        <v>3068973110</v>
      </c>
      <c r="H221" s="43">
        <f t="shared" si="3"/>
        <v>0</v>
      </c>
      <c r="I221" s="43">
        <v>0</v>
      </c>
      <c r="J221" s="43">
        <v>0</v>
      </c>
      <c r="K221" s="43">
        <v>0</v>
      </c>
      <c r="L221" s="43">
        <v>0</v>
      </c>
      <c r="M221" s="43">
        <v>0</v>
      </c>
      <c r="N221" s="43">
        <v>0</v>
      </c>
      <c r="O221" s="43">
        <v>0</v>
      </c>
      <c r="P221" s="43">
        <v>0</v>
      </c>
      <c r="Q221" s="43">
        <v>-3068973110</v>
      </c>
      <c r="R221" s="43">
        <v>0</v>
      </c>
      <c r="S221" s="43">
        <v>0</v>
      </c>
      <c r="T221" s="43">
        <v>0</v>
      </c>
      <c r="U221" s="43">
        <v>0</v>
      </c>
      <c r="V221" s="44">
        <v>0</v>
      </c>
      <c r="W221" s="24"/>
    </row>
    <row r="222" spans="1:23" ht="21.75">
      <c r="A222" s="36">
        <v>403</v>
      </c>
      <c r="B222" s="37">
        <v>4</v>
      </c>
      <c r="C222" s="45">
        <v>219</v>
      </c>
      <c r="D222" s="46" t="s">
        <v>26</v>
      </c>
      <c r="E222" s="47" t="s">
        <v>27</v>
      </c>
      <c r="F222" s="48">
        <v>1116263608</v>
      </c>
      <c r="G222" s="49"/>
      <c r="H222" s="43">
        <f t="shared" si="3"/>
        <v>1116263608</v>
      </c>
      <c r="I222" s="43">
        <v>0</v>
      </c>
      <c r="J222" s="43">
        <v>0</v>
      </c>
      <c r="K222" s="43">
        <v>0</v>
      </c>
      <c r="L222" s="43">
        <v>0</v>
      </c>
      <c r="M222" s="43">
        <v>0</v>
      </c>
      <c r="N222" s="43">
        <v>0</v>
      </c>
      <c r="O222" s="43">
        <v>0</v>
      </c>
      <c r="P222" s="43">
        <v>0</v>
      </c>
      <c r="Q222" s="43">
        <v>0</v>
      </c>
      <c r="R222" s="43">
        <v>0</v>
      </c>
      <c r="S222" s="43">
        <v>0</v>
      </c>
      <c r="T222" s="43">
        <v>0</v>
      </c>
      <c r="U222" s="43">
        <v>0</v>
      </c>
      <c r="V222" s="44">
        <v>0</v>
      </c>
      <c r="W222" s="24"/>
    </row>
    <row r="223" spans="1:23" ht="21.75">
      <c r="A223" s="36">
        <v>401</v>
      </c>
      <c r="B223" s="37">
        <v>4</v>
      </c>
      <c r="C223" s="45">
        <v>220</v>
      </c>
      <c r="D223" s="46" t="s">
        <v>28</v>
      </c>
      <c r="E223" s="47" t="s">
        <v>29</v>
      </c>
      <c r="F223" s="48">
        <v>5172912136</v>
      </c>
      <c r="G223" s="49"/>
      <c r="H223" s="43">
        <f t="shared" si="3"/>
        <v>5172912136</v>
      </c>
      <c r="I223" s="43">
        <v>0</v>
      </c>
      <c r="J223" s="43">
        <v>0</v>
      </c>
      <c r="K223" s="43">
        <v>0</v>
      </c>
      <c r="L223" s="43">
        <v>0</v>
      </c>
      <c r="M223" s="43">
        <v>0</v>
      </c>
      <c r="N223" s="43">
        <v>0</v>
      </c>
      <c r="O223" s="43">
        <v>0</v>
      </c>
      <c r="P223" s="43">
        <v>0</v>
      </c>
      <c r="Q223" s="43">
        <v>0</v>
      </c>
      <c r="R223" s="43">
        <v>0</v>
      </c>
      <c r="S223" s="43">
        <v>0</v>
      </c>
      <c r="T223" s="43">
        <v>0</v>
      </c>
      <c r="U223" s="43">
        <v>0</v>
      </c>
      <c r="V223" s="44">
        <v>0</v>
      </c>
      <c r="W223" s="24"/>
    </row>
    <row r="224" spans="1:23" ht="21.75">
      <c r="A224" s="36">
        <v>402</v>
      </c>
      <c r="B224" s="37">
        <v>4</v>
      </c>
      <c r="C224" s="45">
        <v>221</v>
      </c>
      <c r="D224" s="46" t="s">
        <v>30</v>
      </c>
      <c r="E224" s="47" t="s">
        <v>31</v>
      </c>
      <c r="F224" s="48">
        <v>269967894151</v>
      </c>
      <c r="G224" s="49"/>
      <c r="H224" s="43">
        <f t="shared" si="3"/>
        <v>269967894151</v>
      </c>
      <c r="I224" s="43">
        <v>0</v>
      </c>
      <c r="J224" s="43">
        <v>0</v>
      </c>
      <c r="K224" s="43">
        <v>0</v>
      </c>
      <c r="L224" s="43">
        <v>0</v>
      </c>
      <c r="M224" s="43">
        <v>0</v>
      </c>
      <c r="N224" s="43">
        <v>0</v>
      </c>
      <c r="O224" s="43">
        <v>0</v>
      </c>
      <c r="P224" s="43">
        <v>0</v>
      </c>
      <c r="Q224" s="43">
        <v>0</v>
      </c>
      <c r="R224" s="43">
        <v>0</v>
      </c>
      <c r="S224" s="43">
        <v>0</v>
      </c>
      <c r="T224" s="43">
        <v>0</v>
      </c>
      <c r="U224" s="43">
        <v>0</v>
      </c>
      <c r="V224" s="44">
        <v>0</v>
      </c>
      <c r="W224" s="24"/>
    </row>
    <row r="225" spans="1:23" ht="21.75">
      <c r="A225" s="36">
        <v>907</v>
      </c>
      <c r="B225" s="37">
        <v>9</v>
      </c>
      <c r="C225" s="45">
        <v>222</v>
      </c>
      <c r="D225" s="46" t="s">
        <v>32</v>
      </c>
      <c r="E225" s="47" t="s">
        <v>33</v>
      </c>
      <c r="F225" s="48">
        <v>100433907842</v>
      </c>
      <c r="G225" s="49"/>
      <c r="H225" s="43">
        <f t="shared" si="3"/>
        <v>0</v>
      </c>
      <c r="I225" s="43">
        <v>0</v>
      </c>
      <c r="J225" s="43">
        <v>0</v>
      </c>
      <c r="K225" s="43">
        <v>0</v>
      </c>
      <c r="L225" s="43">
        <v>0</v>
      </c>
      <c r="M225" s="43">
        <v>0</v>
      </c>
      <c r="N225" s="43">
        <v>100433907842</v>
      </c>
      <c r="O225" s="43">
        <v>0</v>
      </c>
      <c r="P225" s="43">
        <v>0</v>
      </c>
      <c r="Q225" s="43">
        <v>0</v>
      </c>
      <c r="R225" s="43">
        <v>0</v>
      </c>
      <c r="S225" s="43">
        <v>0</v>
      </c>
      <c r="T225" s="43">
        <v>0</v>
      </c>
      <c r="U225" s="43">
        <v>0</v>
      </c>
      <c r="V225" s="44">
        <v>0</v>
      </c>
      <c r="W225" s="24"/>
    </row>
    <row r="226" spans="1:23" ht="21.75">
      <c r="A226" s="36">
        <v>801</v>
      </c>
      <c r="B226" s="37">
        <v>8</v>
      </c>
      <c r="C226" s="45">
        <v>223</v>
      </c>
      <c r="D226" s="46" t="s">
        <v>34</v>
      </c>
      <c r="E226" s="47" t="s">
        <v>35</v>
      </c>
      <c r="F226" s="48">
        <v>30793257315</v>
      </c>
      <c r="G226" s="49"/>
      <c r="H226" s="43">
        <f t="shared" si="3"/>
        <v>0</v>
      </c>
      <c r="I226" s="43">
        <v>0</v>
      </c>
      <c r="J226" s="43">
        <v>0</v>
      </c>
      <c r="K226" s="43">
        <v>0</v>
      </c>
      <c r="L226" s="43">
        <v>30793257315</v>
      </c>
      <c r="M226" s="43">
        <v>0</v>
      </c>
      <c r="N226" s="43">
        <v>0</v>
      </c>
      <c r="O226" s="43">
        <v>0</v>
      </c>
      <c r="P226" s="43">
        <v>0</v>
      </c>
      <c r="Q226" s="43">
        <v>0</v>
      </c>
      <c r="R226" s="43">
        <v>0</v>
      </c>
      <c r="S226" s="43">
        <v>0</v>
      </c>
      <c r="T226" s="43">
        <v>0</v>
      </c>
      <c r="U226" s="43">
        <v>0</v>
      </c>
      <c r="V226" s="44">
        <v>0</v>
      </c>
      <c r="W226" s="24"/>
    </row>
    <row r="227" spans="1:23" ht="21.75">
      <c r="A227" s="36">
        <v>401</v>
      </c>
      <c r="B227" s="37">
        <v>4</v>
      </c>
      <c r="C227" s="45">
        <v>224</v>
      </c>
      <c r="D227" s="46" t="s">
        <v>36</v>
      </c>
      <c r="E227" s="47" t="s">
        <v>37</v>
      </c>
      <c r="F227" s="48">
        <v>213934909341</v>
      </c>
      <c r="G227" s="49"/>
      <c r="H227" s="43">
        <f t="shared" si="3"/>
        <v>213934909341</v>
      </c>
      <c r="I227" s="43">
        <v>0</v>
      </c>
      <c r="J227" s="43">
        <v>0</v>
      </c>
      <c r="K227" s="43">
        <v>0</v>
      </c>
      <c r="L227" s="43">
        <v>0</v>
      </c>
      <c r="M227" s="43">
        <v>0</v>
      </c>
      <c r="N227" s="43">
        <v>0</v>
      </c>
      <c r="O227" s="43">
        <v>0</v>
      </c>
      <c r="P227" s="43">
        <v>0</v>
      </c>
      <c r="Q227" s="43">
        <v>0</v>
      </c>
      <c r="R227" s="43">
        <v>0</v>
      </c>
      <c r="S227" s="43">
        <v>0</v>
      </c>
      <c r="T227" s="43">
        <v>0</v>
      </c>
      <c r="U227" s="43">
        <v>0</v>
      </c>
      <c r="V227" s="44">
        <v>0</v>
      </c>
      <c r="W227" s="24"/>
    </row>
    <row r="228" spans="1:23" ht="21.75">
      <c r="A228" s="36">
        <v>401</v>
      </c>
      <c r="B228" s="37">
        <v>4</v>
      </c>
      <c r="C228" s="45">
        <v>225</v>
      </c>
      <c r="D228" s="46" t="s">
        <v>38</v>
      </c>
      <c r="E228" s="47" t="s">
        <v>624</v>
      </c>
      <c r="F228" s="48">
        <v>118442157930</v>
      </c>
      <c r="G228" s="49"/>
      <c r="H228" s="43">
        <f t="shared" si="3"/>
        <v>118442157930</v>
      </c>
      <c r="I228" s="43">
        <v>0</v>
      </c>
      <c r="J228" s="43">
        <v>0</v>
      </c>
      <c r="K228" s="43">
        <v>0</v>
      </c>
      <c r="L228" s="43">
        <v>0</v>
      </c>
      <c r="M228" s="43">
        <v>0</v>
      </c>
      <c r="N228" s="43">
        <v>0</v>
      </c>
      <c r="O228" s="43">
        <v>0</v>
      </c>
      <c r="P228" s="43">
        <v>0</v>
      </c>
      <c r="Q228" s="43">
        <v>0</v>
      </c>
      <c r="R228" s="43">
        <v>0</v>
      </c>
      <c r="S228" s="43">
        <v>0</v>
      </c>
      <c r="T228" s="43">
        <v>0</v>
      </c>
      <c r="U228" s="43">
        <v>0</v>
      </c>
      <c r="V228" s="44">
        <v>0</v>
      </c>
      <c r="W228" s="24"/>
    </row>
    <row r="229" spans="1:23" ht="21.75">
      <c r="A229" s="36">
        <v>614</v>
      </c>
      <c r="B229" s="37">
        <v>6</v>
      </c>
      <c r="C229" s="45">
        <v>226</v>
      </c>
      <c r="D229" s="46" t="s">
        <v>586</v>
      </c>
      <c r="E229" s="47" t="s">
        <v>587</v>
      </c>
      <c r="F229" s="48">
        <v>10664354308</v>
      </c>
      <c r="G229" s="49"/>
      <c r="H229" s="43">
        <f t="shared" si="3"/>
        <v>0</v>
      </c>
      <c r="I229" s="43">
        <v>0</v>
      </c>
      <c r="J229" s="43">
        <v>10664354308</v>
      </c>
      <c r="K229" s="43">
        <v>0</v>
      </c>
      <c r="L229" s="43">
        <v>0</v>
      </c>
      <c r="M229" s="43">
        <v>0</v>
      </c>
      <c r="N229" s="43">
        <v>0</v>
      </c>
      <c r="O229" s="43">
        <v>0</v>
      </c>
      <c r="P229" s="43">
        <v>0</v>
      </c>
      <c r="Q229" s="43">
        <v>0</v>
      </c>
      <c r="R229" s="43">
        <v>0</v>
      </c>
      <c r="S229" s="43">
        <v>0</v>
      </c>
      <c r="T229" s="43">
        <v>0</v>
      </c>
      <c r="U229" s="43">
        <v>0</v>
      </c>
      <c r="V229" s="44">
        <v>0</v>
      </c>
      <c r="W229" s="24"/>
    </row>
    <row r="230" spans="1:23" ht="21.75">
      <c r="A230" s="36">
        <v>608</v>
      </c>
      <c r="B230" s="37">
        <v>6</v>
      </c>
      <c r="C230" s="45">
        <v>227</v>
      </c>
      <c r="D230" s="46" t="s">
        <v>588</v>
      </c>
      <c r="E230" s="47" t="s">
        <v>468</v>
      </c>
      <c r="F230" s="48">
        <v>929530000</v>
      </c>
      <c r="G230" s="49"/>
      <c r="H230" s="43">
        <f t="shared" si="3"/>
        <v>0</v>
      </c>
      <c r="I230" s="43">
        <v>0</v>
      </c>
      <c r="J230" s="43">
        <v>929530000</v>
      </c>
      <c r="K230" s="43">
        <v>0</v>
      </c>
      <c r="L230" s="43">
        <v>0</v>
      </c>
      <c r="M230" s="43">
        <v>0</v>
      </c>
      <c r="N230" s="43">
        <v>0</v>
      </c>
      <c r="O230" s="43">
        <v>0</v>
      </c>
      <c r="P230" s="43">
        <v>0</v>
      </c>
      <c r="Q230" s="43">
        <v>0</v>
      </c>
      <c r="R230" s="43">
        <v>0</v>
      </c>
      <c r="S230" s="43">
        <v>0</v>
      </c>
      <c r="T230" s="43">
        <v>0</v>
      </c>
      <c r="U230" s="43">
        <v>0</v>
      </c>
      <c r="V230" s="44">
        <v>0</v>
      </c>
      <c r="W230" s="24"/>
    </row>
    <row r="231" spans="1:23" ht="21.75">
      <c r="A231" s="36">
        <v>1801</v>
      </c>
      <c r="B231" s="37">
        <v>18</v>
      </c>
      <c r="C231" s="45">
        <v>228</v>
      </c>
      <c r="D231" s="46" t="s">
        <v>613</v>
      </c>
      <c r="E231" s="47" t="s">
        <v>614</v>
      </c>
      <c r="F231" s="48">
        <v>767077388376.02979</v>
      </c>
      <c r="G231" s="48">
        <v>0</v>
      </c>
      <c r="H231" s="43">
        <f t="shared" si="3"/>
        <v>0</v>
      </c>
      <c r="I231" s="43">
        <v>0</v>
      </c>
      <c r="J231" s="43">
        <v>0</v>
      </c>
      <c r="K231" s="43">
        <v>0</v>
      </c>
      <c r="L231" s="43">
        <v>0</v>
      </c>
      <c r="M231" s="43">
        <v>0</v>
      </c>
      <c r="N231" s="43">
        <v>0</v>
      </c>
      <c r="O231" s="43">
        <v>0</v>
      </c>
      <c r="P231" s="43">
        <v>0</v>
      </c>
      <c r="Q231" s="43">
        <v>0</v>
      </c>
      <c r="R231" s="43">
        <v>0</v>
      </c>
      <c r="S231" s="43">
        <v>0</v>
      </c>
      <c r="T231" s="43">
        <v>0</v>
      </c>
      <c r="U231" s="43">
        <v>0</v>
      </c>
      <c r="V231" s="44">
        <v>767077388376.02979</v>
      </c>
      <c r="W231" s="24"/>
    </row>
    <row r="232" spans="1:23" ht="21.75">
      <c r="A232" s="36">
        <v>1701</v>
      </c>
      <c r="B232" s="37">
        <v>17</v>
      </c>
      <c r="C232" s="45">
        <v>229</v>
      </c>
      <c r="D232" s="46" t="s">
        <v>615</v>
      </c>
      <c r="E232" s="47" t="s">
        <v>616</v>
      </c>
      <c r="F232" s="48">
        <v>-473188</v>
      </c>
      <c r="G232" s="48">
        <v>473188</v>
      </c>
      <c r="H232" s="43">
        <f t="shared" si="3"/>
        <v>0</v>
      </c>
      <c r="I232" s="43">
        <v>0</v>
      </c>
      <c r="J232" s="43">
        <v>0</v>
      </c>
      <c r="K232" s="43">
        <v>0</v>
      </c>
      <c r="L232" s="43">
        <v>0</v>
      </c>
      <c r="M232" s="43">
        <v>0</v>
      </c>
      <c r="N232" s="43">
        <v>0</v>
      </c>
      <c r="O232" s="43">
        <v>0</v>
      </c>
      <c r="P232" s="43">
        <v>0</v>
      </c>
      <c r="Q232" s="43">
        <v>0</v>
      </c>
      <c r="R232" s="43">
        <v>0</v>
      </c>
      <c r="S232" s="43">
        <v>0</v>
      </c>
      <c r="T232" s="43">
        <v>0</v>
      </c>
      <c r="U232" s="43">
        <v>-473188</v>
      </c>
      <c r="V232" s="44">
        <v>0</v>
      </c>
      <c r="W232" s="24"/>
    </row>
    <row r="233" spans="1:23" ht="21.75">
      <c r="A233" s="36"/>
      <c r="B233" s="37"/>
      <c r="C233" s="45">
        <v>230</v>
      </c>
      <c r="D233" s="46" t="s">
        <v>617</v>
      </c>
      <c r="E233" s="47" t="s">
        <v>618</v>
      </c>
      <c r="F233" s="48">
        <v>625165242980</v>
      </c>
      <c r="G233" s="49"/>
      <c r="H233" s="43">
        <f t="shared" si="3"/>
        <v>0</v>
      </c>
      <c r="I233" s="43">
        <v>0</v>
      </c>
      <c r="J233" s="43">
        <v>0</v>
      </c>
      <c r="K233" s="43">
        <v>0</v>
      </c>
      <c r="L233" s="43">
        <v>0</v>
      </c>
      <c r="M233" s="43">
        <v>0</v>
      </c>
      <c r="N233" s="43">
        <v>0</v>
      </c>
      <c r="O233" s="43">
        <v>0</v>
      </c>
      <c r="P233" s="43">
        <v>0</v>
      </c>
      <c r="Q233" s="43">
        <v>0</v>
      </c>
      <c r="R233" s="43">
        <v>0</v>
      </c>
      <c r="S233" s="43">
        <v>0</v>
      </c>
      <c r="T233" s="43">
        <v>0</v>
      </c>
      <c r="U233" s="43">
        <v>0</v>
      </c>
      <c r="V233" s="44">
        <v>0</v>
      </c>
      <c r="W233" s="24"/>
    </row>
    <row r="234" spans="1:23" ht="21.75">
      <c r="A234" s="36"/>
      <c r="B234" s="37"/>
      <c r="C234" s="45">
        <v>231</v>
      </c>
      <c r="D234" s="46" t="s">
        <v>619</v>
      </c>
      <c r="E234" s="47" t="s">
        <v>620</v>
      </c>
      <c r="F234" s="48">
        <v>-625165242980</v>
      </c>
      <c r="G234" s="48">
        <v>625165242980</v>
      </c>
      <c r="H234" s="43">
        <f t="shared" si="3"/>
        <v>0</v>
      </c>
      <c r="I234" s="43">
        <v>0</v>
      </c>
      <c r="J234" s="43">
        <v>0</v>
      </c>
      <c r="K234" s="43">
        <v>0</v>
      </c>
      <c r="L234" s="43">
        <v>0</v>
      </c>
      <c r="M234" s="43">
        <v>0</v>
      </c>
      <c r="N234" s="43">
        <v>0</v>
      </c>
      <c r="O234" s="43">
        <v>0</v>
      </c>
      <c r="P234" s="43">
        <v>0</v>
      </c>
      <c r="Q234" s="43">
        <v>0</v>
      </c>
      <c r="R234" s="43">
        <v>0</v>
      </c>
      <c r="S234" s="43">
        <v>0</v>
      </c>
      <c r="T234" s="43">
        <v>0</v>
      </c>
      <c r="U234" s="43">
        <v>0</v>
      </c>
      <c r="V234" s="44">
        <v>0</v>
      </c>
      <c r="W234" s="24"/>
    </row>
    <row r="235" spans="1:23" ht="21.75">
      <c r="A235" s="36"/>
      <c r="B235" s="37"/>
      <c r="C235" s="45">
        <v>232</v>
      </c>
      <c r="D235" s="46" t="s">
        <v>621</v>
      </c>
      <c r="E235" s="47" t="s">
        <v>622</v>
      </c>
      <c r="F235" s="48">
        <v>315063704027</v>
      </c>
      <c r="G235" s="49"/>
      <c r="H235" s="43">
        <f t="shared" si="3"/>
        <v>0</v>
      </c>
      <c r="I235" s="43">
        <v>0</v>
      </c>
      <c r="J235" s="43">
        <v>0</v>
      </c>
      <c r="K235" s="43">
        <v>0</v>
      </c>
      <c r="L235" s="43">
        <v>0</v>
      </c>
      <c r="M235" s="43">
        <v>0</v>
      </c>
      <c r="N235" s="43">
        <v>0</v>
      </c>
      <c r="O235" s="43">
        <v>0</v>
      </c>
      <c r="P235" s="43">
        <v>0</v>
      </c>
      <c r="Q235" s="43">
        <v>0</v>
      </c>
      <c r="R235" s="43">
        <v>0</v>
      </c>
      <c r="S235" s="43">
        <v>0</v>
      </c>
      <c r="T235" s="43">
        <v>0</v>
      </c>
      <c r="U235" s="43">
        <v>0</v>
      </c>
      <c r="V235" s="44">
        <v>0</v>
      </c>
      <c r="W235" s="24"/>
    </row>
    <row r="236" spans="1:23" ht="21.75">
      <c r="A236" s="36"/>
      <c r="B236" s="37"/>
      <c r="C236" s="45">
        <v>233</v>
      </c>
      <c r="D236" s="51" t="s">
        <v>623</v>
      </c>
      <c r="E236" s="52" t="s">
        <v>160</v>
      </c>
      <c r="F236" s="53">
        <v>-315063704027</v>
      </c>
      <c r="G236" s="53">
        <v>315063704027</v>
      </c>
      <c r="H236" s="43">
        <f t="shared" si="3"/>
        <v>0</v>
      </c>
      <c r="I236" s="43">
        <v>0</v>
      </c>
      <c r="J236" s="43">
        <v>0</v>
      </c>
      <c r="K236" s="43">
        <v>0</v>
      </c>
      <c r="L236" s="43">
        <v>0</v>
      </c>
      <c r="M236" s="43">
        <v>0</v>
      </c>
      <c r="N236" s="43">
        <v>0</v>
      </c>
      <c r="O236" s="43">
        <v>0</v>
      </c>
      <c r="P236" s="43">
        <v>0</v>
      </c>
      <c r="Q236" s="43">
        <v>0</v>
      </c>
      <c r="R236" s="43">
        <v>0</v>
      </c>
      <c r="S236" s="43">
        <v>0</v>
      </c>
      <c r="T236" s="43">
        <v>0</v>
      </c>
      <c r="U236" s="43">
        <v>0</v>
      </c>
      <c r="V236" s="44">
        <v>0</v>
      </c>
      <c r="W236" s="24"/>
    </row>
    <row r="237" spans="1:23" ht="21.75">
      <c r="A237" s="36">
        <v>1212</v>
      </c>
      <c r="B237" s="37">
        <v>12</v>
      </c>
      <c r="C237" s="45">
        <v>234</v>
      </c>
      <c r="D237" s="51"/>
      <c r="E237" s="54" t="s">
        <v>111</v>
      </c>
      <c r="F237" s="55">
        <v>-4657544186</v>
      </c>
      <c r="G237" s="53"/>
      <c r="H237" s="43">
        <f t="shared" si="3"/>
        <v>0</v>
      </c>
      <c r="I237" s="43">
        <v>0</v>
      </c>
      <c r="J237" s="43">
        <v>0</v>
      </c>
      <c r="K237" s="43">
        <v>0</v>
      </c>
      <c r="L237" s="43">
        <v>0</v>
      </c>
      <c r="M237" s="43">
        <v>0</v>
      </c>
      <c r="N237" s="43">
        <v>0</v>
      </c>
      <c r="O237" s="43">
        <v>0</v>
      </c>
      <c r="P237" s="43">
        <v>0</v>
      </c>
      <c r="Q237" s="43">
        <v>-4657544186</v>
      </c>
      <c r="R237" s="43">
        <v>0</v>
      </c>
      <c r="S237" s="43">
        <v>0</v>
      </c>
      <c r="T237" s="43">
        <v>0</v>
      </c>
      <c r="U237" s="43">
        <v>0</v>
      </c>
      <c r="V237" s="44">
        <v>0</v>
      </c>
      <c r="W237" s="24"/>
    </row>
    <row r="238" spans="1:23" ht="21.75">
      <c r="A238" s="36">
        <v>801</v>
      </c>
      <c r="B238" s="37">
        <v>8</v>
      </c>
      <c r="C238" s="45">
        <v>235</v>
      </c>
      <c r="D238" s="46" t="s">
        <v>245</v>
      </c>
      <c r="E238" s="52" t="s">
        <v>246</v>
      </c>
      <c r="F238" s="48">
        <v>24920366496</v>
      </c>
      <c r="G238" s="53"/>
      <c r="H238" s="43">
        <f t="shared" si="3"/>
        <v>0</v>
      </c>
      <c r="I238" s="43">
        <v>0</v>
      </c>
      <c r="J238" s="43">
        <v>0</v>
      </c>
      <c r="K238" s="43">
        <v>0</v>
      </c>
      <c r="L238" s="43">
        <v>24920366496</v>
      </c>
      <c r="M238" s="43">
        <v>0</v>
      </c>
      <c r="N238" s="43">
        <v>0</v>
      </c>
      <c r="O238" s="43">
        <v>0</v>
      </c>
      <c r="P238" s="43">
        <v>0</v>
      </c>
      <c r="Q238" s="43">
        <v>0</v>
      </c>
      <c r="R238" s="43">
        <v>0</v>
      </c>
      <c r="S238" s="43">
        <v>0</v>
      </c>
      <c r="T238" s="43">
        <v>0</v>
      </c>
      <c r="U238" s="43">
        <v>0</v>
      </c>
      <c r="V238" s="44">
        <v>0</v>
      </c>
      <c r="W238" s="24"/>
    </row>
    <row r="239" spans="1:23" ht="21.75">
      <c r="A239" s="36">
        <v>1202</v>
      </c>
      <c r="B239" s="37">
        <v>12</v>
      </c>
      <c r="C239" s="45">
        <v>236</v>
      </c>
      <c r="D239" s="46" t="s">
        <v>245</v>
      </c>
      <c r="E239" s="47" t="s">
        <v>246</v>
      </c>
      <c r="F239" s="53">
        <v>-24920366496</v>
      </c>
      <c r="G239" s="53"/>
      <c r="H239" s="43">
        <f t="shared" si="3"/>
        <v>0</v>
      </c>
      <c r="I239" s="43">
        <v>0</v>
      </c>
      <c r="J239" s="43">
        <v>0</v>
      </c>
      <c r="K239" s="43">
        <v>0</v>
      </c>
      <c r="L239" s="43">
        <v>0</v>
      </c>
      <c r="M239" s="43">
        <v>0</v>
      </c>
      <c r="N239" s="43">
        <v>0</v>
      </c>
      <c r="O239" s="43">
        <v>0</v>
      </c>
      <c r="P239" s="43">
        <v>0</v>
      </c>
      <c r="Q239" s="43">
        <v>-24920366496</v>
      </c>
      <c r="R239" s="43">
        <v>0</v>
      </c>
      <c r="S239" s="43">
        <v>0</v>
      </c>
      <c r="T239" s="43">
        <v>0</v>
      </c>
      <c r="U239" s="43">
        <v>0</v>
      </c>
      <c r="V239" s="44">
        <v>0</v>
      </c>
      <c r="W239" s="24"/>
    </row>
    <row r="240" spans="1:23" ht="21.75">
      <c r="A240" s="36">
        <v>907</v>
      </c>
      <c r="B240" s="37">
        <v>9</v>
      </c>
      <c r="C240" s="45">
        <v>237</v>
      </c>
      <c r="D240" s="51" t="s">
        <v>247</v>
      </c>
      <c r="E240" s="52" t="s">
        <v>248</v>
      </c>
      <c r="F240" s="48">
        <v>27510038435</v>
      </c>
      <c r="G240" s="48">
        <v>315063704028</v>
      </c>
      <c r="H240" s="43">
        <f t="shared" si="3"/>
        <v>0</v>
      </c>
      <c r="I240" s="43">
        <v>0</v>
      </c>
      <c r="J240" s="43">
        <v>0</v>
      </c>
      <c r="K240" s="43">
        <v>0</v>
      </c>
      <c r="L240" s="43">
        <v>0</v>
      </c>
      <c r="M240" s="43">
        <v>0</v>
      </c>
      <c r="N240" s="43">
        <v>27510038435</v>
      </c>
      <c r="O240" s="43">
        <v>0</v>
      </c>
      <c r="P240" s="43">
        <v>0</v>
      </c>
      <c r="Q240" s="43">
        <v>0</v>
      </c>
      <c r="R240" s="43">
        <v>0</v>
      </c>
      <c r="S240" s="43">
        <v>0</v>
      </c>
      <c r="T240" s="43">
        <v>0</v>
      </c>
      <c r="U240" s="43">
        <v>0</v>
      </c>
      <c r="V240" s="44">
        <v>0</v>
      </c>
      <c r="W240" s="24"/>
    </row>
    <row r="241" spans="1:23" ht="22.5" thickBot="1">
      <c r="A241" s="36">
        <v>805</v>
      </c>
      <c r="B241" s="37">
        <v>8</v>
      </c>
      <c r="C241" s="45">
        <v>238</v>
      </c>
      <c r="D241" s="46" t="s">
        <v>249</v>
      </c>
      <c r="E241" s="47" t="s">
        <v>248</v>
      </c>
      <c r="F241" s="53">
        <v>-27510038435</v>
      </c>
      <c r="G241" s="56">
        <v>315063704029</v>
      </c>
      <c r="H241" s="43">
        <f t="shared" si="3"/>
        <v>0</v>
      </c>
      <c r="I241" s="43">
        <v>0</v>
      </c>
      <c r="J241" s="43">
        <v>0</v>
      </c>
      <c r="K241" s="43">
        <v>0</v>
      </c>
      <c r="L241" s="43">
        <v>-27510038435</v>
      </c>
      <c r="M241" s="43">
        <v>0</v>
      </c>
      <c r="N241" s="43">
        <v>0</v>
      </c>
      <c r="O241" s="43">
        <v>0</v>
      </c>
      <c r="P241" s="43">
        <v>0</v>
      </c>
      <c r="Q241" s="43">
        <v>0</v>
      </c>
      <c r="R241" s="43">
        <v>0</v>
      </c>
      <c r="S241" s="43">
        <v>0</v>
      </c>
      <c r="T241" s="43">
        <v>0</v>
      </c>
      <c r="U241" s="43">
        <v>0</v>
      </c>
      <c r="V241" s="44">
        <v>0</v>
      </c>
      <c r="W241" s="57"/>
    </row>
    <row r="242" spans="1:23" ht="24.75" thickBot="1">
      <c r="A242" s="58"/>
      <c r="B242" s="59"/>
      <c r="C242" s="60"/>
      <c r="D242" s="61"/>
      <c r="E242" s="62"/>
      <c r="F242" s="63">
        <v>-39345351792.970215</v>
      </c>
      <c r="G242" s="63" t="e">
        <v>#REF!</v>
      </c>
      <c r="H242" s="63">
        <f>SUM(H4:H241)</f>
        <v>608634137166</v>
      </c>
      <c r="I242" s="63">
        <v>1291713264238</v>
      </c>
      <c r="J242" s="63">
        <v>164689124636</v>
      </c>
      <c r="K242" s="63">
        <v>1143257273988</v>
      </c>
      <c r="L242" s="63">
        <v>404720496108</v>
      </c>
      <c r="M242" s="63">
        <v>12651524857</v>
      </c>
      <c r="N242" s="63">
        <v>15170905602738</v>
      </c>
      <c r="O242" s="63">
        <v>5392785921</v>
      </c>
      <c r="P242" s="63">
        <v>1000000</v>
      </c>
      <c r="Q242" s="63">
        <v>-546894798101</v>
      </c>
      <c r="R242" s="63">
        <v>-6455483508418</v>
      </c>
      <c r="S242" s="63">
        <v>-3089410104170</v>
      </c>
      <c r="T242" s="63">
        <v>-9507722000000</v>
      </c>
      <c r="U242" s="63">
        <v>-8877539132</v>
      </c>
      <c r="V242" s="63">
        <v>767077388376.02979</v>
      </c>
      <c r="W242" s="64">
        <v>-39345351792.970215</v>
      </c>
    </row>
    <row r="243" spans="1:23" ht="21.75">
      <c r="A243" s="58"/>
      <c r="B243" s="59"/>
      <c r="C243" s="65"/>
      <c r="D243" s="61"/>
      <c r="E243" s="62"/>
      <c r="F243" s="66"/>
      <c r="G243" s="66"/>
      <c r="H243" s="65"/>
      <c r="I243" s="65"/>
      <c r="J243" s="67"/>
      <c r="K243" s="65"/>
      <c r="L243" s="67"/>
      <c r="M243" s="67"/>
      <c r="N243" s="67"/>
      <c r="O243" s="65"/>
      <c r="P243" s="65"/>
      <c r="Q243" s="67"/>
      <c r="R243" s="65"/>
      <c r="S243" s="65"/>
      <c r="T243" s="65"/>
      <c r="U243" s="65"/>
      <c r="V243" s="67"/>
      <c r="W243" s="68"/>
    </row>
  </sheetData>
  <autoFilter ref="A1:W242"/>
  <mergeCells count="6">
    <mergeCell ref="E1:E3"/>
    <mergeCell ref="F1:F3"/>
    <mergeCell ref="A1:A3"/>
    <mergeCell ref="B1:B3"/>
    <mergeCell ref="C1:C3"/>
    <mergeCell ref="D1:D3"/>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
  <sheetViews>
    <sheetView rightToLeft="1" topLeftCell="A4" workbookViewId="0">
      <selection activeCell="E19" sqref="E19:G19"/>
    </sheetView>
  </sheetViews>
  <sheetFormatPr defaultRowHeight="14.25"/>
  <cols>
    <col min="1" max="1" width="35.625" customWidth="1"/>
    <col min="2" max="2" width="8.375" customWidth="1"/>
    <col min="3" max="3" width="0.875" customWidth="1"/>
    <col min="4" max="4" width="7.5" customWidth="1"/>
    <col min="5" max="5" width="0.875" customWidth="1"/>
    <col min="6" max="6" width="7" customWidth="1"/>
    <col min="7" max="7" width="0.875" customWidth="1"/>
    <col min="8" max="8" width="7.5" customWidth="1"/>
    <col min="9" max="9" width="0.875" customWidth="1"/>
    <col min="10" max="10" width="7.625" customWidth="1"/>
    <col min="11" max="11" width="0.875" customWidth="1"/>
    <col min="12" max="12" width="8" customWidth="1"/>
    <col min="13" max="13" width="0.875" customWidth="1"/>
    <col min="14" max="14" width="8" customWidth="1"/>
    <col min="15" max="15" width="0.875" customWidth="1"/>
    <col min="16" max="16" width="8" customWidth="1"/>
    <col min="17" max="17" width="0.875" customWidth="1"/>
    <col min="18" max="18" width="7.875" customWidth="1"/>
    <col min="19" max="19" width="0.875" customWidth="1"/>
    <col min="20" max="20" width="7.875" customWidth="1"/>
    <col min="21" max="21" width="0.875" customWidth="1"/>
    <col min="22" max="22" width="7.625" customWidth="1"/>
  </cols>
  <sheetData>
    <row r="1" spans="1:22" ht="21">
      <c r="A1" s="3889" t="s">
        <v>1819</v>
      </c>
      <c r="B1" s="3889"/>
      <c r="C1" s="3889"/>
      <c r="D1" s="3889"/>
      <c r="E1" s="3889"/>
      <c r="F1" s="3889"/>
      <c r="G1" s="3889"/>
      <c r="H1" s="3889"/>
      <c r="I1" s="3889"/>
      <c r="J1" s="3889"/>
      <c r="K1" s="3889"/>
      <c r="L1" s="3889"/>
      <c r="M1" s="3889"/>
      <c r="N1" s="3889"/>
      <c r="O1" s="3889"/>
      <c r="P1" s="3889"/>
      <c r="Q1" s="3889"/>
      <c r="R1" s="3889"/>
      <c r="S1" s="3889"/>
      <c r="T1" s="3889"/>
      <c r="U1" s="3889"/>
      <c r="V1" s="3889"/>
    </row>
    <row r="2" spans="1:22" ht="21">
      <c r="A2" s="3889" t="s">
        <v>1820</v>
      </c>
      <c r="B2" s="3889"/>
      <c r="C2" s="3889"/>
      <c r="D2" s="3889"/>
      <c r="E2" s="3889"/>
      <c r="F2" s="3889"/>
      <c r="G2" s="3889"/>
      <c r="H2" s="3889"/>
      <c r="I2" s="3889"/>
      <c r="J2" s="3889"/>
      <c r="K2" s="3889"/>
      <c r="L2" s="3889"/>
      <c r="M2" s="3889"/>
      <c r="N2" s="3889"/>
      <c r="O2" s="3889"/>
      <c r="P2" s="3889"/>
      <c r="Q2" s="3889"/>
      <c r="R2" s="3889"/>
      <c r="S2" s="3889"/>
      <c r="T2" s="3889"/>
      <c r="U2" s="3889"/>
      <c r="V2" s="3889"/>
    </row>
    <row r="3" spans="1:22" ht="21">
      <c r="A3" s="3889" t="s">
        <v>1821</v>
      </c>
      <c r="B3" s="3889"/>
      <c r="C3" s="3889"/>
      <c r="D3" s="3889"/>
      <c r="E3" s="3889"/>
      <c r="F3" s="3889"/>
      <c r="G3" s="3889"/>
      <c r="H3" s="3889"/>
      <c r="I3" s="3889"/>
      <c r="J3" s="3889"/>
      <c r="K3" s="3889"/>
      <c r="L3" s="3889"/>
      <c r="M3" s="3889"/>
      <c r="N3" s="3889"/>
      <c r="O3" s="3889"/>
      <c r="P3" s="3889"/>
      <c r="Q3" s="3889"/>
      <c r="R3" s="3889"/>
      <c r="S3" s="3889"/>
      <c r="T3" s="3889"/>
      <c r="U3" s="3889"/>
      <c r="V3" s="3889"/>
    </row>
    <row r="4" spans="1:22" ht="72">
      <c r="A4" s="1302"/>
      <c r="B4" s="1307" t="s">
        <v>195</v>
      </c>
      <c r="C4" s="1308"/>
      <c r="D4" s="1309" t="s">
        <v>1833</v>
      </c>
      <c r="E4" s="1310"/>
      <c r="F4" s="1309" t="s">
        <v>1845</v>
      </c>
      <c r="G4" s="1310"/>
      <c r="H4" s="1309" t="s">
        <v>1846</v>
      </c>
      <c r="I4" s="1310"/>
      <c r="J4" s="1309" t="s">
        <v>640</v>
      </c>
      <c r="K4" s="1310"/>
      <c r="L4" s="1309" t="s">
        <v>1847</v>
      </c>
      <c r="M4" s="1310"/>
      <c r="N4" s="1309" t="s">
        <v>1848</v>
      </c>
      <c r="O4" s="1310"/>
      <c r="P4" s="1309" t="s">
        <v>1849</v>
      </c>
      <c r="Q4" s="1310"/>
      <c r="R4" s="1309" t="s">
        <v>1850</v>
      </c>
      <c r="S4" s="1310"/>
      <c r="T4" s="1309" t="s">
        <v>1851</v>
      </c>
      <c r="U4" s="1310"/>
      <c r="V4" s="1307" t="s">
        <v>1321</v>
      </c>
    </row>
    <row r="5" spans="1:22" ht="18.75">
      <c r="A5" s="1302"/>
      <c r="B5" s="1304" t="s">
        <v>675</v>
      </c>
      <c r="C5" s="1304"/>
      <c r="D5" s="1304" t="s">
        <v>675</v>
      </c>
      <c r="E5" s="1304"/>
      <c r="F5" s="1304" t="s">
        <v>675</v>
      </c>
      <c r="G5" s="1304"/>
      <c r="H5" s="1304" t="s">
        <v>675</v>
      </c>
      <c r="I5" s="1304"/>
      <c r="J5" s="1304" t="s">
        <v>675</v>
      </c>
      <c r="K5" s="1304"/>
      <c r="L5" s="1304" t="s">
        <v>675</v>
      </c>
      <c r="M5" s="1304"/>
      <c r="N5" s="1304" t="s">
        <v>675</v>
      </c>
      <c r="O5" s="1304"/>
      <c r="P5" s="1304" t="s">
        <v>675</v>
      </c>
      <c r="Q5" s="1304"/>
      <c r="R5" s="1304" t="s">
        <v>675</v>
      </c>
      <c r="S5" s="1304"/>
      <c r="T5" s="1304" t="s">
        <v>675</v>
      </c>
      <c r="U5" s="1304"/>
      <c r="V5" s="1304" t="s">
        <v>675</v>
      </c>
    </row>
    <row r="6" spans="1:22" ht="21">
      <c r="A6" s="1311" t="s">
        <v>1822</v>
      </c>
      <c r="B6" s="1303"/>
      <c r="C6" s="1303"/>
      <c r="D6" s="1303"/>
      <c r="E6" s="1303"/>
      <c r="F6" s="1303"/>
      <c r="G6" s="1303"/>
      <c r="H6" s="1303"/>
      <c r="I6" s="1303"/>
      <c r="J6" s="1303"/>
      <c r="K6" s="1303"/>
      <c r="L6" s="1303"/>
      <c r="M6" s="1303"/>
      <c r="N6" s="1303"/>
      <c r="O6" s="1303"/>
      <c r="P6" s="1303"/>
      <c r="Q6" s="1303"/>
      <c r="R6" s="1303"/>
      <c r="S6" s="1303"/>
      <c r="T6" s="1303"/>
      <c r="U6" s="1303"/>
      <c r="V6" s="1303"/>
    </row>
    <row r="7" spans="1:22" ht="18.75">
      <c r="A7" s="1302" t="s">
        <v>1823</v>
      </c>
      <c r="B7" s="1303"/>
      <c r="C7" s="1303"/>
      <c r="D7" s="1303"/>
      <c r="E7" s="1303"/>
      <c r="F7" s="1303"/>
      <c r="G7" s="1303"/>
      <c r="H7" s="1303"/>
      <c r="I7" s="1303"/>
      <c r="J7" s="1303"/>
      <c r="K7" s="1303"/>
      <c r="L7" s="1303"/>
      <c r="M7" s="1303"/>
      <c r="N7" s="1303"/>
      <c r="O7" s="1303"/>
      <c r="P7" s="1303"/>
      <c r="Q7" s="1303"/>
      <c r="R7" s="1303"/>
      <c r="S7" s="1303"/>
      <c r="T7" s="1303"/>
      <c r="U7" s="1303"/>
      <c r="V7" s="1303"/>
    </row>
    <row r="8" spans="1:22" ht="18.75">
      <c r="A8" s="1302" t="s">
        <v>1824</v>
      </c>
      <c r="B8" s="1303"/>
      <c r="C8" s="1303"/>
      <c r="D8" s="1303"/>
      <c r="E8" s="1303"/>
      <c r="F8" s="1303"/>
      <c r="G8" s="1303"/>
      <c r="H8" s="1303"/>
      <c r="I8" s="1303"/>
      <c r="J8" s="1303"/>
      <c r="K8" s="1303"/>
      <c r="L8" s="1303"/>
      <c r="M8" s="1303"/>
      <c r="N8" s="1303"/>
      <c r="O8" s="1303"/>
      <c r="P8" s="1303"/>
      <c r="Q8" s="1303"/>
      <c r="R8" s="1303"/>
      <c r="S8" s="1303"/>
      <c r="T8" s="1303"/>
      <c r="U8" s="1303"/>
      <c r="V8" s="1303"/>
    </row>
    <row r="9" spans="1:22" ht="21">
      <c r="A9" s="1311" t="s">
        <v>1825</v>
      </c>
      <c r="B9" s="1312"/>
      <c r="C9" s="1303"/>
      <c r="D9" s="1312"/>
      <c r="E9" s="1303"/>
      <c r="F9" s="1312"/>
      <c r="G9" s="1303"/>
      <c r="H9" s="1312"/>
      <c r="I9" s="1303"/>
      <c r="J9" s="1312"/>
      <c r="K9" s="1303"/>
      <c r="L9" s="1312"/>
      <c r="M9" s="1303"/>
      <c r="N9" s="1312"/>
      <c r="O9" s="1303"/>
      <c r="P9" s="1312"/>
      <c r="Q9" s="1303"/>
      <c r="R9" s="1312"/>
      <c r="S9" s="1303"/>
      <c r="T9" s="1312"/>
      <c r="U9" s="1303"/>
      <c r="V9" s="1312"/>
    </row>
    <row r="10" spans="1:22" ht="21">
      <c r="A10" s="1311" t="s">
        <v>1826</v>
      </c>
      <c r="B10" s="1303"/>
      <c r="C10" s="1303"/>
      <c r="D10" s="1303"/>
      <c r="E10" s="1303"/>
      <c r="F10" s="1303"/>
      <c r="G10" s="1303"/>
      <c r="H10" s="1303"/>
      <c r="I10" s="1303"/>
      <c r="J10" s="1303"/>
      <c r="K10" s="1303"/>
      <c r="L10" s="1303"/>
      <c r="M10" s="1303"/>
      <c r="N10" s="1303"/>
      <c r="O10" s="1303"/>
      <c r="P10" s="1303"/>
      <c r="Q10" s="1303"/>
      <c r="R10" s="1303"/>
      <c r="S10" s="1303"/>
      <c r="T10" s="1303"/>
      <c r="U10" s="1303"/>
      <c r="V10" s="1303"/>
    </row>
    <row r="11" spans="1:22" ht="18.75">
      <c r="A11" s="1302" t="s">
        <v>1827</v>
      </c>
      <c r="B11" s="1303"/>
      <c r="C11" s="1303"/>
      <c r="D11" s="1303"/>
      <c r="E11" s="1303"/>
      <c r="F11" s="1303"/>
      <c r="G11" s="1303"/>
      <c r="H11" s="1303"/>
      <c r="I11" s="1303"/>
      <c r="J11" s="1303"/>
      <c r="K11" s="1303"/>
      <c r="L11" s="1303"/>
      <c r="M11" s="1303"/>
      <c r="N11" s="1303"/>
      <c r="O11" s="1303"/>
      <c r="P11" s="1303"/>
      <c r="Q11" s="1303"/>
      <c r="R11" s="1303"/>
      <c r="S11" s="1303"/>
      <c r="T11" s="1303"/>
      <c r="U11" s="1303"/>
      <c r="V11" s="1303"/>
    </row>
    <row r="12" spans="1:22" ht="18.75">
      <c r="A12" s="1302" t="s">
        <v>1823</v>
      </c>
      <c r="B12" s="1303"/>
      <c r="C12" s="1303"/>
      <c r="D12" s="1303"/>
      <c r="E12" s="1303"/>
      <c r="F12" s="1303"/>
      <c r="G12" s="1303"/>
      <c r="H12" s="1303"/>
      <c r="I12" s="1303"/>
      <c r="J12" s="1303"/>
      <c r="K12" s="1303"/>
      <c r="L12" s="1303"/>
      <c r="M12" s="1303"/>
      <c r="N12" s="1303"/>
      <c r="O12" s="1303"/>
      <c r="P12" s="1303"/>
      <c r="Q12" s="1303"/>
      <c r="R12" s="1303"/>
      <c r="S12" s="1303"/>
      <c r="T12" s="1303"/>
      <c r="U12" s="1303"/>
      <c r="V12" s="1303"/>
    </row>
    <row r="13" spans="1:22" ht="18.75">
      <c r="A13" s="1302" t="s">
        <v>1824</v>
      </c>
      <c r="B13" s="1305"/>
      <c r="C13" s="1303"/>
      <c r="D13" s="1305"/>
      <c r="E13" s="1303"/>
      <c r="F13" s="1305"/>
      <c r="G13" s="1303"/>
      <c r="H13" s="1305"/>
      <c r="I13" s="1303"/>
      <c r="J13" s="1305"/>
      <c r="K13" s="1303"/>
      <c r="L13" s="1305"/>
      <c r="M13" s="1303"/>
      <c r="N13" s="1305"/>
      <c r="O13" s="1303"/>
      <c r="P13" s="1305"/>
      <c r="Q13" s="1303"/>
      <c r="R13" s="1305"/>
      <c r="S13" s="1303"/>
      <c r="T13" s="1305"/>
      <c r="U13" s="1303"/>
      <c r="V13" s="1305"/>
    </row>
    <row r="14" spans="1:22" ht="18.75">
      <c r="A14" s="1302" t="s">
        <v>1828</v>
      </c>
      <c r="B14" s="1303"/>
      <c r="C14" s="1303"/>
      <c r="D14" s="1303"/>
      <c r="E14" s="1303"/>
      <c r="F14" s="1303"/>
      <c r="G14" s="1303"/>
      <c r="H14" s="1303"/>
      <c r="I14" s="1303"/>
      <c r="J14" s="1303"/>
      <c r="K14" s="1303"/>
      <c r="L14" s="1303"/>
      <c r="M14" s="1303"/>
      <c r="N14" s="1303"/>
      <c r="O14" s="1303"/>
      <c r="P14" s="1303"/>
      <c r="Q14" s="1303"/>
      <c r="R14" s="1303"/>
      <c r="S14" s="1303"/>
      <c r="T14" s="1303"/>
      <c r="U14" s="1303"/>
      <c r="V14" s="1303"/>
    </row>
    <row r="15" spans="1:22" ht="18.75">
      <c r="A15" s="1302" t="s">
        <v>1829</v>
      </c>
      <c r="B15" s="1303"/>
      <c r="C15" s="1303"/>
      <c r="D15" s="1303"/>
      <c r="E15" s="1303"/>
      <c r="F15" s="1303"/>
      <c r="G15" s="1303"/>
      <c r="H15" s="1303"/>
      <c r="I15" s="1303"/>
      <c r="J15" s="1303"/>
      <c r="K15" s="1303"/>
      <c r="L15" s="1303"/>
      <c r="M15" s="1303"/>
      <c r="N15" s="1303"/>
      <c r="O15" s="1303"/>
      <c r="P15" s="1303"/>
      <c r="Q15" s="1303"/>
      <c r="R15" s="1303"/>
      <c r="S15" s="1303"/>
      <c r="T15" s="1303"/>
      <c r="U15" s="1303"/>
      <c r="V15" s="1303"/>
    </row>
    <row r="16" spans="1:22" ht="18.75">
      <c r="A16" s="1302" t="s">
        <v>1830</v>
      </c>
      <c r="B16" s="1312"/>
      <c r="C16" s="1303"/>
      <c r="D16" s="1312"/>
      <c r="E16" s="1303"/>
      <c r="F16" s="1312"/>
      <c r="G16" s="1303"/>
      <c r="H16" s="1312"/>
      <c r="I16" s="1303"/>
      <c r="J16" s="1312"/>
      <c r="K16" s="1303"/>
      <c r="L16" s="1312"/>
      <c r="M16" s="1303"/>
      <c r="N16" s="1312"/>
      <c r="O16" s="1303"/>
      <c r="P16" s="1312"/>
      <c r="Q16" s="1303"/>
      <c r="R16" s="1312"/>
      <c r="S16" s="1303"/>
      <c r="T16" s="1312"/>
      <c r="U16" s="1303"/>
      <c r="V16" s="1312"/>
    </row>
    <row r="17" spans="1:22" ht="18.75">
      <c r="A17" s="1302" t="s">
        <v>1831</v>
      </c>
      <c r="B17" s="1303"/>
      <c r="C17" s="1303"/>
      <c r="D17" s="1303"/>
      <c r="E17" s="1303"/>
      <c r="F17" s="1303"/>
      <c r="G17" s="1303"/>
      <c r="H17" s="1303"/>
      <c r="I17" s="1303"/>
      <c r="J17" s="1303"/>
      <c r="K17" s="1303"/>
      <c r="L17" s="1303"/>
      <c r="M17" s="1303"/>
      <c r="N17" s="1303"/>
      <c r="O17" s="1303"/>
      <c r="P17" s="1303"/>
      <c r="Q17" s="1303"/>
      <c r="R17" s="1303"/>
      <c r="S17" s="1303"/>
      <c r="T17" s="1303"/>
      <c r="U17" s="1303"/>
      <c r="V17" s="1303"/>
    </row>
    <row r="18" spans="1:22" ht="18.75">
      <c r="A18" s="1302" t="s">
        <v>1832</v>
      </c>
      <c r="B18" s="1303"/>
      <c r="C18" s="1303"/>
      <c r="D18" s="1303"/>
      <c r="E18" s="1303"/>
      <c r="F18" s="1303"/>
      <c r="G18" s="1303"/>
      <c r="H18" s="1303"/>
      <c r="I18" s="1303"/>
      <c r="J18" s="1303"/>
      <c r="K18" s="1303"/>
      <c r="L18" s="1303"/>
      <c r="M18" s="1303"/>
      <c r="N18" s="1303"/>
      <c r="O18" s="1303"/>
      <c r="P18" s="1303"/>
      <c r="Q18" s="1303"/>
      <c r="R18" s="1303"/>
      <c r="S18" s="1303"/>
      <c r="T18" s="1303"/>
      <c r="U18" s="1303"/>
      <c r="V18" s="1303"/>
    </row>
    <row r="19" spans="1:22" ht="18.75">
      <c r="A19" s="1302" t="s">
        <v>1833</v>
      </c>
      <c r="B19" s="1303"/>
      <c r="C19" s="1303"/>
      <c r="D19" s="1303"/>
      <c r="E19" s="1303"/>
      <c r="F19" s="1303"/>
      <c r="G19" s="1303"/>
      <c r="H19" s="1303"/>
      <c r="I19" s="1303"/>
      <c r="J19" s="1303"/>
      <c r="K19" s="1303"/>
      <c r="L19" s="1303"/>
      <c r="M19" s="1303"/>
      <c r="N19" s="1303"/>
      <c r="O19" s="1303"/>
      <c r="P19" s="1303"/>
      <c r="Q19" s="1303"/>
      <c r="R19" s="1303"/>
      <c r="S19" s="1303"/>
      <c r="T19" s="1303"/>
      <c r="U19" s="1303"/>
      <c r="V19" s="1303"/>
    </row>
    <row r="20" spans="1:22" ht="18.75">
      <c r="A20" s="1302" t="s">
        <v>1834</v>
      </c>
      <c r="B20" s="1303"/>
      <c r="C20" s="1303"/>
      <c r="D20" s="1303"/>
      <c r="E20" s="1303"/>
      <c r="F20" s="1303"/>
      <c r="G20" s="1303"/>
      <c r="H20" s="1303"/>
      <c r="I20" s="1303"/>
      <c r="J20" s="1303"/>
      <c r="K20" s="1303"/>
      <c r="L20" s="1303"/>
      <c r="M20" s="1303"/>
      <c r="N20" s="1303"/>
      <c r="O20" s="1303"/>
      <c r="P20" s="1303"/>
      <c r="Q20" s="1303"/>
      <c r="R20" s="1303"/>
      <c r="S20" s="1303"/>
      <c r="T20" s="1303"/>
      <c r="U20" s="1303"/>
      <c r="V20" s="1303"/>
    </row>
    <row r="21" spans="1:22" ht="18.75">
      <c r="A21" s="1302" t="s">
        <v>1835</v>
      </c>
      <c r="B21" s="1303"/>
      <c r="C21" s="1303"/>
      <c r="D21" s="1303"/>
      <c r="E21" s="1303"/>
      <c r="F21" s="1303"/>
      <c r="G21" s="1303"/>
      <c r="H21" s="1303"/>
      <c r="I21" s="1303"/>
      <c r="J21" s="1303"/>
      <c r="K21" s="1303"/>
      <c r="L21" s="1303"/>
      <c r="M21" s="1303"/>
      <c r="N21" s="1303"/>
      <c r="O21" s="1303"/>
      <c r="P21" s="1303"/>
      <c r="Q21" s="1303"/>
      <c r="R21" s="1303"/>
      <c r="S21" s="1303"/>
      <c r="T21" s="1303"/>
      <c r="U21" s="1303"/>
      <c r="V21" s="1303"/>
    </row>
    <row r="22" spans="1:22" ht="18.75">
      <c r="A22" s="1302" t="s">
        <v>1836</v>
      </c>
      <c r="B22" s="1303"/>
      <c r="C22" s="1303"/>
      <c r="D22" s="1303"/>
      <c r="E22" s="1303"/>
      <c r="F22" s="1303"/>
      <c r="G22" s="1303"/>
      <c r="H22" s="1303"/>
      <c r="I22" s="1303"/>
      <c r="J22" s="1303"/>
      <c r="K22" s="1303"/>
      <c r="L22" s="1303"/>
      <c r="M22" s="1303"/>
      <c r="N22" s="1303"/>
      <c r="O22" s="1303"/>
      <c r="P22" s="1303"/>
      <c r="Q22" s="1303"/>
      <c r="R22" s="1303"/>
      <c r="S22" s="1303"/>
      <c r="T22" s="1303"/>
      <c r="U22" s="1303"/>
      <c r="V22" s="1303"/>
    </row>
    <row r="23" spans="1:22" ht="18.75">
      <c r="A23" s="1302" t="s">
        <v>1837</v>
      </c>
      <c r="B23" s="1303"/>
      <c r="C23" s="1303"/>
      <c r="D23" s="1303"/>
      <c r="E23" s="1303"/>
      <c r="F23" s="1303"/>
      <c r="G23" s="1303"/>
      <c r="H23" s="1303"/>
      <c r="I23" s="1303"/>
      <c r="J23" s="1303"/>
      <c r="K23" s="1303"/>
      <c r="L23" s="1303"/>
      <c r="M23" s="1303"/>
      <c r="N23" s="1303"/>
      <c r="O23" s="1303"/>
      <c r="P23" s="1303"/>
      <c r="Q23" s="1303"/>
      <c r="R23" s="1303"/>
      <c r="S23" s="1303"/>
      <c r="T23" s="1303"/>
      <c r="U23" s="1303"/>
      <c r="V23" s="1303"/>
    </row>
    <row r="24" spans="1:22" ht="18.75">
      <c r="A24" s="1302" t="s">
        <v>1838</v>
      </c>
      <c r="B24" s="1303"/>
      <c r="C24" s="1303"/>
      <c r="D24" s="1303"/>
      <c r="E24" s="1303"/>
      <c r="F24" s="1303"/>
      <c r="G24" s="1303"/>
      <c r="H24" s="1303"/>
      <c r="I24" s="1303"/>
      <c r="J24" s="1303"/>
      <c r="K24" s="1303"/>
      <c r="L24" s="1303"/>
      <c r="M24" s="1303"/>
      <c r="N24" s="1303"/>
      <c r="O24" s="1303"/>
      <c r="P24" s="1303"/>
      <c r="Q24" s="1303"/>
      <c r="R24" s="1303"/>
      <c r="S24" s="1303"/>
      <c r="T24" s="1303"/>
      <c r="U24" s="1303"/>
      <c r="V24" s="1303"/>
    </row>
    <row r="25" spans="1:22" ht="18.75">
      <c r="A25" s="1302" t="s">
        <v>1839</v>
      </c>
      <c r="B25" s="1303"/>
      <c r="C25" s="1303"/>
      <c r="D25" s="1303"/>
      <c r="E25" s="1303"/>
      <c r="F25" s="1303"/>
      <c r="G25" s="1303"/>
      <c r="H25" s="1303"/>
      <c r="I25" s="1303"/>
      <c r="J25" s="1303"/>
      <c r="K25" s="1303"/>
      <c r="L25" s="1303"/>
      <c r="M25" s="1303"/>
      <c r="N25" s="1303"/>
      <c r="O25" s="1303"/>
      <c r="P25" s="1303"/>
      <c r="Q25" s="1303"/>
      <c r="R25" s="1303"/>
      <c r="S25" s="1303"/>
      <c r="T25" s="1303"/>
      <c r="U25" s="1303"/>
      <c r="V25" s="1303"/>
    </row>
    <row r="26" spans="1:22" ht="21">
      <c r="A26" s="1311" t="s">
        <v>1840</v>
      </c>
      <c r="B26" s="1312"/>
      <c r="C26" s="1303"/>
      <c r="D26" s="1312"/>
      <c r="E26" s="1303"/>
      <c r="F26" s="1312"/>
      <c r="G26" s="1303"/>
      <c r="H26" s="1312"/>
      <c r="I26" s="1303"/>
      <c r="J26" s="1312"/>
      <c r="K26" s="1303"/>
      <c r="L26" s="1312"/>
      <c r="M26" s="1303"/>
      <c r="N26" s="1312"/>
      <c r="O26" s="1303"/>
      <c r="P26" s="1312"/>
      <c r="Q26" s="1303"/>
      <c r="R26" s="1312"/>
      <c r="S26" s="1303"/>
      <c r="T26" s="1312"/>
      <c r="U26" s="1303"/>
      <c r="V26" s="1312"/>
    </row>
    <row r="27" spans="1:22" ht="21">
      <c r="A27" s="1311" t="s">
        <v>1841</v>
      </c>
      <c r="B27" s="1303"/>
      <c r="C27" s="1303"/>
      <c r="D27" s="1303"/>
      <c r="E27" s="1303"/>
      <c r="F27" s="1303"/>
      <c r="G27" s="1303"/>
      <c r="H27" s="1303"/>
      <c r="I27" s="1303"/>
      <c r="J27" s="1303"/>
      <c r="K27" s="1303"/>
      <c r="L27" s="1303"/>
      <c r="M27" s="1303"/>
      <c r="N27" s="1303"/>
      <c r="O27" s="1303"/>
      <c r="P27" s="1303"/>
      <c r="Q27" s="1303"/>
      <c r="R27" s="1303"/>
      <c r="S27" s="1303"/>
      <c r="T27" s="1303"/>
      <c r="U27" s="1303"/>
      <c r="V27" s="1303"/>
    </row>
    <row r="28" spans="1:22" ht="18.75">
      <c r="A28" s="1302" t="s">
        <v>1842</v>
      </c>
      <c r="B28" s="1303"/>
      <c r="C28" s="1303"/>
      <c r="D28" s="1303"/>
      <c r="E28" s="1303"/>
      <c r="F28" s="1303"/>
      <c r="G28" s="1303"/>
      <c r="H28" s="1303"/>
      <c r="I28" s="1303"/>
      <c r="J28" s="1303"/>
      <c r="K28" s="1303"/>
      <c r="L28" s="1303"/>
      <c r="M28" s="1303"/>
      <c r="N28" s="1303"/>
      <c r="O28" s="1303"/>
      <c r="P28" s="1303"/>
      <c r="Q28" s="1303"/>
      <c r="R28" s="1303"/>
      <c r="S28" s="1303"/>
      <c r="T28" s="1303"/>
      <c r="U28" s="1303"/>
      <c r="V28" s="1303"/>
    </row>
    <row r="29" spans="1:22" ht="18.75">
      <c r="A29" s="1302" t="s">
        <v>1829</v>
      </c>
      <c r="B29" s="1303"/>
      <c r="C29" s="1303"/>
      <c r="D29" s="1303"/>
      <c r="E29" s="1303"/>
      <c r="F29" s="1303"/>
      <c r="G29" s="1303"/>
      <c r="H29" s="1303"/>
      <c r="I29" s="1303"/>
      <c r="J29" s="1303"/>
      <c r="K29" s="1303"/>
      <c r="L29" s="1303"/>
      <c r="M29" s="1303"/>
      <c r="N29" s="1303"/>
      <c r="O29" s="1303"/>
      <c r="P29" s="1303"/>
      <c r="Q29" s="1303"/>
      <c r="R29" s="1303"/>
      <c r="S29" s="1303"/>
      <c r="T29" s="1303"/>
      <c r="U29" s="1303"/>
      <c r="V29" s="1303"/>
    </row>
    <row r="30" spans="1:22" ht="18.75">
      <c r="A30" s="1302" t="s">
        <v>1843</v>
      </c>
      <c r="B30" s="1312"/>
      <c r="C30" s="1303"/>
      <c r="D30" s="1312"/>
      <c r="E30" s="1303"/>
      <c r="F30" s="1312"/>
      <c r="G30" s="1303"/>
      <c r="H30" s="1312"/>
      <c r="I30" s="1303"/>
      <c r="J30" s="1312"/>
      <c r="K30" s="1303"/>
      <c r="L30" s="1312"/>
      <c r="M30" s="1303"/>
      <c r="N30" s="1312"/>
      <c r="O30" s="1303"/>
      <c r="P30" s="1312"/>
      <c r="Q30" s="1303"/>
      <c r="R30" s="1312"/>
      <c r="S30" s="1303"/>
      <c r="T30" s="1312"/>
      <c r="U30" s="1303"/>
      <c r="V30" s="1312"/>
    </row>
    <row r="31" spans="1:22" ht="18.75">
      <c r="A31" s="1302" t="s">
        <v>1831</v>
      </c>
      <c r="B31" s="1303"/>
      <c r="C31" s="1303"/>
      <c r="D31" s="1303"/>
      <c r="E31" s="1303"/>
      <c r="F31" s="1303"/>
      <c r="G31" s="1303"/>
      <c r="H31" s="1303"/>
      <c r="I31" s="1303"/>
      <c r="J31" s="1303"/>
      <c r="K31" s="1303"/>
      <c r="L31" s="1303"/>
      <c r="M31" s="1303"/>
      <c r="N31" s="1303"/>
      <c r="O31" s="1303"/>
      <c r="P31" s="1303"/>
      <c r="Q31" s="1303"/>
      <c r="R31" s="1303"/>
      <c r="S31" s="1303"/>
      <c r="T31" s="1303"/>
      <c r="U31" s="1303"/>
      <c r="V31" s="1303"/>
    </row>
    <row r="32" spans="1:22" ht="18.75">
      <c r="A32" s="1302" t="s">
        <v>1832</v>
      </c>
      <c r="B32" s="1303"/>
      <c r="C32" s="1303"/>
      <c r="D32" s="1303"/>
      <c r="E32" s="1303"/>
      <c r="F32" s="1303"/>
      <c r="G32" s="1303"/>
      <c r="H32" s="1303"/>
      <c r="I32" s="1303"/>
      <c r="J32" s="1303"/>
      <c r="K32" s="1303"/>
      <c r="L32" s="1303"/>
      <c r="M32" s="1303"/>
      <c r="N32" s="1303"/>
      <c r="O32" s="1303"/>
      <c r="P32" s="1303"/>
      <c r="Q32" s="1303"/>
      <c r="R32" s="1303"/>
      <c r="S32" s="1303"/>
      <c r="T32" s="1303"/>
      <c r="U32" s="1303"/>
      <c r="V32" s="1303"/>
    </row>
    <row r="33" spans="1:22" ht="18.75">
      <c r="A33" s="1302" t="s">
        <v>1833</v>
      </c>
      <c r="B33" s="1303"/>
      <c r="C33" s="1303"/>
      <c r="D33" s="1303"/>
      <c r="E33" s="1303"/>
      <c r="F33" s="1303"/>
      <c r="G33" s="1303"/>
      <c r="H33" s="1303"/>
      <c r="I33" s="1303"/>
      <c r="J33" s="1303"/>
      <c r="K33" s="1303"/>
      <c r="L33" s="1303"/>
      <c r="M33" s="1303"/>
      <c r="N33" s="1303"/>
      <c r="O33" s="1303"/>
      <c r="P33" s="1303"/>
      <c r="Q33" s="1303"/>
      <c r="R33" s="1303"/>
      <c r="S33" s="1303"/>
      <c r="T33" s="1303"/>
      <c r="U33" s="1303"/>
      <c r="V33" s="1303"/>
    </row>
    <row r="34" spans="1:22" ht="18.75">
      <c r="A34" s="1302" t="s">
        <v>1834</v>
      </c>
      <c r="B34" s="1303"/>
      <c r="C34" s="1303"/>
      <c r="D34" s="1303"/>
      <c r="E34" s="1303"/>
      <c r="F34" s="1303"/>
      <c r="G34" s="1303"/>
      <c r="H34" s="1303"/>
      <c r="I34" s="1303"/>
      <c r="J34" s="1303"/>
      <c r="K34" s="1303"/>
      <c r="L34" s="1303"/>
      <c r="M34" s="1303"/>
      <c r="N34" s="1303"/>
      <c r="O34" s="1303"/>
      <c r="P34" s="1303"/>
      <c r="Q34" s="1303"/>
      <c r="R34" s="1303"/>
      <c r="S34" s="1303"/>
      <c r="T34" s="1303"/>
      <c r="U34" s="1303"/>
      <c r="V34" s="1303"/>
    </row>
    <row r="35" spans="1:22" ht="18.75">
      <c r="A35" s="1302" t="s">
        <v>1835</v>
      </c>
      <c r="B35" s="1303"/>
      <c r="C35" s="1303"/>
      <c r="D35" s="1303"/>
      <c r="E35" s="1303"/>
      <c r="F35" s="1303"/>
      <c r="G35" s="1303"/>
      <c r="H35" s="1303"/>
      <c r="I35" s="1303"/>
      <c r="J35" s="1303"/>
      <c r="K35" s="1303"/>
      <c r="L35" s="1303"/>
      <c r="M35" s="1303"/>
      <c r="N35" s="1303"/>
      <c r="O35" s="1303"/>
      <c r="P35" s="1303"/>
      <c r="Q35" s="1303"/>
      <c r="R35" s="1303"/>
      <c r="S35" s="1303"/>
      <c r="T35" s="1303"/>
      <c r="U35" s="1303"/>
      <c r="V35" s="1303"/>
    </row>
    <row r="36" spans="1:22" ht="18.75">
      <c r="A36" s="1302" t="s">
        <v>1836</v>
      </c>
      <c r="B36" s="1303"/>
      <c r="C36" s="1303"/>
      <c r="D36" s="1303"/>
      <c r="E36" s="1303"/>
      <c r="F36" s="1303"/>
      <c r="G36" s="1303"/>
      <c r="H36" s="1303"/>
      <c r="I36" s="1303"/>
      <c r="J36" s="1303"/>
      <c r="K36" s="1303"/>
      <c r="L36" s="1303"/>
      <c r="M36" s="1303"/>
      <c r="N36" s="1303"/>
      <c r="O36" s="1303"/>
      <c r="P36" s="1303"/>
      <c r="Q36" s="1303"/>
      <c r="R36" s="1303"/>
      <c r="S36" s="1303"/>
      <c r="T36" s="1303"/>
      <c r="U36" s="1303"/>
      <c r="V36" s="1303"/>
    </row>
    <row r="37" spans="1:22" ht="18.75">
      <c r="A37" s="1302" t="s">
        <v>1837</v>
      </c>
      <c r="B37" s="1303"/>
      <c r="C37" s="1303"/>
      <c r="D37" s="1303"/>
      <c r="E37" s="1303"/>
      <c r="F37" s="1303"/>
      <c r="G37" s="1303"/>
      <c r="H37" s="1303"/>
      <c r="I37" s="1303"/>
      <c r="J37" s="1303"/>
      <c r="K37" s="1303"/>
      <c r="L37" s="1303"/>
      <c r="M37" s="1303"/>
      <c r="N37" s="1303"/>
      <c r="O37" s="1303"/>
      <c r="P37" s="1303"/>
      <c r="Q37" s="1303"/>
      <c r="R37" s="1303"/>
      <c r="S37" s="1303"/>
      <c r="T37" s="1303"/>
      <c r="U37" s="1303"/>
      <c r="V37" s="1303"/>
    </row>
    <row r="38" spans="1:22" ht="18.75">
      <c r="A38" s="1302" t="s">
        <v>1838</v>
      </c>
      <c r="B38" s="1303"/>
      <c r="C38" s="1303"/>
      <c r="D38" s="1303"/>
      <c r="E38" s="1303"/>
      <c r="F38" s="1303"/>
      <c r="G38" s="1303"/>
      <c r="H38" s="1303"/>
      <c r="I38" s="1303"/>
      <c r="J38" s="1303"/>
      <c r="K38" s="1303"/>
      <c r="L38" s="1303"/>
      <c r="M38" s="1303"/>
      <c r="N38" s="1303"/>
      <c r="O38" s="1303"/>
      <c r="P38" s="1303"/>
      <c r="Q38" s="1303"/>
      <c r="R38" s="1303"/>
      <c r="S38" s="1303"/>
      <c r="T38" s="1303"/>
      <c r="U38" s="1303"/>
      <c r="V38" s="1303"/>
    </row>
    <row r="39" spans="1:22" ht="18.75">
      <c r="A39" s="1302" t="s">
        <v>1839</v>
      </c>
      <c r="B39" s="1303"/>
      <c r="C39" s="1303"/>
      <c r="D39" s="1303"/>
      <c r="E39" s="1303"/>
      <c r="F39" s="1303"/>
      <c r="G39" s="1303"/>
      <c r="H39" s="1303"/>
      <c r="I39" s="1303"/>
      <c r="J39" s="1303"/>
      <c r="K39" s="1303"/>
      <c r="L39" s="1303"/>
      <c r="M39" s="1303"/>
      <c r="N39" s="1303"/>
      <c r="O39" s="1303"/>
      <c r="P39" s="1303"/>
      <c r="Q39" s="1303"/>
      <c r="R39" s="1303"/>
      <c r="S39" s="1303"/>
      <c r="T39" s="1303"/>
      <c r="U39" s="1303"/>
      <c r="V39" s="1303"/>
    </row>
    <row r="40" spans="1:22" ht="21.75" thickBot="1">
      <c r="A40" s="1311" t="s">
        <v>1844</v>
      </c>
      <c r="B40" s="1313"/>
      <c r="C40" s="1306"/>
      <c r="D40" s="1313"/>
      <c r="E40" s="1303"/>
      <c r="F40" s="1313"/>
      <c r="G40" s="1303"/>
      <c r="H40" s="1313"/>
      <c r="I40" s="1303"/>
      <c r="J40" s="1313"/>
      <c r="K40" s="1303"/>
      <c r="L40" s="1313"/>
      <c r="M40" s="1303"/>
      <c r="N40" s="1313"/>
      <c r="O40" s="1303"/>
      <c r="P40" s="1313"/>
      <c r="Q40" s="1303"/>
      <c r="R40" s="1313"/>
      <c r="S40" s="1303"/>
      <c r="T40" s="1313"/>
      <c r="U40" s="1303"/>
      <c r="V40" s="1313"/>
    </row>
    <row r="41" spans="1:22" ht="21">
      <c r="A41" s="1311"/>
      <c r="B41" s="1306"/>
      <c r="C41" s="1306"/>
      <c r="D41" s="1306"/>
      <c r="E41" s="1303"/>
      <c r="F41" s="1306"/>
      <c r="G41" s="1303"/>
      <c r="H41" s="1306"/>
      <c r="I41" s="1303"/>
      <c r="J41" s="1306"/>
      <c r="K41" s="1303"/>
      <c r="L41" s="1306"/>
      <c r="M41" s="1303"/>
      <c r="N41" s="1306"/>
      <c r="O41" s="1303"/>
      <c r="P41" s="1306"/>
      <c r="Q41" s="1303"/>
      <c r="R41" s="1306"/>
      <c r="S41" s="1303"/>
      <c r="T41" s="1306"/>
      <c r="U41" s="1303"/>
      <c r="V41" s="1306"/>
    </row>
    <row r="42" spans="1:22" ht="19.5">
      <c r="B42" s="3890" t="s">
        <v>1476</v>
      </c>
      <c r="C42" s="3890"/>
      <c r="D42" s="3890"/>
      <c r="E42" s="3890"/>
      <c r="F42" s="3890"/>
      <c r="G42" s="3890"/>
      <c r="H42" s="3890"/>
      <c r="I42" s="3890"/>
      <c r="J42" s="3890"/>
      <c r="K42" s="3890"/>
      <c r="L42" s="3890"/>
      <c r="M42" s="3890"/>
      <c r="N42" s="3890"/>
      <c r="O42" s="3890"/>
      <c r="P42" s="3890"/>
      <c r="Q42" s="3890"/>
      <c r="R42" s="3890"/>
      <c r="S42" s="3890"/>
      <c r="T42" s="3890"/>
      <c r="U42" s="3890"/>
      <c r="V42" s="3890"/>
    </row>
  </sheetData>
  <mergeCells count="4">
    <mergeCell ref="A1:V1"/>
    <mergeCell ref="A2:V2"/>
    <mergeCell ref="A3:V3"/>
    <mergeCell ref="B42:V42"/>
  </mergeCells>
  <pageMargins left="0.2" right="0.2" top="0.33" bottom="0.3" header="0.32" footer="0.3"/>
  <pageSetup paperSize="9"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21"/>
  <sheetViews>
    <sheetView rightToLeft="1" topLeftCell="A10" workbookViewId="0">
      <selection activeCell="E19" sqref="E19:G19"/>
    </sheetView>
  </sheetViews>
  <sheetFormatPr defaultColWidth="16.375" defaultRowHeight="24" customHeight="1"/>
  <cols>
    <col min="1" max="16384" width="16.375" style="1678"/>
  </cols>
  <sheetData>
    <row r="3" spans="2:3" ht="24" customHeight="1">
      <c r="B3" s="1678">
        <v>-1333673</v>
      </c>
    </row>
    <row r="4" spans="2:3" ht="24" customHeight="1">
      <c r="B4" s="1678">
        <v>1791295</v>
      </c>
    </row>
    <row r="5" spans="2:3" ht="24" customHeight="1">
      <c r="B5" s="1678">
        <v>1741190</v>
      </c>
    </row>
    <row r="6" spans="2:3" ht="24" customHeight="1">
      <c r="B6" s="1690">
        <f>SUM(B3:B5)</f>
        <v>2198812</v>
      </c>
    </row>
    <row r="7" spans="2:3" ht="24" customHeight="1">
      <c r="B7" s="1678">
        <v>1182527</v>
      </c>
    </row>
    <row r="8" spans="2:3" ht="24" customHeight="1">
      <c r="B8" s="1678">
        <v>-884120</v>
      </c>
    </row>
    <row r="9" spans="2:3" ht="24" customHeight="1">
      <c r="B9" s="1678">
        <v>-1134329</v>
      </c>
    </row>
    <row r="10" spans="2:3" ht="24" customHeight="1">
      <c r="B10" s="1678">
        <v>1693206</v>
      </c>
    </row>
    <row r="11" spans="2:3" ht="24" customHeight="1">
      <c r="B11" s="1678">
        <v>-543075</v>
      </c>
    </row>
    <row r="12" spans="2:3" ht="24" customHeight="1">
      <c r="B12" s="1678">
        <v>9238</v>
      </c>
    </row>
    <row r="13" spans="2:3" ht="24" customHeight="1">
      <c r="B13" s="1678">
        <f>SUM(B6:B12)</f>
        <v>2522259</v>
      </c>
    </row>
    <row r="14" spans="2:3" ht="24" customHeight="1">
      <c r="B14" s="1678">
        <v>-395000</v>
      </c>
    </row>
    <row r="15" spans="2:3" ht="24" customHeight="1">
      <c r="B15" s="1678">
        <f>B14+B13</f>
        <v>2127259</v>
      </c>
    </row>
    <row r="16" spans="2:3" ht="24" customHeight="1">
      <c r="C16" s="1678">
        <v>-2452191</v>
      </c>
    </row>
    <row r="17" spans="3:3" ht="24" customHeight="1">
      <c r="C17" s="1678">
        <v>12</v>
      </c>
    </row>
    <row r="18" spans="3:3" ht="24" customHeight="1">
      <c r="C18" s="1678">
        <v>-484</v>
      </c>
    </row>
    <row r="19" spans="3:3" ht="24" customHeight="1">
      <c r="C19" s="1678">
        <f>SUM(C16:C18)</f>
        <v>-2452663</v>
      </c>
    </row>
    <row r="20" spans="3:3" ht="24" customHeight="1">
      <c r="C20" s="1678">
        <v>-63333</v>
      </c>
    </row>
    <row r="21" spans="3:3" ht="24" customHeight="1">
      <c r="C21" s="1678">
        <f>+C20+C19+B15</f>
        <v>-388737</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rightToLeft="1" view="pageBreakPreview" zoomScale="70" zoomScaleNormal="70" zoomScaleSheetLayoutView="70" workbookViewId="0">
      <pane xSplit="1" ySplit="6" topLeftCell="B7" activePane="bottomRight" state="frozen"/>
      <selection activeCell="E19" sqref="E19:G19"/>
      <selection pane="topRight" activeCell="E19" sqref="E19:G19"/>
      <selection pane="bottomLeft" activeCell="E19" sqref="E19:G19"/>
      <selection pane="bottomRight" activeCell="E19" sqref="E19:G19"/>
    </sheetView>
  </sheetViews>
  <sheetFormatPr defaultRowHeight="24" customHeight="1"/>
  <cols>
    <col min="1" max="1" width="46.625" style="1693" bestFit="1" customWidth="1"/>
    <col min="2" max="7" width="16.25" style="1696" customWidth="1"/>
    <col min="8" max="8" width="0.875" style="1697" customWidth="1"/>
    <col min="9" max="21" width="16.25" style="1696" customWidth="1"/>
    <col min="22" max="16384" width="9" style="1693"/>
  </cols>
  <sheetData>
    <row r="1" spans="1:21" ht="24" customHeight="1">
      <c r="B1" s="3899" t="s">
        <v>1966</v>
      </c>
      <c r="C1" s="3899"/>
      <c r="D1" s="3899"/>
      <c r="E1" s="3899"/>
      <c r="F1" s="3899"/>
      <c r="G1" s="1694"/>
      <c r="H1" s="1695"/>
      <c r="I1" s="3899" t="s">
        <v>1967</v>
      </c>
      <c r="J1" s="3899"/>
    </row>
    <row r="2" spans="1:21" ht="24" customHeight="1">
      <c r="B2" s="3899" t="s">
        <v>1968</v>
      </c>
      <c r="C2" s="3899"/>
      <c r="D2" s="3899"/>
      <c r="E2" s="3899"/>
      <c r="F2" s="3899"/>
      <c r="G2" s="1694"/>
      <c r="H2" s="1695"/>
      <c r="I2" s="3899" t="s">
        <v>1969</v>
      </c>
      <c r="J2" s="3899"/>
    </row>
    <row r="3" spans="1:21" ht="24" customHeight="1">
      <c r="B3" s="3899" t="s">
        <v>1952</v>
      </c>
      <c r="C3" s="3899"/>
      <c r="D3" s="3899"/>
      <c r="E3" s="3899"/>
      <c r="F3" s="3899"/>
      <c r="G3" s="1694"/>
      <c r="H3" s="1695"/>
      <c r="I3" s="3899"/>
      <c r="J3" s="3899"/>
    </row>
    <row r="4" spans="1:21" ht="12" customHeight="1"/>
    <row r="5" spans="1:21" ht="28.5">
      <c r="A5" s="3906" t="s">
        <v>1970</v>
      </c>
      <c r="B5" s="3896">
        <v>1399</v>
      </c>
      <c r="C5" s="3896">
        <v>1398</v>
      </c>
      <c r="D5" s="3896" t="s">
        <v>1971</v>
      </c>
      <c r="E5" s="3897" t="s">
        <v>1867</v>
      </c>
      <c r="F5" s="3897"/>
      <c r="G5" s="3897" t="s">
        <v>1972</v>
      </c>
      <c r="H5" s="1698"/>
      <c r="I5" s="3897" t="s">
        <v>1973</v>
      </c>
      <c r="J5" s="3897"/>
      <c r="K5" s="3897"/>
    </row>
    <row r="6" spans="1:21" ht="28.5">
      <c r="A6" s="3906"/>
      <c r="B6" s="3896"/>
      <c r="C6" s="3896"/>
      <c r="D6" s="3896"/>
      <c r="E6" s="1699" t="s">
        <v>1974</v>
      </c>
      <c r="F6" s="1699" t="s">
        <v>1975</v>
      </c>
      <c r="G6" s="3897"/>
      <c r="H6" s="1698"/>
      <c r="I6" s="1699" t="s">
        <v>1976</v>
      </c>
      <c r="J6" s="1699" t="s">
        <v>1977</v>
      </c>
      <c r="K6" s="1699" t="s">
        <v>1978</v>
      </c>
      <c r="L6" s="1700"/>
      <c r="M6" s="1700"/>
      <c r="N6" s="1700"/>
      <c r="O6" s="1700"/>
      <c r="P6" s="1700"/>
      <c r="Q6" s="1700"/>
      <c r="R6" s="1700"/>
      <c r="S6" s="1700"/>
      <c r="T6" s="1700"/>
      <c r="U6" s="1700"/>
    </row>
    <row r="7" spans="1:21" s="1701" customFormat="1" ht="24" customHeight="1">
      <c r="A7" s="1692" t="s">
        <v>1805</v>
      </c>
      <c r="B7" s="1679">
        <v>239911</v>
      </c>
      <c r="C7" s="1679">
        <v>371289</v>
      </c>
      <c r="D7" s="1680">
        <f>C7-B7</f>
        <v>131378</v>
      </c>
      <c r="E7" s="1679"/>
      <c r="F7" s="1679">
        <v>1265707</v>
      </c>
      <c r="G7" s="1680">
        <f>D7+E7-F7</f>
        <v>-1134329</v>
      </c>
      <c r="H7" s="1681"/>
      <c r="I7" s="1680">
        <f>G7</f>
        <v>-1134329</v>
      </c>
      <c r="J7" s="1680"/>
      <c r="K7" s="1680"/>
      <c r="L7" s="1681"/>
      <c r="M7" s="1681"/>
      <c r="N7" s="1681"/>
      <c r="O7" s="1681"/>
      <c r="P7" s="1681"/>
      <c r="Q7" s="1681"/>
      <c r="R7" s="1681"/>
      <c r="S7" s="1681"/>
      <c r="T7" s="1681"/>
      <c r="U7" s="1681"/>
    </row>
    <row r="8" spans="1:21" s="1701" customFormat="1" ht="24" customHeight="1">
      <c r="A8" s="1691" t="s">
        <v>1806</v>
      </c>
      <c r="B8" s="1679">
        <v>3651770</v>
      </c>
      <c r="C8" s="1679">
        <v>2481004</v>
      </c>
      <c r="D8" s="1680">
        <f>C8-B8</f>
        <v>-1170766</v>
      </c>
      <c r="E8" s="1679"/>
      <c r="F8" s="1679"/>
      <c r="G8" s="1680">
        <f t="shared" ref="G8:G29" si="0">D8+E8-F8</f>
        <v>-1170766</v>
      </c>
      <c r="H8" s="1681"/>
      <c r="I8" s="1680">
        <f>G8</f>
        <v>-1170766</v>
      </c>
      <c r="J8" s="1680"/>
      <c r="K8" s="1680"/>
      <c r="L8" s="1681"/>
      <c r="M8" s="1681"/>
      <c r="N8" s="1681"/>
      <c r="O8" s="1681"/>
      <c r="P8" s="1681"/>
      <c r="Q8" s="1681"/>
      <c r="R8" s="1681"/>
      <c r="S8" s="1681"/>
      <c r="T8" s="1681"/>
      <c r="U8" s="1681"/>
    </row>
    <row r="9" spans="1:21" s="1701" customFormat="1" ht="24" customHeight="1">
      <c r="A9" s="1691" t="s">
        <v>1979</v>
      </c>
      <c r="B9" s="1679">
        <v>4184758</v>
      </c>
      <c r="C9" s="1679">
        <v>5901674</v>
      </c>
      <c r="D9" s="1680">
        <f>C9-B9</f>
        <v>1716916</v>
      </c>
      <c r="E9" s="1679">
        <v>63333</v>
      </c>
      <c r="F9" s="1679"/>
      <c r="G9" s="1680">
        <f t="shared" si="0"/>
        <v>1780249</v>
      </c>
      <c r="H9" s="1681"/>
      <c r="I9" s="3893">
        <f>+G9+G10</f>
        <v>1793689</v>
      </c>
      <c r="J9" s="1680"/>
      <c r="K9" s="1680"/>
      <c r="L9" s="1681"/>
      <c r="M9" s="1681"/>
      <c r="N9" s="1681"/>
      <c r="O9" s="1681"/>
      <c r="P9" s="1681"/>
      <c r="Q9" s="1681"/>
      <c r="R9" s="1681"/>
      <c r="S9" s="1681"/>
      <c r="T9" s="1681"/>
      <c r="U9" s="1681"/>
    </row>
    <row r="10" spans="1:21" s="1701" customFormat="1" ht="24" customHeight="1">
      <c r="A10" s="1691" t="s">
        <v>1804</v>
      </c>
      <c r="B10" s="1679">
        <v>31639</v>
      </c>
      <c r="C10" s="1679">
        <v>45079</v>
      </c>
      <c r="D10" s="1680">
        <f>C10-B10</f>
        <v>13440</v>
      </c>
      <c r="E10" s="1679"/>
      <c r="F10" s="1679"/>
      <c r="G10" s="1680">
        <f>D10+E10-F10</f>
        <v>13440</v>
      </c>
      <c r="H10" s="1681"/>
      <c r="I10" s="3894"/>
      <c r="J10" s="1680"/>
      <c r="K10" s="1680"/>
      <c r="L10" s="1681"/>
      <c r="M10" s="1681"/>
      <c r="N10" s="1681"/>
      <c r="O10" s="1681"/>
      <c r="P10" s="1681"/>
      <c r="Q10" s="1681"/>
      <c r="R10" s="1681"/>
      <c r="S10" s="1681"/>
      <c r="T10" s="1681"/>
      <c r="U10" s="1681"/>
    </row>
    <row r="11" spans="1:21" s="1701" customFormat="1" ht="24" customHeight="1">
      <c r="A11" s="1691" t="s">
        <v>1802</v>
      </c>
      <c r="B11" s="1679">
        <v>48</v>
      </c>
      <c r="C11" s="1679">
        <v>48</v>
      </c>
      <c r="D11" s="1680">
        <f t="shared" ref="D11:D12" si="1">C11-B11</f>
        <v>0</v>
      </c>
      <c r="E11" s="1679"/>
      <c r="F11" s="1679"/>
      <c r="G11" s="1680">
        <f t="shared" si="0"/>
        <v>0</v>
      </c>
      <c r="H11" s="1681"/>
      <c r="I11" s="1680">
        <f>G11</f>
        <v>0</v>
      </c>
      <c r="J11" s="1680"/>
      <c r="K11" s="1680"/>
      <c r="L11" s="1681"/>
      <c r="M11" s="1681"/>
      <c r="N11" s="1681"/>
      <c r="O11" s="1681"/>
      <c r="P11" s="1681"/>
      <c r="Q11" s="1681"/>
      <c r="R11" s="1681"/>
      <c r="S11" s="1681"/>
      <c r="T11" s="1681"/>
      <c r="U11" s="1681"/>
    </row>
    <row r="12" spans="1:21" s="1701" customFormat="1" ht="24" customHeight="1">
      <c r="A12" s="3900" t="s">
        <v>1801</v>
      </c>
      <c r="B12" s="3902">
        <v>22667989</v>
      </c>
      <c r="C12" s="3902">
        <v>23714800</v>
      </c>
      <c r="D12" s="3893">
        <f t="shared" si="1"/>
        <v>1046811</v>
      </c>
      <c r="E12" s="1679"/>
      <c r="F12" s="1679">
        <v>1741190</v>
      </c>
      <c r="G12" s="3893">
        <f>+D12+E12+E13-F12-F13</f>
        <v>-2452191</v>
      </c>
      <c r="H12" s="1681"/>
      <c r="I12" s="1682"/>
      <c r="J12" s="3904">
        <f>G12</f>
        <v>-2452191</v>
      </c>
      <c r="K12" s="1682"/>
      <c r="L12" s="1683"/>
      <c r="M12" s="1683"/>
      <c r="N12" s="1683"/>
      <c r="O12" s="1683"/>
      <c r="P12" s="1683"/>
      <c r="Q12" s="1683"/>
      <c r="R12" s="1683"/>
      <c r="S12" s="1683"/>
      <c r="T12" s="1683"/>
      <c r="U12" s="1683"/>
    </row>
    <row r="13" spans="1:21" s="1701" customFormat="1" ht="24" customHeight="1">
      <c r="A13" s="3901"/>
      <c r="B13" s="3903"/>
      <c r="C13" s="3903"/>
      <c r="D13" s="3894"/>
      <c r="E13" s="1679"/>
      <c r="F13" s="1679">
        <f>2452191-694379</f>
        <v>1757812</v>
      </c>
      <c r="G13" s="3894"/>
      <c r="H13" s="1681"/>
      <c r="I13" s="1682"/>
      <c r="J13" s="3905"/>
      <c r="K13" s="1682"/>
      <c r="L13" s="1683"/>
      <c r="M13" s="1683"/>
      <c r="N13" s="1683"/>
      <c r="O13" s="1683"/>
      <c r="P13" s="1683"/>
      <c r="Q13" s="1683"/>
      <c r="R13" s="1683"/>
      <c r="S13" s="1683"/>
      <c r="T13" s="1683"/>
      <c r="U13" s="1683"/>
    </row>
    <row r="14" spans="1:21" s="1701" customFormat="1" ht="24" customHeight="1">
      <c r="A14" s="3898" t="s">
        <v>1803</v>
      </c>
      <c r="B14" s="3891">
        <v>82192</v>
      </c>
      <c r="C14" s="3891">
        <v>81720</v>
      </c>
      <c r="D14" s="3892">
        <f>C14-B14</f>
        <v>-472</v>
      </c>
      <c r="E14" s="1679"/>
      <c r="F14" s="1679"/>
      <c r="G14" s="1680">
        <v>-484</v>
      </c>
      <c r="H14" s="1681"/>
      <c r="I14" s="1680"/>
      <c r="J14" s="1680">
        <f>G14</f>
        <v>-484</v>
      </c>
      <c r="K14" s="1680"/>
      <c r="L14" s="1681"/>
      <c r="M14" s="1681"/>
      <c r="N14" s="1681"/>
      <c r="O14" s="1681"/>
      <c r="P14" s="1681"/>
      <c r="Q14" s="1681"/>
      <c r="R14" s="1681"/>
      <c r="S14" s="1681"/>
      <c r="T14" s="1681"/>
      <c r="U14" s="1681"/>
    </row>
    <row r="15" spans="1:21" s="1701" customFormat="1" ht="24" customHeight="1">
      <c r="A15" s="3898"/>
      <c r="B15" s="3891"/>
      <c r="C15" s="3891"/>
      <c r="D15" s="3892"/>
      <c r="E15" s="1679"/>
      <c r="F15" s="1679"/>
      <c r="G15" s="1680">
        <v>12</v>
      </c>
      <c r="H15" s="1681"/>
      <c r="I15" s="1680"/>
      <c r="J15" s="1680">
        <f>G15</f>
        <v>12</v>
      </c>
      <c r="K15" s="1680"/>
      <c r="L15" s="1681"/>
      <c r="M15" s="1681"/>
      <c r="N15" s="1681"/>
      <c r="O15" s="1681"/>
      <c r="P15" s="1681"/>
      <c r="Q15" s="1681"/>
      <c r="R15" s="1681"/>
      <c r="S15" s="1681"/>
      <c r="T15" s="1681"/>
      <c r="U15" s="1681"/>
    </row>
    <row r="16" spans="1:21" s="1701" customFormat="1" ht="24" customHeight="1">
      <c r="A16" s="1691" t="s">
        <v>1813</v>
      </c>
      <c r="B16" s="1679">
        <v>7033450</v>
      </c>
      <c r="C16" s="1679">
        <v>5242155</v>
      </c>
      <c r="D16" s="1680">
        <f>B16-C16</f>
        <v>1791295</v>
      </c>
      <c r="E16" s="1679"/>
      <c r="F16" s="1679"/>
      <c r="G16" s="1680">
        <f t="shared" si="0"/>
        <v>1791295</v>
      </c>
      <c r="H16" s="1681"/>
      <c r="I16" s="1680">
        <f>G16</f>
        <v>1791295</v>
      </c>
      <c r="J16" s="1680"/>
      <c r="K16" s="1680"/>
      <c r="L16" s="1681"/>
      <c r="M16" s="1681"/>
      <c r="N16" s="1681"/>
      <c r="O16" s="1681"/>
      <c r="P16" s="1681"/>
      <c r="Q16" s="1681"/>
      <c r="R16" s="1681"/>
      <c r="S16" s="1681"/>
      <c r="T16" s="1681"/>
      <c r="U16" s="1681"/>
    </row>
    <row r="17" spans="1:21" s="1701" customFormat="1" ht="24" customHeight="1">
      <c r="A17" s="1691" t="s">
        <v>1814</v>
      </c>
      <c r="B17" s="1679">
        <v>11769771</v>
      </c>
      <c r="C17" s="1679">
        <v>14861712</v>
      </c>
      <c r="D17" s="1680">
        <f t="shared" ref="D17:D24" si="2">B17-C17</f>
        <v>-3091941</v>
      </c>
      <c r="E17" s="1679"/>
      <c r="F17" s="1679"/>
      <c r="G17" s="1680">
        <f t="shared" si="0"/>
        <v>-3091941</v>
      </c>
      <c r="H17" s="1681"/>
      <c r="I17" s="3893">
        <f>+G17+G18</f>
        <v>1368690</v>
      </c>
      <c r="J17" s="1680"/>
      <c r="K17" s="1680"/>
      <c r="L17" s="1681"/>
      <c r="M17" s="1681"/>
      <c r="N17" s="1681"/>
      <c r="O17" s="1681"/>
      <c r="P17" s="1681"/>
      <c r="Q17" s="1681"/>
      <c r="R17" s="1681"/>
      <c r="S17" s="1681"/>
      <c r="T17" s="1681"/>
      <c r="U17" s="1681"/>
    </row>
    <row r="18" spans="1:21" s="1701" customFormat="1" ht="24" customHeight="1">
      <c r="A18" s="1691" t="s">
        <v>1980</v>
      </c>
      <c r="B18" s="1679">
        <f>8162349-B19-B20</f>
        <v>6656769</v>
      </c>
      <c r="C18" s="1679">
        <f>5993367-C20-C19</f>
        <v>3953950</v>
      </c>
      <c r="D18" s="1680">
        <f t="shared" si="2"/>
        <v>2702819</v>
      </c>
      <c r="E18" s="1679">
        <v>1757812</v>
      </c>
      <c r="F18" s="1679"/>
      <c r="G18" s="1680">
        <f>D18+E18-F18</f>
        <v>4460631</v>
      </c>
      <c r="H18" s="1681"/>
      <c r="I18" s="3894"/>
      <c r="J18" s="1680"/>
      <c r="K18" s="1680"/>
      <c r="L18" s="1681"/>
      <c r="M18" s="1681"/>
      <c r="N18" s="1681"/>
      <c r="O18" s="1681"/>
      <c r="P18" s="1681"/>
      <c r="Q18" s="1681"/>
      <c r="R18" s="1681"/>
      <c r="S18" s="1681"/>
      <c r="T18" s="1681"/>
      <c r="U18" s="1681"/>
    </row>
    <row r="19" spans="1:21" s="1701" customFormat="1" ht="24" customHeight="1">
      <c r="A19" s="1691" t="s">
        <v>641</v>
      </c>
      <c r="B19" s="1679">
        <f>+B32+C32+D32</f>
        <v>1432872</v>
      </c>
      <c r="C19" s="1679">
        <f>+B33+C33+D33</f>
        <v>1975947</v>
      </c>
      <c r="D19" s="1680">
        <f>+B19-C19</f>
        <v>-543075</v>
      </c>
      <c r="E19" s="1679"/>
      <c r="F19" s="1679"/>
      <c r="G19" s="1680">
        <f t="shared" si="0"/>
        <v>-543075</v>
      </c>
      <c r="H19" s="1681"/>
      <c r="I19" s="1680">
        <f>+G19</f>
        <v>-543075</v>
      </c>
      <c r="J19" s="1680"/>
      <c r="K19" s="1680"/>
      <c r="L19" s="1681"/>
      <c r="M19" s="1681"/>
      <c r="N19" s="1681"/>
      <c r="O19" s="1681"/>
      <c r="P19" s="1681"/>
      <c r="Q19" s="1681"/>
      <c r="R19" s="1681"/>
      <c r="S19" s="1681"/>
      <c r="T19" s="1681"/>
      <c r="U19" s="1681"/>
    </row>
    <row r="20" spans="1:21" s="1701" customFormat="1" ht="24" customHeight="1">
      <c r="A20" s="1691" t="s">
        <v>1981</v>
      </c>
      <c r="B20" s="1679">
        <v>72708</v>
      </c>
      <c r="C20" s="1679">
        <v>63470</v>
      </c>
      <c r="D20" s="1680">
        <f>+B20-C20</f>
        <v>9238</v>
      </c>
      <c r="E20" s="1679"/>
      <c r="F20" s="1679"/>
      <c r="G20" s="1680">
        <f t="shared" si="0"/>
        <v>9238</v>
      </c>
      <c r="H20" s="1681"/>
      <c r="I20" s="1680">
        <f>+G20</f>
        <v>9238</v>
      </c>
      <c r="J20" s="1680"/>
      <c r="K20" s="1680"/>
      <c r="L20" s="1681"/>
      <c r="M20" s="1681"/>
      <c r="N20" s="1681"/>
      <c r="O20" s="1681"/>
      <c r="P20" s="1681"/>
      <c r="Q20" s="1681"/>
      <c r="R20" s="1681"/>
      <c r="S20" s="1681"/>
      <c r="T20" s="1681"/>
      <c r="U20" s="1681"/>
    </row>
    <row r="21" spans="1:21" s="1701" customFormat="1" ht="24" customHeight="1">
      <c r="A21" s="1691" t="s">
        <v>1892</v>
      </c>
      <c r="B21" s="1679">
        <v>0</v>
      </c>
      <c r="C21" s="1679">
        <v>1660707</v>
      </c>
      <c r="D21" s="1680">
        <f>B21-C21</f>
        <v>-1660707</v>
      </c>
      <c r="E21" s="1679">
        <f>1660707-395000</f>
        <v>1265707</v>
      </c>
      <c r="F21" s="1679"/>
      <c r="G21" s="1680">
        <f t="shared" si="0"/>
        <v>-395000</v>
      </c>
      <c r="H21" s="1681"/>
      <c r="I21" s="1680">
        <f>G21</f>
        <v>-395000</v>
      </c>
      <c r="J21" s="1680"/>
      <c r="K21" s="1680"/>
      <c r="L21" s="1681"/>
      <c r="M21" s="1681"/>
      <c r="N21" s="1681"/>
      <c r="O21" s="1681"/>
      <c r="P21" s="1681"/>
      <c r="Q21" s="1681"/>
      <c r="R21" s="1681"/>
      <c r="S21" s="1681"/>
      <c r="T21" s="1681"/>
      <c r="U21" s="1681"/>
    </row>
    <row r="22" spans="1:21" s="1701" customFormat="1" ht="24" customHeight="1">
      <c r="A22" s="1691" t="s">
        <v>1809</v>
      </c>
      <c r="B22" s="1679">
        <v>12000000</v>
      </c>
      <c r="C22" s="1679">
        <v>12000000</v>
      </c>
      <c r="D22" s="1680">
        <f t="shared" si="2"/>
        <v>0</v>
      </c>
      <c r="E22" s="1679"/>
      <c r="F22" s="1679"/>
      <c r="G22" s="1680">
        <f t="shared" si="0"/>
        <v>0</v>
      </c>
      <c r="H22" s="1681"/>
      <c r="I22" s="1680"/>
      <c r="J22" s="1680"/>
      <c r="K22" s="1680"/>
      <c r="L22" s="1681"/>
      <c r="M22" s="1681"/>
      <c r="N22" s="1681"/>
      <c r="O22" s="1681"/>
      <c r="P22" s="1681"/>
      <c r="Q22" s="1681"/>
      <c r="R22" s="1681"/>
      <c r="S22" s="1681"/>
      <c r="T22" s="1681"/>
      <c r="U22" s="1681"/>
    </row>
    <row r="23" spans="1:21" s="1701" customFormat="1" ht="24" customHeight="1">
      <c r="A23" s="1691" t="s">
        <v>1810</v>
      </c>
      <c r="B23" s="1684">
        <v>0.5</v>
      </c>
      <c r="C23" s="1684">
        <v>0.5</v>
      </c>
      <c r="D23" s="1682">
        <f t="shared" si="2"/>
        <v>0</v>
      </c>
      <c r="E23" s="1685"/>
      <c r="F23" s="1685"/>
      <c r="G23" s="1680">
        <f t="shared" si="0"/>
        <v>0</v>
      </c>
      <c r="H23" s="1683"/>
      <c r="I23" s="1682"/>
      <c r="J23" s="1686"/>
      <c r="K23" s="1686"/>
      <c r="L23" s="1687"/>
      <c r="M23" s="1687"/>
      <c r="N23" s="1687"/>
      <c r="O23" s="1687"/>
      <c r="P23" s="1687"/>
      <c r="Q23" s="1687"/>
      <c r="R23" s="1687"/>
      <c r="S23" s="1687"/>
      <c r="T23" s="1687"/>
      <c r="U23" s="1687"/>
    </row>
    <row r="24" spans="1:21" s="1701" customFormat="1" ht="24" customHeight="1">
      <c r="A24" s="1691" t="s">
        <v>1811</v>
      </c>
      <c r="B24" s="1679">
        <v>2736</v>
      </c>
      <c r="C24" s="1679">
        <v>2736</v>
      </c>
      <c r="D24" s="1682">
        <f t="shared" si="2"/>
        <v>0</v>
      </c>
      <c r="E24" s="1685"/>
      <c r="F24" s="1685"/>
      <c r="G24" s="1680">
        <f t="shared" si="0"/>
        <v>0</v>
      </c>
      <c r="H24" s="1683"/>
      <c r="I24" s="1682"/>
      <c r="J24" s="1680"/>
      <c r="K24" s="1680"/>
      <c r="L24" s="1681"/>
      <c r="M24" s="1681"/>
      <c r="N24" s="1681"/>
      <c r="O24" s="1681"/>
      <c r="P24" s="1681"/>
      <c r="Q24" s="1681"/>
      <c r="R24" s="1681"/>
      <c r="S24" s="1681"/>
      <c r="T24" s="1681"/>
      <c r="U24" s="1681"/>
    </row>
    <row r="25" spans="1:21" s="1701" customFormat="1" ht="24" customHeight="1">
      <c r="A25" s="1691" t="s">
        <v>1982</v>
      </c>
      <c r="B25" s="1702"/>
      <c r="C25" s="1702"/>
      <c r="D25" s="1682">
        <f>-1333423-250</f>
        <v>-1333673</v>
      </c>
      <c r="E25" s="1685"/>
      <c r="F25" s="1685"/>
      <c r="G25" s="1680">
        <f t="shared" si="0"/>
        <v>-1333673</v>
      </c>
      <c r="H25" s="1683"/>
      <c r="I25" s="1682">
        <f>G25</f>
        <v>-1333673</v>
      </c>
      <c r="J25" s="1703"/>
      <c r="K25" s="1703"/>
      <c r="L25" s="1704"/>
      <c r="M25" s="1704"/>
      <c r="N25" s="1704"/>
      <c r="O25" s="1704"/>
      <c r="P25" s="1704"/>
      <c r="Q25" s="1704"/>
      <c r="R25" s="1704"/>
      <c r="S25" s="1704"/>
      <c r="T25" s="1704"/>
      <c r="U25" s="1704"/>
    </row>
    <row r="26" spans="1:21" s="1701" customFormat="1" ht="24" customHeight="1">
      <c r="A26" s="1691" t="s">
        <v>1983</v>
      </c>
      <c r="B26" s="1702"/>
      <c r="C26" s="1702"/>
      <c r="D26" s="1682"/>
      <c r="E26" s="1685"/>
      <c r="F26" s="1685"/>
      <c r="G26" s="1680">
        <f t="shared" si="0"/>
        <v>0</v>
      </c>
      <c r="H26" s="1683"/>
      <c r="I26" s="1682"/>
      <c r="J26" s="1703"/>
      <c r="K26" s="1703"/>
      <c r="L26" s="1704"/>
      <c r="M26" s="1704"/>
      <c r="N26" s="1704"/>
      <c r="O26" s="1704"/>
      <c r="P26" s="1704"/>
      <c r="Q26" s="1704"/>
      <c r="R26" s="1704"/>
      <c r="S26" s="1704"/>
      <c r="T26" s="1704"/>
      <c r="U26" s="1704"/>
    </row>
    <row r="27" spans="1:21" s="1701" customFormat="1" ht="24" customHeight="1">
      <c r="A27" s="1691" t="s">
        <v>1984</v>
      </c>
      <c r="B27" s="1702"/>
      <c r="C27" s="1702"/>
      <c r="D27" s="1682"/>
      <c r="E27" s="1685"/>
      <c r="F27" s="1685"/>
      <c r="G27" s="1680">
        <f t="shared" si="0"/>
        <v>0</v>
      </c>
      <c r="H27" s="1683"/>
      <c r="I27" s="1682"/>
      <c r="J27" s="1703"/>
      <c r="K27" s="1703"/>
      <c r="L27" s="1704"/>
      <c r="M27" s="1704"/>
      <c r="N27" s="1704"/>
      <c r="O27" s="1704"/>
      <c r="P27" s="1704"/>
      <c r="Q27" s="1704"/>
      <c r="R27" s="1704"/>
      <c r="S27" s="1704"/>
      <c r="T27" s="1704"/>
      <c r="U27" s="1704"/>
    </row>
    <row r="28" spans="1:21" s="1701" customFormat="1" ht="24" customHeight="1">
      <c r="A28" s="1691" t="s">
        <v>1985</v>
      </c>
      <c r="B28" s="1702"/>
      <c r="C28" s="1702"/>
      <c r="D28" s="1682"/>
      <c r="E28" s="1685"/>
      <c r="F28" s="1685">
        <v>63333</v>
      </c>
      <c r="G28" s="1680">
        <f t="shared" si="0"/>
        <v>-63333</v>
      </c>
      <c r="H28" s="1683"/>
      <c r="I28" s="1682"/>
      <c r="J28" s="1703"/>
      <c r="K28" s="1682">
        <f>+G28</f>
        <v>-63333</v>
      </c>
      <c r="L28" s="1704"/>
      <c r="M28" s="1704"/>
      <c r="N28" s="1704"/>
      <c r="O28" s="1704"/>
      <c r="P28" s="1704"/>
      <c r="Q28" s="1704"/>
      <c r="R28" s="1704"/>
      <c r="S28" s="1704"/>
      <c r="T28" s="1704"/>
      <c r="U28" s="1704"/>
    </row>
    <row r="29" spans="1:21" s="1701" customFormat="1" ht="24" customHeight="1">
      <c r="A29" s="1691" t="s">
        <v>1986</v>
      </c>
      <c r="B29" s="1702"/>
      <c r="C29" s="1702"/>
      <c r="D29" s="1682"/>
      <c r="E29" s="1685">
        <v>1741190</v>
      </c>
      <c r="F29" s="1685"/>
      <c r="G29" s="1680">
        <f t="shared" si="0"/>
        <v>1741190</v>
      </c>
      <c r="H29" s="1683"/>
      <c r="I29" s="1682">
        <f>G29</f>
        <v>1741190</v>
      </c>
      <c r="J29" s="1703"/>
      <c r="K29" s="1703"/>
      <c r="L29" s="1704"/>
      <c r="M29" s="1704"/>
      <c r="N29" s="1704"/>
      <c r="O29" s="1704"/>
      <c r="P29" s="1704"/>
      <c r="Q29" s="1704"/>
      <c r="R29" s="1704"/>
      <c r="S29" s="1704"/>
      <c r="T29" s="1704"/>
      <c r="U29" s="1704"/>
    </row>
    <row r="30" spans="1:21" s="1708" customFormat="1" ht="24" customHeight="1" thickBot="1">
      <c r="A30" s="1688"/>
      <c r="B30" s="1705"/>
      <c r="C30" s="1705"/>
      <c r="D30" s="1706">
        <f>SUM(D7:D29)</f>
        <v>-388737</v>
      </c>
      <c r="E30" s="1706">
        <f>SUM(E7:E29)</f>
        <v>4828042</v>
      </c>
      <c r="F30" s="1706">
        <f>SUM(F7:F29)</f>
        <v>4828042</v>
      </c>
      <c r="G30" s="1706">
        <f>SUM(G7:G29)</f>
        <v>-388737</v>
      </c>
      <c r="H30" s="1707"/>
      <c r="I30" s="1706">
        <f>SUM(I7:I29)</f>
        <v>2127259</v>
      </c>
      <c r="J30" s="1706">
        <f t="shared" ref="J30:K30" si="3">SUM(J7:J29)</f>
        <v>-2452663</v>
      </c>
      <c r="K30" s="1706">
        <f t="shared" si="3"/>
        <v>-63333</v>
      </c>
      <c r="L30" s="1705"/>
      <c r="M30" s="1705"/>
      <c r="N30" s="1705"/>
      <c r="O30" s="1705"/>
      <c r="P30" s="1705"/>
      <c r="Q30" s="1705"/>
      <c r="R30" s="1705"/>
      <c r="S30" s="1705"/>
      <c r="T30" s="1705"/>
      <c r="U30" s="1705"/>
    </row>
    <row r="31" spans="1:21" s="1701" customFormat="1" ht="31.5" thickTop="1">
      <c r="A31" s="1689"/>
      <c r="B31" s="1704"/>
      <c r="C31" s="1704"/>
      <c r="D31" s="1704"/>
      <c r="E31" s="1704"/>
      <c r="F31" s="1704"/>
      <c r="G31" s="1704"/>
      <c r="H31" s="1709"/>
      <c r="I31" s="3895">
        <f>SUM(I30:K30)</f>
        <v>-388737</v>
      </c>
      <c r="J31" s="3895"/>
      <c r="K31" s="3895"/>
      <c r="L31" s="1704"/>
      <c r="M31" s="1704"/>
      <c r="N31" s="1704"/>
      <c r="O31" s="1704"/>
      <c r="P31" s="1704"/>
      <c r="Q31" s="1704"/>
      <c r="R31" s="1704"/>
      <c r="S31" s="1704"/>
      <c r="T31" s="1704"/>
      <c r="U31" s="1704"/>
    </row>
    <row r="32" spans="1:21" s="1701" customFormat="1" ht="24" customHeight="1">
      <c r="A32" s="1689"/>
      <c r="B32" s="1704">
        <v>256149</v>
      </c>
      <c r="C32" s="1704">
        <v>890897</v>
      </c>
      <c r="D32" s="1704">
        <v>285826</v>
      </c>
      <c r="E32" s="1704"/>
      <c r="F32" s="1704"/>
      <c r="G32" s="1704"/>
      <c r="H32" s="1709"/>
      <c r="I32" s="1704"/>
      <c r="J32" s="1704"/>
      <c r="K32" s="1704"/>
      <c r="L32" s="1704"/>
      <c r="M32" s="1704"/>
      <c r="N32" s="1704"/>
      <c r="O32" s="1704"/>
      <c r="P32" s="1704"/>
      <c r="Q32" s="1704"/>
      <c r="R32" s="1704"/>
      <c r="S32" s="1704"/>
      <c r="T32" s="1704"/>
      <c r="U32" s="1704"/>
    </row>
    <row r="33" spans="2:21" s="1701" customFormat="1" ht="24" customHeight="1">
      <c r="B33" s="1704">
        <v>185728</v>
      </c>
      <c r="C33" s="1704">
        <v>1558175</v>
      </c>
      <c r="D33" s="1704">
        <v>232044</v>
      </c>
      <c r="E33" s="1704"/>
      <c r="F33" s="1704"/>
      <c r="G33" s="1704"/>
      <c r="H33" s="1709"/>
      <c r="I33" s="1704"/>
      <c r="J33" s="1704"/>
      <c r="K33" s="1704"/>
      <c r="L33" s="1704"/>
      <c r="M33" s="1704"/>
      <c r="N33" s="1704"/>
      <c r="O33" s="1704"/>
      <c r="P33" s="1704"/>
      <c r="Q33" s="1704"/>
      <c r="R33" s="1704"/>
      <c r="S33" s="1704"/>
      <c r="T33" s="1704"/>
      <c r="U33" s="1704"/>
    </row>
    <row r="34" spans="2:21" s="1701" customFormat="1" ht="24" customHeight="1">
      <c r="B34" s="1704">
        <f>+B32-B33</f>
        <v>70421</v>
      </c>
      <c r="C34" s="1704">
        <f>+C32-C33</f>
        <v>-667278</v>
      </c>
      <c r="D34" s="1704">
        <f>+D32-D33</f>
        <v>53782</v>
      </c>
      <c r="E34" s="1704"/>
      <c r="F34" s="1704"/>
      <c r="G34" s="1704"/>
      <c r="H34" s="1709"/>
      <c r="I34" s="1704"/>
      <c r="J34" s="1704"/>
      <c r="K34" s="1704"/>
      <c r="L34" s="1704"/>
      <c r="M34" s="1704"/>
      <c r="N34" s="1704"/>
      <c r="O34" s="1704"/>
      <c r="P34" s="1704"/>
      <c r="Q34" s="1704"/>
      <c r="R34" s="1704"/>
      <c r="S34" s="1704"/>
      <c r="T34" s="1704"/>
      <c r="U34" s="1704"/>
    </row>
    <row r="35" spans="2:21" ht="24" customHeight="1">
      <c r="C35" s="1696">
        <f>C34+B34</f>
        <v>-596857</v>
      </c>
      <c r="D35" s="1696">
        <f>D34+C35</f>
        <v>-543075</v>
      </c>
    </row>
    <row r="36" spans="2:21" ht="24" customHeight="1">
      <c r="D36" s="1710"/>
      <c r="E36" s="1710"/>
      <c r="F36" s="1710"/>
      <c r="G36" s="1710"/>
    </row>
    <row r="40" spans="2:21" ht="24" customHeight="1">
      <c r="D40" s="1710"/>
      <c r="E40" s="1710"/>
    </row>
  </sheetData>
  <mergeCells count="26">
    <mergeCell ref="A14:A15"/>
    <mergeCell ref="B1:F1"/>
    <mergeCell ref="I1:J1"/>
    <mergeCell ref="B2:F2"/>
    <mergeCell ref="I2:J2"/>
    <mergeCell ref="B3:F3"/>
    <mergeCell ref="I3:J3"/>
    <mergeCell ref="I5:K5"/>
    <mergeCell ref="I9:I10"/>
    <mergeCell ref="A12:A13"/>
    <mergeCell ref="B12:B13"/>
    <mergeCell ref="C12:C13"/>
    <mergeCell ref="D12:D13"/>
    <mergeCell ref="G12:G13"/>
    <mergeCell ref="J12:J13"/>
    <mergeCell ref="A5:A6"/>
    <mergeCell ref="B5:B6"/>
    <mergeCell ref="C5:C6"/>
    <mergeCell ref="D5:D6"/>
    <mergeCell ref="E5:F5"/>
    <mergeCell ref="G5:G6"/>
    <mergeCell ref="B14:B15"/>
    <mergeCell ref="C14:C15"/>
    <mergeCell ref="D14:D15"/>
    <mergeCell ref="I17:I18"/>
    <mergeCell ref="I31:K31"/>
  </mergeCells>
  <pageMargins left="0.70866141732283472" right="0.70866141732283472" top="0.74803149606299213" bottom="0.74803149606299213" header="0.31496062992125984" footer="0.31496062992125984"/>
  <pageSetup paperSize="8" scale="9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1"/>
  <sheetViews>
    <sheetView rightToLeft="1" workbookViewId="0">
      <selection activeCell="E19" sqref="E19:G19"/>
    </sheetView>
  </sheetViews>
  <sheetFormatPr defaultColWidth="16.375" defaultRowHeight="24" customHeight="1"/>
  <cols>
    <col min="1" max="16384" width="16.375" style="1693"/>
  </cols>
  <sheetData>
    <row r="3" spans="2:6" ht="24" customHeight="1">
      <c r="B3" s="1693">
        <v>-1333673</v>
      </c>
      <c r="E3" s="1693">
        <v>-1333673</v>
      </c>
    </row>
    <row r="4" spans="2:6" ht="24" customHeight="1">
      <c r="B4" s="1693">
        <v>1791295</v>
      </c>
      <c r="E4" s="1693">
        <v>1791295</v>
      </c>
    </row>
    <row r="5" spans="2:6" ht="24" customHeight="1">
      <c r="B5" s="1693">
        <v>1741190</v>
      </c>
      <c r="E5" s="1693">
        <v>1741190</v>
      </c>
    </row>
    <row r="6" spans="2:6" ht="24" customHeight="1">
      <c r="B6" s="1711">
        <f>SUM(B3:B5)</f>
        <v>2198812</v>
      </c>
      <c r="E6" s="1693">
        <f>SUM(E3:E5)</f>
        <v>2198812</v>
      </c>
    </row>
    <row r="7" spans="2:6" ht="24" customHeight="1">
      <c r="B7" s="1693">
        <v>1182527</v>
      </c>
      <c r="F7" s="1693">
        <v>1793689</v>
      </c>
    </row>
    <row r="8" spans="2:6" ht="24" customHeight="1">
      <c r="B8" s="1693">
        <v>-884120</v>
      </c>
      <c r="F8" s="1693">
        <v>-1170766</v>
      </c>
    </row>
    <row r="9" spans="2:6" ht="24" customHeight="1">
      <c r="B9" s="1693">
        <v>-1134329</v>
      </c>
      <c r="F9" s="1693">
        <v>-1134329</v>
      </c>
    </row>
    <row r="10" spans="2:6" ht="24" customHeight="1">
      <c r="B10" s="1693">
        <v>1693206</v>
      </c>
      <c r="F10" s="1693">
        <v>1368690</v>
      </c>
    </row>
    <row r="11" spans="2:6" ht="24" customHeight="1">
      <c r="B11" s="1693">
        <v>-543075</v>
      </c>
      <c r="F11" s="1693">
        <v>-543075</v>
      </c>
    </row>
    <row r="12" spans="2:6" ht="24" customHeight="1">
      <c r="B12" s="1693">
        <v>9238</v>
      </c>
      <c r="F12" s="1693">
        <v>9238</v>
      </c>
    </row>
    <row r="13" spans="2:6" ht="24" customHeight="1">
      <c r="B13" s="1693">
        <f>SUM(B6:B12)</f>
        <v>2522259</v>
      </c>
      <c r="F13" s="1693">
        <f>SUM(F7:F12)</f>
        <v>323447</v>
      </c>
    </row>
    <row r="14" spans="2:6" ht="24" customHeight="1">
      <c r="B14" s="1693">
        <v>-395000</v>
      </c>
      <c r="F14" s="1693">
        <f>+F13+E6</f>
        <v>2522259</v>
      </c>
    </row>
    <row r="15" spans="2:6" ht="24" customHeight="1">
      <c r="B15" s="1693">
        <f>B14+B13</f>
        <v>2127259</v>
      </c>
    </row>
    <row r="16" spans="2:6" ht="24" customHeight="1">
      <c r="C16" s="1693">
        <v>-2452191</v>
      </c>
    </row>
    <row r="17" spans="3:3" ht="24" customHeight="1">
      <c r="C17" s="1693">
        <v>12</v>
      </c>
    </row>
    <row r="18" spans="3:3" ht="24" customHeight="1">
      <c r="C18" s="1693">
        <v>-484</v>
      </c>
    </row>
    <row r="19" spans="3:3" ht="24" customHeight="1">
      <c r="C19" s="1693">
        <f>SUM(C16:C18)</f>
        <v>-2452663</v>
      </c>
    </row>
    <row r="20" spans="3:3" ht="24" customHeight="1">
      <c r="C20" s="1693">
        <v>-63333</v>
      </c>
    </row>
    <row r="21" spans="3:3" ht="24" customHeight="1">
      <c r="C21" s="1693">
        <f>+C20+C19+B15</f>
        <v>-388737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rightToLeft="1" view="pageBreakPreview" topLeftCell="A7" zoomScale="60" zoomScaleNormal="100" workbookViewId="0">
      <selection activeCell="J30" sqref="J30"/>
    </sheetView>
  </sheetViews>
  <sheetFormatPr defaultRowHeight="14.25"/>
  <cols>
    <col min="1" max="1" width="38.375" bestFit="1" customWidth="1"/>
    <col min="2" max="3" width="14.5" bestFit="1" customWidth="1"/>
    <col min="4" max="4" width="16.625" bestFit="1" customWidth="1"/>
    <col min="5" max="6" width="13.25" bestFit="1" customWidth="1"/>
    <col min="7" max="7" width="16.5" bestFit="1" customWidth="1"/>
    <col min="9" max="9" width="16.625" customWidth="1"/>
    <col min="10" max="10" width="17" bestFit="1" customWidth="1"/>
  </cols>
  <sheetData>
    <row r="1" spans="1:11" ht="28.5">
      <c r="A1" s="1678"/>
      <c r="B1" s="3908" t="s">
        <v>1966</v>
      </c>
      <c r="C1" s="3908"/>
      <c r="D1" s="3908"/>
      <c r="E1" s="3908"/>
      <c r="F1" s="3908"/>
      <c r="G1" s="2014"/>
      <c r="H1" s="2015"/>
      <c r="I1" s="3908"/>
      <c r="J1" s="3908"/>
      <c r="K1" s="2016"/>
    </row>
    <row r="2" spans="1:11" ht="28.5">
      <c r="A2" s="1678"/>
      <c r="B2" s="3908" t="s">
        <v>1968</v>
      </c>
      <c r="C2" s="3908"/>
      <c r="D2" s="3908"/>
      <c r="E2" s="3908"/>
      <c r="F2" s="3908"/>
      <c r="G2" s="2014"/>
      <c r="H2" s="2015"/>
      <c r="I2" s="3908"/>
      <c r="J2" s="3908"/>
      <c r="K2" s="2016"/>
    </row>
    <row r="3" spans="1:11" ht="28.5">
      <c r="A3" s="1678"/>
      <c r="B3" s="3908" t="s">
        <v>2210</v>
      </c>
      <c r="C3" s="3908"/>
      <c r="D3" s="3908"/>
      <c r="E3" s="3908"/>
      <c r="F3" s="3908"/>
      <c r="G3" s="2014"/>
      <c r="H3" s="2015"/>
      <c r="I3" s="3908"/>
      <c r="J3" s="3908"/>
      <c r="K3" s="2016"/>
    </row>
    <row r="4" spans="1:11" ht="21.75">
      <c r="A4" s="1678"/>
      <c r="B4" s="2016"/>
      <c r="C4" s="2016"/>
      <c r="D4" s="2016"/>
      <c r="E4" s="2016"/>
      <c r="F4" s="2016"/>
      <c r="G4" s="2016"/>
      <c r="H4" s="2017"/>
      <c r="I4" s="2016"/>
      <c r="J4" s="2016"/>
      <c r="K4" s="2016"/>
    </row>
    <row r="5" spans="1:11" ht="28.5">
      <c r="A5" s="3912" t="s">
        <v>1970</v>
      </c>
      <c r="B5" s="3913">
        <v>1401</v>
      </c>
      <c r="C5" s="3913">
        <v>1400</v>
      </c>
      <c r="D5" s="3913" t="s">
        <v>1971</v>
      </c>
      <c r="E5" s="3909" t="s">
        <v>1867</v>
      </c>
      <c r="F5" s="3909"/>
      <c r="G5" s="3909" t="s">
        <v>1972</v>
      </c>
      <c r="H5" s="2018"/>
      <c r="I5" s="3909" t="s">
        <v>1973</v>
      </c>
      <c r="J5" s="3909"/>
      <c r="K5" s="3909"/>
    </row>
    <row r="6" spans="1:11" ht="57">
      <c r="A6" s="3912"/>
      <c r="B6" s="3913"/>
      <c r="C6" s="3913"/>
      <c r="D6" s="3913"/>
      <c r="E6" s="2019" t="s">
        <v>1974</v>
      </c>
      <c r="F6" s="2019" t="s">
        <v>1975</v>
      </c>
      <c r="G6" s="3909"/>
      <c r="H6" s="2018"/>
      <c r="I6" s="2019" t="s">
        <v>1976</v>
      </c>
      <c r="J6" s="2019" t="s">
        <v>1977</v>
      </c>
      <c r="K6" s="2019" t="s">
        <v>1978</v>
      </c>
    </row>
    <row r="7" spans="1:11" ht="30.75">
      <c r="A7" s="2013" t="s">
        <v>1805</v>
      </c>
      <c r="B7" s="2020">
        <f>'وضعیت مالی'!G18</f>
        <v>547380</v>
      </c>
      <c r="C7" s="2020">
        <f>'وضعیت مالی'!I18</f>
        <v>457055</v>
      </c>
      <c r="D7" s="2021">
        <f>C7-B7</f>
        <v>-90325</v>
      </c>
      <c r="E7" s="2020"/>
      <c r="F7" s="2020"/>
      <c r="G7" s="2021">
        <f>D7+E7-F7</f>
        <v>-90325</v>
      </c>
      <c r="H7" s="1681"/>
      <c r="I7" s="2022">
        <f>G7</f>
        <v>-90325</v>
      </c>
      <c r="J7" s="2021"/>
      <c r="K7" s="2021"/>
    </row>
    <row r="8" spans="1:11" ht="30.75">
      <c r="A8" s="2023" t="s">
        <v>1806</v>
      </c>
      <c r="B8" s="2020">
        <f>'وضعیت مالی'!G19</f>
        <v>5617585</v>
      </c>
      <c r="C8" s="2020">
        <f>'وضعیت مالی'!I19</f>
        <v>4484864</v>
      </c>
      <c r="D8" s="2021">
        <f>C8-B8</f>
        <v>-1132721</v>
      </c>
      <c r="E8" s="2020"/>
      <c r="F8" s="2020"/>
      <c r="G8" s="2021">
        <f t="shared" ref="G8:G29" si="0">D8+E8-F8</f>
        <v>-1132721</v>
      </c>
      <c r="H8" s="1681"/>
      <c r="I8" s="2022">
        <f>G8</f>
        <v>-1132721</v>
      </c>
      <c r="J8" s="2021"/>
      <c r="K8" s="2021"/>
    </row>
    <row r="9" spans="1:11" ht="30.75">
      <c r="A9" s="2023" t="s">
        <v>1979</v>
      </c>
      <c r="B9" s="2020">
        <f>'وضعیت مالی'!G20</f>
        <v>35904054</v>
      </c>
      <c r="C9" s="2020">
        <f>'وضعیت مالی'!I20</f>
        <v>10129835</v>
      </c>
      <c r="D9" s="2021">
        <f>C9-B9</f>
        <v>-25774219</v>
      </c>
      <c r="E9" s="2020">
        <v>0</v>
      </c>
      <c r="F9" s="2020"/>
      <c r="G9" s="2021">
        <f t="shared" si="0"/>
        <v>-25774219</v>
      </c>
      <c r="H9" s="1681"/>
      <c r="I9" s="3910">
        <f>+G9+G10</f>
        <v>-27408548</v>
      </c>
      <c r="J9" s="2021"/>
      <c r="K9" s="2021"/>
    </row>
    <row r="10" spans="1:11" ht="30.75">
      <c r="A10" s="2023" t="s">
        <v>1804</v>
      </c>
      <c r="B10" s="2020">
        <f>'وضعیت مالی'!G15</f>
        <v>1656630</v>
      </c>
      <c r="C10" s="2020">
        <f>'وضعیت مالی'!I15</f>
        <v>22301</v>
      </c>
      <c r="D10" s="2021">
        <f>C10-B10</f>
        <v>-1634329</v>
      </c>
      <c r="E10" s="2020"/>
      <c r="F10" s="2020"/>
      <c r="G10" s="2021">
        <f>D10+E10-F10</f>
        <v>-1634329</v>
      </c>
      <c r="H10" s="1681"/>
      <c r="I10" s="3911"/>
      <c r="J10" s="2021"/>
      <c r="K10" s="2021"/>
    </row>
    <row r="11" spans="1:11" ht="30.75">
      <c r="A11" s="2023" t="s">
        <v>1802</v>
      </c>
      <c r="B11" s="2020">
        <f>'وضعیت مالی'!G14</f>
        <v>48</v>
      </c>
      <c r="C11" s="2020">
        <f>'وضعیت مالی'!I14</f>
        <v>48</v>
      </c>
      <c r="D11" s="2021">
        <f t="shared" ref="D11:D12" si="1">C11-B11</f>
        <v>0</v>
      </c>
      <c r="E11" s="2020"/>
      <c r="F11" s="2020"/>
      <c r="G11" s="2021">
        <f t="shared" si="0"/>
        <v>0</v>
      </c>
      <c r="H11" s="1681"/>
      <c r="I11" s="2021">
        <f>G11</f>
        <v>0</v>
      </c>
      <c r="J11" s="2021"/>
      <c r="K11" s="2021"/>
    </row>
    <row r="12" spans="1:11" ht="30.75">
      <c r="A12" s="3900" t="s">
        <v>1801</v>
      </c>
      <c r="B12" s="3902">
        <f>'وضعیت مالی'!G12</f>
        <v>89766994</v>
      </c>
      <c r="C12" s="3902">
        <f>'وضعیت مالی'!I12</f>
        <v>88470584</v>
      </c>
      <c r="D12" s="3893">
        <f t="shared" si="1"/>
        <v>-1296410</v>
      </c>
      <c r="E12" s="2020"/>
      <c r="F12" s="2024"/>
      <c r="G12" s="3893">
        <f>+D12+E12+E13-F12-F13</f>
        <v>-1296410</v>
      </c>
      <c r="H12" s="1681"/>
      <c r="I12" s="2025"/>
      <c r="J12" s="3904">
        <f>G12</f>
        <v>-1296410</v>
      </c>
      <c r="K12" s="2025"/>
    </row>
    <row r="13" spans="1:11" ht="30.75">
      <c r="A13" s="3901"/>
      <c r="B13" s="3903"/>
      <c r="C13" s="3903"/>
      <c r="D13" s="3894"/>
      <c r="E13" s="2020"/>
      <c r="F13" s="2020"/>
      <c r="G13" s="3894"/>
      <c r="H13" s="1681"/>
      <c r="I13" s="2025"/>
      <c r="J13" s="3905"/>
      <c r="K13" s="2025"/>
    </row>
    <row r="14" spans="1:11" ht="30.75">
      <c r="A14" s="3907" t="s">
        <v>1803</v>
      </c>
      <c r="B14" s="3914">
        <f>'وضعیت مالی'!G13</f>
        <v>84434</v>
      </c>
      <c r="C14" s="3914">
        <f>'وضعیت مالی'!I13</f>
        <v>83241</v>
      </c>
      <c r="D14" s="3915">
        <f>C14-B14</f>
        <v>-1193</v>
      </c>
      <c r="E14" s="2020"/>
      <c r="F14" s="2020"/>
      <c r="G14" s="2021">
        <v>-484</v>
      </c>
      <c r="H14" s="1681"/>
      <c r="I14" s="2021"/>
      <c r="J14" s="2021">
        <f>G14</f>
        <v>-484</v>
      </c>
      <c r="K14" s="2021"/>
    </row>
    <row r="15" spans="1:11" ht="30.75">
      <c r="A15" s="3907"/>
      <c r="B15" s="3914"/>
      <c r="C15" s="3914"/>
      <c r="D15" s="3915"/>
      <c r="E15" s="2020"/>
      <c r="F15" s="2020"/>
      <c r="G15" s="2021">
        <v>12</v>
      </c>
      <c r="H15" s="1681"/>
      <c r="I15" s="2021"/>
      <c r="J15" s="2021">
        <f>G15</f>
        <v>12</v>
      </c>
      <c r="K15" s="2021"/>
    </row>
    <row r="16" spans="1:11" ht="30.75">
      <c r="A16" s="2023" t="s">
        <v>1813</v>
      </c>
      <c r="B16" s="2020">
        <f>'وضعیت مالی'!G35</f>
        <v>12636333</v>
      </c>
      <c r="C16" s="2020">
        <f>'وضعیت مالی'!I35</f>
        <v>9884176</v>
      </c>
      <c r="D16" s="2021">
        <f>B16-C16</f>
        <v>2752157</v>
      </c>
      <c r="E16" s="2020"/>
      <c r="F16" s="2020"/>
      <c r="G16" s="2021">
        <f t="shared" si="0"/>
        <v>2752157</v>
      </c>
      <c r="H16" s="1681"/>
      <c r="I16" s="2022">
        <f>G16</f>
        <v>2752157</v>
      </c>
      <c r="J16" s="2021"/>
      <c r="K16" s="2021"/>
    </row>
    <row r="17" spans="1:11" ht="30.75">
      <c r="A17" s="2023" t="s">
        <v>1814</v>
      </c>
      <c r="B17" s="2020">
        <f>'وضعیت مالی'!G34</f>
        <v>96430308</v>
      </c>
      <c r="C17" s="2020">
        <f>'وضعیت مالی'!I34</f>
        <v>90423804</v>
      </c>
      <c r="D17" s="2021">
        <f t="shared" ref="D17:D24" si="2">B17-C17</f>
        <v>6006504</v>
      </c>
      <c r="E17" s="2020"/>
      <c r="F17" s="2020"/>
      <c r="G17" s="2021">
        <f t="shared" si="0"/>
        <v>6006504</v>
      </c>
      <c r="H17" s="1681"/>
      <c r="I17" s="3893">
        <f>+G17+G18</f>
        <v>16427995</v>
      </c>
      <c r="J17" s="2021"/>
      <c r="K17" s="2021"/>
    </row>
    <row r="18" spans="1:11" ht="30.75">
      <c r="A18" s="2023" t="s">
        <v>1980</v>
      </c>
      <c r="B18" s="2020">
        <f>'وضعیت مالی'!G38</f>
        <v>46734961</v>
      </c>
      <c r="C18" s="2020">
        <f>'وضعیت مالی'!I38</f>
        <v>36313470</v>
      </c>
      <c r="D18" s="2021">
        <f t="shared" si="2"/>
        <v>10421491</v>
      </c>
      <c r="E18" s="2020"/>
      <c r="F18" s="2020"/>
      <c r="G18" s="2021">
        <f>D18+E18-F18</f>
        <v>10421491</v>
      </c>
      <c r="H18" s="1681"/>
      <c r="I18" s="3894"/>
      <c r="J18" s="2021"/>
      <c r="K18" s="2021"/>
    </row>
    <row r="19" spans="1:11" ht="30.75">
      <c r="A19" s="2023" t="s">
        <v>641</v>
      </c>
      <c r="B19" s="2020" t="e">
        <f>'24'!P34+'24'!P40+'24'!#REF!</f>
        <v>#REF!</v>
      </c>
      <c r="C19" s="2020" t="e">
        <f>'24'!R34+'24'!R40+'24'!#REF!</f>
        <v>#REF!</v>
      </c>
      <c r="D19" s="2021" t="e">
        <f>+B19-C19</f>
        <v>#REF!</v>
      </c>
      <c r="E19" s="2020"/>
      <c r="F19" s="2020"/>
      <c r="G19" s="2021" t="e">
        <f t="shared" si="0"/>
        <v>#REF!</v>
      </c>
      <c r="H19" s="1681"/>
      <c r="I19" s="2021" t="e">
        <f>+G19</f>
        <v>#REF!</v>
      </c>
      <c r="J19" s="2021"/>
      <c r="K19" s="2021"/>
    </row>
    <row r="20" spans="1:11" ht="30.75">
      <c r="A20" s="2023" t="s">
        <v>1981</v>
      </c>
      <c r="B20" s="2020">
        <f>-'[1]400'!U487</f>
        <v>0</v>
      </c>
      <c r="C20" s="2020">
        <f>-'[1]400'!V487</f>
        <v>0</v>
      </c>
      <c r="D20" s="2021">
        <f>+B20-C20</f>
        <v>0</v>
      </c>
      <c r="E20" s="2020"/>
      <c r="F20" s="2020"/>
      <c r="G20" s="2021">
        <f t="shared" si="0"/>
        <v>0</v>
      </c>
      <c r="H20" s="1681"/>
      <c r="I20" s="2022">
        <f>+G20</f>
        <v>0</v>
      </c>
      <c r="J20" s="2021"/>
      <c r="K20" s="2021"/>
    </row>
    <row r="21" spans="1:11" ht="30.75">
      <c r="A21" s="2023" t="s">
        <v>1892</v>
      </c>
      <c r="B21" s="2020">
        <f>'[1]وضعیت مالی'!G36</f>
        <v>0</v>
      </c>
      <c r="C21" s="2020">
        <f>'[1]وضعیت مالی'!I36</f>
        <v>0</v>
      </c>
      <c r="D21" s="2021">
        <f>B21-C21</f>
        <v>0</v>
      </c>
      <c r="E21" s="2020"/>
      <c r="F21" s="2020"/>
      <c r="G21" s="2021">
        <f t="shared" si="0"/>
        <v>0</v>
      </c>
      <c r="H21" s="1681"/>
      <c r="I21" s="2021">
        <f>G21</f>
        <v>0</v>
      </c>
      <c r="J21" s="2021"/>
      <c r="K21" s="2021"/>
    </row>
    <row r="22" spans="1:11" ht="30.75">
      <c r="A22" s="2023" t="s">
        <v>1809</v>
      </c>
      <c r="B22" s="2020">
        <f>'وضعیت مالی'!G26</f>
        <v>12000000</v>
      </c>
      <c r="C22" s="2020">
        <f>'وضعیت مالی'!I26</f>
        <v>12000000</v>
      </c>
      <c r="D22" s="2021">
        <f t="shared" si="2"/>
        <v>0</v>
      </c>
      <c r="E22" s="2020"/>
      <c r="F22" s="2020"/>
      <c r="G22" s="2021">
        <f t="shared" si="0"/>
        <v>0</v>
      </c>
      <c r="H22" s="1681"/>
      <c r="I22" s="2021"/>
      <c r="J22" s="2021"/>
      <c r="K22" s="2021"/>
    </row>
    <row r="23" spans="1:11" ht="30.75">
      <c r="A23" s="2023" t="s">
        <v>1810</v>
      </c>
      <c r="B23" s="2026">
        <f>'وضعیت مالی'!G28</f>
        <v>1</v>
      </c>
      <c r="C23" s="2026">
        <f>'وضعیت مالی'!I28</f>
        <v>1</v>
      </c>
      <c r="D23" s="2025">
        <f t="shared" si="2"/>
        <v>0</v>
      </c>
      <c r="E23" s="2027"/>
      <c r="F23" s="2027"/>
      <c r="G23" s="2021">
        <f t="shared" si="0"/>
        <v>0</v>
      </c>
      <c r="H23" s="1683"/>
      <c r="I23" s="2025"/>
      <c r="J23" s="2028"/>
      <c r="K23" s="2028"/>
    </row>
    <row r="24" spans="1:11" ht="30.75">
      <c r="A24" s="2023" t="s">
        <v>1811</v>
      </c>
      <c r="B24" s="2020">
        <f>'وضعیت مالی'!G29</f>
        <v>2736</v>
      </c>
      <c r="C24" s="2020">
        <f>'وضعیت مالی'!I29</f>
        <v>2736</v>
      </c>
      <c r="D24" s="2025">
        <f t="shared" si="2"/>
        <v>0</v>
      </c>
      <c r="E24" s="2027"/>
      <c r="F24" s="2027"/>
      <c r="G24" s="2021">
        <f t="shared" si="0"/>
        <v>0</v>
      </c>
      <c r="H24" s="1683"/>
      <c r="I24" s="2025"/>
      <c r="J24" s="2021"/>
      <c r="K24" s="2021"/>
    </row>
    <row r="25" spans="1:11" ht="30.75">
      <c r="A25" s="2023" t="s">
        <v>1982</v>
      </c>
      <c r="B25" s="2029"/>
      <c r="C25" s="2029"/>
      <c r="D25" s="2025"/>
      <c r="E25" s="2027"/>
      <c r="F25" s="2027"/>
      <c r="G25" s="2021">
        <f t="shared" si="0"/>
        <v>0</v>
      </c>
      <c r="H25" s="1683"/>
      <c r="I25" s="2025">
        <f>G25</f>
        <v>0</v>
      </c>
      <c r="J25" s="2030"/>
      <c r="K25" s="2030"/>
    </row>
    <row r="26" spans="1:11" ht="30.75">
      <c r="A26" s="2023" t="s">
        <v>1983</v>
      </c>
      <c r="B26" s="2029"/>
      <c r="C26" s="2029"/>
      <c r="D26" s="2025"/>
      <c r="E26" s="2027"/>
      <c r="F26" s="2027"/>
      <c r="G26" s="2021">
        <f t="shared" si="0"/>
        <v>0</v>
      </c>
      <c r="H26" s="1683"/>
      <c r="I26" s="2025"/>
      <c r="J26" s="2030"/>
      <c r="K26" s="2030"/>
    </row>
    <row r="27" spans="1:11" ht="30.75">
      <c r="A27" s="2023" t="s">
        <v>1984</v>
      </c>
      <c r="B27" s="2029"/>
      <c r="C27" s="2029"/>
      <c r="D27" s="2025"/>
      <c r="E27" s="2027"/>
      <c r="F27" s="2027"/>
      <c r="G27" s="2021">
        <f t="shared" si="0"/>
        <v>0</v>
      </c>
      <c r="H27" s="1683"/>
      <c r="I27" s="2025"/>
      <c r="J27" s="2030"/>
      <c r="K27" s="2030"/>
    </row>
    <row r="28" spans="1:11" ht="30.75">
      <c r="A28" s="2023" t="s">
        <v>1985</v>
      </c>
      <c r="B28" s="2029"/>
      <c r="C28" s="2029"/>
      <c r="D28" s="2025"/>
      <c r="E28" s="2027"/>
      <c r="F28" s="2027"/>
      <c r="G28" s="2021">
        <f t="shared" si="0"/>
        <v>0</v>
      </c>
      <c r="H28" s="1683"/>
      <c r="I28" s="2025"/>
      <c r="J28" s="2030"/>
      <c r="K28" s="2025">
        <f>+G28</f>
        <v>0</v>
      </c>
    </row>
    <row r="29" spans="1:11" ht="30.75">
      <c r="A29" s="2023" t="s">
        <v>1986</v>
      </c>
      <c r="B29" s="2029"/>
      <c r="C29" s="2029"/>
      <c r="D29" s="2025"/>
      <c r="E29" s="2027"/>
      <c r="F29" s="2027"/>
      <c r="G29" s="2021">
        <f t="shared" si="0"/>
        <v>0</v>
      </c>
      <c r="H29" s="1683"/>
      <c r="I29" s="2025">
        <f>G29</f>
        <v>0</v>
      </c>
      <c r="J29" s="2030"/>
      <c r="K29" s="2030"/>
    </row>
    <row r="30" spans="1:11" ht="31.5" thickBot="1">
      <c r="A30" s="1688"/>
      <c r="B30" s="2031"/>
      <c r="C30" s="2031"/>
      <c r="D30" s="2032" t="e">
        <f>SUM(D7:D29)</f>
        <v>#REF!</v>
      </c>
      <c r="E30" s="2032">
        <f>SUM(E7:E29)</f>
        <v>0</v>
      </c>
      <c r="F30" s="2032">
        <f>SUM(F7:F29)</f>
        <v>0</v>
      </c>
      <c r="G30" s="2032" t="e">
        <f>SUM(G7:G29)</f>
        <v>#REF!</v>
      </c>
      <c r="H30" s="2033"/>
      <c r="I30" s="2032" t="e">
        <f>SUM(I7:I29)</f>
        <v>#REF!</v>
      </c>
      <c r="J30" s="2032">
        <f t="shared" ref="J30:K30" si="3">SUM(J7:J29)</f>
        <v>-1296882</v>
      </c>
      <c r="K30" s="2032">
        <f t="shared" si="3"/>
        <v>0</v>
      </c>
    </row>
    <row r="31" spans="1:11" ht="31.5" thickTop="1">
      <c r="A31" s="1689"/>
      <c r="B31" s="2034"/>
      <c r="C31" s="2034"/>
      <c r="D31" s="2034"/>
      <c r="E31" s="2034"/>
      <c r="F31" s="2034"/>
      <c r="G31" s="2034"/>
      <c r="H31" s="2035"/>
      <c r="I31" s="3916" t="e">
        <f>SUM(I30:K30)</f>
        <v>#REF!</v>
      </c>
      <c r="J31" s="3916"/>
      <c r="K31" s="3916"/>
    </row>
  </sheetData>
  <mergeCells count="26">
    <mergeCell ref="B14:B15"/>
    <mergeCell ref="C14:C15"/>
    <mergeCell ref="D14:D15"/>
    <mergeCell ref="I17:I18"/>
    <mergeCell ref="I31:K31"/>
    <mergeCell ref="B5:B6"/>
    <mergeCell ref="C5:C6"/>
    <mergeCell ref="D5:D6"/>
    <mergeCell ref="E5:F5"/>
    <mergeCell ref="G5:G6"/>
    <mergeCell ref="A14:A15"/>
    <mergeCell ref="B1:F1"/>
    <mergeCell ref="I1:J1"/>
    <mergeCell ref="B2:F2"/>
    <mergeCell ref="I2:J2"/>
    <mergeCell ref="B3:F3"/>
    <mergeCell ref="I3:J3"/>
    <mergeCell ref="I5:K5"/>
    <mergeCell ref="I9:I10"/>
    <mergeCell ref="A12:A13"/>
    <mergeCell ref="B12:B13"/>
    <mergeCell ref="C12:C13"/>
    <mergeCell ref="D12:D13"/>
    <mergeCell ref="G12:G13"/>
    <mergeCell ref="J12:J13"/>
    <mergeCell ref="A5:A6"/>
  </mergeCells>
  <pageMargins left="0.7" right="0.7" top="0.75" bottom="0.75" header="0.3" footer="0.3"/>
  <pageSetup paperSize="9" scale="5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rightToLeft="1" workbookViewId="0">
      <selection activeCell="I6" sqref="I6"/>
    </sheetView>
  </sheetViews>
  <sheetFormatPr defaultRowHeight="14.25"/>
  <sheetData>
    <row r="1" spans="1:14" ht="20.25">
      <c r="A1" s="3204" t="s">
        <v>612</v>
      </c>
      <c r="B1" s="3205"/>
      <c r="C1" s="3205"/>
      <c r="D1" s="3205"/>
      <c r="E1" s="3205"/>
      <c r="F1" s="3206"/>
      <c r="G1" s="3206"/>
      <c r="H1" s="3206"/>
      <c r="I1" s="3206"/>
    </row>
    <row r="2" spans="1:14">
      <c r="A2" s="3207" t="s">
        <v>1489</v>
      </c>
      <c r="B2" s="3208"/>
      <c r="C2" s="3208"/>
      <c r="D2" s="3209"/>
      <c r="E2" s="3209"/>
      <c r="F2" s="3210"/>
      <c r="G2" s="3210"/>
      <c r="H2" s="3210"/>
      <c r="I2" s="3211"/>
    </row>
    <row r="3" spans="1:14">
      <c r="A3" s="3917" t="s">
        <v>2634</v>
      </c>
      <c r="B3" s="3917"/>
      <c r="C3" s="3917"/>
      <c r="D3" s="3209"/>
      <c r="E3" s="3209"/>
      <c r="F3" s="3212"/>
      <c r="G3" s="3210"/>
      <c r="H3" s="3210"/>
      <c r="I3" s="3211"/>
    </row>
    <row r="4" spans="1:14">
      <c r="A4" s="3213" t="s">
        <v>2637</v>
      </c>
      <c r="B4" s="3209"/>
      <c r="C4" s="3209"/>
      <c r="D4" s="3209"/>
      <c r="E4" s="3209"/>
      <c r="F4" s="3210"/>
      <c r="G4" s="3210"/>
      <c r="H4" s="3210"/>
      <c r="I4" s="3210"/>
    </row>
    <row r="5" spans="1:14">
      <c r="A5" s="3214" t="s">
        <v>2638</v>
      </c>
      <c r="B5" s="3215"/>
      <c r="C5" s="3216" t="s">
        <v>2639</v>
      </c>
      <c r="D5" s="3217"/>
      <c r="E5" s="3209"/>
      <c r="F5" s="3210"/>
      <c r="G5" s="3210"/>
      <c r="H5" s="3210"/>
      <c r="I5" s="3210"/>
    </row>
    <row r="6" spans="1:14">
      <c r="A6" s="3207" t="s">
        <v>2636</v>
      </c>
      <c r="B6" s="3208"/>
      <c r="C6" s="3208"/>
      <c r="D6" s="3209"/>
      <c r="E6" s="3209"/>
      <c r="F6" s="3210"/>
      <c r="G6" s="3210"/>
      <c r="H6" s="3210"/>
      <c r="I6" s="3210"/>
    </row>
    <row r="7" spans="1:14">
      <c r="A7" s="3207" t="s">
        <v>2636</v>
      </c>
      <c r="B7" s="3208"/>
      <c r="C7" s="3208"/>
      <c r="D7" s="3209"/>
      <c r="E7" s="3209"/>
      <c r="F7" s="3212"/>
      <c r="G7" s="3210"/>
      <c r="H7" s="3210"/>
      <c r="I7" s="3211"/>
    </row>
    <row r="8" spans="1:14">
      <c r="A8" s="3918" t="s">
        <v>2641</v>
      </c>
      <c r="B8" s="3918"/>
      <c r="C8" s="3271" t="s">
        <v>2641</v>
      </c>
      <c r="D8" s="3219"/>
      <c r="E8" s="3209"/>
      <c r="F8" s="3220"/>
      <c r="G8" s="3210"/>
      <c r="H8" s="3210"/>
      <c r="I8" s="3211"/>
    </row>
    <row r="9" spans="1:14">
      <c r="A9" s="3207" t="s">
        <v>1488</v>
      </c>
      <c r="B9" s="3208"/>
      <c r="C9" s="3208"/>
      <c r="D9" s="3209"/>
      <c r="E9" s="3209"/>
      <c r="F9" s="3210"/>
      <c r="G9" s="3210"/>
      <c r="H9" s="3210"/>
      <c r="I9" s="3211"/>
    </row>
    <row r="10" spans="1:14">
      <c r="A10" s="3918" t="s">
        <v>2642</v>
      </c>
      <c r="B10" s="3918"/>
      <c r="C10" s="3218" t="s">
        <v>2212</v>
      </c>
      <c r="D10" s="3218"/>
      <c r="E10" s="3209"/>
      <c r="F10" s="3210"/>
      <c r="G10" s="3210"/>
      <c r="H10" s="3210"/>
      <c r="I10" s="3211"/>
    </row>
    <row r="11" spans="1:14">
      <c r="A11" s="3213" t="s">
        <v>1408</v>
      </c>
      <c r="B11" s="3209"/>
      <c r="C11" s="3209"/>
      <c r="D11" s="3209"/>
      <c r="E11" s="3209"/>
      <c r="F11" s="3210"/>
      <c r="G11" s="3210"/>
      <c r="H11" s="3210"/>
      <c r="I11" s="3210"/>
    </row>
    <row r="12" spans="1:14" ht="26.25">
      <c r="A12" s="3213"/>
      <c r="B12" s="3209"/>
      <c r="C12" s="813" t="s">
        <v>2008</v>
      </c>
      <c r="D12" s="3209"/>
      <c r="E12" s="3209"/>
      <c r="F12" s="815" t="s">
        <v>2009</v>
      </c>
      <c r="G12" s="814"/>
      <c r="H12" s="814"/>
      <c r="I12" s="814"/>
      <c r="J12" s="814"/>
      <c r="K12" s="814"/>
      <c r="L12" s="814"/>
      <c r="M12" s="814"/>
      <c r="N12" s="814"/>
    </row>
    <row r="13" spans="1:14">
      <c r="A13" s="3213"/>
      <c r="B13" s="3209"/>
      <c r="C13" s="3209"/>
      <c r="D13" s="3209"/>
      <c r="E13" s="3209"/>
      <c r="F13" s="3210"/>
      <c r="G13" s="3210"/>
      <c r="H13" s="3210"/>
      <c r="I13" s="3210"/>
    </row>
    <row r="14" spans="1:14" ht="26.25">
      <c r="A14" s="415" t="s">
        <v>2640</v>
      </c>
      <c r="B14" s="416"/>
      <c r="C14" s="415">
        <v>1399</v>
      </c>
    </row>
    <row r="15" spans="1:14" ht="19.5">
      <c r="A15" s="418" t="s">
        <v>675</v>
      </c>
      <c r="B15" s="418"/>
      <c r="C15" s="418" t="s">
        <v>675</v>
      </c>
    </row>
  </sheetData>
  <mergeCells count="3">
    <mergeCell ref="A3:C3"/>
    <mergeCell ref="A8:B8"/>
    <mergeCell ref="A10:B1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Y563"/>
  <sheetViews>
    <sheetView rightToLeft="1" topLeftCell="D1" zoomScale="78" zoomScaleNormal="78" zoomScaleSheetLayoutView="98" workbookViewId="0">
      <pane ySplit="2" topLeftCell="A530" activePane="bottomLeft" state="frozen"/>
      <selection activeCell="E19" sqref="E19:G19"/>
      <selection pane="bottomLeft" activeCell="E19" sqref="E19:G19"/>
    </sheetView>
  </sheetViews>
  <sheetFormatPr defaultColWidth="1.375" defaultRowHeight="19.5" customHeight="1"/>
  <cols>
    <col min="1" max="1" width="7.625" style="545" bestFit="1" customWidth="1"/>
    <col min="2" max="2" width="8" style="545" bestFit="1" customWidth="1"/>
    <col min="3" max="3" width="5.625" style="528" bestFit="1" customWidth="1"/>
    <col min="4" max="4" width="24" style="1035" customWidth="1"/>
    <col min="5" max="5" width="33.625" style="1030" customWidth="1"/>
    <col min="6" max="6" width="20.625" style="545" hidden="1" customWidth="1"/>
    <col min="7" max="7" width="17.75" style="545" hidden="1" customWidth="1"/>
    <col min="8" max="9" width="19.375" style="545" hidden="1" customWidth="1"/>
    <col min="10" max="10" width="20.25" style="545" hidden="1" customWidth="1"/>
    <col min="11" max="13" width="19.375" style="545" hidden="1" customWidth="1"/>
    <col min="14" max="14" width="17.75" style="545" hidden="1" customWidth="1"/>
    <col min="15" max="15" width="6.25" style="545" hidden="1" customWidth="1"/>
    <col min="16" max="16" width="18.25" style="545" hidden="1" customWidth="1"/>
    <col min="17" max="17" width="20.625" style="1012" bestFit="1" customWidth="1"/>
    <col min="18" max="18" width="20.625" style="545" hidden="1" customWidth="1"/>
    <col min="19" max="19" width="14.25" style="995" customWidth="1"/>
    <col min="20" max="20" width="12.625" style="545" hidden="1" customWidth="1"/>
    <col min="21" max="21" width="20.625" style="545" bestFit="1" customWidth="1"/>
    <col min="22" max="22" width="23" style="545" customWidth="1"/>
    <col min="23" max="23" width="21" style="995" bestFit="1" customWidth="1"/>
    <col min="24" max="24" width="13.875" style="545" bestFit="1" customWidth="1"/>
    <col min="25" max="25" width="12" style="545" customWidth="1"/>
    <col min="26" max="26" width="1.375" style="545" customWidth="1"/>
    <col min="27" max="16384" width="1.375" style="545"/>
  </cols>
  <sheetData>
    <row r="1" spans="1:25" s="556" customFormat="1" ht="18.75" customHeight="1">
      <c r="A1" s="3335" t="s">
        <v>1641</v>
      </c>
      <c r="B1" s="3335" t="s">
        <v>1617</v>
      </c>
      <c r="C1" s="3337" t="s">
        <v>1616</v>
      </c>
      <c r="D1" s="1032"/>
      <c r="E1" s="3339" t="s">
        <v>62</v>
      </c>
      <c r="F1" s="3343" t="s">
        <v>1525</v>
      </c>
      <c r="G1" s="3343" t="s">
        <v>1526</v>
      </c>
      <c r="H1" s="3343" t="s">
        <v>1527</v>
      </c>
      <c r="I1" s="3343" t="s">
        <v>1357</v>
      </c>
      <c r="J1" s="3343" t="s">
        <v>1358</v>
      </c>
      <c r="K1" s="3343" t="s">
        <v>1452</v>
      </c>
      <c r="L1" s="3343" t="s">
        <v>1416</v>
      </c>
      <c r="M1" s="3343" t="s">
        <v>1417</v>
      </c>
      <c r="N1" s="3343" t="s">
        <v>1418</v>
      </c>
      <c r="O1" s="3343" t="s">
        <v>1472</v>
      </c>
      <c r="P1" s="3343" t="s">
        <v>1528</v>
      </c>
      <c r="Q1" s="3376" t="s">
        <v>1678</v>
      </c>
      <c r="R1" s="3347">
        <v>1395</v>
      </c>
      <c r="S1" s="3357">
        <v>1396</v>
      </c>
      <c r="T1" s="3347">
        <v>1395</v>
      </c>
      <c r="U1" s="3353" t="s">
        <v>1450</v>
      </c>
      <c r="V1" s="3355" t="s">
        <v>1451</v>
      </c>
      <c r="W1" s="3357" t="s">
        <v>1679</v>
      </c>
      <c r="X1" s="3347" t="s">
        <v>1717</v>
      </c>
    </row>
    <row r="2" spans="1:25" s="557" customFormat="1" ht="18.75" customHeight="1">
      <c r="A2" s="3336"/>
      <c r="B2" s="3336"/>
      <c r="C2" s="3338"/>
      <c r="D2" s="1033"/>
      <c r="E2" s="3340"/>
      <c r="F2" s="3344"/>
      <c r="G2" s="3344"/>
      <c r="H2" s="3344"/>
      <c r="I2" s="3344"/>
      <c r="J2" s="3344"/>
      <c r="K2" s="3344"/>
      <c r="L2" s="3344"/>
      <c r="M2" s="3344"/>
      <c r="N2" s="3344"/>
      <c r="O2" s="3344"/>
      <c r="P2" s="3344"/>
      <c r="Q2" s="3346"/>
      <c r="R2" s="3348"/>
      <c r="S2" s="3358"/>
      <c r="T2" s="3348"/>
      <c r="U2" s="3354"/>
      <c r="V2" s="3356"/>
      <c r="W2" s="3358"/>
      <c r="X2" s="3348"/>
    </row>
    <row r="3" spans="1:25" ht="27" customHeight="1">
      <c r="A3" s="531"/>
      <c r="B3" s="531">
        <v>1012</v>
      </c>
      <c r="C3" s="529">
        <v>10</v>
      </c>
      <c r="D3" s="1027" t="s">
        <v>425</v>
      </c>
      <c r="E3" s="1028" t="s">
        <v>426</v>
      </c>
      <c r="F3" s="547">
        <v>-10626000</v>
      </c>
      <c r="G3" s="547"/>
      <c r="H3" s="547"/>
      <c r="I3" s="547"/>
      <c r="J3" s="547"/>
      <c r="K3" s="547"/>
      <c r="L3" s="547"/>
      <c r="M3" s="547"/>
      <c r="N3" s="547"/>
      <c r="O3" s="547"/>
      <c r="P3" s="547"/>
      <c r="Q3" s="989">
        <f>SUM(F3:P3)</f>
        <v>-10626000</v>
      </c>
      <c r="R3" s="547">
        <v>-21226000</v>
      </c>
      <c r="S3" s="989">
        <f>ROUND((Q3/1000000),0)+0</f>
        <v>-11</v>
      </c>
      <c r="T3" s="547">
        <f t="shared" ref="S3:T71" si="0">ROUND((R3/1000000),0)</f>
        <v>-21</v>
      </c>
      <c r="U3" s="566"/>
      <c r="V3" s="567"/>
      <c r="W3" s="989">
        <f>Q3+V3-U3</f>
        <v>-10626000</v>
      </c>
      <c r="X3" s="812">
        <f>ROUND((W3/1000000),0)</f>
        <v>-11</v>
      </c>
      <c r="Y3" s="835">
        <f>S3-X3</f>
        <v>0</v>
      </c>
    </row>
    <row r="4" spans="1:25" ht="27" customHeight="1">
      <c r="A4" s="531"/>
      <c r="B4" s="531">
        <v>1009</v>
      </c>
      <c r="C4" s="529">
        <v>10</v>
      </c>
      <c r="D4" s="1027" t="s">
        <v>1201</v>
      </c>
      <c r="E4" s="1028" t="s">
        <v>1081</v>
      </c>
      <c r="F4" s="547">
        <v>17050795</v>
      </c>
      <c r="G4" s="547">
        <v>-2336795</v>
      </c>
      <c r="H4" s="547"/>
      <c r="I4" s="547"/>
      <c r="J4" s="547"/>
      <c r="K4" s="547"/>
      <c r="L4" s="547"/>
      <c r="M4" s="547"/>
      <c r="N4" s="547"/>
      <c r="O4" s="547"/>
      <c r="P4" s="547"/>
      <c r="Q4" s="989">
        <f t="shared" ref="Q4:Q67" si="1">SUM(F4:P4)</f>
        <v>14714000</v>
      </c>
      <c r="R4" s="547">
        <v>77482825</v>
      </c>
      <c r="S4" s="989">
        <f t="shared" si="0"/>
        <v>15</v>
      </c>
      <c r="T4" s="547">
        <f t="shared" si="0"/>
        <v>77</v>
      </c>
      <c r="U4" s="566"/>
      <c r="V4" s="567"/>
      <c r="W4" s="989">
        <f t="shared" ref="W4:W72" si="2">Q4+V4-U4</f>
        <v>14714000</v>
      </c>
      <c r="X4" s="812">
        <f t="shared" ref="X4:X67" si="3">ROUND((W4/1000000),0)</f>
        <v>15</v>
      </c>
      <c r="Y4" s="835">
        <f t="shared" ref="Y4:Y67" si="4">S4-X4</f>
        <v>0</v>
      </c>
    </row>
    <row r="5" spans="1:25" ht="27" customHeight="1">
      <c r="A5" s="531"/>
      <c r="B5" s="531">
        <v>401</v>
      </c>
      <c r="C5" s="529">
        <v>4</v>
      </c>
      <c r="D5" s="1027" t="s">
        <v>824</v>
      </c>
      <c r="E5" s="1028" t="s">
        <v>825</v>
      </c>
      <c r="F5" s="547"/>
      <c r="G5" s="547"/>
      <c r="H5" s="547"/>
      <c r="I5" s="547"/>
      <c r="J5" s="547"/>
      <c r="K5" s="547"/>
      <c r="L5" s="547"/>
      <c r="M5" s="547"/>
      <c r="N5" s="547"/>
      <c r="O5" s="547"/>
      <c r="P5" s="547"/>
      <c r="Q5" s="989">
        <f t="shared" si="1"/>
        <v>0</v>
      </c>
      <c r="R5" s="547">
        <v>0</v>
      </c>
      <c r="S5" s="989">
        <f t="shared" si="0"/>
        <v>0</v>
      </c>
      <c r="T5" s="547">
        <f t="shared" si="0"/>
        <v>0</v>
      </c>
      <c r="U5" s="566"/>
      <c r="V5" s="567"/>
      <c r="W5" s="989">
        <f t="shared" si="2"/>
        <v>0</v>
      </c>
      <c r="X5" s="812">
        <f t="shared" si="3"/>
        <v>0</v>
      </c>
      <c r="Y5" s="835">
        <f t="shared" si="4"/>
        <v>0</v>
      </c>
    </row>
    <row r="6" spans="1:25" ht="27" customHeight="1">
      <c r="A6" s="531"/>
      <c r="B6" s="531">
        <v>1009</v>
      </c>
      <c r="C6" s="529">
        <v>10</v>
      </c>
      <c r="D6" s="1027" t="s">
        <v>607</v>
      </c>
      <c r="E6" s="1028" t="s">
        <v>606</v>
      </c>
      <c r="F6" s="547">
        <v>-9166674</v>
      </c>
      <c r="G6" s="547"/>
      <c r="H6" s="547"/>
      <c r="I6" s="547"/>
      <c r="J6" s="547"/>
      <c r="K6" s="547"/>
      <c r="L6" s="547"/>
      <c r="M6" s="547"/>
      <c r="N6" s="547"/>
      <c r="O6" s="547"/>
      <c r="P6" s="547"/>
      <c r="Q6" s="989">
        <f t="shared" si="1"/>
        <v>-9166674</v>
      </c>
      <c r="R6" s="547">
        <v>-6666672</v>
      </c>
      <c r="S6" s="989">
        <f t="shared" si="0"/>
        <v>-9</v>
      </c>
      <c r="T6" s="547">
        <f t="shared" si="0"/>
        <v>-7</v>
      </c>
      <c r="U6" s="566"/>
      <c r="V6" s="567"/>
      <c r="W6" s="989">
        <f t="shared" si="2"/>
        <v>-9166674</v>
      </c>
      <c r="X6" s="812">
        <f t="shared" si="3"/>
        <v>-9</v>
      </c>
      <c r="Y6" s="835">
        <f t="shared" si="4"/>
        <v>0</v>
      </c>
    </row>
    <row r="7" spans="1:25" ht="27" customHeight="1">
      <c r="A7" s="531"/>
      <c r="B7" s="531">
        <v>1009</v>
      </c>
      <c r="C7" s="529">
        <v>10</v>
      </c>
      <c r="D7" s="1027" t="s">
        <v>872</v>
      </c>
      <c r="E7" s="1028" t="s">
        <v>826</v>
      </c>
      <c r="F7" s="547"/>
      <c r="G7" s="547"/>
      <c r="H7" s="547"/>
      <c r="I7" s="547"/>
      <c r="J7" s="547"/>
      <c r="K7" s="547"/>
      <c r="L7" s="547"/>
      <c r="M7" s="547"/>
      <c r="N7" s="547"/>
      <c r="O7" s="547"/>
      <c r="P7" s="547"/>
      <c r="Q7" s="989">
        <f t="shared" si="1"/>
        <v>0</v>
      </c>
      <c r="R7" s="547">
        <v>0</v>
      </c>
      <c r="S7" s="989">
        <f t="shared" si="0"/>
        <v>0</v>
      </c>
      <c r="T7" s="547">
        <f t="shared" si="0"/>
        <v>0</v>
      </c>
      <c r="U7" s="566"/>
      <c r="V7" s="567"/>
      <c r="W7" s="989">
        <f t="shared" si="2"/>
        <v>0</v>
      </c>
      <c r="X7" s="812">
        <f t="shared" si="3"/>
        <v>0</v>
      </c>
      <c r="Y7" s="835">
        <f t="shared" si="4"/>
        <v>0</v>
      </c>
    </row>
    <row r="8" spans="1:25" ht="27" customHeight="1">
      <c r="A8" s="531"/>
      <c r="B8" s="531">
        <v>1009</v>
      </c>
      <c r="C8" s="529">
        <v>10</v>
      </c>
      <c r="D8" s="1027" t="s">
        <v>427</v>
      </c>
      <c r="E8" s="1029" t="s">
        <v>774</v>
      </c>
      <c r="F8" s="547">
        <v>46284638</v>
      </c>
      <c r="G8" s="547"/>
      <c r="H8" s="547"/>
      <c r="I8" s="547"/>
      <c r="J8" s="547"/>
      <c r="K8" s="547"/>
      <c r="L8" s="547"/>
      <c r="M8" s="547"/>
      <c r="N8" s="547"/>
      <c r="O8" s="547"/>
      <c r="P8" s="547"/>
      <c r="Q8" s="989">
        <f t="shared" si="1"/>
        <v>46284638</v>
      </c>
      <c r="R8" s="547">
        <v>-405078637</v>
      </c>
      <c r="S8" s="989">
        <f t="shared" si="0"/>
        <v>46</v>
      </c>
      <c r="T8" s="547">
        <f t="shared" si="0"/>
        <v>-405</v>
      </c>
      <c r="U8" s="566"/>
      <c r="V8" s="567"/>
      <c r="W8" s="989">
        <f t="shared" si="2"/>
        <v>46284638</v>
      </c>
      <c r="X8" s="812">
        <f t="shared" si="3"/>
        <v>46</v>
      </c>
      <c r="Y8" s="835">
        <f t="shared" si="4"/>
        <v>0</v>
      </c>
    </row>
    <row r="9" spans="1:25" ht="27" customHeight="1">
      <c r="A9" s="531"/>
      <c r="B9" s="531">
        <v>1009</v>
      </c>
      <c r="C9" s="529">
        <v>10</v>
      </c>
      <c r="D9" s="1027" t="s">
        <v>828</v>
      </c>
      <c r="E9" s="1028" t="s">
        <v>829</v>
      </c>
      <c r="F9" s="547"/>
      <c r="G9" s="547"/>
      <c r="H9" s="547"/>
      <c r="I9" s="547"/>
      <c r="J9" s="547"/>
      <c r="K9" s="547"/>
      <c r="L9" s="547"/>
      <c r="M9" s="547"/>
      <c r="N9" s="547"/>
      <c r="O9" s="547"/>
      <c r="P9" s="547"/>
      <c r="Q9" s="989">
        <f t="shared" si="1"/>
        <v>0</v>
      </c>
      <c r="R9" s="547">
        <v>0</v>
      </c>
      <c r="S9" s="989">
        <f t="shared" si="0"/>
        <v>0</v>
      </c>
      <c r="T9" s="547">
        <f t="shared" si="0"/>
        <v>0</v>
      </c>
      <c r="U9" s="566"/>
      <c r="V9" s="567"/>
      <c r="W9" s="989">
        <f t="shared" si="2"/>
        <v>0</v>
      </c>
      <c r="X9" s="812">
        <f t="shared" si="3"/>
        <v>0</v>
      </c>
      <c r="Y9" s="835">
        <f t="shared" si="4"/>
        <v>0</v>
      </c>
    </row>
    <row r="10" spans="1:25" ht="27" customHeight="1">
      <c r="A10" s="531"/>
      <c r="B10" s="531">
        <v>1009</v>
      </c>
      <c r="C10" s="1021">
        <v>10</v>
      </c>
      <c r="D10" s="1027" t="s">
        <v>1419</v>
      </c>
      <c r="E10" s="1028" t="s">
        <v>1263</v>
      </c>
      <c r="F10" s="547">
        <v>-334509475</v>
      </c>
      <c r="G10" s="547"/>
      <c r="H10" s="547"/>
      <c r="I10" s="547"/>
      <c r="J10" s="547"/>
      <c r="K10" s="547"/>
      <c r="L10" s="547"/>
      <c r="M10" s="547"/>
      <c r="N10" s="547"/>
      <c r="O10" s="547"/>
      <c r="P10" s="547"/>
      <c r="Q10" s="989">
        <f t="shared" si="1"/>
        <v>-334509475</v>
      </c>
      <c r="R10" s="547">
        <v>-371671743</v>
      </c>
      <c r="S10" s="989">
        <f>ROUND((Q10/1000000),0)+1</f>
        <v>-334</v>
      </c>
      <c r="T10" s="547">
        <f t="shared" si="0"/>
        <v>-372</v>
      </c>
      <c r="U10" s="566"/>
      <c r="V10" s="567"/>
      <c r="W10" s="989">
        <f t="shared" si="2"/>
        <v>-334509475</v>
      </c>
      <c r="X10" s="812">
        <f t="shared" si="3"/>
        <v>-335</v>
      </c>
      <c r="Y10" s="835">
        <f t="shared" si="4"/>
        <v>1</v>
      </c>
    </row>
    <row r="11" spans="1:25" ht="27" customHeight="1">
      <c r="A11" s="531"/>
      <c r="B11" s="531">
        <v>1009</v>
      </c>
      <c r="C11" s="529">
        <v>10</v>
      </c>
      <c r="D11" s="1027" t="s">
        <v>1166</v>
      </c>
      <c r="E11" s="1028" t="s">
        <v>1167</v>
      </c>
      <c r="F11" s="547">
        <v>-9819952</v>
      </c>
      <c r="G11" s="547"/>
      <c r="H11" s="547">
        <v>4736900</v>
      </c>
      <c r="I11" s="547"/>
      <c r="J11" s="547"/>
      <c r="K11" s="547"/>
      <c r="L11" s="547"/>
      <c r="M11" s="547"/>
      <c r="N11" s="547"/>
      <c r="O11" s="547"/>
      <c r="P11" s="547"/>
      <c r="Q11" s="989">
        <f t="shared" si="1"/>
        <v>-5083052</v>
      </c>
      <c r="R11" s="547">
        <v>-147234080</v>
      </c>
      <c r="S11" s="989">
        <f t="shared" si="0"/>
        <v>-5</v>
      </c>
      <c r="T11" s="547">
        <f t="shared" si="0"/>
        <v>-147</v>
      </c>
      <c r="U11" s="566"/>
      <c r="V11" s="567"/>
      <c r="W11" s="989">
        <f t="shared" si="2"/>
        <v>-5083052</v>
      </c>
      <c r="X11" s="812">
        <f t="shared" si="3"/>
        <v>-5</v>
      </c>
      <c r="Y11" s="835">
        <f t="shared" si="4"/>
        <v>0</v>
      </c>
    </row>
    <row r="12" spans="1:25" ht="27" customHeight="1">
      <c r="A12" s="531"/>
      <c r="B12" s="531">
        <v>1009</v>
      </c>
      <c r="C12" s="529">
        <v>10</v>
      </c>
      <c r="D12" s="1027" t="s">
        <v>1224</v>
      </c>
      <c r="E12" s="1028" t="s">
        <v>1225</v>
      </c>
      <c r="F12" s="547">
        <v>30500000</v>
      </c>
      <c r="G12" s="547"/>
      <c r="H12" s="547"/>
      <c r="I12" s="547"/>
      <c r="J12" s="547"/>
      <c r="K12" s="547"/>
      <c r="L12" s="547"/>
      <c r="M12" s="547"/>
      <c r="N12" s="547"/>
      <c r="O12" s="547"/>
      <c r="P12" s="547"/>
      <c r="Q12" s="989">
        <f t="shared" si="1"/>
        <v>30500000</v>
      </c>
      <c r="R12" s="547">
        <v>56500000</v>
      </c>
      <c r="S12" s="989">
        <f t="shared" si="0"/>
        <v>31</v>
      </c>
      <c r="T12" s="547">
        <f t="shared" si="0"/>
        <v>57</v>
      </c>
      <c r="U12" s="566"/>
      <c r="V12" s="567"/>
      <c r="W12" s="989">
        <f t="shared" si="2"/>
        <v>30500000</v>
      </c>
      <c r="X12" s="812">
        <f t="shared" si="3"/>
        <v>31</v>
      </c>
      <c r="Y12" s="835">
        <f t="shared" si="4"/>
        <v>0</v>
      </c>
    </row>
    <row r="13" spans="1:25" ht="27" customHeight="1">
      <c r="A13" s="531"/>
      <c r="B13" s="531">
        <v>1009</v>
      </c>
      <c r="C13" s="529">
        <v>10</v>
      </c>
      <c r="D13" s="1027" t="s">
        <v>430</v>
      </c>
      <c r="E13" s="1028" t="s">
        <v>431</v>
      </c>
      <c r="F13" s="547">
        <v>-3200000</v>
      </c>
      <c r="G13" s="547"/>
      <c r="H13" s="547"/>
      <c r="I13" s="547"/>
      <c r="J13" s="547"/>
      <c r="K13" s="547"/>
      <c r="L13" s="547"/>
      <c r="M13" s="547"/>
      <c r="N13" s="547"/>
      <c r="O13" s="547"/>
      <c r="P13" s="547"/>
      <c r="Q13" s="989">
        <f t="shared" si="1"/>
        <v>-3200000</v>
      </c>
      <c r="R13" s="547">
        <v>-9140000</v>
      </c>
      <c r="S13" s="989">
        <f t="shared" si="0"/>
        <v>-3</v>
      </c>
      <c r="T13" s="547">
        <f t="shared" si="0"/>
        <v>-9</v>
      </c>
      <c r="U13" s="566"/>
      <c r="V13" s="567"/>
      <c r="W13" s="989">
        <f t="shared" si="2"/>
        <v>-3200000</v>
      </c>
      <c r="X13" s="812">
        <f t="shared" si="3"/>
        <v>-3</v>
      </c>
      <c r="Y13" s="835">
        <f t="shared" si="4"/>
        <v>0</v>
      </c>
    </row>
    <row r="14" spans="1:25" ht="27" customHeight="1">
      <c r="A14" s="531"/>
      <c r="B14" s="531">
        <v>401</v>
      </c>
      <c r="C14" s="529">
        <v>4</v>
      </c>
      <c r="D14" s="1027" t="s">
        <v>432</v>
      </c>
      <c r="E14" s="1028" t="s">
        <v>433</v>
      </c>
      <c r="F14" s="547">
        <v>-419410921</v>
      </c>
      <c r="G14" s="547"/>
      <c r="H14" s="547"/>
      <c r="I14" s="547"/>
      <c r="J14" s="547"/>
      <c r="K14" s="547"/>
      <c r="L14" s="547"/>
      <c r="M14" s="547"/>
      <c r="N14" s="547"/>
      <c r="O14" s="547"/>
      <c r="P14" s="547"/>
      <c r="Q14" s="989">
        <f t="shared" si="1"/>
        <v>-419410921</v>
      </c>
      <c r="R14" s="547">
        <v>176902000</v>
      </c>
      <c r="S14" s="989">
        <f t="shared" si="0"/>
        <v>-419</v>
      </c>
      <c r="T14" s="547">
        <f t="shared" si="0"/>
        <v>177</v>
      </c>
      <c r="U14" s="566"/>
      <c r="V14" s="567"/>
      <c r="W14" s="989">
        <f t="shared" si="2"/>
        <v>-419410921</v>
      </c>
      <c r="X14" s="812">
        <f t="shared" si="3"/>
        <v>-419</v>
      </c>
      <c r="Y14" s="835">
        <f t="shared" si="4"/>
        <v>0</v>
      </c>
    </row>
    <row r="15" spans="1:25" ht="42.75" customHeight="1">
      <c r="A15" s="531"/>
      <c r="B15" s="531">
        <v>401</v>
      </c>
      <c r="C15" s="529">
        <v>4</v>
      </c>
      <c r="D15" s="1027" t="s">
        <v>924</v>
      </c>
      <c r="E15" s="1029" t="s">
        <v>925</v>
      </c>
      <c r="F15" s="547">
        <v>15689580</v>
      </c>
      <c r="G15" s="547"/>
      <c r="H15" s="547"/>
      <c r="I15" s="547"/>
      <c r="J15" s="547"/>
      <c r="K15" s="547"/>
      <c r="L15" s="547"/>
      <c r="M15" s="547"/>
      <c r="N15" s="547"/>
      <c r="O15" s="547"/>
      <c r="P15" s="547"/>
      <c r="Q15" s="989">
        <f t="shared" si="1"/>
        <v>15689580</v>
      </c>
      <c r="R15" s="547">
        <v>0</v>
      </c>
      <c r="S15" s="989">
        <f t="shared" si="0"/>
        <v>16</v>
      </c>
      <c r="T15" s="547">
        <f t="shared" si="0"/>
        <v>0</v>
      </c>
      <c r="U15" s="566"/>
      <c r="V15" s="567"/>
      <c r="W15" s="989">
        <f t="shared" si="2"/>
        <v>15689580</v>
      </c>
      <c r="X15" s="812">
        <f t="shared" si="3"/>
        <v>16</v>
      </c>
      <c r="Y15" s="835">
        <f t="shared" si="4"/>
        <v>0</v>
      </c>
    </row>
    <row r="16" spans="1:25" ht="27" customHeight="1">
      <c r="A16" s="531"/>
      <c r="B16" s="531">
        <v>1009</v>
      </c>
      <c r="C16" s="529">
        <v>10</v>
      </c>
      <c r="D16" s="1027" t="s">
        <v>434</v>
      </c>
      <c r="E16" s="1028" t="s">
        <v>435</v>
      </c>
      <c r="F16" s="547"/>
      <c r="G16" s="547"/>
      <c r="H16" s="547"/>
      <c r="I16" s="547"/>
      <c r="J16" s="547"/>
      <c r="K16" s="547"/>
      <c r="L16" s="547"/>
      <c r="M16" s="547"/>
      <c r="N16" s="547"/>
      <c r="O16" s="547"/>
      <c r="P16" s="547"/>
      <c r="Q16" s="989">
        <f t="shared" si="1"/>
        <v>0</v>
      </c>
      <c r="R16" s="547">
        <v>0</v>
      </c>
      <c r="S16" s="989">
        <f t="shared" si="0"/>
        <v>0</v>
      </c>
      <c r="T16" s="547">
        <f t="shared" si="0"/>
        <v>0</v>
      </c>
      <c r="U16" s="566"/>
      <c r="V16" s="567"/>
      <c r="W16" s="989">
        <f t="shared" si="2"/>
        <v>0</v>
      </c>
      <c r="X16" s="812">
        <f t="shared" si="3"/>
        <v>0</v>
      </c>
      <c r="Y16" s="835">
        <f t="shared" si="4"/>
        <v>0</v>
      </c>
    </row>
    <row r="17" spans="1:25" ht="27" customHeight="1">
      <c r="A17" s="531"/>
      <c r="B17" s="531">
        <v>401</v>
      </c>
      <c r="C17" s="529">
        <v>4</v>
      </c>
      <c r="D17" s="1027" t="s">
        <v>436</v>
      </c>
      <c r="E17" s="1028" t="s">
        <v>437</v>
      </c>
      <c r="F17" s="547"/>
      <c r="G17" s="547"/>
      <c r="H17" s="547"/>
      <c r="I17" s="547"/>
      <c r="J17" s="547"/>
      <c r="K17" s="547"/>
      <c r="L17" s="547"/>
      <c r="M17" s="547"/>
      <c r="N17" s="547"/>
      <c r="O17" s="547"/>
      <c r="P17" s="547"/>
      <c r="Q17" s="989">
        <f t="shared" si="1"/>
        <v>0</v>
      </c>
      <c r="R17" s="547">
        <v>0</v>
      </c>
      <c r="S17" s="989">
        <f t="shared" si="0"/>
        <v>0</v>
      </c>
      <c r="T17" s="547">
        <f t="shared" si="0"/>
        <v>0</v>
      </c>
      <c r="U17" s="566"/>
      <c r="V17" s="567"/>
      <c r="W17" s="989">
        <f t="shared" si="2"/>
        <v>0</v>
      </c>
      <c r="X17" s="812">
        <f t="shared" si="3"/>
        <v>0</v>
      </c>
      <c r="Y17" s="835">
        <f t="shared" si="4"/>
        <v>0</v>
      </c>
    </row>
    <row r="18" spans="1:25" ht="27" customHeight="1">
      <c r="A18" s="531"/>
      <c r="B18" s="531">
        <v>1009</v>
      </c>
      <c r="C18" s="529">
        <v>10</v>
      </c>
      <c r="D18" s="1027" t="s">
        <v>438</v>
      </c>
      <c r="E18" s="1028" t="s">
        <v>176</v>
      </c>
      <c r="F18" s="547">
        <v>-974970106</v>
      </c>
      <c r="G18" s="547"/>
      <c r="H18" s="547"/>
      <c r="I18" s="547"/>
      <c r="J18" s="547"/>
      <c r="K18" s="547"/>
      <c r="L18" s="547"/>
      <c r="M18" s="547"/>
      <c r="N18" s="547"/>
      <c r="O18" s="547"/>
      <c r="P18" s="547"/>
      <c r="Q18" s="989">
        <f t="shared" si="1"/>
        <v>-974970106</v>
      </c>
      <c r="R18" s="547">
        <v>-2507199563</v>
      </c>
      <c r="S18" s="989">
        <f t="shared" si="0"/>
        <v>-975</v>
      </c>
      <c r="T18" s="547">
        <f t="shared" si="0"/>
        <v>-2507</v>
      </c>
      <c r="U18" s="566"/>
      <c r="V18" s="567"/>
      <c r="W18" s="989">
        <f t="shared" si="2"/>
        <v>-974970106</v>
      </c>
      <c r="X18" s="812">
        <f t="shared" si="3"/>
        <v>-975</v>
      </c>
      <c r="Y18" s="835">
        <f t="shared" si="4"/>
        <v>0</v>
      </c>
    </row>
    <row r="19" spans="1:25" ht="27" customHeight="1">
      <c r="A19" s="531"/>
      <c r="B19" s="531">
        <v>401</v>
      </c>
      <c r="C19" s="529">
        <v>4</v>
      </c>
      <c r="D19" s="1027" t="s">
        <v>1168</v>
      </c>
      <c r="E19" s="1028" t="s">
        <v>1101</v>
      </c>
      <c r="F19" s="547"/>
      <c r="G19" s="547"/>
      <c r="H19" s="547"/>
      <c r="I19" s="547"/>
      <c r="J19" s="547"/>
      <c r="K19" s="547"/>
      <c r="L19" s="547"/>
      <c r="M19" s="547"/>
      <c r="N19" s="547"/>
      <c r="O19" s="547"/>
      <c r="P19" s="547"/>
      <c r="Q19" s="989">
        <f t="shared" si="1"/>
        <v>0</v>
      </c>
      <c r="R19" s="547">
        <v>0</v>
      </c>
      <c r="S19" s="989">
        <f t="shared" si="0"/>
        <v>0</v>
      </c>
      <c r="T19" s="547">
        <f t="shared" si="0"/>
        <v>0</v>
      </c>
      <c r="U19" s="566"/>
      <c r="V19" s="567"/>
      <c r="W19" s="989">
        <f t="shared" si="2"/>
        <v>0</v>
      </c>
      <c r="X19" s="812">
        <f t="shared" si="3"/>
        <v>0</v>
      </c>
      <c r="Y19" s="835">
        <f t="shared" si="4"/>
        <v>0</v>
      </c>
    </row>
    <row r="20" spans="1:25" ht="27" customHeight="1">
      <c r="A20" s="531"/>
      <c r="B20" s="531">
        <v>1009</v>
      </c>
      <c r="C20" s="529">
        <v>10</v>
      </c>
      <c r="D20" s="1027" t="s">
        <v>472</v>
      </c>
      <c r="E20" s="1028" t="s">
        <v>473</v>
      </c>
      <c r="F20" s="547">
        <v>-5356056102</v>
      </c>
      <c r="G20" s="547"/>
      <c r="H20" s="547"/>
      <c r="I20" s="547"/>
      <c r="J20" s="547"/>
      <c r="K20" s="547"/>
      <c r="L20" s="547"/>
      <c r="M20" s="547"/>
      <c r="N20" s="547"/>
      <c r="O20" s="547"/>
      <c r="P20" s="547"/>
      <c r="Q20" s="989">
        <f t="shared" si="1"/>
        <v>-5356056102</v>
      </c>
      <c r="R20" s="547">
        <v>-4288114285</v>
      </c>
      <c r="S20" s="989">
        <f t="shared" si="0"/>
        <v>-5356</v>
      </c>
      <c r="T20" s="547">
        <f t="shared" si="0"/>
        <v>-4288</v>
      </c>
      <c r="U20" s="566"/>
      <c r="V20" s="567"/>
      <c r="W20" s="989">
        <f t="shared" si="2"/>
        <v>-5356056102</v>
      </c>
      <c r="X20" s="812">
        <f t="shared" si="3"/>
        <v>-5356</v>
      </c>
      <c r="Y20" s="835">
        <f t="shared" si="4"/>
        <v>0</v>
      </c>
    </row>
    <row r="21" spans="1:25" ht="27" customHeight="1">
      <c r="A21" s="531"/>
      <c r="B21" s="531">
        <v>1009</v>
      </c>
      <c r="C21" s="529">
        <v>10</v>
      </c>
      <c r="D21" s="1027" t="s">
        <v>698</v>
      </c>
      <c r="E21" s="1028" t="s">
        <v>926</v>
      </c>
      <c r="F21" s="547"/>
      <c r="G21" s="547"/>
      <c r="H21" s="547"/>
      <c r="I21" s="547"/>
      <c r="J21" s="547"/>
      <c r="K21" s="547"/>
      <c r="L21" s="547"/>
      <c r="M21" s="547"/>
      <c r="N21" s="547"/>
      <c r="O21" s="547"/>
      <c r="P21" s="547"/>
      <c r="Q21" s="989">
        <f t="shared" si="1"/>
        <v>0</v>
      </c>
      <c r="R21" s="547">
        <v>0</v>
      </c>
      <c r="S21" s="989">
        <f t="shared" si="0"/>
        <v>0</v>
      </c>
      <c r="T21" s="547">
        <f t="shared" si="0"/>
        <v>0</v>
      </c>
      <c r="U21" s="566"/>
      <c r="V21" s="567"/>
      <c r="W21" s="989">
        <f t="shared" si="2"/>
        <v>0</v>
      </c>
      <c r="X21" s="812">
        <f t="shared" si="3"/>
        <v>0</v>
      </c>
      <c r="Y21" s="835">
        <f t="shared" si="4"/>
        <v>0</v>
      </c>
    </row>
    <row r="22" spans="1:25" ht="27" customHeight="1">
      <c r="A22" s="531"/>
      <c r="B22" s="531">
        <v>1009</v>
      </c>
      <c r="C22" s="529">
        <v>10</v>
      </c>
      <c r="D22" s="1027" t="s">
        <v>830</v>
      </c>
      <c r="E22" s="1028" t="s">
        <v>552</v>
      </c>
      <c r="F22" s="547"/>
      <c r="G22" s="547"/>
      <c r="H22" s="547"/>
      <c r="I22" s="547"/>
      <c r="J22" s="547"/>
      <c r="K22" s="547"/>
      <c r="L22" s="547"/>
      <c r="M22" s="547"/>
      <c r="N22" s="547"/>
      <c r="O22" s="547"/>
      <c r="P22" s="547"/>
      <c r="Q22" s="989">
        <f t="shared" si="1"/>
        <v>0</v>
      </c>
      <c r="R22" s="547">
        <v>0</v>
      </c>
      <c r="S22" s="989">
        <f t="shared" si="0"/>
        <v>0</v>
      </c>
      <c r="T22" s="547">
        <f t="shared" si="0"/>
        <v>0</v>
      </c>
      <c r="U22" s="566"/>
      <c r="V22" s="567"/>
      <c r="W22" s="989">
        <f t="shared" si="2"/>
        <v>0</v>
      </c>
      <c r="X22" s="812">
        <f t="shared" si="3"/>
        <v>0</v>
      </c>
      <c r="Y22" s="835">
        <f t="shared" si="4"/>
        <v>0</v>
      </c>
    </row>
    <row r="23" spans="1:25" ht="27" customHeight="1">
      <c r="A23" s="531"/>
      <c r="B23" s="531">
        <v>401</v>
      </c>
      <c r="C23" s="529">
        <v>4</v>
      </c>
      <c r="D23" s="1027" t="s">
        <v>128</v>
      </c>
      <c r="E23" s="1028" t="s">
        <v>1082</v>
      </c>
      <c r="F23" s="547"/>
      <c r="G23" s="547"/>
      <c r="H23" s="547"/>
      <c r="I23" s="547"/>
      <c r="J23" s="547"/>
      <c r="K23" s="547"/>
      <c r="L23" s="547"/>
      <c r="M23" s="547"/>
      <c r="N23" s="547"/>
      <c r="O23" s="547"/>
      <c r="P23" s="547"/>
      <c r="Q23" s="989">
        <f t="shared" si="1"/>
        <v>0</v>
      </c>
      <c r="R23" s="547">
        <v>0</v>
      </c>
      <c r="S23" s="989">
        <f t="shared" si="0"/>
        <v>0</v>
      </c>
      <c r="T23" s="547">
        <f t="shared" si="0"/>
        <v>0</v>
      </c>
      <c r="U23" s="566"/>
      <c r="V23" s="567"/>
      <c r="W23" s="989">
        <f t="shared" si="2"/>
        <v>0</v>
      </c>
      <c r="X23" s="812">
        <f t="shared" si="3"/>
        <v>0</v>
      </c>
      <c r="Y23" s="835">
        <f t="shared" si="4"/>
        <v>0</v>
      </c>
    </row>
    <row r="24" spans="1:25" ht="27" customHeight="1">
      <c r="A24" s="531"/>
      <c r="B24" s="531">
        <v>1002</v>
      </c>
      <c r="C24" s="529">
        <v>10</v>
      </c>
      <c r="D24" s="1027" t="s">
        <v>132</v>
      </c>
      <c r="E24" s="1028" t="s">
        <v>1703</v>
      </c>
      <c r="F24" s="547">
        <v>120676909</v>
      </c>
      <c r="G24" s="547">
        <v>-309981380</v>
      </c>
      <c r="H24" s="547">
        <v>-1088349241</v>
      </c>
      <c r="I24" s="547">
        <v>-4013132242</v>
      </c>
      <c r="J24" s="547"/>
      <c r="K24" s="547"/>
      <c r="L24" s="547"/>
      <c r="M24" s="547"/>
      <c r="N24" s="547"/>
      <c r="O24" s="547"/>
      <c r="P24" s="547"/>
      <c r="Q24" s="989">
        <f t="shared" si="1"/>
        <v>-5290785954</v>
      </c>
      <c r="R24" s="547">
        <v>-4379876299</v>
      </c>
      <c r="S24" s="989">
        <f t="shared" si="0"/>
        <v>-5291</v>
      </c>
      <c r="T24" s="547">
        <f t="shared" si="0"/>
        <v>-4380</v>
      </c>
      <c r="U24" s="566"/>
      <c r="V24" s="567"/>
      <c r="W24" s="989">
        <f t="shared" si="2"/>
        <v>-5290785954</v>
      </c>
      <c r="X24" s="812">
        <f t="shared" si="3"/>
        <v>-5291</v>
      </c>
      <c r="Y24" s="835">
        <f t="shared" si="4"/>
        <v>0</v>
      </c>
    </row>
    <row r="25" spans="1:25" ht="27" customHeight="1">
      <c r="A25" s="531"/>
      <c r="B25" s="531">
        <v>1301</v>
      </c>
      <c r="C25" s="529">
        <v>11</v>
      </c>
      <c r="D25" s="1027" t="s">
        <v>134</v>
      </c>
      <c r="E25" s="1028" t="s">
        <v>135</v>
      </c>
      <c r="F25" s="547">
        <v>-15845254443</v>
      </c>
      <c r="G25" s="547"/>
      <c r="H25" s="547">
        <v>-2935367257</v>
      </c>
      <c r="I25" s="547">
        <v>-1427182223</v>
      </c>
      <c r="J25" s="547"/>
      <c r="K25" s="547"/>
      <c r="L25" s="547"/>
      <c r="M25" s="547"/>
      <c r="N25" s="547"/>
      <c r="O25" s="547"/>
      <c r="P25" s="547"/>
      <c r="Q25" s="989">
        <f t="shared" si="1"/>
        <v>-20207803923</v>
      </c>
      <c r="R25" s="547">
        <v>-17395927842</v>
      </c>
      <c r="S25" s="989">
        <f t="shared" si="0"/>
        <v>-20208</v>
      </c>
      <c r="T25" s="547">
        <f t="shared" si="0"/>
        <v>-17396</v>
      </c>
      <c r="U25" s="566"/>
      <c r="V25" s="567"/>
      <c r="W25" s="989">
        <f t="shared" si="2"/>
        <v>-20207803923</v>
      </c>
      <c r="X25" s="812">
        <f t="shared" si="3"/>
        <v>-20208</v>
      </c>
      <c r="Y25" s="835">
        <f t="shared" si="4"/>
        <v>0</v>
      </c>
    </row>
    <row r="26" spans="1:25" ht="27" customHeight="1">
      <c r="A26" s="531"/>
      <c r="B26" s="531">
        <v>1009</v>
      </c>
      <c r="C26" s="529">
        <v>10</v>
      </c>
      <c r="D26" s="1027" t="s">
        <v>1169</v>
      </c>
      <c r="E26" s="1028" t="s">
        <v>1170</v>
      </c>
      <c r="F26" s="547"/>
      <c r="G26" s="547"/>
      <c r="H26" s="547"/>
      <c r="I26" s="547"/>
      <c r="J26" s="547"/>
      <c r="K26" s="547"/>
      <c r="L26" s="547"/>
      <c r="M26" s="547"/>
      <c r="N26" s="547"/>
      <c r="O26" s="547"/>
      <c r="P26" s="547"/>
      <c r="Q26" s="989">
        <f t="shared" si="1"/>
        <v>0</v>
      </c>
      <c r="R26" s="547">
        <v>-5130000</v>
      </c>
      <c r="S26" s="989">
        <f t="shared" si="0"/>
        <v>0</v>
      </c>
      <c r="T26" s="547">
        <f t="shared" si="0"/>
        <v>-5</v>
      </c>
      <c r="U26" s="566"/>
      <c r="V26" s="567"/>
      <c r="W26" s="989">
        <f t="shared" si="2"/>
        <v>0</v>
      </c>
      <c r="X26" s="812">
        <f t="shared" si="3"/>
        <v>0</v>
      </c>
      <c r="Y26" s="835">
        <f t="shared" si="4"/>
        <v>0</v>
      </c>
    </row>
    <row r="27" spans="1:25" ht="27" customHeight="1">
      <c r="A27" s="531"/>
      <c r="B27" s="531">
        <v>1009</v>
      </c>
      <c r="C27" s="529">
        <v>10</v>
      </c>
      <c r="D27" s="1027" t="s">
        <v>1226</v>
      </c>
      <c r="E27" s="1028" t="s">
        <v>1083</v>
      </c>
      <c r="F27" s="547"/>
      <c r="G27" s="547"/>
      <c r="H27" s="547"/>
      <c r="I27" s="547"/>
      <c r="J27" s="547"/>
      <c r="K27" s="547"/>
      <c r="L27" s="547"/>
      <c r="M27" s="547"/>
      <c r="N27" s="547"/>
      <c r="O27" s="547"/>
      <c r="P27" s="547"/>
      <c r="Q27" s="989">
        <f t="shared" si="1"/>
        <v>0</v>
      </c>
      <c r="R27" s="547">
        <v>0</v>
      </c>
      <c r="S27" s="989">
        <f t="shared" si="0"/>
        <v>0</v>
      </c>
      <c r="T27" s="547">
        <f t="shared" si="0"/>
        <v>0</v>
      </c>
      <c r="U27" s="566"/>
      <c r="V27" s="567"/>
      <c r="W27" s="989">
        <f t="shared" si="2"/>
        <v>0</v>
      </c>
      <c r="X27" s="812">
        <f t="shared" si="3"/>
        <v>0</v>
      </c>
      <c r="Y27" s="835">
        <f t="shared" si="4"/>
        <v>0</v>
      </c>
    </row>
    <row r="28" spans="1:25" ht="27" customHeight="1">
      <c r="A28" s="531"/>
      <c r="B28" s="531">
        <v>1009</v>
      </c>
      <c r="C28" s="529">
        <v>10</v>
      </c>
      <c r="D28" s="1027" t="s">
        <v>136</v>
      </c>
      <c r="E28" s="1028" t="s">
        <v>700</v>
      </c>
      <c r="F28" s="547">
        <v>1032879042</v>
      </c>
      <c r="G28" s="547"/>
      <c r="H28" s="547"/>
      <c r="I28" s="547"/>
      <c r="J28" s="547"/>
      <c r="K28" s="547"/>
      <c r="L28" s="547"/>
      <c r="M28" s="547"/>
      <c r="N28" s="547"/>
      <c r="O28" s="547"/>
      <c r="P28" s="547"/>
      <c r="Q28" s="989">
        <f t="shared" si="1"/>
        <v>1032879042</v>
      </c>
      <c r="R28" s="547">
        <v>317794637</v>
      </c>
      <c r="S28" s="989">
        <f t="shared" si="0"/>
        <v>1033</v>
      </c>
      <c r="T28" s="547">
        <f t="shared" si="0"/>
        <v>318</v>
      </c>
      <c r="U28" s="566"/>
      <c r="V28" s="567"/>
      <c r="W28" s="989">
        <f t="shared" si="2"/>
        <v>1032879042</v>
      </c>
      <c r="X28" s="812">
        <f t="shared" si="3"/>
        <v>1033</v>
      </c>
      <c r="Y28" s="835">
        <f t="shared" si="4"/>
        <v>0</v>
      </c>
    </row>
    <row r="29" spans="1:25" ht="27" customHeight="1">
      <c r="A29" s="531"/>
      <c r="B29" s="531">
        <v>401</v>
      </c>
      <c r="C29" s="529">
        <v>4</v>
      </c>
      <c r="D29" s="1027" t="s">
        <v>927</v>
      </c>
      <c r="E29" s="1028" t="s">
        <v>928</v>
      </c>
      <c r="F29" s="547">
        <v>319301386441</v>
      </c>
      <c r="G29" s="547">
        <v>-49176749261</v>
      </c>
      <c r="H29" s="547">
        <v>-69237624320</v>
      </c>
      <c r="I29" s="547">
        <v>-162968004390</v>
      </c>
      <c r="J29" s="547"/>
      <c r="K29" s="547"/>
      <c r="L29" s="547"/>
      <c r="M29" s="547"/>
      <c r="N29" s="547"/>
      <c r="O29" s="547"/>
      <c r="P29" s="547"/>
      <c r="Q29" s="989">
        <f t="shared" si="1"/>
        <v>37919008470</v>
      </c>
      <c r="R29" s="547">
        <v>0</v>
      </c>
      <c r="S29" s="989">
        <f t="shared" si="0"/>
        <v>37919</v>
      </c>
      <c r="T29" s="547">
        <f t="shared" si="0"/>
        <v>0</v>
      </c>
      <c r="U29" s="566"/>
      <c r="V29" s="567"/>
      <c r="W29" s="989">
        <f t="shared" si="2"/>
        <v>37919008470</v>
      </c>
      <c r="X29" s="812">
        <f t="shared" si="3"/>
        <v>37919</v>
      </c>
      <c r="Y29" s="835">
        <f t="shared" si="4"/>
        <v>0</v>
      </c>
    </row>
    <row r="30" spans="1:25" ht="27" customHeight="1">
      <c r="A30" s="531"/>
      <c r="B30" s="531">
        <v>1009</v>
      </c>
      <c r="C30" s="529">
        <v>10</v>
      </c>
      <c r="D30" s="1027" t="s">
        <v>83</v>
      </c>
      <c r="E30" s="1028" t="s">
        <v>930</v>
      </c>
      <c r="F30" s="547">
        <v>-343723</v>
      </c>
      <c r="G30" s="547">
        <v>4082658</v>
      </c>
      <c r="H30" s="547">
        <v>-8489975</v>
      </c>
      <c r="I30" s="547"/>
      <c r="J30" s="547"/>
      <c r="K30" s="547"/>
      <c r="L30" s="547"/>
      <c r="M30" s="547"/>
      <c r="N30" s="547"/>
      <c r="O30" s="547"/>
      <c r="P30" s="547"/>
      <c r="Q30" s="989">
        <f t="shared" si="1"/>
        <v>-4751040</v>
      </c>
      <c r="R30" s="547">
        <v>0</v>
      </c>
      <c r="S30" s="989">
        <f t="shared" si="0"/>
        <v>-5</v>
      </c>
      <c r="T30" s="547">
        <f t="shared" si="0"/>
        <v>0</v>
      </c>
      <c r="U30" s="566"/>
      <c r="V30" s="567"/>
      <c r="W30" s="989">
        <f t="shared" si="2"/>
        <v>-4751040</v>
      </c>
      <c r="X30" s="812">
        <f t="shared" si="3"/>
        <v>-5</v>
      </c>
      <c r="Y30" s="835">
        <f t="shared" si="4"/>
        <v>0</v>
      </c>
    </row>
    <row r="31" spans="1:25" ht="27" customHeight="1">
      <c r="A31" s="531"/>
      <c r="B31" s="531">
        <v>1009</v>
      </c>
      <c r="C31" s="529">
        <v>10</v>
      </c>
      <c r="D31" s="1027" t="s">
        <v>212</v>
      </c>
      <c r="E31" s="1028" t="s">
        <v>929</v>
      </c>
      <c r="F31" s="547">
        <v>-293988167115</v>
      </c>
      <c r="G31" s="547">
        <v>43396109743</v>
      </c>
      <c r="H31" s="547">
        <v>64711223986</v>
      </c>
      <c r="I31" s="547">
        <v>149706815250</v>
      </c>
      <c r="J31" s="547"/>
      <c r="K31" s="547"/>
      <c r="L31" s="547"/>
      <c r="M31" s="547"/>
      <c r="N31" s="547"/>
      <c r="O31" s="547"/>
      <c r="P31" s="547"/>
      <c r="Q31" s="989">
        <f t="shared" si="1"/>
        <v>-36174018136</v>
      </c>
      <c r="R31" s="547">
        <v>0</v>
      </c>
      <c r="S31" s="989">
        <f t="shared" si="0"/>
        <v>-36174</v>
      </c>
      <c r="T31" s="547">
        <f t="shared" si="0"/>
        <v>0</v>
      </c>
      <c r="U31" s="566"/>
      <c r="V31" s="567"/>
      <c r="W31" s="989">
        <f t="shared" si="2"/>
        <v>-36174018136</v>
      </c>
      <c r="X31" s="812">
        <f t="shared" si="3"/>
        <v>-36174</v>
      </c>
      <c r="Y31" s="835">
        <f t="shared" si="4"/>
        <v>0</v>
      </c>
    </row>
    <row r="32" spans="1:25" ht="27" customHeight="1">
      <c r="A32" s="531"/>
      <c r="B32" s="531"/>
      <c r="C32" s="529" t="s">
        <v>764</v>
      </c>
      <c r="D32" s="1027" t="s">
        <v>931</v>
      </c>
      <c r="E32" s="1028" t="s">
        <v>933</v>
      </c>
      <c r="F32" s="547"/>
      <c r="G32" s="547"/>
      <c r="H32" s="547"/>
      <c r="I32" s="547"/>
      <c r="J32" s="547"/>
      <c r="K32" s="547"/>
      <c r="L32" s="547"/>
      <c r="M32" s="547"/>
      <c r="N32" s="547"/>
      <c r="O32" s="547"/>
      <c r="P32" s="547"/>
      <c r="Q32" s="989">
        <f t="shared" si="1"/>
        <v>0</v>
      </c>
      <c r="R32" s="547">
        <v>0</v>
      </c>
      <c r="S32" s="989">
        <f t="shared" si="0"/>
        <v>0</v>
      </c>
      <c r="T32" s="547">
        <f t="shared" si="0"/>
        <v>0</v>
      </c>
      <c r="U32" s="566"/>
      <c r="V32" s="567"/>
      <c r="W32" s="989">
        <f t="shared" si="2"/>
        <v>0</v>
      </c>
      <c r="X32" s="812">
        <f t="shared" si="3"/>
        <v>0</v>
      </c>
      <c r="Y32" s="835">
        <f t="shared" si="4"/>
        <v>0</v>
      </c>
    </row>
    <row r="33" spans="1:25" ht="27" customHeight="1">
      <c r="A33" s="531"/>
      <c r="B33" s="531"/>
      <c r="C33" s="529" t="s">
        <v>764</v>
      </c>
      <c r="D33" s="1027" t="s">
        <v>1406</v>
      </c>
      <c r="E33" s="1028" t="s">
        <v>934</v>
      </c>
      <c r="F33" s="547"/>
      <c r="G33" s="547"/>
      <c r="H33" s="547"/>
      <c r="I33" s="547"/>
      <c r="J33" s="547"/>
      <c r="K33" s="547"/>
      <c r="L33" s="547"/>
      <c r="M33" s="547"/>
      <c r="N33" s="547"/>
      <c r="O33" s="547"/>
      <c r="P33" s="547"/>
      <c r="Q33" s="989">
        <f t="shared" si="1"/>
        <v>0</v>
      </c>
      <c r="R33" s="547">
        <v>0</v>
      </c>
      <c r="S33" s="989">
        <f t="shared" si="0"/>
        <v>0</v>
      </c>
      <c r="T33" s="547">
        <f t="shared" si="0"/>
        <v>0</v>
      </c>
      <c r="U33" s="566"/>
      <c r="V33" s="567"/>
      <c r="W33" s="989">
        <f t="shared" si="2"/>
        <v>0</v>
      </c>
      <c r="X33" s="812">
        <f t="shared" si="3"/>
        <v>0</v>
      </c>
      <c r="Y33" s="835">
        <f t="shared" si="4"/>
        <v>0</v>
      </c>
    </row>
    <row r="34" spans="1:25" ht="27" customHeight="1">
      <c r="A34" s="531"/>
      <c r="B34" s="531">
        <v>1009</v>
      </c>
      <c r="C34" s="529">
        <v>10</v>
      </c>
      <c r="D34" s="1027" t="s">
        <v>932</v>
      </c>
      <c r="E34" s="1028" t="s">
        <v>935</v>
      </c>
      <c r="F34" s="547">
        <v>-521160</v>
      </c>
      <c r="G34" s="547">
        <v>521160</v>
      </c>
      <c r="H34" s="547"/>
      <c r="I34" s="547"/>
      <c r="J34" s="547"/>
      <c r="K34" s="547"/>
      <c r="L34" s="547"/>
      <c r="M34" s="547"/>
      <c r="N34" s="547"/>
      <c r="O34" s="547"/>
      <c r="P34" s="547"/>
      <c r="Q34" s="989">
        <f t="shared" si="1"/>
        <v>0</v>
      </c>
      <c r="R34" s="547">
        <v>0</v>
      </c>
      <c r="S34" s="989">
        <f t="shared" si="0"/>
        <v>0</v>
      </c>
      <c r="T34" s="547">
        <f t="shared" si="0"/>
        <v>0</v>
      </c>
      <c r="U34" s="566"/>
      <c r="V34" s="567"/>
      <c r="W34" s="989">
        <f t="shared" si="2"/>
        <v>0</v>
      </c>
      <c r="X34" s="812">
        <f t="shared" si="3"/>
        <v>0</v>
      </c>
      <c r="Y34" s="835">
        <f t="shared" si="4"/>
        <v>0</v>
      </c>
    </row>
    <row r="35" spans="1:25" ht="27" customHeight="1">
      <c r="A35" s="531"/>
      <c r="B35" s="531">
        <v>1009</v>
      </c>
      <c r="C35" s="529">
        <v>10</v>
      </c>
      <c r="D35" s="1027" t="s">
        <v>1531</v>
      </c>
      <c r="E35" s="1028" t="s">
        <v>1532</v>
      </c>
      <c r="F35" s="547"/>
      <c r="G35" s="547"/>
      <c r="H35" s="547"/>
      <c r="I35" s="547"/>
      <c r="J35" s="547"/>
      <c r="K35" s="547"/>
      <c r="L35" s="547"/>
      <c r="M35" s="547"/>
      <c r="N35" s="547"/>
      <c r="O35" s="547"/>
      <c r="P35" s="547"/>
      <c r="Q35" s="989">
        <f t="shared" si="1"/>
        <v>0</v>
      </c>
      <c r="R35" s="547">
        <v>0</v>
      </c>
      <c r="S35" s="989">
        <f t="shared" si="0"/>
        <v>0</v>
      </c>
      <c r="T35" s="547">
        <f t="shared" si="0"/>
        <v>0</v>
      </c>
      <c r="U35" s="566"/>
      <c r="V35" s="567"/>
      <c r="W35" s="989">
        <f t="shared" si="2"/>
        <v>0</v>
      </c>
      <c r="X35" s="812">
        <f t="shared" si="3"/>
        <v>0</v>
      </c>
      <c r="Y35" s="835">
        <f t="shared" si="4"/>
        <v>0</v>
      </c>
    </row>
    <row r="36" spans="1:25" ht="27" customHeight="1">
      <c r="A36" s="531"/>
      <c r="B36" s="531">
        <v>1009</v>
      </c>
      <c r="C36" s="529">
        <v>10</v>
      </c>
      <c r="D36" s="1027" t="s">
        <v>1533</v>
      </c>
      <c r="E36" s="1028" t="s">
        <v>1534</v>
      </c>
      <c r="F36" s="547"/>
      <c r="G36" s="547"/>
      <c r="H36" s="547"/>
      <c r="I36" s="547"/>
      <c r="J36" s="547"/>
      <c r="K36" s="547"/>
      <c r="L36" s="547"/>
      <c r="M36" s="547"/>
      <c r="N36" s="547"/>
      <c r="O36" s="547"/>
      <c r="P36" s="547"/>
      <c r="Q36" s="989">
        <f t="shared" si="1"/>
        <v>0</v>
      </c>
      <c r="R36" s="547">
        <v>0</v>
      </c>
      <c r="S36" s="989">
        <f t="shared" si="0"/>
        <v>0</v>
      </c>
      <c r="T36" s="547">
        <f t="shared" si="0"/>
        <v>0</v>
      </c>
      <c r="U36" s="566"/>
      <c r="V36" s="567"/>
      <c r="W36" s="989">
        <f t="shared" si="2"/>
        <v>0</v>
      </c>
      <c r="X36" s="812">
        <f t="shared" si="3"/>
        <v>0</v>
      </c>
      <c r="Y36" s="835">
        <f t="shared" si="4"/>
        <v>0</v>
      </c>
    </row>
    <row r="37" spans="1:25" ht="27" customHeight="1">
      <c r="A37" s="531"/>
      <c r="B37" s="531">
        <v>1009</v>
      </c>
      <c r="C37" s="529">
        <v>10</v>
      </c>
      <c r="D37" s="1027" t="s">
        <v>1227</v>
      </c>
      <c r="E37" s="1028" t="s">
        <v>1228</v>
      </c>
      <c r="F37" s="547"/>
      <c r="G37" s="547"/>
      <c r="H37" s="547"/>
      <c r="I37" s="547"/>
      <c r="J37" s="547"/>
      <c r="K37" s="547"/>
      <c r="L37" s="547"/>
      <c r="M37" s="547"/>
      <c r="N37" s="547"/>
      <c r="O37" s="547"/>
      <c r="P37" s="547"/>
      <c r="Q37" s="989">
        <f t="shared" si="1"/>
        <v>0</v>
      </c>
      <c r="R37" s="547">
        <v>0</v>
      </c>
      <c r="S37" s="989">
        <f t="shared" si="0"/>
        <v>0</v>
      </c>
      <c r="T37" s="547">
        <f t="shared" si="0"/>
        <v>0</v>
      </c>
      <c r="U37" s="566"/>
      <c r="V37" s="567"/>
      <c r="W37" s="989">
        <f t="shared" si="2"/>
        <v>0</v>
      </c>
      <c r="X37" s="812">
        <f t="shared" si="3"/>
        <v>0</v>
      </c>
      <c r="Y37" s="835">
        <f t="shared" si="4"/>
        <v>0</v>
      </c>
    </row>
    <row r="38" spans="1:25" ht="27" customHeight="1">
      <c r="A38" s="531"/>
      <c r="B38" s="531">
        <v>401</v>
      </c>
      <c r="C38" s="529">
        <v>4</v>
      </c>
      <c r="D38" s="1027" t="s">
        <v>1084</v>
      </c>
      <c r="E38" s="1028" t="s">
        <v>1085</v>
      </c>
      <c r="F38" s="547"/>
      <c r="G38" s="547"/>
      <c r="H38" s="547"/>
      <c r="I38" s="547"/>
      <c r="J38" s="547"/>
      <c r="K38" s="547"/>
      <c r="L38" s="547"/>
      <c r="M38" s="547"/>
      <c r="N38" s="547"/>
      <c r="O38" s="547"/>
      <c r="P38" s="547"/>
      <c r="Q38" s="989">
        <f t="shared" si="1"/>
        <v>0</v>
      </c>
      <c r="R38" s="547">
        <v>0</v>
      </c>
      <c r="S38" s="989">
        <f t="shared" si="0"/>
        <v>0</v>
      </c>
      <c r="T38" s="547">
        <f t="shared" si="0"/>
        <v>0</v>
      </c>
      <c r="U38" s="566"/>
      <c r="V38" s="567"/>
      <c r="W38" s="989">
        <f t="shared" si="2"/>
        <v>0</v>
      </c>
      <c r="X38" s="812">
        <f t="shared" si="3"/>
        <v>0</v>
      </c>
      <c r="Y38" s="835">
        <f t="shared" si="4"/>
        <v>0</v>
      </c>
    </row>
    <row r="39" spans="1:25" ht="27" customHeight="1">
      <c r="A39" s="531"/>
      <c r="B39" s="531">
        <v>1009</v>
      </c>
      <c r="C39" s="529">
        <v>10</v>
      </c>
      <c r="D39" s="1027" t="s">
        <v>84</v>
      </c>
      <c r="E39" s="1028" t="s">
        <v>699</v>
      </c>
      <c r="F39" s="547">
        <v>-950036742</v>
      </c>
      <c r="G39" s="547"/>
      <c r="H39" s="547"/>
      <c r="I39" s="547"/>
      <c r="J39" s="547"/>
      <c r="K39" s="547"/>
      <c r="L39" s="547"/>
      <c r="M39" s="547"/>
      <c r="N39" s="547"/>
      <c r="O39" s="547"/>
      <c r="P39" s="547"/>
      <c r="Q39" s="989">
        <f t="shared" si="1"/>
        <v>-950036742</v>
      </c>
      <c r="R39" s="547">
        <v>-2020233382</v>
      </c>
      <c r="S39" s="989">
        <f t="shared" si="0"/>
        <v>-950</v>
      </c>
      <c r="T39" s="547">
        <f t="shared" si="0"/>
        <v>-2020</v>
      </c>
      <c r="U39" s="566"/>
      <c r="V39" s="567"/>
      <c r="W39" s="989">
        <f t="shared" si="2"/>
        <v>-950036742</v>
      </c>
      <c r="X39" s="812">
        <f t="shared" si="3"/>
        <v>-950</v>
      </c>
      <c r="Y39" s="835">
        <f t="shared" si="4"/>
        <v>0</v>
      </c>
    </row>
    <row r="40" spans="1:25" ht="27" customHeight="1">
      <c r="A40" s="531"/>
      <c r="B40" s="531">
        <v>401</v>
      </c>
      <c r="C40" s="529">
        <v>4</v>
      </c>
      <c r="D40" s="1027" t="s">
        <v>873</v>
      </c>
      <c r="E40" s="1028" t="s">
        <v>874</v>
      </c>
      <c r="F40" s="547">
        <v>345518447</v>
      </c>
      <c r="G40" s="547">
        <v>-284358848</v>
      </c>
      <c r="H40" s="547">
        <v>-5642500</v>
      </c>
      <c r="I40" s="547"/>
      <c r="J40" s="547"/>
      <c r="K40" s="547"/>
      <c r="L40" s="547"/>
      <c r="M40" s="547"/>
      <c r="N40" s="547"/>
      <c r="O40" s="547"/>
      <c r="P40" s="547"/>
      <c r="Q40" s="989">
        <f t="shared" si="1"/>
        <v>55517099</v>
      </c>
      <c r="R40" s="547">
        <v>0</v>
      </c>
      <c r="S40" s="989">
        <f t="shared" si="0"/>
        <v>56</v>
      </c>
      <c r="T40" s="547">
        <f t="shared" si="0"/>
        <v>0</v>
      </c>
      <c r="U40" s="566"/>
      <c r="V40" s="567"/>
      <c r="W40" s="989">
        <f t="shared" si="2"/>
        <v>55517099</v>
      </c>
      <c r="X40" s="812">
        <f t="shared" si="3"/>
        <v>56</v>
      </c>
      <c r="Y40" s="835">
        <f t="shared" si="4"/>
        <v>0</v>
      </c>
    </row>
    <row r="41" spans="1:25" ht="27" customHeight="1">
      <c r="A41" s="531"/>
      <c r="B41" s="531">
        <v>1009</v>
      </c>
      <c r="C41" s="1021">
        <v>10</v>
      </c>
      <c r="D41" s="1027" t="s">
        <v>86</v>
      </c>
      <c r="E41" s="1028" t="s">
        <v>875</v>
      </c>
      <c r="F41" s="547">
        <v>-121887651</v>
      </c>
      <c r="G41" s="547">
        <v>109683674</v>
      </c>
      <c r="H41" s="547">
        <v>-26581874</v>
      </c>
      <c r="I41" s="547"/>
      <c r="J41" s="547"/>
      <c r="K41" s="547"/>
      <c r="L41" s="547"/>
      <c r="M41" s="547"/>
      <c r="N41" s="547"/>
      <c r="O41" s="547"/>
      <c r="P41" s="547"/>
      <c r="Q41" s="989">
        <f t="shared" si="1"/>
        <v>-38785851</v>
      </c>
      <c r="R41" s="547">
        <v>0</v>
      </c>
      <c r="S41" s="989">
        <f t="shared" si="0"/>
        <v>-39</v>
      </c>
      <c r="T41" s="547">
        <f t="shared" si="0"/>
        <v>0</v>
      </c>
      <c r="U41" s="566"/>
      <c r="V41" s="567"/>
      <c r="W41" s="989">
        <f t="shared" si="2"/>
        <v>-38785851</v>
      </c>
      <c r="X41" s="812">
        <f t="shared" si="3"/>
        <v>-39</v>
      </c>
      <c r="Y41" s="835">
        <f t="shared" si="4"/>
        <v>0</v>
      </c>
    </row>
    <row r="42" spans="1:25" ht="27" customHeight="1">
      <c r="A42" s="531"/>
      <c r="B42" s="531">
        <v>401</v>
      </c>
      <c r="C42" s="529">
        <v>4</v>
      </c>
      <c r="D42" s="1027" t="s">
        <v>1171</v>
      </c>
      <c r="E42" s="1028" t="s">
        <v>1172</v>
      </c>
      <c r="F42" s="547">
        <v>429134718</v>
      </c>
      <c r="G42" s="547">
        <v>-78877615</v>
      </c>
      <c r="H42" s="547">
        <v>-59026664</v>
      </c>
      <c r="I42" s="547">
        <v>-291230439</v>
      </c>
      <c r="J42" s="547"/>
      <c r="K42" s="547"/>
      <c r="L42" s="547"/>
      <c r="M42" s="547"/>
      <c r="N42" s="547"/>
      <c r="O42" s="547"/>
      <c r="P42" s="547"/>
      <c r="Q42" s="989">
        <f t="shared" si="1"/>
        <v>0</v>
      </c>
      <c r="R42" s="547">
        <v>0</v>
      </c>
      <c r="S42" s="989">
        <f t="shared" si="0"/>
        <v>0</v>
      </c>
      <c r="T42" s="547">
        <f t="shared" si="0"/>
        <v>0</v>
      </c>
      <c r="U42" s="566"/>
      <c r="V42" s="567"/>
      <c r="W42" s="989">
        <f t="shared" si="2"/>
        <v>0</v>
      </c>
      <c r="X42" s="812">
        <f t="shared" si="3"/>
        <v>0</v>
      </c>
      <c r="Y42" s="835">
        <f t="shared" si="4"/>
        <v>0</v>
      </c>
    </row>
    <row r="43" spans="1:25" ht="27" customHeight="1">
      <c r="A43" s="531"/>
      <c r="B43" s="531">
        <v>401</v>
      </c>
      <c r="C43" s="529">
        <v>4</v>
      </c>
      <c r="D43" s="1027" t="s">
        <v>1086</v>
      </c>
      <c r="E43" s="1028" t="s">
        <v>1087</v>
      </c>
      <c r="F43" s="547">
        <v>455576</v>
      </c>
      <c r="G43" s="547"/>
      <c r="H43" s="547"/>
      <c r="I43" s="547"/>
      <c r="J43" s="547"/>
      <c r="K43" s="547"/>
      <c r="L43" s="547"/>
      <c r="M43" s="547"/>
      <c r="N43" s="547"/>
      <c r="O43" s="547"/>
      <c r="P43" s="547"/>
      <c r="Q43" s="989">
        <f t="shared" si="1"/>
        <v>455576</v>
      </c>
      <c r="R43" s="547">
        <v>455576</v>
      </c>
      <c r="S43" s="989">
        <f>ROUND((Q43/1000000),0)+1</f>
        <v>1</v>
      </c>
      <c r="T43" s="547">
        <f t="shared" si="0"/>
        <v>0</v>
      </c>
      <c r="U43" s="566"/>
      <c r="V43" s="567"/>
      <c r="W43" s="989">
        <f t="shared" si="2"/>
        <v>455576</v>
      </c>
      <c r="X43" s="812">
        <f t="shared" si="3"/>
        <v>0</v>
      </c>
      <c r="Y43" s="835">
        <f t="shared" si="4"/>
        <v>1</v>
      </c>
    </row>
    <row r="44" spans="1:25" ht="27" customHeight="1">
      <c r="A44" s="531"/>
      <c r="B44" s="531">
        <v>401</v>
      </c>
      <c r="C44" s="529">
        <v>4</v>
      </c>
      <c r="D44" s="1027" t="s">
        <v>1229</v>
      </c>
      <c r="E44" s="1028" t="s">
        <v>1230</v>
      </c>
      <c r="F44" s="547">
        <v>33406000</v>
      </c>
      <c r="G44" s="547">
        <v>-1130000</v>
      </c>
      <c r="H44" s="547"/>
      <c r="I44" s="547"/>
      <c r="J44" s="547"/>
      <c r="K44" s="547"/>
      <c r="L44" s="547"/>
      <c r="M44" s="547"/>
      <c r="N44" s="547"/>
      <c r="O44" s="547"/>
      <c r="P44" s="547"/>
      <c r="Q44" s="989">
        <f t="shared" si="1"/>
        <v>32276000</v>
      </c>
      <c r="R44" s="547">
        <v>32303000</v>
      </c>
      <c r="S44" s="989">
        <f t="shared" si="0"/>
        <v>32</v>
      </c>
      <c r="T44" s="547">
        <f t="shared" si="0"/>
        <v>32</v>
      </c>
      <c r="U44" s="566"/>
      <c r="V44" s="567"/>
      <c r="W44" s="989">
        <f t="shared" si="2"/>
        <v>32276000</v>
      </c>
      <c r="X44" s="812">
        <f t="shared" si="3"/>
        <v>32</v>
      </c>
      <c r="Y44" s="835">
        <f t="shared" si="4"/>
        <v>0</v>
      </c>
    </row>
    <row r="45" spans="1:25" ht="27" customHeight="1">
      <c r="A45" s="531"/>
      <c r="B45" s="531">
        <v>1009</v>
      </c>
      <c r="C45" s="529">
        <v>10</v>
      </c>
      <c r="D45" s="1027" t="s">
        <v>89</v>
      </c>
      <c r="E45" s="1028" t="s">
        <v>936</v>
      </c>
      <c r="F45" s="547">
        <v>-81245120</v>
      </c>
      <c r="G45" s="547">
        <v>18743040</v>
      </c>
      <c r="H45" s="547">
        <v>9502080</v>
      </c>
      <c r="I45" s="547"/>
      <c r="J45" s="547"/>
      <c r="K45" s="547"/>
      <c r="L45" s="547"/>
      <c r="M45" s="547"/>
      <c r="N45" s="547"/>
      <c r="O45" s="547"/>
      <c r="P45" s="547"/>
      <c r="Q45" s="989">
        <f t="shared" si="1"/>
        <v>-53000000</v>
      </c>
      <c r="R45" s="547">
        <v>0</v>
      </c>
      <c r="S45" s="989">
        <f t="shared" si="0"/>
        <v>-53</v>
      </c>
      <c r="T45" s="547">
        <f t="shared" si="0"/>
        <v>0</v>
      </c>
      <c r="U45" s="566"/>
      <c r="V45" s="567"/>
      <c r="W45" s="989">
        <f t="shared" si="2"/>
        <v>-53000000</v>
      </c>
      <c r="X45" s="812">
        <f t="shared" si="3"/>
        <v>-53</v>
      </c>
      <c r="Y45" s="835">
        <f t="shared" si="4"/>
        <v>0</v>
      </c>
    </row>
    <row r="46" spans="1:25" ht="27" customHeight="1">
      <c r="A46" s="531"/>
      <c r="B46" s="531">
        <v>1009</v>
      </c>
      <c r="C46" s="529">
        <v>10</v>
      </c>
      <c r="D46" s="1027" t="s">
        <v>1535</v>
      </c>
      <c r="E46" s="1028" t="s">
        <v>1536</v>
      </c>
      <c r="F46" s="547"/>
      <c r="G46" s="547"/>
      <c r="H46" s="547"/>
      <c r="I46" s="547"/>
      <c r="J46" s="547"/>
      <c r="K46" s="547"/>
      <c r="L46" s="547"/>
      <c r="M46" s="547"/>
      <c r="N46" s="547"/>
      <c r="O46" s="547"/>
      <c r="P46" s="547"/>
      <c r="Q46" s="989">
        <f t="shared" si="1"/>
        <v>0</v>
      </c>
      <c r="R46" s="547">
        <v>0</v>
      </c>
      <c r="S46" s="989">
        <f t="shared" si="0"/>
        <v>0</v>
      </c>
      <c r="T46" s="547">
        <f t="shared" si="0"/>
        <v>0</v>
      </c>
      <c r="U46" s="566"/>
      <c r="V46" s="567"/>
      <c r="W46" s="989">
        <f t="shared" si="2"/>
        <v>0</v>
      </c>
      <c r="X46" s="812">
        <f t="shared" si="3"/>
        <v>0</v>
      </c>
      <c r="Y46" s="835">
        <f t="shared" si="4"/>
        <v>0</v>
      </c>
    </row>
    <row r="47" spans="1:25" ht="27" customHeight="1">
      <c r="A47" s="531"/>
      <c r="B47" s="531">
        <v>401</v>
      </c>
      <c r="C47" s="529">
        <v>4</v>
      </c>
      <c r="D47" s="1027" t="s">
        <v>1088</v>
      </c>
      <c r="E47" s="1028" t="s">
        <v>956</v>
      </c>
      <c r="F47" s="547">
        <v>56876333</v>
      </c>
      <c r="G47" s="547">
        <v>-51366133</v>
      </c>
      <c r="H47" s="547">
        <v>-5510200</v>
      </c>
      <c r="I47" s="547"/>
      <c r="J47" s="547"/>
      <c r="K47" s="547"/>
      <c r="L47" s="547"/>
      <c r="M47" s="547"/>
      <c r="N47" s="547"/>
      <c r="O47" s="547"/>
      <c r="P47" s="547"/>
      <c r="Q47" s="989">
        <f t="shared" si="1"/>
        <v>0</v>
      </c>
      <c r="R47" s="547">
        <v>0</v>
      </c>
      <c r="S47" s="989">
        <f t="shared" si="0"/>
        <v>0</v>
      </c>
      <c r="T47" s="547">
        <f t="shared" si="0"/>
        <v>0</v>
      </c>
      <c r="U47" s="566"/>
      <c r="V47" s="567"/>
      <c r="W47" s="989">
        <f t="shared" si="2"/>
        <v>0</v>
      </c>
      <c r="X47" s="812">
        <f t="shared" si="3"/>
        <v>0</v>
      </c>
      <c r="Y47" s="835">
        <f t="shared" si="4"/>
        <v>0</v>
      </c>
    </row>
    <row r="48" spans="1:25" ht="27" customHeight="1">
      <c r="A48" s="531"/>
      <c r="B48" s="531">
        <v>401</v>
      </c>
      <c r="C48" s="529">
        <v>4</v>
      </c>
      <c r="D48" s="1027" t="s">
        <v>1537</v>
      </c>
      <c r="E48" s="1028" t="s">
        <v>956</v>
      </c>
      <c r="F48" s="547">
        <v>-7</v>
      </c>
      <c r="G48" s="547"/>
      <c r="H48" s="547"/>
      <c r="I48" s="547"/>
      <c r="J48" s="547"/>
      <c r="K48" s="547"/>
      <c r="L48" s="547"/>
      <c r="M48" s="547"/>
      <c r="N48" s="547"/>
      <c r="O48" s="547"/>
      <c r="P48" s="547"/>
      <c r="Q48" s="989">
        <f t="shared" si="1"/>
        <v>-7</v>
      </c>
      <c r="R48" s="547">
        <v>-20</v>
      </c>
      <c r="S48" s="989">
        <f t="shared" si="0"/>
        <v>0</v>
      </c>
      <c r="T48" s="547">
        <f t="shared" si="0"/>
        <v>0</v>
      </c>
      <c r="U48" s="566"/>
      <c r="V48" s="567"/>
      <c r="W48" s="989">
        <f t="shared" si="2"/>
        <v>-7</v>
      </c>
      <c r="X48" s="812">
        <f t="shared" si="3"/>
        <v>0</v>
      </c>
      <c r="Y48" s="835">
        <f t="shared" si="4"/>
        <v>0</v>
      </c>
    </row>
    <row r="49" spans="1:25" ht="27" customHeight="1">
      <c r="A49" s="531"/>
      <c r="B49" s="531">
        <v>1009</v>
      </c>
      <c r="C49" s="529">
        <v>10</v>
      </c>
      <c r="D49" s="1027" t="s">
        <v>1327</v>
      </c>
      <c r="E49" s="1028" t="s">
        <v>1326</v>
      </c>
      <c r="F49" s="547"/>
      <c r="G49" s="547"/>
      <c r="H49" s="547"/>
      <c r="I49" s="547"/>
      <c r="J49" s="547"/>
      <c r="K49" s="547"/>
      <c r="L49" s="547"/>
      <c r="M49" s="547"/>
      <c r="N49" s="547"/>
      <c r="O49" s="547"/>
      <c r="P49" s="547"/>
      <c r="Q49" s="989">
        <f t="shared" si="1"/>
        <v>0</v>
      </c>
      <c r="R49" s="547">
        <v>0</v>
      </c>
      <c r="S49" s="989">
        <f t="shared" si="0"/>
        <v>0</v>
      </c>
      <c r="T49" s="547">
        <f t="shared" si="0"/>
        <v>0</v>
      </c>
      <c r="U49" s="566"/>
      <c r="V49" s="567"/>
      <c r="W49" s="989">
        <f t="shared" si="2"/>
        <v>0</v>
      </c>
      <c r="X49" s="812">
        <f t="shared" si="3"/>
        <v>0</v>
      </c>
      <c r="Y49" s="835">
        <f t="shared" si="4"/>
        <v>0</v>
      </c>
    </row>
    <row r="50" spans="1:25" ht="27" customHeight="1">
      <c r="A50" s="531"/>
      <c r="B50" s="531">
        <v>401</v>
      </c>
      <c r="C50" s="529">
        <v>4</v>
      </c>
      <c r="D50" s="1027" t="s">
        <v>216</v>
      </c>
      <c r="E50" s="1028" t="s">
        <v>706</v>
      </c>
      <c r="F50" s="547">
        <v>2083332</v>
      </c>
      <c r="G50" s="547"/>
      <c r="H50" s="547"/>
      <c r="I50" s="547"/>
      <c r="J50" s="547"/>
      <c r="K50" s="547"/>
      <c r="L50" s="547"/>
      <c r="M50" s="547"/>
      <c r="N50" s="547"/>
      <c r="O50" s="547"/>
      <c r="P50" s="547"/>
      <c r="Q50" s="989">
        <f t="shared" si="1"/>
        <v>2083332</v>
      </c>
      <c r="R50" s="547">
        <v>115627578</v>
      </c>
      <c r="S50" s="989">
        <f t="shared" si="0"/>
        <v>2</v>
      </c>
      <c r="T50" s="547">
        <f t="shared" si="0"/>
        <v>116</v>
      </c>
      <c r="U50" s="566"/>
      <c r="V50" s="567"/>
      <c r="W50" s="989">
        <f t="shared" si="2"/>
        <v>2083332</v>
      </c>
      <c r="X50" s="812">
        <f t="shared" si="3"/>
        <v>2</v>
      </c>
      <c r="Y50" s="835">
        <f t="shared" si="4"/>
        <v>0</v>
      </c>
    </row>
    <row r="51" spans="1:25" ht="27" customHeight="1">
      <c r="A51" s="531"/>
      <c r="B51" s="531">
        <v>1009</v>
      </c>
      <c r="C51" s="529">
        <v>10</v>
      </c>
      <c r="D51" s="1027" t="s">
        <v>562</v>
      </c>
      <c r="E51" s="1028" t="s">
        <v>705</v>
      </c>
      <c r="F51" s="547"/>
      <c r="G51" s="547"/>
      <c r="H51" s="547"/>
      <c r="I51" s="547"/>
      <c r="J51" s="547"/>
      <c r="K51" s="547"/>
      <c r="L51" s="547"/>
      <c r="M51" s="547"/>
      <c r="N51" s="547"/>
      <c r="O51" s="547"/>
      <c r="P51" s="547"/>
      <c r="Q51" s="989">
        <f t="shared" si="1"/>
        <v>0</v>
      </c>
      <c r="R51" s="547">
        <v>0</v>
      </c>
      <c r="S51" s="989">
        <f t="shared" si="0"/>
        <v>0</v>
      </c>
      <c r="T51" s="547">
        <f t="shared" si="0"/>
        <v>0</v>
      </c>
      <c r="U51" s="566"/>
      <c r="V51" s="567"/>
      <c r="W51" s="989">
        <f t="shared" si="2"/>
        <v>0</v>
      </c>
      <c r="X51" s="812">
        <f t="shared" si="3"/>
        <v>0</v>
      </c>
      <c r="Y51" s="835">
        <f t="shared" si="4"/>
        <v>0</v>
      </c>
    </row>
    <row r="52" spans="1:25" ht="27" customHeight="1">
      <c r="A52" s="531"/>
      <c r="B52" s="531">
        <v>401</v>
      </c>
      <c r="C52" s="529">
        <v>4</v>
      </c>
      <c r="D52" s="1027" t="s">
        <v>564</v>
      </c>
      <c r="E52" s="1028" t="s">
        <v>704</v>
      </c>
      <c r="F52" s="547">
        <v>58502000</v>
      </c>
      <c r="G52" s="547"/>
      <c r="H52" s="547"/>
      <c r="I52" s="547"/>
      <c r="J52" s="547"/>
      <c r="K52" s="547"/>
      <c r="L52" s="547"/>
      <c r="M52" s="547"/>
      <c r="N52" s="547"/>
      <c r="O52" s="547"/>
      <c r="P52" s="547"/>
      <c r="Q52" s="989">
        <f t="shared" si="1"/>
        <v>58502000</v>
      </c>
      <c r="R52" s="547">
        <v>70110879</v>
      </c>
      <c r="S52" s="989">
        <f t="shared" si="0"/>
        <v>59</v>
      </c>
      <c r="T52" s="547">
        <f t="shared" si="0"/>
        <v>70</v>
      </c>
      <c r="U52" s="566"/>
      <c r="V52" s="567"/>
      <c r="W52" s="989">
        <f t="shared" si="2"/>
        <v>58502000</v>
      </c>
      <c r="X52" s="812">
        <f t="shared" si="3"/>
        <v>59</v>
      </c>
      <c r="Y52" s="835">
        <f t="shared" si="4"/>
        <v>0</v>
      </c>
    </row>
    <row r="53" spans="1:25" ht="27" customHeight="1">
      <c r="A53" s="531"/>
      <c r="B53" s="531">
        <v>401</v>
      </c>
      <c r="C53" s="529">
        <v>4</v>
      </c>
      <c r="D53" s="1027" t="s">
        <v>184</v>
      </c>
      <c r="E53" s="1028" t="s">
        <v>831</v>
      </c>
      <c r="F53" s="547">
        <v>133452</v>
      </c>
      <c r="G53" s="547"/>
      <c r="H53" s="547"/>
      <c r="I53" s="547"/>
      <c r="J53" s="547"/>
      <c r="K53" s="547"/>
      <c r="L53" s="547"/>
      <c r="M53" s="547"/>
      <c r="N53" s="547"/>
      <c r="O53" s="547"/>
      <c r="P53" s="547"/>
      <c r="Q53" s="989">
        <f t="shared" si="1"/>
        <v>133452</v>
      </c>
      <c r="R53" s="547">
        <v>933444</v>
      </c>
      <c r="S53" s="989">
        <f t="shared" si="0"/>
        <v>0</v>
      </c>
      <c r="T53" s="547">
        <f t="shared" si="0"/>
        <v>1</v>
      </c>
      <c r="U53" s="566"/>
      <c r="V53" s="567"/>
      <c r="W53" s="989">
        <f t="shared" si="2"/>
        <v>133452</v>
      </c>
      <c r="X53" s="812">
        <f t="shared" si="3"/>
        <v>0</v>
      </c>
      <c r="Y53" s="835">
        <f t="shared" si="4"/>
        <v>0</v>
      </c>
    </row>
    <row r="54" spans="1:25" ht="27" customHeight="1">
      <c r="A54" s="531"/>
      <c r="B54" s="531">
        <v>401</v>
      </c>
      <c r="C54" s="529">
        <v>4</v>
      </c>
      <c r="D54" s="1027" t="s">
        <v>479</v>
      </c>
      <c r="E54" s="1028" t="s">
        <v>701</v>
      </c>
      <c r="F54" s="547">
        <v>184689215</v>
      </c>
      <c r="G54" s="547">
        <v>128232291</v>
      </c>
      <c r="H54" s="547"/>
      <c r="I54" s="547">
        <v>68639490</v>
      </c>
      <c r="J54" s="547"/>
      <c r="K54" s="547"/>
      <c r="L54" s="547"/>
      <c r="M54" s="547"/>
      <c r="N54" s="547"/>
      <c r="O54" s="547"/>
      <c r="P54" s="547"/>
      <c r="Q54" s="989">
        <f t="shared" si="1"/>
        <v>381560996</v>
      </c>
      <c r="R54" s="547">
        <v>225082170</v>
      </c>
      <c r="S54" s="989">
        <f t="shared" si="0"/>
        <v>382</v>
      </c>
      <c r="T54" s="547">
        <f t="shared" si="0"/>
        <v>225</v>
      </c>
      <c r="U54" s="566"/>
      <c r="V54" s="567"/>
      <c r="W54" s="989">
        <f t="shared" si="2"/>
        <v>381560996</v>
      </c>
      <c r="X54" s="812">
        <f t="shared" si="3"/>
        <v>382</v>
      </c>
      <c r="Y54" s="835">
        <f t="shared" si="4"/>
        <v>0</v>
      </c>
    </row>
    <row r="55" spans="1:25" ht="27" customHeight="1">
      <c r="A55" s="531"/>
      <c r="B55" s="531">
        <v>401</v>
      </c>
      <c r="C55" s="529">
        <v>4</v>
      </c>
      <c r="D55" s="1027" t="s">
        <v>480</v>
      </c>
      <c r="E55" s="1028" t="s">
        <v>702</v>
      </c>
      <c r="F55" s="547"/>
      <c r="G55" s="547"/>
      <c r="H55" s="547"/>
      <c r="I55" s="547"/>
      <c r="J55" s="547"/>
      <c r="K55" s="547"/>
      <c r="L55" s="547"/>
      <c r="M55" s="547"/>
      <c r="N55" s="547"/>
      <c r="O55" s="547"/>
      <c r="P55" s="547"/>
      <c r="Q55" s="989">
        <f t="shared" si="1"/>
        <v>0</v>
      </c>
      <c r="R55" s="547">
        <v>0</v>
      </c>
      <c r="S55" s="989">
        <f t="shared" si="0"/>
        <v>0</v>
      </c>
      <c r="T55" s="547">
        <f t="shared" si="0"/>
        <v>0</v>
      </c>
      <c r="U55" s="566"/>
      <c r="V55" s="567"/>
      <c r="W55" s="989">
        <f t="shared" si="2"/>
        <v>0</v>
      </c>
      <c r="X55" s="812">
        <f t="shared" si="3"/>
        <v>0</v>
      </c>
      <c r="Y55" s="835">
        <f t="shared" si="4"/>
        <v>0</v>
      </c>
    </row>
    <row r="56" spans="1:25" ht="27" customHeight="1">
      <c r="A56" s="531"/>
      <c r="B56" s="531">
        <v>1009</v>
      </c>
      <c r="C56" s="529">
        <v>10</v>
      </c>
      <c r="D56" s="1027" t="s">
        <v>481</v>
      </c>
      <c r="E56" s="1028" t="s">
        <v>1328</v>
      </c>
      <c r="F56" s="547"/>
      <c r="G56" s="547"/>
      <c r="H56" s="547"/>
      <c r="I56" s="547"/>
      <c r="J56" s="547"/>
      <c r="K56" s="547"/>
      <c r="L56" s="547"/>
      <c r="M56" s="547"/>
      <c r="N56" s="547"/>
      <c r="O56" s="547"/>
      <c r="P56" s="547"/>
      <c r="Q56" s="989">
        <f t="shared" si="1"/>
        <v>0</v>
      </c>
      <c r="R56" s="547">
        <v>0</v>
      </c>
      <c r="S56" s="989">
        <f t="shared" si="0"/>
        <v>0</v>
      </c>
      <c r="T56" s="547">
        <f t="shared" si="0"/>
        <v>0</v>
      </c>
      <c r="U56" s="566"/>
      <c r="V56" s="567"/>
      <c r="W56" s="989">
        <f t="shared" si="2"/>
        <v>0</v>
      </c>
      <c r="X56" s="812">
        <f t="shared" si="3"/>
        <v>0</v>
      </c>
      <c r="Y56" s="835">
        <f t="shared" si="4"/>
        <v>0</v>
      </c>
    </row>
    <row r="57" spans="1:25" ht="27" customHeight="1">
      <c r="A57" s="531"/>
      <c r="B57" s="531">
        <v>401</v>
      </c>
      <c r="C57" s="529">
        <v>4</v>
      </c>
      <c r="D57" s="1027" t="s">
        <v>220</v>
      </c>
      <c r="E57" s="1028" t="s">
        <v>703</v>
      </c>
      <c r="F57" s="547"/>
      <c r="G57" s="547"/>
      <c r="H57" s="547"/>
      <c r="I57" s="547"/>
      <c r="J57" s="547"/>
      <c r="K57" s="547"/>
      <c r="L57" s="547"/>
      <c r="M57" s="547"/>
      <c r="N57" s="547"/>
      <c r="O57" s="547"/>
      <c r="P57" s="547"/>
      <c r="Q57" s="989">
        <f t="shared" si="1"/>
        <v>0</v>
      </c>
      <c r="R57" s="547">
        <v>0</v>
      </c>
      <c r="S57" s="989">
        <f t="shared" si="0"/>
        <v>0</v>
      </c>
      <c r="T57" s="547">
        <f t="shared" si="0"/>
        <v>0</v>
      </c>
      <c r="U57" s="566"/>
      <c r="V57" s="567"/>
      <c r="W57" s="989">
        <f t="shared" si="2"/>
        <v>0</v>
      </c>
      <c r="X57" s="812">
        <f t="shared" si="3"/>
        <v>0</v>
      </c>
      <c r="Y57" s="835">
        <f t="shared" si="4"/>
        <v>0</v>
      </c>
    </row>
    <row r="58" spans="1:25" ht="27" customHeight="1">
      <c r="A58" s="531"/>
      <c r="B58" s="531">
        <v>420</v>
      </c>
      <c r="C58" s="529">
        <v>4</v>
      </c>
      <c r="D58" s="1027" t="s">
        <v>483</v>
      </c>
      <c r="E58" s="1028" t="s">
        <v>1056</v>
      </c>
      <c r="F58" s="547">
        <v>74005672184</v>
      </c>
      <c r="G58" s="547">
        <v>-2645474794</v>
      </c>
      <c r="H58" s="547">
        <v>-916738364</v>
      </c>
      <c r="I58" s="547"/>
      <c r="J58" s="547"/>
      <c r="K58" s="547"/>
      <c r="L58" s="547"/>
      <c r="M58" s="547"/>
      <c r="N58" s="547"/>
      <c r="O58" s="547"/>
      <c r="P58" s="547"/>
      <c r="Q58" s="989">
        <f t="shared" si="1"/>
        <v>70443459026</v>
      </c>
      <c r="R58" s="547">
        <v>91673787804</v>
      </c>
      <c r="S58" s="989">
        <f t="shared" si="0"/>
        <v>70443</v>
      </c>
      <c r="T58" s="547">
        <f t="shared" si="0"/>
        <v>91674</v>
      </c>
      <c r="U58" s="566"/>
      <c r="V58" s="567"/>
      <c r="W58" s="989">
        <f t="shared" si="2"/>
        <v>70443459026</v>
      </c>
      <c r="X58" s="812">
        <f t="shared" si="3"/>
        <v>70443</v>
      </c>
      <c r="Y58" s="835">
        <f t="shared" si="4"/>
        <v>0</v>
      </c>
    </row>
    <row r="59" spans="1:25" ht="27" customHeight="1">
      <c r="A59" s="531"/>
      <c r="B59" s="531">
        <v>401</v>
      </c>
      <c r="C59" s="529">
        <v>4</v>
      </c>
      <c r="D59" s="1027" t="s">
        <v>483</v>
      </c>
      <c r="E59" s="1028" t="s">
        <v>1158</v>
      </c>
      <c r="F59" s="547"/>
      <c r="G59" s="547"/>
      <c r="H59" s="547"/>
      <c r="I59" s="547"/>
      <c r="J59" s="547"/>
      <c r="K59" s="547"/>
      <c r="L59" s="547"/>
      <c r="M59" s="547"/>
      <c r="N59" s="547"/>
      <c r="O59" s="547"/>
      <c r="P59" s="547"/>
      <c r="Q59" s="989">
        <f t="shared" si="1"/>
        <v>0</v>
      </c>
      <c r="R59" s="547">
        <v>0</v>
      </c>
      <c r="S59" s="989">
        <f t="shared" si="0"/>
        <v>0</v>
      </c>
      <c r="T59" s="547">
        <f t="shared" si="0"/>
        <v>0</v>
      </c>
      <c r="U59" s="566"/>
      <c r="V59" s="567"/>
      <c r="W59" s="989">
        <f t="shared" si="2"/>
        <v>0</v>
      </c>
      <c r="X59" s="812">
        <f t="shared" si="3"/>
        <v>0</v>
      </c>
      <c r="Y59" s="835">
        <f t="shared" si="4"/>
        <v>0</v>
      </c>
    </row>
    <row r="60" spans="1:25" ht="27" customHeight="1">
      <c r="A60" s="531"/>
      <c r="B60" s="531">
        <v>401</v>
      </c>
      <c r="C60" s="529">
        <v>4</v>
      </c>
      <c r="D60" s="1027" t="s">
        <v>0</v>
      </c>
      <c r="E60" s="1028" t="s">
        <v>1089</v>
      </c>
      <c r="F60" s="547">
        <v>25351280</v>
      </c>
      <c r="G60" s="547"/>
      <c r="H60" s="547"/>
      <c r="I60" s="547"/>
      <c r="J60" s="547"/>
      <c r="K60" s="547"/>
      <c r="L60" s="547"/>
      <c r="M60" s="547"/>
      <c r="N60" s="547"/>
      <c r="O60" s="547"/>
      <c r="P60" s="547"/>
      <c r="Q60" s="989">
        <f t="shared" si="1"/>
        <v>25351280</v>
      </c>
      <c r="R60" s="547">
        <v>0</v>
      </c>
      <c r="S60" s="989">
        <f t="shared" si="0"/>
        <v>25</v>
      </c>
      <c r="T60" s="547">
        <f t="shared" si="0"/>
        <v>0</v>
      </c>
      <c r="U60" s="566"/>
      <c r="V60" s="567"/>
      <c r="W60" s="989">
        <f t="shared" si="2"/>
        <v>25351280</v>
      </c>
      <c r="X60" s="812">
        <f t="shared" si="3"/>
        <v>25</v>
      </c>
      <c r="Y60" s="835">
        <f t="shared" si="4"/>
        <v>0</v>
      </c>
    </row>
    <row r="61" spans="1:25" ht="27" customHeight="1">
      <c r="A61" s="531"/>
      <c r="B61" s="531">
        <v>401</v>
      </c>
      <c r="C61" s="529">
        <v>4</v>
      </c>
      <c r="D61" s="1027" t="s">
        <v>224</v>
      </c>
      <c r="E61" s="1028" t="s">
        <v>474</v>
      </c>
      <c r="F61" s="547">
        <v>-19149910</v>
      </c>
      <c r="G61" s="547">
        <v>-5693610</v>
      </c>
      <c r="H61" s="547">
        <v>-5693610</v>
      </c>
      <c r="I61" s="547"/>
      <c r="J61" s="547"/>
      <c r="K61" s="547"/>
      <c r="L61" s="547"/>
      <c r="M61" s="547"/>
      <c r="N61" s="547"/>
      <c r="O61" s="547"/>
      <c r="P61" s="547"/>
      <c r="Q61" s="989">
        <f t="shared" si="1"/>
        <v>-30537130</v>
      </c>
      <c r="R61" s="547">
        <v>685820969</v>
      </c>
      <c r="S61" s="989">
        <f>ROUND((Q61/1000000),0)+1</f>
        <v>-30</v>
      </c>
      <c r="T61" s="547">
        <f t="shared" si="0"/>
        <v>686</v>
      </c>
      <c r="U61" s="566"/>
      <c r="V61" s="567"/>
      <c r="W61" s="989">
        <f t="shared" si="2"/>
        <v>-30537130</v>
      </c>
      <c r="X61" s="812">
        <f t="shared" si="3"/>
        <v>-31</v>
      </c>
      <c r="Y61" s="835">
        <f t="shared" si="4"/>
        <v>1</v>
      </c>
    </row>
    <row r="62" spans="1:25" ht="27" customHeight="1">
      <c r="A62" s="531"/>
      <c r="B62" s="531">
        <v>401</v>
      </c>
      <c r="C62" s="529">
        <v>4</v>
      </c>
      <c r="D62" s="1027" t="s">
        <v>1231</v>
      </c>
      <c r="E62" s="1028" t="s">
        <v>1232</v>
      </c>
      <c r="F62" s="547">
        <v>12290000000</v>
      </c>
      <c r="G62" s="547"/>
      <c r="H62" s="547"/>
      <c r="I62" s="547"/>
      <c r="J62" s="547"/>
      <c r="K62" s="547"/>
      <c r="L62" s="547"/>
      <c r="M62" s="547"/>
      <c r="N62" s="547"/>
      <c r="O62" s="547"/>
      <c r="P62" s="547"/>
      <c r="Q62" s="989">
        <f t="shared" si="1"/>
        <v>12290000000</v>
      </c>
      <c r="R62" s="547">
        <v>8710000000</v>
      </c>
      <c r="S62" s="989">
        <f t="shared" si="0"/>
        <v>12290</v>
      </c>
      <c r="T62" s="547">
        <f t="shared" si="0"/>
        <v>8710</v>
      </c>
      <c r="U62" s="566"/>
      <c r="V62" s="567"/>
      <c r="W62" s="989">
        <f t="shared" si="2"/>
        <v>12290000000</v>
      </c>
      <c r="X62" s="812">
        <f t="shared" si="3"/>
        <v>12290</v>
      </c>
      <c r="Y62" s="835">
        <f t="shared" si="4"/>
        <v>0</v>
      </c>
    </row>
    <row r="63" spans="1:25" ht="27" customHeight="1">
      <c r="A63" s="531"/>
      <c r="B63" s="531">
        <v>401</v>
      </c>
      <c r="C63" s="529">
        <v>4</v>
      </c>
      <c r="D63" s="1027" t="s">
        <v>1565</v>
      </c>
      <c r="E63" s="1028" t="s">
        <v>1566</v>
      </c>
      <c r="F63" s="547">
        <v>5000000</v>
      </c>
      <c r="G63" s="547"/>
      <c r="H63" s="547">
        <v>-5000000</v>
      </c>
      <c r="I63" s="547"/>
      <c r="J63" s="547"/>
      <c r="K63" s="547"/>
      <c r="L63" s="547"/>
      <c r="M63" s="547"/>
      <c r="N63" s="547"/>
      <c r="O63" s="547"/>
      <c r="P63" s="547"/>
      <c r="Q63" s="989">
        <f t="shared" si="1"/>
        <v>0</v>
      </c>
      <c r="R63" s="547">
        <v>0</v>
      </c>
      <c r="S63" s="989">
        <f t="shared" si="0"/>
        <v>0</v>
      </c>
      <c r="T63" s="547">
        <f t="shared" si="0"/>
        <v>0</v>
      </c>
      <c r="U63" s="566"/>
      <c r="V63" s="567"/>
      <c r="W63" s="989">
        <f t="shared" si="2"/>
        <v>0</v>
      </c>
      <c r="X63" s="812">
        <f t="shared" si="3"/>
        <v>0</v>
      </c>
      <c r="Y63" s="835">
        <f t="shared" si="4"/>
        <v>0</v>
      </c>
    </row>
    <row r="64" spans="1:25" ht="27" customHeight="1">
      <c r="A64" s="531"/>
      <c r="B64" s="531">
        <v>401</v>
      </c>
      <c r="C64" s="529">
        <v>4</v>
      </c>
      <c r="D64" s="1027" t="s">
        <v>2</v>
      </c>
      <c r="E64" s="1028" t="s">
        <v>876</v>
      </c>
      <c r="F64" s="547">
        <v>8904157499</v>
      </c>
      <c r="G64" s="547">
        <v>2745474794</v>
      </c>
      <c r="H64" s="547">
        <v>916738364</v>
      </c>
      <c r="I64" s="547"/>
      <c r="J64" s="547"/>
      <c r="K64" s="547"/>
      <c r="L64" s="547"/>
      <c r="M64" s="547"/>
      <c r="N64" s="547"/>
      <c r="O64" s="547"/>
      <c r="P64" s="547"/>
      <c r="Q64" s="989">
        <f t="shared" si="1"/>
        <v>12566370657</v>
      </c>
      <c r="R64" s="547">
        <v>8163527409</v>
      </c>
      <c r="S64" s="989">
        <f t="shared" si="0"/>
        <v>12566</v>
      </c>
      <c r="T64" s="547">
        <f t="shared" si="0"/>
        <v>8164</v>
      </c>
      <c r="U64" s="566"/>
      <c r="V64" s="567"/>
      <c r="W64" s="989">
        <f t="shared" si="2"/>
        <v>12566370657</v>
      </c>
      <c r="X64" s="812">
        <f t="shared" si="3"/>
        <v>12566</v>
      </c>
      <c r="Y64" s="835">
        <f t="shared" si="4"/>
        <v>0</v>
      </c>
    </row>
    <row r="65" spans="1:25" ht="27" customHeight="1">
      <c r="A65" s="531"/>
      <c r="B65" s="531">
        <v>406</v>
      </c>
      <c r="C65" s="529">
        <v>4</v>
      </c>
      <c r="D65" s="1027" t="s">
        <v>476</v>
      </c>
      <c r="E65" s="1028" t="s">
        <v>1173</v>
      </c>
      <c r="F65" s="547"/>
      <c r="G65" s="547"/>
      <c r="H65" s="547"/>
      <c r="I65" s="547"/>
      <c r="J65" s="547">
        <v>-6000000</v>
      </c>
      <c r="K65" s="547"/>
      <c r="L65" s="547"/>
      <c r="M65" s="547"/>
      <c r="N65" s="547"/>
      <c r="O65" s="547"/>
      <c r="P65" s="547"/>
      <c r="Q65" s="989">
        <f t="shared" si="1"/>
        <v>-6000000</v>
      </c>
      <c r="R65" s="547">
        <v>0</v>
      </c>
      <c r="S65" s="989">
        <f t="shared" si="0"/>
        <v>-6</v>
      </c>
      <c r="T65" s="547">
        <f t="shared" si="0"/>
        <v>0</v>
      </c>
      <c r="U65" s="566"/>
      <c r="V65" s="567"/>
      <c r="W65" s="989">
        <f t="shared" si="2"/>
        <v>-6000000</v>
      </c>
      <c r="X65" s="812">
        <f t="shared" si="3"/>
        <v>-6</v>
      </c>
      <c r="Y65" s="835">
        <f t="shared" si="4"/>
        <v>0</v>
      </c>
    </row>
    <row r="66" spans="1:25" ht="27" customHeight="1">
      <c r="A66" s="531"/>
      <c r="B66" s="531">
        <v>1009</v>
      </c>
      <c r="C66" s="529">
        <v>10</v>
      </c>
      <c r="D66" s="1027" t="s">
        <v>3</v>
      </c>
      <c r="E66" s="1028" t="s">
        <v>937</v>
      </c>
      <c r="F66" s="547"/>
      <c r="G66" s="547"/>
      <c r="H66" s="547"/>
      <c r="I66" s="547"/>
      <c r="J66" s="547"/>
      <c r="K66" s="547"/>
      <c r="L66" s="547"/>
      <c r="M66" s="547"/>
      <c r="N66" s="547"/>
      <c r="O66" s="547"/>
      <c r="P66" s="547"/>
      <c r="Q66" s="989">
        <f t="shared" si="1"/>
        <v>0</v>
      </c>
      <c r="R66" s="547">
        <v>0</v>
      </c>
      <c r="S66" s="989">
        <f t="shared" si="0"/>
        <v>0</v>
      </c>
      <c r="T66" s="547">
        <f t="shared" si="0"/>
        <v>0</v>
      </c>
      <c r="U66" s="566"/>
      <c r="V66" s="567"/>
      <c r="W66" s="989">
        <f t="shared" si="2"/>
        <v>0</v>
      </c>
      <c r="X66" s="812">
        <f t="shared" si="3"/>
        <v>0</v>
      </c>
      <c r="Y66" s="835">
        <f t="shared" si="4"/>
        <v>0</v>
      </c>
    </row>
    <row r="67" spans="1:25" ht="27" customHeight="1">
      <c r="A67" s="531"/>
      <c r="B67" s="531">
        <v>1009</v>
      </c>
      <c r="C67" s="529">
        <v>10</v>
      </c>
      <c r="D67" s="1027" t="s">
        <v>4</v>
      </c>
      <c r="E67" s="1028" t="s">
        <v>440</v>
      </c>
      <c r="F67" s="547">
        <v>-212562194663</v>
      </c>
      <c r="G67" s="547"/>
      <c r="H67" s="547"/>
      <c r="I67" s="547"/>
      <c r="J67" s="547"/>
      <c r="K67" s="547"/>
      <c r="L67" s="547"/>
      <c r="M67" s="547"/>
      <c r="N67" s="547"/>
      <c r="O67" s="547"/>
      <c r="P67" s="547"/>
      <c r="Q67" s="989">
        <f t="shared" si="1"/>
        <v>-212562194663</v>
      </c>
      <c r="R67" s="547">
        <v>-88306070502</v>
      </c>
      <c r="S67" s="989">
        <f t="shared" si="0"/>
        <v>-212562</v>
      </c>
      <c r="T67" s="547">
        <f t="shared" si="0"/>
        <v>-88306</v>
      </c>
      <c r="U67" s="566"/>
      <c r="V67" s="567"/>
      <c r="W67" s="989">
        <f t="shared" si="2"/>
        <v>-212562194663</v>
      </c>
      <c r="X67" s="812">
        <f t="shared" si="3"/>
        <v>-212562</v>
      </c>
      <c r="Y67" s="835">
        <f t="shared" si="4"/>
        <v>0</v>
      </c>
    </row>
    <row r="68" spans="1:25" ht="27" customHeight="1">
      <c r="A68" s="531"/>
      <c r="B68" s="531">
        <v>401</v>
      </c>
      <c r="C68" s="529">
        <v>4</v>
      </c>
      <c r="D68" s="1027" t="s">
        <v>441</v>
      </c>
      <c r="E68" s="1028" t="s">
        <v>442</v>
      </c>
      <c r="F68" s="547">
        <v>51111276</v>
      </c>
      <c r="G68" s="547"/>
      <c r="H68" s="547"/>
      <c r="I68" s="547"/>
      <c r="J68" s="547"/>
      <c r="K68" s="547"/>
      <c r="L68" s="547"/>
      <c r="M68" s="547"/>
      <c r="N68" s="547"/>
      <c r="O68" s="547"/>
      <c r="P68" s="547"/>
      <c r="Q68" s="989">
        <f t="shared" ref="Q68:Q131" si="5">SUM(F68:P68)</f>
        <v>51111276</v>
      </c>
      <c r="R68" s="547">
        <v>452785964</v>
      </c>
      <c r="S68" s="989">
        <f t="shared" si="0"/>
        <v>51</v>
      </c>
      <c r="T68" s="547">
        <f t="shared" si="0"/>
        <v>453</v>
      </c>
      <c r="U68" s="566"/>
      <c r="V68" s="567"/>
      <c r="W68" s="989">
        <f t="shared" si="2"/>
        <v>51111276</v>
      </c>
      <c r="X68" s="812">
        <f t="shared" ref="X68:X131" si="6">ROUND((W68/1000000),0)</f>
        <v>51</v>
      </c>
      <c r="Y68" s="835">
        <f t="shared" ref="Y68:Y131" si="7">S68-X68</f>
        <v>0</v>
      </c>
    </row>
    <row r="69" spans="1:25" ht="27" customHeight="1">
      <c r="A69" s="531"/>
      <c r="B69" s="531">
        <v>1009</v>
      </c>
      <c r="C69" s="529">
        <v>10</v>
      </c>
      <c r="D69" s="1027" t="s">
        <v>5</v>
      </c>
      <c r="E69" s="1028" t="s">
        <v>827</v>
      </c>
      <c r="F69" s="547"/>
      <c r="G69" s="547"/>
      <c r="H69" s="547"/>
      <c r="I69" s="547"/>
      <c r="J69" s="547"/>
      <c r="K69" s="547"/>
      <c r="L69" s="547"/>
      <c r="M69" s="547"/>
      <c r="N69" s="547"/>
      <c r="O69" s="547"/>
      <c r="P69" s="547"/>
      <c r="Q69" s="989">
        <f t="shared" si="5"/>
        <v>0</v>
      </c>
      <c r="R69" s="547">
        <v>0</v>
      </c>
      <c r="S69" s="989">
        <f t="shared" si="0"/>
        <v>0</v>
      </c>
      <c r="T69" s="547">
        <f t="shared" si="0"/>
        <v>0</v>
      </c>
      <c r="U69" s="566"/>
      <c r="V69" s="567"/>
      <c r="W69" s="989">
        <f t="shared" si="2"/>
        <v>0</v>
      </c>
      <c r="X69" s="812">
        <f t="shared" si="6"/>
        <v>0</v>
      </c>
      <c r="Y69" s="835">
        <f t="shared" si="7"/>
        <v>0</v>
      </c>
    </row>
    <row r="70" spans="1:25" ht="27" customHeight="1">
      <c r="A70" s="531"/>
      <c r="B70" s="531">
        <v>406</v>
      </c>
      <c r="C70" s="529">
        <v>4</v>
      </c>
      <c r="D70" s="1027" t="s">
        <v>1329</v>
      </c>
      <c r="E70" s="1028" t="s">
        <v>1570</v>
      </c>
      <c r="F70" s="547">
        <v>205992538675</v>
      </c>
      <c r="G70" s="547"/>
      <c r="H70" s="547"/>
      <c r="I70" s="547"/>
      <c r="J70" s="547"/>
      <c r="K70" s="547"/>
      <c r="L70" s="547"/>
      <c r="M70" s="547"/>
      <c r="N70" s="547"/>
      <c r="O70" s="547"/>
      <c r="P70" s="547"/>
      <c r="Q70" s="989">
        <f t="shared" si="5"/>
        <v>205992538675</v>
      </c>
      <c r="R70" s="547">
        <v>90227951830</v>
      </c>
      <c r="S70" s="989">
        <f t="shared" si="0"/>
        <v>205993</v>
      </c>
      <c r="T70" s="547">
        <f t="shared" si="0"/>
        <v>90228</v>
      </c>
      <c r="U70" s="566"/>
      <c r="V70" s="567"/>
      <c r="W70" s="989">
        <f t="shared" si="2"/>
        <v>205992538675</v>
      </c>
      <c r="X70" s="812">
        <f t="shared" si="6"/>
        <v>205993</v>
      </c>
      <c r="Y70" s="835">
        <f t="shared" si="7"/>
        <v>0</v>
      </c>
    </row>
    <row r="71" spans="1:25" ht="27" customHeight="1">
      <c r="A71" s="531"/>
      <c r="B71" s="531">
        <v>1009</v>
      </c>
      <c r="C71" s="529">
        <v>10</v>
      </c>
      <c r="D71" s="1027" t="s">
        <v>877</v>
      </c>
      <c r="E71" s="1028" t="s">
        <v>878</v>
      </c>
      <c r="F71" s="547">
        <v>-87537267</v>
      </c>
      <c r="G71" s="547">
        <v>18442857</v>
      </c>
      <c r="H71" s="547">
        <v>3492500</v>
      </c>
      <c r="I71" s="547"/>
      <c r="J71" s="547"/>
      <c r="K71" s="547"/>
      <c r="L71" s="547"/>
      <c r="M71" s="547"/>
      <c r="N71" s="547"/>
      <c r="O71" s="547"/>
      <c r="P71" s="547"/>
      <c r="Q71" s="989">
        <f t="shared" si="5"/>
        <v>-65601910</v>
      </c>
      <c r="R71" s="547">
        <v>0</v>
      </c>
      <c r="S71" s="989">
        <f t="shared" si="0"/>
        <v>-66</v>
      </c>
      <c r="T71" s="547">
        <f t="shared" si="0"/>
        <v>0</v>
      </c>
      <c r="U71" s="566"/>
      <c r="V71" s="567"/>
      <c r="W71" s="989">
        <f t="shared" si="2"/>
        <v>-65601910</v>
      </c>
      <c r="X71" s="812">
        <f t="shared" si="6"/>
        <v>-66</v>
      </c>
      <c r="Y71" s="835">
        <f t="shared" si="7"/>
        <v>0</v>
      </c>
    </row>
    <row r="72" spans="1:25" ht="27" customHeight="1">
      <c r="A72" s="531"/>
      <c r="B72" s="531">
        <v>1009</v>
      </c>
      <c r="C72" s="529">
        <v>10</v>
      </c>
      <c r="D72" s="1027" t="s">
        <v>1233</v>
      </c>
      <c r="E72" s="1028" t="s">
        <v>1234</v>
      </c>
      <c r="F72" s="547">
        <v>19340000</v>
      </c>
      <c r="G72" s="547">
        <v>-12300000</v>
      </c>
      <c r="H72" s="547"/>
      <c r="I72" s="547"/>
      <c r="J72" s="547"/>
      <c r="K72" s="547"/>
      <c r="L72" s="547"/>
      <c r="M72" s="547"/>
      <c r="N72" s="547"/>
      <c r="O72" s="547"/>
      <c r="P72" s="547"/>
      <c r="Q72" s="989">
        <f t="shared" si="5"/>
        <v>7040000</v>
      </c>
      <c r="R72" s="547">
        <v>-28504267</v>
      </c>
      <c r="S72" s="989">
        <f t="shared" ref="S72:T135" si="8">ROUND((Q72/1000000),0)</f>
        <v>7</v>
      </c>
      <c r="T72" s="547">
        <f t="shared" si="8"/>
        <v>-29</v>
      </c>
      <c r="U72" s="566"/>
      <c r="V72" s="567"/>
      <c r="W72" s="989">
        <f t="shared" si="2"/>
        <v>7040000</v>
      </c>
      <c r="X72" s="812">
        <f t="shared" si="6"/>
        <v>7</v>
      </c>
      <c r="Y72" s="835">
        <f t="shared" si="7"/>
        <v>0</v>
      </c>
    </row>
    <row r="73" spans="1:25" ht="27" customHeight="1">
      <c r="A73" s="531"/>
      <c r="B73" s="531">
        <v>401</v>
      </c>
      <c r="C73" s="529">
        <v>4</v>
      </c>
      <c r="D73" s="1027" t="s">
        <v>1174</v>
      </c>
      <c r="E73" s="1028" t="s">
        <v>1167</v>
      </c>
      <c r="F73" s="547">
        <v>-84717985</v>
      </c>
      <c r="G73" s="547"/>
      <c r="H73" s="547"/>
      <c r="I73" s="547"/>
      <c r="J73" s="547"/>
      <c r="K73" s="547"/>
      <c r="L73" s="547"/>
      <c r="M73" s="547"/>
      <c r="N73" s="547"/>
      <c r="O73" s="547"/>
      <c r="P73" s="547"/>
      <c r="Q73" s="989">
        <f t="shared" si="5"/>
        <v>-84717985</v>
      </c>
      <c r="R73" s="547">
        <v>-162643378</v>
      </c>
      <c r="S73" s="989">
        <f t="shared" si="8"/>
        <v>-85</v>
      </c>
      <c r="T73" s="547">
        <f t="shared" si="8"/>
        <v>-163</v>
      </c>
      <c r="U73" s="566"/>
      <c r="V73" s="567"/>
      <c r="W73" s="989">
        <f t="shared" ref="W73:W136" si="9">Q73+V73-U73</f>
        <v>-84717985</v>
      </c>
      <c r="X73" s="812">
        <f t="shared" si="6"/>
        <v>-85</v>
      </c>
      <c r="Y73" s="835">
        <f t="shared" si="7"/>
        <v>0</v>
      </c>
    </row>
    <row r="74" spans="1:25" ht="27" customHeight="1">
      <c r="A74" s="531"/>
      <c r="B74" s="531">
        <v>1009</v>
      </c>
      <c r="C74" s="529">
        <v>10</v>
      </c>
      <c r="D74" s="1027" t="s">
        <v>832</v>
      </c>
      <c r="E74" s="1028" t="s">
        <v>833</v>
      </c>
      <c r="F74" s="547"/>
      <c r="G74" s="547"/>
      <c r="H74" s="547"/>
      <c r="I74" s="547"/>
      <c r="J74" s="547"/>
      <c r="K74" s="547"/>
      <c r="L74" s="547"/>
      <c r="M74" s="547"/>
      <c r="N74" s="547"/>
      <c r="O74" s="547"/>
      <c r="P74" s="547"/>
      <c r="Q74" s="989">
        <f t="shared" si="5"/>
        <v>0</v>
      </c>
      <c r="R74" s="547">
        <v>0</v>
      </c>
      <c r="S74" s="989">
        <f t="shared" si="8"/>
        <v>0</v>
      </c>
      <c r="T74" s="547">
        <f t="shared" si="8"/>
        <v>0</v>
      </c>
      <c r="U74" s="566"/>
      <c r="V74" s="567"/>
      <c r="W74" s="989">
        <f t="shared" si="9"/>
        <v>0</v>
      </c>
      <c r="X74" s="812">
        <f t="shared" si="6"/>
        <v>0</v>
      </c>
      <c r="Y74" s="835">
        <f t="shared" si="7"/>
        <v>0</v>
      </c>
    </row>
    <row r="75" spans="1:25" ht="27" customHeight="1">
      <c r="A75" s="531"/>
      <c r="B75" s="531">
        <v>401</v>
      </c>
      <c r="C75" s="529">
        <v>4</v>
      </c>
      <c r="D75" s="1027" t="s">
        <v>834</v>
      </c>
      <c r="E75" s="1028" t="s">
        <v>835</v>
      </c>
      <c r="F75" s="547">
        <v>39236110973</v>
      </c>
      <c r="G75" s="547">
        <v>-860663344</v>
      </c>
      <c r="H75" s="547"/>
      <c r="I75" s="547"/>
      <c r="J75" s="547"/>
      <c r="K75" s="547"/>
      <c r="L75" s="547"/>
      <c r="M75" s="547"/>
      <c r="N75" s="547"/>
      <c r="O75" s="547"/>
      <c r="P75" s="547"/>
      <c r="Q75" s="989">
        <f t="shared" si="5"/>
        <v>38375447629</v>
      </c>
      <c r="R75" s="547">
        <v>9959642487</v>
      </c>
      <c r="S75" s="989">
        <f t="shared" si="8"/>
        <v>38375</v>
      </c>
      <c r="T75" s="547">
        <f t="shared" si="8"/>
        <v>9960</v>
      </c>
      <c r="U75" s="566"/>
      <c r="V75" s="567"/>
      <c r="W75" s="989">
        <f t="shared" si="9"/>
        <v>38375447629</v>
      </c>
      <c r="X75" s="812">
        <f t="shared" si="6"/>
        <v>38375</v>
      </c>
      <c r="Y75" s="835">
        <f t="shared" si="7"/>
        <v>0</v>
      </c>
    </row>
    <row r="76" spans="1:25" ht="27" customHeight="1">
      <c r="A76" s="531"/>
      <c r="B76" s="531">
        <v>401</v>
      </c>
      <c r="C76" s="529">
        <v>4</v>
      </c>
      <c r="D76" s="1027" t="s">
        <v>6</v>
      </c>
      <c r="E76" s="1028" t="s">
        <v>204</v>
      </c>
      <c r="F76" s="547">
        <v>8120799810</v>
      </c>
      <c r="G76" s="547">
        <v>-575340603</v>
      </c>
      <c r="H76" s="547">
        <v>298931426</v>
      </c>
      <c r="I76" s="547"/>
      <c r="J76" s="547"/>
      <c r="K76" s="547"/>
      <c r="L76" s="547"/>
      <c r="M76" s="547"/>
      <c r="N76" s="547"/>
      <c r="O76" s="547"/>
      <c r="P76" s="547"/>
      <c r="Q76" s="989">
        <f t="shared" si="5"/>
        <v>7844390633</v>
      </c>
      <c r="R76" s="547">
        <v>8614607801</v>
      </c>
      <c r="S76" s="989">
        <f t="shared" si="8"/>
        <v>7844</v>
      </c>
      <c r="T76" s="547">
        <f t="shared" si="8"/>
        <v>8615</v>
      </c>
      <c r="U76" s="566"/>
      <c r="V76" s="567"/>
      <c r="W76" s="989">
        <f t="shared" si="9"/>
        <v>7844390633</v>
      </c>
      <c r="X76" s="812">
        <f t="shared" si="6"/>
        <v>7844</v>
      </c>
      <c r="Y76" s="835">
        <f t="shared" si="7"/>
        <v>0</v>
      </c>
    </row>
    <row r="77" spans="1:25" ht="27" customHeight="1">
      <c r="A77" s="531"/>
      <c r="B77" s="531">
        <v>1002</v>
      </c>
      <c r="C77" s="529">
        <v>10</v>
      </c>
      <c r="D77" s="1027" t="s">
        <v>938</v>
      </c>
      <c r="E77" s="1028" t="s">
        <v>939</v>
      </c>
      <c r="F77" s="547">
        <v>20622924427</v>
      </c>
      <c r="G77" s="547"/>
      <c r="H77" s="547">
        <v>-3994211082</v>
      </c>
      <c r="I77" s="547"/>
      <c r="J77" s="547">
        <v>-16628713345</v>
      </c>
      <c r="K77" s="547"/>
      <c r="L77" s="547"/>
      <c r="M77" s="547"/>
      <c r="N77" s="547"/>
      <c r="O77" s="547"/>
      <c r="P77" s="547"/>
      <c r="Q77" s="989">
        <f t="shared" si="5"/>
        <v>0</v>
      </c>
      <c r="R77" s="547">
        <v>0</v>
      </c>
      <c r="S77" s="989">
        <f t="shared" si="8"/>
        <v>0</v>
      </c>
      <c r="T77" s="547">
        <f t="shared" si="8"/>
        <v>0</v>
      </c>
      <c r="U77" s="566"/>
      <c r="V77" s="567"/>
      <c r="W77" s="989">
        <f t="shared" si="9"/>
        <v>0</v>
      </c>
      <c r="X77" s="812">
        <f t="shared" si="6"/>
        <v>0</v>
      </c>
      <c r="Y77" s="835">
        <f t="shared" si="7"/>
        <v>0</v>
      </c>
    </row>
    <row r="78" spans="1:25" ht="27" customHeight="1">
      <c r="A78" s="531"/>
      <c r="B78" s="1092">
        <v>1009</v>
      </c>
      <c r="C78" s="529">
        <v>10</v>
      </c>
      <c r="D78" s="1027" t="s">
        <v>8</v>
      </c>
      <c r="E78" s="1028" t="s">
        <v>203</v>
      </c>
      <c r="F78" s="547">
        <v>-6086402750</v>
      </c>
      <c r="G78" s="547">
        <v>-2877954</v>
      </c>
      <c r="H78" s="547">
        <v>174607300</v>
      </c>
      <c r="I78" s="547"/>
      <c r="J78" s="547"/>
      <c r="K78" s="547"/>
      <c r="L78" s="547"/>
      <c r="M78" s="547"/>
      <c r="N78" s="547"/>
      <c r="O78" s="547"/>
      <c r="P78" s="547"/>
      <c r="Q78" s="989">
        <f t="shared" si="5"/>
        <v>-5914673404</v>
      </c>
      <c r="R78" s="547">
        <v>-7264516059</v>
      </c>
      <c r="S78" s="989">
        <f t="shared" si="8"/>
        <v>-5915</v>
      </c>
      <c r="T78" s="547">
        <f t="shared" si="8"/>
        <v>-7265</v>
      </c>
      <c r="U78" s="566"/>
      <c r="V78" s="567"/>
      <c r="W78" s="989">
        <f t="shared" si="9"/>
        <v>-5914673404</v>
      </c>
      <c r="X78" s="812">
        <f t="shared" si="6"/>
        <v>-5915</v>
      </c>
      <c r="Y78" s="835">
        <f t="shared" si="7"/>
        <v>0</v>
      </c>
    </row>
    <row r="79" spans="1:25" ht="27" customHeight="1">
      <c r="A79" s="531"/>
      <c r="B79" s="531">
        <v>401</v>
      </c>
      <c r="C79" s="529">
        <v>4</v>
      </c>
      <c r="D79" s="1027" t="s">
        <v>1235</v>
      </c>
      <c r="E79" s="1028" t="s">
        <v>1236</v>
      </c>
      <c r="F79" s="547">
        <v>81848200</v>
      </c>
      <c r="G79" s="547"/>
      <c r="H79" s="547"/>
      <c r="I79" s="547"/>
      <c r="J79" s="547"/>
      <c r="K79" s="547"/>
      <c r="L79" s="547"/>
      <c r="M79" s="547"/>
      <c r="N79" s="547"/>
      <c r="O79" s="547"/>
      <c r="P79" s="547"/>
      <c r="Q79" s="989">
        <f t="shared" si="5"/>
        <v>81848200</v>
      </c>
      <c r="R79" s="547">
        <v>0</v>
      </c>
      <c r="S79" s="989">
        <f t="shared" si="8"/>
        <v>82</v>
      </c>
      <c r="T79" s="547">
        <f t="shared" si="8"/>
        <v>0</v>
      </c>
      <c r="U79" s="566"/>
      <c r="V79" s="567"/>
      <c r="W79" s="989">
        <f t="shared" si="9"/>
        <v>81848200</v>
      </c>
      <c r="X79" s="812">
        <f t="shared" si="6"/>
        <v>82</v>
      </c>
      <c r="Y79" s="835">
        <f t="shared" si="7"/>
        <v>0</v>
      </c>
    </row>
    <row r="80" spans="1:25" ht="27" customHeight="1">
      <c r="A80" s="531"/>
      <c r="B80" s="531">
        <v>1009</v>
      </c>
      <c r="C80" s="529">
        <v>10</v>
      </c>
      <c r="D80" s="1027" t="s">
        <v>549</v>
      </c>
      <c r="E80" s="1028" t="s">
        <v>550</v>
      </c>
      <c r="F80" s="547">
        <v>31646932</v>
      </c>
      <c r="G80" s="547">
        <v>-4608200</v>
      </c>
      <c r="H80" s="547">
        <v>-13336032</v>
      </c>
      <c r="I80" s="547"/>
      <c r="J80" s="547"/>
      <c r="K80" s="547"/>
      <c r="L80" s="547">
        <f>14420400</f>
        <v>14420400</v>
      </c>
      <c r="M80" s="547"/>
      <c r="N80" s="547"/>
      <c r="O80" s="547"/>
      <c r="P80" s="547"/>
      <c r="Q80" s="989">
        <f t="shared" si="5"/>
        <v>28123100</v>
      </c>
      <c r="R80" s="547">
        <v>-43854200</v>
      </c>
      <c r="S80" s="989">
        <f t="shared" si="8"/>
        <v>28</v>
      </c>
      <c r="T80" s="547">
        <f t="shared" si="8"/>
        <v>-44</v>
      </c>
      <c r="U80" s="566"/>
      <c r="V80" s="567"/>
      <c r="W80" s="989">
        <f t="shared" si="9"/>
        <v>28123100</v>
      </c>
      <c r="X80" s="812">
        <f t="shared" si="6"/>
        <v>28</v>
      </c>
      <c r="Y80" s="835">
        <f t="shared" si="7"/>
        <v>0</v>
      </c>
    </row>
    <row r="81" spans="1:25" ht="27" customHeight="1">
      <c r="A81" s="531"/>
      <c r="B81" s="531">
        <v>1301</v>
      </c>
      <c r="C81" s="529">
        <v>11</v>
      </c>
      <c r="D81" s="1027" t="s">
        <v>9</v>
      </c>
      <c r="E81" s="1028" t="s">
        <v>590</v>
      </c>
      <c r="F81" s="547">
        <v>-3908707413734</v>
      </c>
      <c r="G81" s="547">
        <v>-598175159</v>
      </c>
      <c r="H81" s="547">
        <v>1735642093</v>
      </c>
      <c r="I81" s="547">
        <v>-12971466</v>
      </c>
      <c r="J81" s="547"/>
      <c r="K81" s="547"/>
      <c r="L81" s="547"/>
      <c r="M81" s="547"/>
      <c r="N81" s="547"/>
      <c r="O81" s="547"/>
      <c r="P81" s="547"/>
      <c r="Q81" s="989">
        <f t="shared" si="5"/>
        <v>-3907582918266</v>
      </c>
      <c r="R81" s="547">
        <v>-3266127594699</v>
      </c>
      <c r="S81" s="989">
        <f t="shared" si="8"/>
        <v>-3907583</v>
      </c>
      <c r="T81" s="547">
        <f t="shared" si="8"/>
        <v>-3266128</v>
      </c>
      <c r="U81" s="566"/>
      <c r="V81" s="567"/>
      <c r="W81" s="989">
        <f t="shared" si="9"/>
        <v>-3907582918266</v>
      </c>
      <c r="X81" s="812">
        <f t="shared" si="6"/>
        <v>-3907583</v>
      </c>
      <c r="Y81" s="835">
        <f t="shared" si="7"/>
        <v>0</v>
      </c>
    </row>
    <row r="82" spans="1:25" ht="27" customHeight="1">
      <c r="A82" s="531"/>
      <c r="B82" s="531">
        <v>1009</v>
      </c>
      <c r="C82" s="529">
        <v>10</v>
      </c>
      <c r="D82" s="1027" t="s">
        <v>11</v>
      </c>
      <c r="E82" s="1028" t="s">
        <v>551</v>
      </c>
      <c r="F82" s="547">
        <v>-142633952</v>
      </c>
      <c r="G82" s="547"/>
      <c r="H82" s="547">
        <v>43299516</v>
      </c>
      <c r="I82" s="547"/>
      <c r="J82" s="547"/>
      <c r="K82" s="547"/>
      <c r="L82" s="547"/>
      <c r="M82" s="547"/>
      <c r="N82" s="547"/>
      <c r="O82" s="547"/>
      <c r="P82" s="547"/>
      <c r="Q82" s="989">
        <f t="shared" si="5"/>
        <v>-99334436</v>
      </c>
      <c r="R82" s="547">
        <v>-65337498</v>
      </c>
      <c r="S82" s="989">
        <f t="shared" si="8"/>
        <v>-99</v>
      </c>
      <c r="T82" s="547">
        <f t="shared" si="8"/>
        <v>-65</v>
      </c>
      <c r="U82" s="566"/>
      <c r="V82" s="567"/>
      <c r="W82" s="989">
        <f t="shared" si="9"/>
        <v>-99334436</v>
      </c>
      <c r="X82" s="812">
        <f t="shared" si="6"/>
        <v>-99</v>
      </c>
      <c r="Y82" s="835">
        <f t="shared" si="7"/>
        <v>0</v>
      </c>
    </row>
    <row r="83" spans="1:25" ht="27" customHeight="1">
      <c r="A83" s="531"/>
      <c r="B83" s="531">
        <v>1009</v>
      </c>
      <c r="C83" s="529">
        <v>10</v>
      </c>
      <c r="D83" s="1027" t="s">
        <v>12</v>
      </c>
      <c r="E83" s="1028" t="s">
        <v>13</v>
      </c>
      <c r="F83" s="547">
        <v>-347647981</v>
      </c>
      <c r="G83" s="547"/>
      <c r="H83" s="547"/>
      <c r="I83" s="547"/>
      <c r="J83" s="547"/>
      <c r="K83" s="547"/>
      <c r="L83" s="547"/>
      <c r="M83" s="547"/>
      <c r="N83" s="547"/>
      <c r="O83" s="547"/>
      <c r="P83" s="547"/>
      <c r="Q83" s="989">
        <f t="shared" si="5"/>
        <v>-347647981</v>
      </c>
      <c r="R83" s="547">
        <v>29398932</v>
      </c>
      <c r="S83" s="989">
        <f t="shared" si="8"/>
        <v>-348</v>
      </c>
      <c r="T83" s="547">
        <f t="shared" si="8"/>
        <v>29</v>
      </c>
      <c r="U83" s="566"/>
      <c r="V83" s="567"/>
      <c r="W83" s="989">
        <f t="shared" si="9"/>
        <v>-347647981</v>
      </c>
      <c r="X83" s="812">
        <f t="shared" si="6"/>
        <v>-348</v>
      </c>
      <c r="Y83" s="835">
        <f t="shared" si="7"/>
        <v>0</v>
      </c>
    </row>
    <row r="84" spans="1:25" ht="27" customHeight="1">
      <c r="A84" s="531"/>
      <c r="B84" s="531">
        <v>1009</v>
      </c>
      <c r="C84" s="529">
        <v>10</v>
      </c>
      <c r="D84" s="1027" t="s">
        <v>1090</v>
      </c>
      <c r="E84" s="1028" t="s">
        <v>1091</v>
      </c>
      <c r="F84" s="547"/>
      <c r="G84" s="547"/>
      <c r="H84" s="547"/>
      <c r="I84" s="547"/>
      <c r="J84" s="547"/>
      <c r="K84" s="547"/>
      <c r="L84" s="547"/>
      <c r="M84" s="547"/>
      <c r="N84" s="547"/>
      <c r="O84" s="547"/>
      <c r="P84" s="547"/>
      <c r="Q84" s="989">
        <f t="shared" si="5"/>
        <v>0</v>
      </c>
      <c r="R84" s="547">
        <v>0</v>
      </c>
      <c r="S84" s="989">
        <f t="shared" si="8"/>
        <v>0</v>
      </c>
      <c r="T84" s="547">
        <f t="shared" si="8"/>
        <v>0</v>
      </c>
      <c r="U84" s="566"/>
      <c r="V84" s="567"/>
      <c r="W84" s="989">
        <f t="shared" si="9"/>
        <v>0</v>
      </c>
      <c r="X84" s="812">
        <f t="shared" si="6"/>
        <v>0</v>
      </c>
      <c r="Y84" s="835">
        <f t="shared" si="7"/>
        <v>0</v>
      </c>
    </row>
    <row r="85" spans="1:25" ht="27" customHeight="1">
      <c r="A85" s="531"/>
      <c r="B85" s="531">
        <v>1009</v>
      </c>
      <c r="C85" s="529">
        <v>10</v>
      </c>
      <c r="D85" s="1027" t="s">
        <v>14</v>
      </c>
      <c r="E85" s="1028" t="s">
        <v>363</v>
      </c>
      <c r="F85" s="547">
        <v>-6504311829</v>
      </c>
      <c r="G85" s="547">
        <v>-14</v>
      </c>
      <c r="H85" s="547"/>
      <c r="I85" s="547"/>
      <c r="J85" s="547"/>
      <c r="K85" s="547"/>
      <c r="L85" s="547"/>
      <c r="M85" s="547"/>
      <c r="N85" s="547"/>
      <c r="O85" s="547"/>
      <c r="P85" s="547"/>
      <c r="Q85" s="989">
        <f t="shared" si="5"/>
        <v>-6504311843</v>
      </c>
      <c r="R85" s="547">
        <v>-13789359269</v>
      </c>
      <c r="S85" s="989">
        <f t="shared" si="8"/>
        <v>-6504</v>
      </c>
      <c r="T85" s="547">
        <f t="shared" si="8"/>
        <v>-13789</v>
      </c>
      <c r="U85" s="566"/>
      <c r="V85" s="567"/>
      <c r="W85" s="989">
        <f t="shared" si="9"/>
        <v>-6504311843</v>
      </c>
      <c r="X85" s="812">
        <f t="shared" si="6"/>
        <v>-6504</v>
      </c>
      <c r="Y85" s="835">
        <f t="shared" si="7"/>
        <v>0</v>
      </c>
    </row>
    <row r="86" spans="1:25" ht="27" customHeight="1">
      <c r="A86" s="531"/>
      <c r="B86" s="531">
        <v>1009</v>
      </c>
      <c r="C86" s="529">
        <v>10</v>
      </c>
      <c r="D86" s="1027" t="s">
        <v>15</v>
      </c>
      <c r="E86" s="1028" t="s">
        <v>552</v>
      </c>
      <c r="F86" s="547">
        <v>-29400000</v>
      </c>
      <c r="G86" s="547"/>
      <c r="H86" s="547">
        <v>29400000</v>
      </c>
      <c r="I86" s="547"/>
      <c r="J86" s="547"/>
      <c r="K86" s="547"/>
      <c r="L86" s="547"/>
      <c r="M86" s="547"/>
      <c r="N86" s="547"/>
      <c r="O86" s="547"/>
      <c r="P86" s="547"/>
      <c r="Q86" s="989">
        <f t="shared" si="5"/>
        <v>0</v>
      </c>
      <c r="R86" s="547">
        <v>0</v>
      </c>
      <c r="S86" s="989">
        <f t="shared" si="8"/>
        <v>0</v>
      </c>
      <c r="T86" s="547">
        <f t="shared" si="8"/>
        <v>0</v>
      </c>
      <c r="U86" s="566"/>
      <c r="V86" s="567"/>
      <c r="W86" s="989">
        <f t="shared" si="9"/>
        <v>0</v>
      </c>
      <c r="X86" s="812">
        <f t="shared" si="6"/>
        <v>0</v>
      </c>
      <c r="Y86" s="835">
        <f t="shared" si="7"/>
        <v>0</v>
      </c>
    </row>
    <row r="87" spans="1:25" ht="27" customHeight="1">
      <c r="A87" s="531"/>
      <c r="B87" s="531">
        <v>1009</v>
      </c>
      <c r="C87" s="529">
        <v>10</v>
      </c>
      <c r="D87" s="1027" t="s">
        <v>743</v>
      </c>
      <c r="E87" s="1028" t="s">
        <v>1092</v>
      </c>
      <c r="F87" s="547">
        <v>-899104081</v>
      </c>
      <c r="G87" s="547">
        <v>123999071</v>
      </c>
      <c r="H87" s="547">
        <v>790656580</v>
      </c>
      <c r="I87" s="547"/>
      <c r="J87" s="547">
        <v>-16957920</v>
      </c>
      <c r="K87" s="547"/>
      <c r="L87" s="547"/>
      <c r="M87" s="547"/>
      <c r="N87" s="547"/>
      <c r="O87" s="547"/>
      <c r="P87" s="547"/>
      <c r="Q87" s="989">
        <f t="shared" si="5"/>
        <v>-1406350</v>
      </c>
      <c r="R87" s="547">
        <v>0</v>
      </c>
      <c r="S87" s="989">
        <f t="shared" si="8"/>
        <v>-1</v>
      </c>
      <c r="T87" s="547">
        <f t="shared" si="8"/>
        <v>0</v>
      </c>
      <c r="U87" s="566"/>
      <c r="V87" s="567"/>
      <c r="W87" s="989">
        <f t="shared" si="9"/>
        <v>-1406350</v>
      </c>
      <c r="X87" s="812">
        <f t="shared" si="6"/>
        <v>-1</v>
      </c>
      <c r="Y87" s="835">
        <f t="shared" si="7"/>
        <v>0</v>
      </c>
    </row>
    <row r="88" spans="1:25" ht="27" customHeight="1">
      <c r="A88" s="531"/>
      <c r="B88" s="531">
        <v>1002</v>
      </c>
      <c r="C88" s="529">
        <v>10</v>
      </c>
      <c r="D88" s="1027" t="s">
        <v>39</v>
      </c>
      <c r="E88" s="1028" t="s">
        <v>181</v>
      </c>
      <c r="F88" s="547">
        <v>-129651541094</v>
      </c>
      <c r="G88" s="547">
        <v>-4904756</v>
      </c>
      <c r="H88" s="547">
        <v>3994211082</v>
      </c>
      <c r="I88" s="547">
        <v>-37533452</v>
      </c>
      <c r="J88" s="547">
        <v>16628713345</v>
      </c>
      <c r="K88" s="547"/>
      <c r="L88" s="547"/>
      <c r="M88" s="547"/>
      <c r="N88" s="547"/>
      <c r="O88" s="547"/>
      <c r="P88" s="547"/>
      <c r="Q88" s="989">
        <f t="shared" si="5"/>
        <v>-109071054875</v>
      </c>
      <c r="R88" s="547">
        <v>-128892076073</v>
      </c>
      <c r="S88" s="989">
        <f t="shared" si="8"/>
        <v>-109071</v>
      </c>
      <c r="T88" s="547">
        <f t="shared" si="8"/>
        <v>-128892</v>
      </c>
      <c r="U88" s="566"/>
      <c r="V88" s="567"/>
      <c r="W88" s="989">
        <f t="shared" si="9"/>
        <v>-109071054875</v>
      </c>
      <c r="X88" s="812">
        <f t="shared" si="6"/>
        <v>-109071</v>
      </c>
      <c r="Y88" s="835">
        <f t="shared" si="7"/>
        <v>0</v>
      </c>
    </row>
    <row r="89" spans="1:25" ht="27" customHeight="1">
      <c r="A89" s="531"/>
      <c r="B89" s="531">
        <v>1009</v>
      </c>
      <c r="C89" s="529">
        <v>10</v>
      </c>
      <c r="D89" s="1027" t="s">
        <v>940</v>
      </c>
      <c r="E89" s="1028" t="s">
        <v>941</v>
      </c>
      <c r="F89" s="547"/>
      <c r="G89" s="547"/>
      <c r="H89" s="547"/>
      <c r="I89" s="547"/>
      <c r="J89" s="547"/>
      <c r="K89" s="547"/>
      <c r="L89" s="547"/>
      <c r="M89" s="547"/>
      <c r="N89" s="547"/>
      <c r="O89" s="547"/>
      <c r="P89" s="547"/>
      <c r="Q89" s="989">
        <f t="shared" si="5"/>
        <v>0</v>
      </c>
      <c r="R89" s="547">
        <v>0</v>
      </c>
      <c r="S89" s="989">
        <f t="shared" si="8"/>
        <v>0</v>
      </c>
      <c r="T89" s="547">
        <f t="shared" si="8"/>
        <v>0</v>
      </c>
      <c r="U89" s="566"/>
      <c r="V89" s="567"/>
      <c r="W89" s="989">
        <f t="shared" si="9"/>
        <v>0</v>
      </c>
      <c r="X89" s="812">
        <f t="shared" si="6"/>
        <v>0</v>
      </c>
      <c r="Y89" s="835">
        <f t="shared" si="7"/>
        <v>0</v>
      </c>
    </row>
    <row r="90" spans="1:25" ht="27" customHeight="1">
      <c r="A90" s="531"/>
      <c r="B90" s="531">
        <v>1009</v>
      </c>
      <c r="C90" s="529">
        <v>10</v>
      </c>
      <c r="D90" s="1027" t="s">
        <v>40</v>
      </c>
      <c r="E90" s="1028" t="s">
        <v>41</v>
      </c>
      <c r="F90" s="547"/>
      <c r="G90" s="547"/>
      <c r="H90" s="547"/>
      <c r="I90" s="547"/>
      <c r="J90" s="547"/>
      <c r="K90" s="547"/>
      <c r="L90" s="547"/>
      <c r="M90" s="547"/>
      <c r="N90" s="547"/>
      <c r="O90" s="547"/>
      <c r="P90" s="547"/>
      <c r="Q90" s="989">
        <f t="shared" si="5"/>
        <v>0</v>
      </c>
      <c r="R90" s="547">
        <v>0</v>
      </c>
      <c r="S90" s="989">
        <f t="shared" si="8"/>
        <v>0</v>
      </c>
      <c r="T90" s="547">
        <f t="shared" si="8"/>
        <v>0</v>
      </c>
      <c r="U90" s="566"/>
      <c r="V90" s="567"/>
      <c r="W90" s="989">
        <f t="shared" si="9"/>
        <v>0</v>
      </c>
      <c r="X90" s="812">
        <f t="shared" si="6"/>
        <v>0</v>
      </c>
      <c r="Y90" s="835">
        <f t="shared" si="7"/>
        <v>0</v>
      </c>
    </row>
    <row r="91" spans="1:25" ht="27" customHeight="1">
      <c r="A91" s="531"/>
      <c r="B91" s="531">
        <v>1009</v>
      </c>
      <c r="C91" s="529">
        <v>10</v>
      </c>
      <c r="D91" s="1027" t="s">
        <v>1093</v>
      </c>
      <c r="E91" s="1028" t="s">
        <v>1094</v>
      </c>
      <c r="F91" s="547">
        <v>-337287795</v>
      </c>
      <c r="G91" s="547">
        <v>91492767</v>
      </c>
      <c r="H91" s="547">
        <v>236978642</v>
      </c>
      <c r="I91" s="547"/>
      <c r="J91" s="547">
        <v>9816386</v>
      </c>
      <c r="K91" s="547"/>
      <c r="L91" s="547"/>
      <c r="M91" s="547"/>
      <c r="N91" s="547"/>
      <c r="O91" s="547"/>
      <c r="P91" s="547"/>
      <c r="Q91" s="989">
        <f t="shared" si="5"/>
        <v>1000000</v>
      </c>
      <c r="R91" s="547">
        <v>0</v>
      </c>
      <c r="S91" s="989">
        <f t="shared" si="8"/>
        <v>1</v>
      </c>
      <c r="T91" s="547">
        <f t="shared" si="8"/>
        <v>0</v>
      </c>
      <c r="U91" s="566"/>
      <c r="V91" s="567"/>
      <c r="W91" s="989">
        <f t="shared" si="9"/>
        <v>1000000</v>
      </c>
      <c r="X91" s="812">
        <f t="shared" si="6"/>
        <v>1</v>
      </c>
      <c r="Y91" s="835">
        <f t="shared" si="7"/>
        <v>0</v>
      </c>
    </row>
    <row r="92" spans="1:25" ht="27" customHeight="1">
      <c r="A92" s="531"/>
      <c r="B92" s="531">
        <v>1009</v>
      </c>
      <c r="C92" s="529">
        <v>10</v>
      </c>
      <c r="D92" s="1027" t="s">
        <v>1095</v>
      </c>
      <c r="E92" s="1028" t="s">
        <v>1096</v>
      </c>
      <c r="F92" s="547">
        <v>-240000</v>
      </c>
      <c r="G92" s="547"/>
      <c r="H92" s="547"/>
      <c r="I92" s="547"/>
      <c r="J92" s="547">
        <v>240000</v>
      </c>
      <c r="K92" s="547"/>
      <c r="L92" s="547"/>
      <c r="M92" s="547"/>
      <c r="N92" s="547"/>
      <c r="O92" s="547"/>
      <c r="P92" s="547"/>
      <c r="Q92" s="989">
        <f t="shared" si="5"/>
        <v>0</v>
      </c>
      <c r="R92" s="547">
        <v>0</v>
      </c>
      <c r="S92" s="989">
        <f t="shared" si="8"/>
        <v>0</v>
      </c>
      <c r="T92" s="547">
        <f t="shared" si="8"/>
        <v>0</v>
      </c>
      <c r="U92" s="566"/>
      <c r="V92" s="567"/>
      <c r="W92" s="989">
        <f t="shared" si="9"/>
        <v>0</v>
      </c>
      <c r="X92" s="812">
        <f t="shared" si="6"/>
        <v>0</v>
      </c>
      <c r="Y92" s="835">
        <f t="shared" si="7"/>
        <v>0</v>
      </c>
    </row>
    <row r="93" spans="1:25" ht="27" customHeight="1">
      <c r="A93" s="531"/>
      <c r="B93" s="531">
        <v>1009</v>
      </c>
      <c r="C93" s="529">
        <v>10</v>
      </c>
      <c r="D93" s="1027" t="s">
        <v>853</v>
      </c>
      <c r="E93" s="1028" t="s">
        <v>1097</v>
      </c>
      <c r="F93" s="547">
        <v>-55123442</v>
      </c>
      <c r="G93" s="547">
        <v>373152</v>
      </c>
      <c r="H93" s="547">
        <v>36039710</v>
      </c>
      <c r="I93" s="547"/>
      <c r="J93" s="547">
        <v>35668500</v>
      </c>
      <c r="K93" s="547"/>
      <c r="L93" s="547"/>
      <c r="M93" s="547">
        <v>-16957920</v>
      </c>
      <c r="N93" s="547"/>
      <c r="O93" s="547"/>
      <c r="P93" s="547"/>
      <c r="Q93" s="989">
        <f t="shared" si="5"/>
        <v>0</v>
      </c>
      <c r="R93" s="547">
        <v>0</v>
      </c>
      <c r="S93" s="989">
        <f t="shared" si="8"/>
        <v>0</v>
      </c>
      <c r="T93" s="547">
        <f t="shared" si="8"/>
        <v>0</v>
      </c>
      <c r="U93" s="566"/>
      <c r="V93" s="567"/>
      <c r="W93" s="989">
        <f t="shared" si="9"/>
        <v>0</v>
      </c>
      <c r="X93" s="812">
        <f t="shared" si="6"/>
        <v>0</v>
      </c>
      <c r="Y93" s="835">
        <f t="shared" si="7"/>
        <v>0</v>
      </c>
    </row>
    <row r="94" spans="1:25" ht="27" customHeight="1">
      <c r="A94" s="531"/>
      <c r="B94" s="531">
        <v>401</v>
      </c>
      <c r="C94" s="529">
        <v>4</v>
      </c>
      <c r="D94" s="1027" t="s">
        <v>42</v>
      </c>
      <c r="E94" s="1028" t="s">
        <v>942</v>
      </c>
      <c r="F94" s="547">
        <v>-44973000</v>
      </c>
      <c r="G94" s="547">
        <v>445000</v>
      </c>
      <c r="H94" s="547">
        <v>44528000</v>
      </c>
      <c r="I94" s="547"/>
      <c r="J94" s="547"/>
      <c r="K94" s="547"/>
      <c r="L94" s="547"/>
      <c r="M94" s="547"/>
      <c r="N94" s="547"/>
      <c r="O94" s="547"/>
      <c r="P94" s="547"/>
      <c r="Q94" s="989">
        <f t="shared" si="5"/>
        <v>0</v>
      </c>
      <c r="R94" s="547">
        <v>0</v>
      </c>
      <c r="S94" s="989">
        <f t="shared" si="8"/>
        <v>0</v>
      </c>
      <c r="T94" s="547">
        <f t="shared" si="8"/>
        <v>0</v>
      </c>
      <c r="U94" s="566"/>
      <c r="V94" s="567"/>
      <c r="W94" s="989">
        <f t="shared" si="9"/>
        <v>0</v>
      </c>
      <c r="X94" s="812">
        <f t="shared" si="6"/>
        <v>0</v>
      </c>
      <c r="Y94" s="835">
        <f t="shared" si="7"/>
        <v>0</v>
      </c>
    </row>
    <row r="95" spans="1:25" ht="27" customHeight="1">
      <c r="A95" s="531"/>
      <c r="B95" s="531">
        <v>1009</v>
      </c>
      <c r="C95" s="529">
        <v>10</v>
      </c>
      <c r="D95" s="1027" t="s">
        <v>1098</v>
      </c>
      <c r="E95" s="1028" t="s">
        <v>1083</v>
      </c>
      <c r="F95" s="547">
        <v>-85494888</v>
      </c>
      <c r="G95" s="547"/>
      <c r="H95" s="547"/>
      <c r="I95" s="547"/>
      <c r="J95" s="547"/>
      <c r="K95" s="547"/>
      <c r="L95" s="547"/>
      <c r="M95" s="547"/>
      <c r="N95" s="547"/>
      <c r="O95" s="547"/>
      <c r="P95" s="547"/>
      <c r="Q95" s="989">
        <f t="shared" si="5"/>
        <v>-85494888</v>
      </c>
      <c r="R95" s="547">
        <v>-58494888</v>
      </c>
      <c r="S95" s="989">
        <f t="shared" si="8"/>
        <v>-85</v>
      </c>
      <c r="T95" s="547">
        <f t="shared" si="8"/>
        <v>-58</v>
      </c>
      <c r="U95" s="566"/>
      <c r="V95" s="567"/>
      <c r="W95" s="989">
        <f t="shared" si="9"/>
        <v>-85494888</v>
      </c>
      <c r="X95" s="812">
        <f t="shared" si="6"/>
        <v>-85</v>
      </c>
      <c r="Y95" s="835">
        <f t="shared" si="7"/>
        <v>0</v>
      </c>
    </row>
    <row r="96" spans="1:25" ht="27" customHeight="1">
      <c r="A96" s="531"/>
      <c r="B96" s="531">
        <v>401</v>
      </c>
      <c r="C96" s="529">
        <v>4</v>
      </c>
      <c r="D96" s="1027" t="s">
        <v>1099</v>
      </c>
      <c r="E96" s="1028" t="s">
        <v>1101</v>
      </c>
      <c r="F96" s="547"/>
      <c r="G96" s="547"/>
      <c r="H96" s="547"/>
      <c r="I96" s="547"/>
      <c r="J96" s="547"/>
      <c r="K96" s="547"/>
      <c r="L96" s="547"/>
      <c r="M96" s="547"/>
      <c r="N96" s="547"/>
      <c r="O96" s="547"/>
      <c r="P96" s="547"/>
      <c r="Q96" s="989">
        <f t="shared" si="5"/>
        <v>0</v>
      </c>
      <c r="R96" s="547">
        <v>0</v>
      </c>
      <c r="S96" s="989">
        <f t="shared" si="8"/>
        <v>0</v>
      </c>
      <c r="T96" s="547">
        <f t="shared" si="8"/>
        <v>0</v>
      </c>
      <c r="U96" s="566"/>
      <c r="V96" s="567"/>
      <c r="W96" s="989">
        <f t="shared" si="9"/>
        <v>0</v>
      </c>
      <c r="X96" s="812">
        <f t="shared" si="6"/>
        <v>0</v>
      </c>
      <c r="Y96" s="835">
        <f t="shared" si="7"/>
        <v>0</v>
      </c>
    </row>
    <row r="97" spans="1:25" ht="27" customHeight="1">
      <c r="A97" s="531"/>
      <c r="B97" s="531">
        <v>1009</v>
      </c>
      <c r="C97" s="529">
        <v>10</v>
      </c>
      <c r="D97" s="1027" t="s">
        <v>1100</v>
      </c>
      <c r="E97" s="1028" t="s">
        <v>1102</v>
      </c>
      <c r="F97" s="547">
        <v>-14265635</v>
      </c>
      <c r="G97" s="547">
        <v>10008485</v>
      </c>
      <c r="H97" s="547">
        <v>4257150</v>
      </c>
      <c r="I97" s="547"/>
      <c r="J97" s="547"/>
      <c r="K97" s="547"/>
      <c r="L97" s="547"/>
      <c r="M97" s="547"/>
      <c r="N97" s="547"/>
      <c r="O97" s="547"/>
      <c r="P97" s="547"/>
      <c r="Q97" s="989">
        <f t="shared" si="5"/>
        <v>0</v>
      </c>
      <c r="R97" s="547">
        <v>0</v>
      </c>
      <c r="S97" s="989">
        <f t="shared" si="8"/>
        <v>0</v>
      </c>
      <c r="T97" s="547">
        <f t="shared" si="8"/>
        <v>0</v>
      </c>
      <c r="U97" s="566"/>
      <c r="V97" s="567"/>
      <c r="W97" s="989">
        <f t="shared" si="9"/>
        <v>0</v>
      </c>
      <c r="X97" s="812">
        <f t="shared" si="6"/>
        <v>0</v>
      </c>
      <c r="Y97" s="835">
        <f t="shared" si="7"/>
        <v>0</v>
      </c>
    </row>
    <row r="98" spans="1:25" ht="27" customHeight="1">
      <c r="A98" s="531"/>
      <c r="B98" s="531">
        <v>406</v>
      </c>
      <c r="C98" s="529">
        <v>4</v>
      </c>
      <c r="D98" s="1027" t="s">
        <v>43</v>
      </c>
      <c r="E98" s="1028" t="s">
        <v>1001</v>
      </c>
      <c r="F98" s="547">
        <v>5196000</v>
      </c>
      <c r="G98" s="547">
        <v>595000</v>
      </c>
      <c r="H98" s="547"/>
      <c r="I98" s="547"/>
      <c r="J98" s="547"/>
      <c r="K98" s="547"/>
      <c r="L98" s="547"/>
      <c r="M98" s="547"/>
      <c r="N98" s="547"/>
      <c r="O98" s="547"/>
      <c r="P98" s="547"/>
      <c r="Q98" s="989">
        <f t="shared" si="5"/>
        <v>5791000</v>
      </c>
      <c r="R98" s="547">
        <v>3996000</v>
      </c>
      <c r="S98" s="989">
        <f t="shared" si="8"/>
        <v>6</v>
      </c>
      <c r="T98" s="547">
        <f t="shared" si="8"/>
        <v>4</v>
      </c>
      <c r="U98" s="566"/>
      <c r="V98" s="567"/>
      <c r="W98" s="989">
        <f t="shared" si="9"/>
        <v>5791000</v>
      </c>
      <c r="X98" s="812">
        <f t="shared" si="6"/>
        <v>6</v>
      </c>
      <c r="Y98" s="835">
        <f t="shared" si="7"/>
        <v>0</v>
      </c>
    </row>
    <row r="99" spans="1:25" ht="27" customHeight="1">
      <c r="A99" s="531"/>
      <c r="B99" s="531">
        <v>401</v>
      </c>
      <c r="C99" s="529">
        <v>4</v>
      </c>
      <c r="D99" s="1027" t="s">
        <v>1175</v>
      </c>
      <c r="E99" s="1028" t="s">
        <v>1170</v>
      </c>
      <c r="F99" s="547">
        <v>64671978</v>
      </c>
      <c r="G99" s="547">
        <v>1</v>
      </c>
      <c r="H99" s="547">
        <v>16</v>
      </c>
      <c r="I99" s="547"/>
      <c r="J99" s="547"/>
      <c r="K99" s="547"/>
      <c r="L99" s="547"/>
      <c r="M99" s="547"/>
      <c r="N99" s="547"/>
      <c r="O99" s="547"/>
      <c r="P99" s="547"/>
      <c r="Q99" s="989">
        <f t="shared" si="5"/>
        <v>64671995</v>
      </c>
      <c r="R99" s="547">
        <v>-1810004</v>
      </c>
      <c r="S99" s="989">
        <f t="shared" si="8"/>
        <v>65</v>
      </c>
      <c r="T99" s="547">
        <f t="shared" si="8"/>
        <v>-2</v>
      </c>
      <c r="U99" s="566"/>
      <c r="V99" s="567"/>
      <c r="W99" s="989">
        <f t="shared" si="9"/>
        <v>64671995</v>
      </c>
      <c r="X99" s="812">
        <f t="shared" si="6"/>
        <v>65</v>
      </c>
      <c r="Y99" s="835">
        <f t="shared" si="7"/>
        <v>0</v>
      </c>
    </row>
    <row r="100" spans="1:25" ht="27" customHeight="1">
      <c r="A100" s="531"/>
      <c r="B100" s="531">
        <v>1009</v>
      </c>
      <c r="C100" s="529">
        <v>10</v>
      </c>
      <c r="D100" s="1027" t="s">
        <v>44</v>
      </c>
      <c r="E100" s="1028" t="s">
        <v>897</v>
      </c>
      <c r="F100" s="547"/>
      <c r="G100" s="547"/>
      <c r="H100" s="547"/>
      <c r="I100" s="547"/>
      <c r="J100" s="547"/>
      <c r="K100" s="547"/>
      <c r="L100" s="547"/>
      <c r="M100" s="547"/>
      <c r="N100" s="547"/>
      <c r="O100" s="547"/>
      <c r="P100" s="547"/>
      <c r="Q100" s="989">
        <f t="shared" si="5"/>
        <v>0</v>
      </c>
      <c r="R100" s="547">
        <v>0</v>
      </c>
      <c r="S100" s="989">
        <f t="shared" si="8"/>
        <v>0</v>
      </c>
      <c r="T100" s="547">
        <f t="shared" si="8"/>
        <v>0</v>
      </c>
      <c r="U100" s="566"/>
      <c r="V100" s="567"/>
      <c r="W100" s="989">
        <f t="shared" si="9"/>
        <v>0</v>
      </c>
      <c r="X100" s="812">
        <f t="shared" si="6"/>
        <v>0</v>
      </c>
      <c r="Y100" s="835">
        <f t="shared" si="7"/>
        <v>0</v>
      </c>
    </row>
    <row r="101" spans="1:25" ht="27" customHeight="1">
      <c r="A101" s="531"/>
      <c r="B101" s="531">
        <v>401</v>
      </c>
      <c r="C101" s="529">
        <v>4</v>
      </c>
      <c r="D101" s="1027" t="s">
        <v>943</v>
      </c>
      <c r="E101" s="1028" t="s">
        <v>944</v>
      </c>
      <c r="F101" s="547">
        <v>4607845008902</v>
      </c>
      <c r="G101" s="547">
        <v>-727154006672</v>
      </c>
      <c r="H101" s="547">
        <v>-1660417467284</v>
      </c>
      <c r="I101" s="547"/>
      <c r="J101" s="547">
        <v>-801856614551</v>
      </c>
      <c r="K101" s="547"/>
      <c r="L101" s="547">
        <f>-342711779591</f>
        <v>-342711779591</v>
      </c>
      <c r="M101" s="547">
        <v>-1075705140804</v>
      </c>
      <c r="N101" s="547"/>
      <c r="O101" s="547"/>
      <c r="P101" s="547"/>
      <c r="Q101" s="989">
        <f t="shared" si="5"/>
        <v>0</v>
      </c>
      <c r="R101" s="547">
        <v>0</v>
      </c>
      <c r="S101" s="989">
        <f t="shared" si="8"/>
        <v>0</v>
      </c>
      <c r="T101" s="547">
        <f t="shared" si="8"/>
        <v>0</v>
      </c>
      <c r="U101" s="566"/>
      <c r="V101" s="567"/>
      <c r="W101" s="989">
        <f t="shared" si="9"/>
        <v>0</v>
      </c>
      <c r="X101" s="812">
        <f t="shared" si="6"/>
        <v>0</v>
      </c>
      <c r="Y101" s="835">
        <f t="shared" si="7"/>
        <v>0</v>
      </c>
    </row>
    <row r="102" spans="1:25" ht="27" customHeight="1">
      <c r="A102" s="531"/>
      <c r="B102" s="531">
        <v>401</v>
      </c>
      <c r="C102" s="529">
        <v>4</v>
      </c>
      <c r="D102" s="1027" t="s">
        <v>945</v>
      </c>
      <c r="E102" s="1028" t="s">
        <v>946</v>
      </c>
      <c r="F102" s="547">
        <v>30537123480</v>
      </c>
      <c r="G102" s="547">
        <v>-6072853342</v>
      </c>
      <c r="H102" s="547">
        <v>-8104891193</v>
      </c>
      <c r="I102" s="547"/>
      <c r="J102" s="547">
        <v>-2571097011</v>
      </c>
      <c r="K102" s="547"/>
      <c r="L102" s="547">
        <f>-2529077422</f>
        <v>-2529077422</v>
      </c>
      <c r="M102" s="547">
        <v>-11259204512</v>
      </c>
      <c r="N102" s="547"/>
      <c r="O102" s="547"/>
      <c r="P102" s="547"/>
      <c r="Q102" s="989">
        <f t="shared" si="5"/>
        <v>0</v>
      </c>
      <c r="R102" s="547">
        <v>0</v>
      </c>
      <c r="S102" s="989">
        <f t="shared" si="8"/>
        <v>0</v>
      </c>
      <c r="T102" s="547">
        <f t="shared" si="8"/>
        <v>0</v>
      </c>
      <c r="U102" s="566"/>
      <c r="V102" s="567"/>
      <c r="W102" s="989">
        <f t="shared" si="9"/>
        <v>0</v>
      </c>
      <c r="X102" s="812">
        <f t="shared" si="6"/>
        <v>0</v>
      </c>
      <c r="Y102" s="835">
        <f t="shared" si="7"/>
        <v>0</v>
      </c>
    </row>
    <row r="103" spans="1:25" ht="27" customHeight="1">
      <c r="A103" s="531"/>
      <c r="B103" s="531">
        <v>401</v>
      </c>
      <c r="C103" s="529">
        <v>4</v>
      </c>
      <c r="D103" s="1027" t="s">
        <v>947</v>
      </c>
      <c r="E103" s="1028" t="s">
        <v>948</v>
      </c>
      <c r="F103" s="547">
        <v>-3079564</v>
      </c>
      <c r="G103" s="547"/>
      <c r="H103" s="547">
        <v>-34974953</v>
      </c>
      <c r="I103" s="547"/>
      <c r="J103" s="547"/>
      <c r="K103" s="547"/>
      <c r="L103" s="547"/>
      <c r="M103" s="547">
        <v>38054517</v>
      </c>
      <c r="N103" s="547"/>
      <c r="O103" s="547"/>
      <c r="P103" s="547"/>
      <c r="Q103" s="989">
        <f t="shared" si="5"/>
        <v>0</v>
      </c>
      <c r="R103" s="547">
        <v>0</v>
      </c>
      <c r="S103" s="989">
        <f t="shared" si="8"/>
        <v>0</v>
      </c>
      <c r="T103" s="547">
        <f t="shared" si="8"/>
        <v>0</v>
      </c>
      <c r="U103" s="566"/>
      <c r="V103" s="567"/>
      <c r="W103" s="989">
        <f t="shared" si="9"/>
        <v>0</v>
      </c>
      <c r="X103" s="812">
        <f t="shared" si="6"/>
        <v>0</v>
      </c>
      <c r="Y103" s="835">
        <f t="shared" si="7"/>
        <v>0</v>
      </c>
    </row>
    <row r="104" spans="1:25" ht="27" customHeight="1">
      <c r="A104" s="531"/>
      <c r="B104" s="531">
        <v>1009</v>
      </c>
      <c r="C104" s="529">
        <v>10</v>
      </c>
      <c r="D104" s="1027" t="s">
        <v>949</v>
      </c>
      <c r="E104" s="1028" t="s">
        <v>950</v>
      </c>
      <c r="F104" s="547">
        <v>-4638418211818</v>
      </c>
      <c r="G104" s="547">
        <v>733226860014</v>
      </c>
      <c r="H104" s="547">
        <v>1668557333430</v>
      </c>
      <c r="I104" s="547"/>
      <c r="J104" s="547">
        <v>804427711562</v>
      </c>
      <c r="K104" s="547"/>
      <c r="L104" s="547">
        <f>345240857013</f>
        <v>345240857013</v>
      </c>
      <c r="M104" s="547">
        <v>1086965449799</v>
      </c>
      <c r="N104" s="547"/>
      <c r="O104" s="547"/>
      <c r="P104" s="547"/>
      <c r="Q104" s="989">
        <f t="shared" si="5"/>
        <v>0</v>
      </c>
      <c r="R104" s="547">
        <v>0</v>
      </c>
      <c r="S104" s="989">
        <f t="shared" si="8"/>
        <v>0</v>
      </c>
      <c r="T104" s="547">
        <f t="shared" si="8"/>
        <v>0</v>
      </c>
      <c r="U104" s="566"/>
      <c r="V104" s="567"/>
      <c r="W104" s="989">
        <f t="shared" si="9"/>
        <v>0</v>
      </c>
      <c r="X104" s="812">
        <f t="shared" si="6"/>
        <v>0</v>
      </c>
      <c r="Y104" s="835">
        <f t="shared" si="7"/>
        <v>0</v>
      </c>
    </row>
    <row r="105" spans="1:25" ht="27" customHeight="1">
      <c r="A105" s="531"/>
      <c r="B105" s="531">
        <v>401</v>
      </c>
      <c r="C105" s="529">
        <v>4</v>
      </c>
      <c r="D105" s="1027" t="s">
        <v>45</v>
      </c>
      <c r="E105" s="1028" t="s">
        <v>46</v>
      </c>
      <c r="F105" s="547">
        <v>764488699</v>
      </c>
      <c r="G105" s="547">
        <v>501568607</v>
      </c>
      <c r="H105" s="547">
        <v>-57691466</v>
      </c>
      <c r="I105" s="547">
        <v>29650916</v>
      </c>
      <c r="J105" s="547">
        <v>155155154</v>
      </c>
      <c r="K105" s="547">
        <v>9027900</v>
      </c>
      <c r="L105" s="547">
        <f>-14420400</f>
        <v>-14420400</v>
      </c>
      <c r="M105" s="547">
        <v>16957920</v>
      </c>
      <c r="N105" s="547"/>
      <c r="O105" s="547"/>
      <c r="P105" s="547"/>
      <c r="Q105" s="989">
        <f t="shared" si="5"/>
        <v>1404737330</v>
      </c>
      <c r="R105" s="547">
        <v>-1838584299</v>
      </c>
      <c r="S105" s="989">
        <f t="shared" si="8"/>
        <v>1405</v>
      </c>
      <c r="T105" s="547">
        <f t="shared" si="8"/>
        <v>-1839</v>
      </c>
      <c r="U105" s="566"/>
      <c r="V105" s="567"/>
      <c r="W105" s="989">
        <f t="shared" si="9"/>
        <v>1404737330</v>
      </c>
      <c r="X105" s="812">
        <f t="shared" si="6"/>
        <v>1405</v>
      </c>
      <c r="Y105" s="835">
        <f t="shared" si="7"/>
        <v>0</v>
      </c>
    </row>
    <row r="106" spans="1:25" ht="27" customHeight="1">
      <c r="A106" s="531" t="s">
        <v>1709</v>
      </c>
      <c r="B106" s="531">
        <v>401</v>
      </c>
      <c r="C106" s="529">
        <v>4</v>
      </c>
      <c r="D106" s="1027" t="s">
        <v>47</v>
      </c>
      <c r="E106" s="1028" t="s">
        <v>1469</v>
      </c>
      <c r="F106" s="547">
        <v>-4435409590</v>
      </c>
      <c r="G106" s="547">
        <v>-86232781</v>
      </c>
      <c r="H106" s="547">
        <v>-473849859</v>
      </c>
      <c r="I106" s="547">
        <v>96594708</v>
      </c>
      <c r="J106" s="547"/>
      <c r="K106" s="547"/>
      <c r="L106" s="547"/>
      <c r="M106" s="547"/>
      <c r="N106" s="547"/>
      <c r="O106" s="547"/>
      <c r="P106" s="547"/>
      <c r="Q106" s="989">
        <f t="shared" si="5"/>
        <v>-4898897522</v>
      </c>
      <c r="R106" s="547">
        <v>-4658191725</v>
      </c>
      <c r="S106" s="989">
        <f t="shared" si="8"/>
        <v>-4899</v>
      </c>
      <c r="T106" s="547">
        <f t="shared" si="8"/>
        <v>-4658</v>
      </c>
      <c r="U106" s="566"/>
      <c r="V106" s="567"/>
      <c r="W106" s="989">
        <f t="shared" si="9"/>
        <v>-4898897522</v>
      </c>
      <c r="X106" s="812">
        <f t="shared" si="6"/>
        <v>-4899</v>
      </c>
      <c r="Y106" s="835">
        <f t="shared" si="7"/>
        <v>0</v>
      </c>
    </row>
    <row r="107" spans="1:25" ht="27" customHeight="1">
      <c r="A107" s="531"/>
      <c r="B107" s="531">
        <v>1009</v>
      </c>
      <c r="C107" s="529">
        <v>10</v>
      </c>
      <c r="D107" s="1027" t="s">
        <v>47</v>
      </c>
      <c r="E107" s="1028" t="s">
        <v>555</v>
      </c>
      <c r="F107" s="547"/>
      <c r="G107" s="547"/>
      <c r="H107" s="547"/>
      <c r="I107" s="547"/>
      <c r="J107" s="547"/>
      <c r="K107" s="547"/>
      <c r="L107" s="547"/>
      <c r="M107" s="547">
        <v>-39159000</v>
      </c>
      <c r="N107" s="547"/>
      <c r="O107" s="547"/>
      <c r="P107" s="547"/>
      <c r="Q107" s="989">
        <f t="shared" si="5"/>
        <v>-39159000</v>
      </c>
      <c r="R107" s="547">
        <v>0</v>
      </c>
      <c r="S107" s="989">
        <f t="shared" si="8"/>
        <v>-39</v>
      </c>
      <c r="T107" s="547">
        <f t="shared" si="8"/>
        <v>0</v>
      </c>
      <c r="U107" s="566"/>
      <c r="V107" s="567"/>
      <c r="W107" s="989">
        <f t="shared" si="9"/>
        <v>-39159000</v>
      </c>
      <c r="X107" s="812">
        <f t="shared" si="6"/>
        <v>-39</v>
      </c>
      <c r="Y107" s="835">
        <f t="shared" si="7"/>
        <v>0</v>
      </c>
    </row>
    <row r="108" spans="1:25" ht="27" customHeight="1">
      <c r="A108" s="531"/>
      <c r="B108" s="531">
        <v>401</v>
      </c>
      <c r="C108" s="529">
        <v>4</v>
      </c>
      <c r="D108" s="1027" t="s">
        <v>951</v>
      </c>
      <c r="E108" s="1028" t="s">
        <v>952</v>
      </c>
      <c r="F108" s="547"/>
      <c r="G108" s="547"/>
      <c r="H108" s="547"/>
      <c r="I108" s="547"/>
      <c r="J108" s="547"/>
      <c r="K108" s="547"/>
      <c r="L108" s="547"/>
      <c r="M108" s="547"/>
      <c r="N108" s="547"/>
      <c r="O108" s="547"/>
      <c r="P108" s="547"/>
      <c r="Q108" s="989">
        <f t="shared" si="5"/>
        <v>0</v>
      </c>
      <c r="R108" s="547">
        <v>0</v>
      </c>
      <c r="S108" s="989">
        <f t="shared" si="8"/>
        <v>0</v>
      </c>
      <c r="T108" s="547">
        <f t="shared" si="8"/>
        <v>0</v>
      </c>
      <c r="U108" s="566"/>
      <c r="V108" s="567"/>
      <c r="W108" s="989">
        <f t="shared" si="9"/>
        <v>0</v>
      </c>
      <c r="X108" s="812">
        <f t="shared" si="6"/>
        <v>0</v>
      </c>
      <c r="Y108" s="835">
        <f t="shared" si="7"/>
        <v>0</v>
      </c>
    </row>
    <row r="109" spans="1:25" ht="27" customHeight="1">
      <c r="A109" s="531"/>
      <c r="B109" s="531">
        <v>401</v>
      </c>
      <c r="C109" s="529">
        <v>4</v>
      </c>
      <c r="D109" s="1027" t="s">
        <v>836</v>
      </c>
      <c r="E109" s="1028" t="s">
        <v>953</v>
      </c>
      <c r="F109" s="547">
        <v>478360690</v>
      </c>
      <c r="G109" s="547">
        <v>-96125596</v>
      </c>
      <c r="H109" s="547">
        <v>-85000272</v>
      </c>
      <c r="I109" s="547"/>
      <c r="J109" s="547">
        <v>-297234822</v>
      </c>
      <c r="K109" s="547"/>
      <c r="L109" s="547"/>
      <c r="M109" s="547"/>
      <c r="N109" s="547"/>
      <c r="O109" s="547"/>
      <c r="P109" s="547"/>
      <c r="Q109" s="989">
        <f t="shared" si="5"/>
        <v>0</v>
      </c>
      <c r="R109" s="547">
        <v>0</v>
      </c>
      <c r="S109" s="989">
        <f t="shared" si="8"/>
        <v>0</v>
      </c>
      <c r="T109" s="547">
        <f t="shared" si="8"/>
        <v>0</v>
      </c>
      <c r="U109" s="566"/>
      <c r="V109" s="567"/>
      <c r="W109" s="989">
        <f t="shared" si="9"/>
        <v>0</v>
      </c>
      <c r="X109" s="812">
        <f t="shared" si="6"/>
        <v>0</v>
      </c>
      <c r="Y109" s="835">
        <f t="shared" si="7"/>
        <v>0</v>
      </c>
    </row>
    <row r="110" spans="1:25" ht="27" customHeight="1">
      <c r="A110" s="531"/>
      <c r="B110" s="531">
        <v>1009</v>
      </c>
      <c r="C110" s="529">
        <v>10</v>
      </c>
      <c r="D110" s="1027" t="s">
        <v>954</v>
      </c>
      <c r="E110" s="1028" t="s">
        <v>955</v>
      </c>
      <c r="F110" s="547">
        <v>-7615880639</v>
      </c>
      <c r="G110" s="547">
        <v>2178542906</v>
      </c>
      <c r="H110" s="547">
        <v>4628066535</v>
      </c>
      <c r="I110" s="547"/>
      <c r="J110" s="547">
        <v>809271198</v>
      </c>
      <c r="K110" s="547"/>
      <c r="L110" s="547"/>
      <c r="M110" s="547"/>
      <c r="N110" s="547"/>
      <c r="O110" s="547"/>
      <c r="P110" s="547"/>
      <c r="Q110" s="989">
        <f t="shared" si="5"/>
        <v>0</v>
      </c>
      <c r="R110" s="547">
        <v>0</v>
      </c>
      <c r="S110" s="989">
        <f t="shared" si="8"/>
        <v>0</v>
      </c>
      <c r="T110" s="547">
        <f t="shared" si="8"/>
        <v>0</v>
      </c>
      <c r="U110" s="566"/>
      <c r="V110" s="567"/>
      <c r="W110" s="989">
        <f t="shared" si="9"/>
        <v>0</v>
      </c>
      <c r="X110" s="812">
        <f t="shared" si="6"/>
        <v>0</v>
      </c>
      <c r="Y110" s="835">
        <f t="shared" si="7"/>
        <v>0</v>
      </c>
    </row>
    <row r="111" spans="1:25" ht="27" customHeight="1">
      <c r="A111" s="531"/>
      <c r="B111" s="531">
        <v>1009</v>
      </c>
      <c r="C111" s="529">
        <v>10</v>
      </c>
      <c r="D111" s="1027" t="s">
        <v>1103</v>
      </c>
      <c r="E111" s="1028" t="s">
        <v>1104</v>
      </c>
      <c r="F111" s="547">
        <v>-1235652</v>
      </c>
      <c r="G111" s="547">
        <v>1235652</v>
      </c>
      <c r="H111" s="547"/>
      <c r="I111" s="547"/>
      <c r="J111" s="547"/>
      <c r="K111" s="547"/>
      <c r="L111" s="547"/>
      <c r="M111" s="547"/>
      <c r="N111" s="547"/>
      <c r="O111" s="547"/>
      <c r="P111" s="547"/>
      <c r="Q111" s="989">
        <f t="shared" si="5"/>
        <v>0</v>
      </c>
      <c r="R111" s="547">
        <v>0</v>
      </c>
      <c r="S111" s="989">
        <f t="shared" si="8"/>
        <v>0</v>
      </c>
      <c r="T111" s="547">
        <f t="shared" si="8"/>
        <v>0</v>
      </c>
      <c r="U111" s="566"/>
      <c r="V111" s="567"/>
      <c r="W111" s="989">
        <f t="shared" si="9"/>
        <v>0</v>
      </c>
      <c r="X111" s="812">
        <f t="shared" si="6"/>
        <v>0</v>
      </c>
      <c r="Y111" s="835">
        <f t="shared" si="7"/>
        <v>0</v>
      </c>
    </row>
    <row r="112" spans="1:25" ht="27" customHeight="1">
      <c r="A112" s="531"/>
      <c r="B112" s="531">
        <v>401</v>
      </c>
      <c r="C112" s="529">
        <v>4</v>
      </c>
      <c r="D112" s="1027" t="s">
        <v>880</v>
      </c>
      <c r="E112" s="1028" t="s">
        <v>879</v>
      </c>
      <c r="F112" s="547">
        <v>10504258593</v>
      </c>
      <c r="G112" s="547">
        <v>-5803509646</v>
      </c>
      <c r="H112" s="547">
        <v>-223540674</v>
      </c>
      <c r="I112" s="547">
        <v>-853614090</v>
      </c>
      <c r="J112" s="547">
        <v>-2463271769</v>
      </c>
      <c r="K112" s="547"/>
      <c r="L112" s="547"/>
      <c r="M112" s="547"/>
      <c r="N112" s="547"/>
      <c r="O112" s="547"/>
      <c r="P112" s="547"/>
      <c r="Q112" s="989">
        <f t="shared" si="5"/>
        <v>1160322414</v>
      </c>
      <c r="R112" s="547">
        <v>-618086445</v>
      </c>
      <c r="S112" s="989">
        <f t="shared" si="8"/>
        <v>1160</v>
      </c>
      <c r="T112" s="547">
        <f t="shared" si="8"/>
        <v>-618</v>
      </c>
      <c r="U112" s="566"/>
      <c r="V112" s="567"/>
      <c r="W112" s="989">
        <f t="shared" si="9"/>
        <v>1160322414</v>
      </c>
      <c r="X112" s="812">
        <f t="shared" si="6"/>
        <v>1160</v>
      </c>
      <c r="Y112" s="835">
        <f t="shared" si="7"/>
        <v>0</v>
      </c>
    </row>
    <row r="113" spans="1:25" ht="27" customHeight="1">
      <c r="A113" s="531"/>
      <c r="B113" s="531">
        <v>401</v>
      </c>
      <c r="C113" s="529">
        <v>4</v>
      </c>
      <c r="D113" s="1027" t="s">
        <v>556</v>
      </c>
      <c r="E113" s="1028" t="s">
        <v>956</v>
      </c>
      <c r="F113" s="547">
        <v>1582502907</v>
      </c>
      <c r="G113" s="547">
        <v>-1563711224</v>
      </c>
      <c r="H113" s="547">
        <v>-9960283</v>
      </c>
      <c r="I113" s="547"/>
      <c r="J113" s="547"/>
      <c r="K113" s="547"/>
      <c r="L113" s="547"/>
      <c r="M113" s="547"/>
      <c r="N113" s="547"/>
      <c r="O113" s="547"/>
      <c r="P113" s="547"/>
      <c r="Q113" s="989">
        <f t="shared" si="5"/>
        <v>8831400</v>
      </c>
      <c r="R113" s="547">
        <v>4182800</v>
      </c>
      <c r="S113" s="989">
        <f t="shared" si="8"/>
        <v>9</v>
      </c>
      <c r="T113" s="547">
        <f t="shared" si="8"/>
        <v>4</v>
      </c>
      <c r="U113" s="566"/>
      <c r="V113" s="567"/>
      <c r="W113" s="989">
        <f t="shared" si="9"/>
        <v>8831400</v>
      </c>
      <c r="X113" s="812">
        <f t="shared" si="6"/>
        <v>9</v>
      </c>
      <c r="Y113" s="835">
        <f t="shared" si="7"/>
        <v>0</v>
      </c>
    </row>
    <row r="114" spans="1:25" ht="27" customHeight="1">
      <c r="A114" s="531"/>
      <c r="B114" s="531">
        <v>402</v>
      </c>
      <c r="C114" s="529">
        <v>4</v>
      </c>
      <c r="D114" s="1027" t="s">
        <v>48</v>
      </c>
      <c r="E114" s="1028" t="s">
        <v>49</v>
      </c>
      <c r="F114" s="547">
        <v>10608448586</v>
      </c>
      <c r="G114" s="547"/>
      <c r="H114" s="547"/>
      <c r="I114" s="547"/>
      <c r="J114" s="547"/>
      <c r="K114" s="547"/>
      <c r="L114" s="547"/>
      <c r="M114" s="547"/>
      <c r="N114" s="547"/>
      <c r="O114" s="547"/>
      <c r="P114" s="547"/>
      <c r="Q114" s="989">
        <f t="shared" si="5"/>
        <v>10608448586</v>
      </c>
      <c r="R114" s="547">
        <v>10608448586</v>
      </c>
      <c r="S114" s="989">
        <f t="shared" si="8"/>
        <v>10608</v>
      </c>
      <c r="T114" s="547">
        <f t="shared" si="8"/>
        <v>10608</v>
      </c>
      <c r="U114" s="566"/>
      <c r="V114" s="567"/>
      <c r="W114" s="989">
        <f t="shared" si="9"/>
        <v>10608448586</v>
      </c>
      <c r="X114" s="812">
        <f t="shared" si="6"/>
        <v>10608</v>
      </c>
      <c r="Y114" s="835">
        <f t="shared" si="7"/>
        <v>0</v>
      </c>
    </row>
    <row r="115" spans="1:25" ht="27" customHeight="1">
      <c r="A115" s="531"/>
      <c r="B115" s="531">
        <v>1024</v>
      </c>
      <c r="C115" s="529">
        <v>10</v>
      </c>
      <c r="D115" s="1027" t="s">
        <v>50</v>
      </c>
      <c r="E115" s="1028" t="s">
        <v>205</v>
      </c>
      <c r="F115" s="547">
        <v>-15825760049</v>
      </c>
      <c r="G115" s="547"/>
      <c r="H115" s="547"/>
      <c r="I115" s="547">
        <v>15795355179</v>
      </c>
      <c r="J115" s="547">
        <v>-14644736567</v>
      </c>
      <c r="K115" s="547"/>
      <c r="L115" s="547"/>
      <c r="M115" s="547"/>
      <c r="N115" s="547">
        <v>-3038269460</v>
      </c>
      <c r="O115" s="547"/>
      <c r="P115" s="547"/>
      <c r="Q115" s="989">
        <f t="shared" si="5"/>
        <v>-17713410897</v>
      </c>
      <c r="R115" s="547">
        <v>-43814873022</v>
      </c>
      <c r="S115" s="989">
        <f t="shared" si="8"/>
        <v>-17713</v>
      </c>
      <c r="T115" s="547">
        <f t="shared" si="8"/>
        <v>-43815</v>
      </c>
      <c r="U115" s="566"/>
      <c r="V115" s="567"/>
      <c r="W115" s="989">
        <f t="shared" si="9"/>
        <v>-17713410897</v>
      </c>
      <c r="X115" s="812">
        <f t="shared" si="6"/>
        <v>-17713</v>
      </c>
      <c r="Y115" s="835">
        <f t="shared" si="7"/>
        <v>0</v>
      </c>
    </row>
    <row r="116" spans="1:25" ht="27" customHeight="1">
      <c r="A116" s="531"/>
      <c r="B116" s="531">
        <v>404</v>
      </c>
      <c r="C116" s="529">
        <v>4</v>
      </c>
      <c r="D116" s="1027" t="s">
        <v>51</v>
      </c>
      <c r="E116" s="1028" t="s">
        <v>155</v>
      </c>
      <c r="F116" s="547">
        <v>6479449592</v>
      </c>
      <c r="G116" s="547">
        <v>5363940944</v>
      </c>
      <c r="H116" s="547">
        <v>46516332</v>
      </c>
      <c r="I116" s="547">
        <v>8012058145</v>
      </c>
      <c r="J116" s="547">
        <v>2357341977</v>
      </c>
      <c r="K116" s="547"/>
      <c r="L116" s="547"/>
      <c r="M116" s="547"/>
      <c r="N116" s="547"/>
      <c r="O116" s="547"/>
      <c r="P116" s="547"/>
      <c r="Q116" s="989">
        <f t="shared" si="5"/>
        <v>22259306990</v>
      </c>
      <c r="R116" s="547">
        <v>54725868733</v>
      </c>
      <c r="S116" s="989">
        <f t="shared" si="8"/>
        <v>22259</v>
      </c>
      <c r="T116" s="547">
        <f t="shared" si="8"/>
        <v>54726</v>
      </c>
      <c r="U116" s="566"/>
      <c r="V116" s="567"/>
      <c r="W116" s="989">
        <f t="shared" si="9"/>
        <v>22259306990</v>
      </c>
      <c r="X116" s="812">
        <f t="shared" si="6"/>
        <v>22259</v>
      </c>
      <c r="Y116" s="835">
        <f t="shared" si="7"/>
        <v>0</v>
      </c>
    </row>
    <row r="117" spans="1:25" ht="27" customHeight="1">
      <c r="A117" s="531"/>
      <c r="B117" s="531">
        <v>406</v>
      </c>
      <c r="C117" s="529">
        <v>4</v>
      </c>
      <c r="D117" s="1027" t="s">
        <v>52</v>
      </c>
      <c r="E117" s="1028" t="s">
        <v>206</v>
      </c>
      <c r="F117" s="547">
        <v>5657979544</v>
      </c>
      <c r="G117" s="547">
        <v>29870000</v>
      </c>
      <c r="H117" s="547"/>
      <c r="I117" s="547">
        <v>1195167165</v>
      </c>
      <c r="J117" s="547">
        <v>-1109115587</v>
      </c>
      <c r="K117" s="547"/>
      <c r="L117" s="547"/>
      <c r="M117" s="547"/>
      <c r="N117" s="547"/>
      <c r="O117" s="547"/>
      <c r="P117" s="547"/>
      <c r="Q117" s="989">
        <f t="shared" si="5"/>
        <v>5773901122</v>
      </c>
      <c r="R117" s="547">
        <v>6562429567</v>
      </c>
      <c r="S117" s="989">
        <f t="shared" si="8"/>
        <v>5774</v>
      </c>
      <c r="T117" s="547">
        <f t="shared" si="8"/>
        <v>6562</v>
      </c>
      <c r="U117" s="566"/>
      <c r="V117" s="567"/>
      <c r="W117" s="989">
        <f t="shared" si="9"/>
        <v>5773901122</v>
      </c>
      <c r="X117" s="812">
        <f t="shared" si="6"/>
        <v>5774</v>
      </c>
      <c r="Y117" s="835">
        <f t="shared" si="7"/>
        <v>0</v>
      </c>
    </row>
    <row r="118" spans="1:25" ht="27" customHeight="1">
      <c r="A118" s="531"/>
      <c r="B118" s="531">
        <v>403</v>
      </c>
      <c r="C118" s="529">
        <v>4</v>
      </c>
      <c r="D118" s="1027" t="s">
        <v>53</v>
      </c>
      <c r="E118" s="1028" t="s">
        <v>756</v>
      </c>
      <c r="F118" s="547">
        <v>6</v>
      </c>
      <c r="G118" s="547"/>
      <c r="H118" s="547"/>
      <c r="I118" s="547"/>
      <c r="J118" s="547"/>
      <c r="K118" s="547"/>
      <c r="L118" s="547"/>
      <c r="M118" s="547"/>
      <c r="N118" s="547"/>
      <c r="O118" s="547"/>
      <c r="P118" s="547"/>
      <c r="Q118" s="989">
        <f t="shared" si="5"/>
        <v>6</v>
      </c>
      <c r="R118" s="547">
        <v>6</v>
      </c>
      <c r="S118" s="989">
        <f t="shared" si="8"/>
        <v>0</v>
      </c>
      <c r="T118" s="547">
        <f t="shared" si="8"/>
        <v>0</v>
      </c>
      <c r="U118" s="566"/>
      <c r="V118" s="567"/>
      <c r="W118" s="989">
        <f t="shared" si="9"/>
        <v>6</v>
      </c>
      <c r="X118" s="812">
        <f t="shared" si="6"/>
        <v>0</v>
      </c>
      <c r="Y118" s="835">
        <f t="shared" si="7"/>
        <v>0</v>
      </c>
    </row>
    <row r="119" spans="1:25" ht="27" customHeight="1">
      <c r="A119" s="531"/>
      <c r="B119" s="531">
        <v>1001</v>
      </c>
      <c r="C119" s="529">
        <v>10</v>
      </c>
      <c r="D119" s="1027" t="s">
        <v>55</v>
      </c>
      <c r="E119" s="1028" t="s">
        <v>547</v>
      </c>
      <c r="F119" s="547">
        <v>-1115243563</v>
      </c>
      <c r="G119" s="547"/>
      <c r="H119" s="547"/>
      <c r="I119" s="547"/>
      <c r="J119" s="547"/>
      <c r="K119" s="547"/>
      <c r="L119" s="547"/>
      <c r="M119" s="547"/>
      <c r="N119" s="547"/>
      <c r="O119" s="547"/>
      <c r="P119" s="547"/>
      <c r="Q119" s="989">
        <f t="shared" si="5"/>
        <v>-1115243563</v>
      </c>
      <c r="R119" s="547">
        <v>830224609</v>
      </c>
      <c r="S119" s="989">
        <f t="shared" si="8"/>
        <v>-1115</v>
      </c>
      <c r="T119" s="547">
        <f t="shared" si="8"/>
        <v>830</v>
      </c>
      <c r="U119" s="566"/>
      <c r="V119" s="567"/>
      <c r="W119" s="989">
        <f t="shared" si="9"/>
        <v>-1115243563</v>
      </c>
      <c r="X119" s="812">
        <f t="shared" si="6"/>
        <v>-1115</v>
      </c>
      <c r="Y119" s="835">
        <f t="shared" si="7"/>
        <v>0</v>
      </c>
    </row>
    <row r="120" spans="1:25" ht="27" customHeight="1">
      <c r="A120" s="531"/>
      <c r="B120" s="531">
        <v>1009</v>
      </c>
      <c r="C120" s="529">
        <v>10</v>
      </c>
      <c r="D120" s="1027" t="s">
        <v>56</v>
      </c>
      <c r="E120" s="1028" t="s">
        <v>597</v>
      </c>
      <c r="F120" s="547"/>
      <c r="G120" s="547"/>
      <c r="H120" s="547"/>
      <c r="I120" s="547"/>
      <c r="J120" s="547"/>
      <c r="K120" s="547"/>
      <c r="L120" s="547"/>
      <c r="M120" s="547"/>
      <c r="N120" s="547"/>
      <c r="O120" s="547"/>
      <c r="P120" s="547"/>
      <c r="Q120" s="989">
        <f t="shared" si="5"/>
        <v>0</v>
      </c>
      <c r="R120" s="547">
        <v>0</v>
      </c>
      <c r="S120" s="989">
        <f t="shared" si="8"/>
        <v>0</v>
      </c>
      <c r="T120" s="547">
        <f t="shared" si="8"/>
        <v>0</v>
      </c>
      <c r="U120" s="566"/>
      <c r="V120" s="567"/>
      <c r="W120" s="989">
        <f t="shared" si="9"/>
        <v>0</v>
      </c>
      <c r="X120" s="812">
        <f t="shared" si="6"/>
        <v>0</v>
      </c>
      <c r="Y120" s="835">
        <f t="shared" si="7"/>
        <v>0</v>
      </c>
    </row>
    <row r="121" spans="1:25" ht="27" customHeight="1">
      <c r="A121" s="531"/>
      <c r="B121" s="1092">
        <v>406</v>
      </c>
      <c r="C121" s="1021">
        <v>4</v>
      </c>
      <c r="D121" s="1027" t="s">
        <v>714</v>
      </c>
      <c r="E121" s="1028" t="s">
        <v>715</v>
      </c>
      <c r="F121" s="547">
        <v>283630791</v>
      </c>
      <c r="G121" s="547">
        <v>-84287597</v>
      </c>
      <c r="H121" s="547">
        <v>-126806202</v>
      </c>
      <c r="I121" s="547"/>
      <c r="J121" s="547"/>
      <c r="K121" s="547"/>
      <c r="L121" s="547"/>
      <c r="M121" s="547"/>
      <c r="N121" s="547"/>
      <c r="O121" s="547"/>
      <c r="P121" s="547"/>
      <c r="Q121" s="989">
        <f t="shared" si="5"/>
        <v>72536992</v>
      </c>
      <c r="R121" s="547">
        <v>-408253234</v>
      </c>
      <c r="S121" s="989">
        <f t="shared" si="8"/>
        <v>73</v>
      </c>
      <c r="T121" s="547">
        <f t="shared" si="8"/>
        <v>-408</v>
      </c>
      <c r="U121" s="566"/>
      <c r="V121" s="567"/>
      <c r="W121" s="989">
        <f t="shared" si="9"/>
        <v>72536992</v>
      </c>
      <c r="X121" s="812">
        <f t="shared" si="6"/>
        <v>73</v>
      </c>
      <c r="Y121" s="835">
        <f t="shared" si="7"/>
        <v>0</v>
      </c>
    </row>
    <row r="122" spans="1:25" ht="27" customHeight="1">
      <c r="A122" s="531"/>
      <c r="B122" s="531">
        <v>406</v>
      </c>
      <c r="C122" s="529">
        <v>4</v>
      </c>
      <c r="D122" s="1027" t="s">
        <v>412</v>
      </c>
      <c r="E122" s="1028" t="s">
        <v>17</v>
      </c>
      <c r="F122" s="547">
        <v>327756312</v>
      </c>
      <c r="G122" s="547"/>
      <c r="H122" s="547"/>
      <c r="I122" s="547"/>
      <c r="J122" s="547"/>
      <c r="K122" s="547"/>
      <c r="L122" s="547"/>
      <c r="M122" s="547"/>
      <c r="N122" s="547"/>
      <c r="O122" s="547"/>
      <c r="P122" s="547"/>
      <c r="Q122" s="989">
        <f t="shared" si="5"/>
        <v>327756312</v>
      </c>
      <c r="R122" s="547">
        <v>3400800</v>
      </c>
      <c r="S122" s="989">
        <f t="shared" si="8"/>
        <v>328</v>
      </c>
      <c r="T122" s="547">
        <f t="shared" si="8"/>
        <v>3</v>
      </c>
      <c r="U122" s="566"/>
      <c r="V122" s="567"/>
      <c r="W122" s="989">
        <f t="shared" si="9"/>
        <v>327756312</v>
      </c>
      <c r="X122" s="812">
        <f t="shared" si="6"/>
        <v>328</v>
      </c>
      <c r="Y122" s="835">
        <f t="shared" si="7"/>
        <v>0</v>
      </c>
    </row>
    <row r="123" spans="1:25" ht="27" customHeight="1">
      <c r="A123" s="531"/>
      <c r="B123" s="531">
        <v>1025</v>
      </c>
      <c r="C123" s="529">
        <v>10</v>
      </c>
      <c r="D123" s="1027" t="s">
        <v>57</v>
      </c>
      <c r="E123" s="1028" t="s">
        <v>137</v>
      </c>
      <c r="F123" s="547">
        <v>-12981471941</v>
      </c>
      <c r="G123" s="547">
        <v>-202560150</v>
      </c>
      <c r="H123" s="547">
        <v>-1051392418</v>
      </c>
      <c r="I123" s="547"/>
      <c r="J123" s="547"/>
      <c r="K123" s="547"/>
      <c r="L123" s="547"/>
      <c r="M123" s="547"/>
      <c r="N123" s="547"/>
      <c r="O123" s="547"/>
      <c r="P123" s="547"/>
      <c r="Q123" s="989">
        <f t="shared" si="5"/>
        <v>-14235424509</v>
      </c>
      <c r="R123" s="547">
        <v>-8996571556</v>
      </c>
      <c r="S123" s="989">
        <f t="shared" si="8"/>
        <v>-14235</v>
      </c>
      <c r="T123" s="547">
        <f t="shared" si="8"/>
        <v>-8997</v>
      </c>
      <c r="U123" s="566"/>
      <c r="V123" s="567"/>
      <c r="W123" s="989">
        <f t="shared" si="9"/>
        <v>-14235424509</v>
      </c>
      <c r="X123" s="812">
        <f t="shared" si="6"/>
        <v>-14235</v>
      </c>
      <c r="Y123" s="835">
        <f t="shared" si="7"/>
        <v>0</v>
      </c>
    </row>
    <row r="124" spans="1:25" ht="27" customHeight="1">
      <c r="A124" s="531"/>
      <c r="B124" s="531">
        <v>407</v>
      </c>
      <c r="C124" s="529">
        <v>4</v>
      </c>
      <c r="D124" s="1027" t="s">
        <v>58</v>
      </c>
      <c r="E124" s="1028" t="s">
        <v>139</v>
      </c>
      <c r="F124" s="547">
        <v>-625146229163</v>
      </c>
      <c r="G124" s="547"/>
      <c r="H124" s="547"/>
      <c r="I124" s="547">
        <v>625146229163</v>
      </c>
      <c r="J124" s="547"/>
      <c r="K124" s="547"/>
      <c r="L124" s="547"/>
      <c r="M124" s="547"/>
      <c r="N124" s="547"/>
      <c r="O124" s="547"/>
      <c r="P124" s="547"/>
      <c r="Q124" s="989">
        <f t="shared" si="5"/>
        <v>0</v>
      </c>
      <c r="R124" s="547">
        <v>0</v>
      </c>
      <c r="S124" s="989">
        <f t="shared" si="8"/>
        <v>0</v>
      </c>
      <c r="T124" s="547">
        <f t="shared" si="8"/>
        <v>0</v>
      </c>
      <c r="U124" s="566"/>
      <c r="V124" s="567"/>
      <c r="W124" s="989">
        <f t="shared" si="9"/>
        <v>0</v>
      </c>
      <c r="X124" s="812">
        <f t="shared" si="6"/>
        <v>0</v>
      </c>
      <c r="Y124" s="835">
        <f t="shared" si="7"/>
        <v>0</v>
      </c>
    </row>
    <row r="125" spans="1:25" ht="27" customHeight="1">
      <c r="A125" s="531"/>
      <c r="B125" s="531">
        <v>407</v>
      </c>
      <c r="C125" s="529">
        <v>4</v>
      </c>
      <c r="D125" s="1027" t="s">
        <v>1364</v>
      </c>
      <c r="E125" s="1028" t="s">
        <v>1365</v>
      </c>
      <c r="F125" s="547">
        <v>738563628989</v>
      </c>
      <c r="G125" s="547"/>
      <c r="H125" s="547">
        <v>46274692272</v>
      </c>
      <c r="I125" s="547">
        <v>-625185648732</v>
      </c>
      <c r="J125" s="547">
        <v>4341252</v>
      </c>
      <c r="K125" s="547"/>
      <c r="L125" s="547"/>
      <c r="M125" s="547">
        <v>-5427520</v>
      </c>
      <c r="N125" s="547"/>
      <c r="O125" s="547"/>
      <c r="P125" s="547"/>
      <c r="Q125" s="989">
        <f t="shared" si="5"/>
        <v>159651586261</v>
      </c>
      <c r="R125" s="547">
        <v>147114396047</v>
      </c>
      <c r="S125" s="989">
        <f t="shared" si="8"/>
        <v>159652</v>
      </c>
      <c r="T125" s="547">
        <f t="shared" si="8"/>
        <v>147114</v>
      </c>
      <c r="U125" s="566"/>
      <c r="V125" s="567"/>
      <c r="W125" s="989">
        <f t="shared" si="9"/>
        <v>159651586261</v>
      </c>
      <c r="X125" s="812">
        <f t="shared" si="6"/>
        <v>159652</v>
      </c>
      <c r="Y125" s="835">
        <f t="shared" si="7"/>
        <v>0</v>
      </c>
    </row>
    <row r="126" spans="1:25" ht="27" customHeight="1">
      <c r="A126" s="531">
        <v>1</v>
      </c>
      <c r="B126" s="531">
        <v>10040</v>
      </c>
      <c r="C126" s="529">
        <v>4</v>
      </c>
      <c r="D126" s="1027" t="s">
        <v>59</v>
      </c>
      <c r="E126" s="1028" t="s">
        <v>342</v>
      </c>
      <c r="F126" s="547">
        <v>4436302417759</v>
      </c>
      <c r="G126" s="547">
        <v>80283760</v>
      </c>
      <c r="H126" s="547">
        <v>-44626300276</v>
      </c>
      <c r="I126" s="547">
        <v>4054677527</v>
      </c>
      <c r="J126" s="547">
        <f>214908367907-229879780447</f>
        <v>-14971412540</v>
      </c>
      <c r="K126" s="547">
        <v>-1437757315600</v>
      </c>
      <c r="L126" s="547">
        <v>285673780</v>
      </c>
      <c r="M126" s="547">
        <v>-256844754</v>
      </c>
      <c r="N126" s="547"/>
      <c r="O126" s="547"/>
      <c r="P126" s="547">
        <v>-811602150699</v>
      </c>
      <c r="Q126" s="1007">
        <f t="shared" si="5"/>
        <v>2131509028957</v>
      </c>
      <c r="R126" s="547">
        <v>4682215367896</v>
      </c>
      <c r="S126" s="989">
        <f t="shared" si="8"/>
        <v>2131509</v>
      </c>
      <c r="T126" s="547">
        <f t="shared" si="8"/>
        <v>4682215</v>
      </c>
      <c r="U126" s="566"/>
      <c r="V126" s="567"/>
      <c r="W126" s="989">
        <f t="shared" si="9"/>
        <v>2131509028957</v>
      </c>
      <c r="X126" s="812">
        <f t="shared" si="6"/>
        <v>2131509</v>
      </c>
      <c r="Y126" s="835">
        <f t="shared" si="7"/>
        <v>0</v>
      </c>
    </row>
    <row r="127" spans="1:25" ht="27" customHeight="1">
      <c r="A127" s="531">
        <v>3214</v>
      </c>
      <c r="B127" s="531">
        <v>10040</v>
      </c>
      <c r="C127" s="529">
        <v>4</v>
      </c>
      <c r="D127" s="1027" t="s">
        <v>59</v>
      </c>
      <c r="E127" s="1028" t="s">
        <v>342</v>
      </c>
      <c r="F127" s="547"/>
      <c r="G127" s="547"/>
      <c r="H127" s="547"/>
      <c r="I127" s="547"/>
      <c r="J127" s="547">
        <v>229879780447</v>
      </c>
      <c r="K127" s="547"/>
      <c r="L127" s="547"/>
      <c r="M127" s="547">
        <v>0</v>
      </c>
      <c r="N127" s="547">
        <v>-116830509682</v>
      </c>
      <c r="O127" s="547"/>
      <c r="P127" s="547"/>
      <c r="Q127" s="1007">
        <f t="shared" si="5"/>
        <v>113049270765</v>
      </c>
      <c r="R127" s="547">
        <v>0</v>
      </c>
      <c r="S127" s="989">
        <f t="shared" si="8"/>
        <v>113049</v>
      </c>
      <c r="T127" s="547">
        <f t="shared" si="8"/>
        <v>0</v>
      </c>
      <c r="U127" s="566"/>
      <c r="V127" s="567"/>
      <c r="W127" s="989">
        <f t="shared" si="9"/>
        <v>113049270765</v>
      </c>
      <c r="X127" s="812">
        <f t="shared" si="6"/>
        <v>113049</v>
      </c>
      <c r="Y127" s="835">
        <f t="shared" si="7"/>
        <v>0</v>
      </c>
    </row>
    <row r="128" spans="1:25" ht="27" customHeight="1">
      <c r="A128" s="531"/>
      <c r="B128" s="531">
        <v>10040</v>
      </c>
      <c r="C128" s="529">
        <v>4</v>
      </c>
      <c r="D128" s="1027" t="s">
        <v>59</v>
      </c>
      <c r="E128" s="1028" t="s">
        <v>922</v>
      </c>
      <c r="F128" s="547"/>
      <c r="G128" s="547"/>
      <c r="H128" s="547"/>
      <c r="I128" s="547"/>
      <c r="J128" s="547"/>
      <c r="K128" s="547"/>
      <c r="L128" s="547"/>
      <c r="M128" s="547"/>
      <c r="N128" s="547"/>
      <c r="O128" s="547"/>
      <c r="P128" s="547"/>
      <c r="Q128" s="1007">
        <f t="shared" si="5"/>
        <v>0</v>
      </c>
      <c r="R128" s="547">
        <v>0</v>
      </c>
      <c r="S128" s="989">
        <f t="shared" si="8"/>
        <v>0</v>
      </c>
      <c r="T128" s="547">
        <f t="shared" si="8"/>
        <v>0</v>
      </c>
      <c r="U128" s="566"/>
      <c r="V128" s="567"/>
      <c r="W128" s="989">
        <f t="shared" si="9"/>
        <v>0</v>
      </c>
      <c r="X128" s="812">
        <f t="shared" si="6"/>
        <v>0</v>
      </c>
      <c r="Y128" s="835">
        <f t="shared" si="7"/>
        <v>0</v>
      </c>
    </row>
    <row r="129" spans="1:25" ht="27" customHeight="1">
      <c r="A129" s="531"/>
      <c r="B129" s="531">
        <v>1001</v>
      </c>
      <c r="C129" s="529">
        <v>10</v>
      </c>
      <c r="D129" s="1027" t="s">
        <v>378</v>
      </c>
      <c r="E129" s="1028" t="s">
        <v>957</v>
      </c>
      <c r="F129" s="547">
        <v>57960900</v>
      </c>
      <c r="G129" s="547">
        <v>-54922146</v>
      </c>
      <c r="H129" s="547"/>
      <c r="I129" s="547"/>
      <c r="J129" s="547">
        <f>-57960900+46753700</f>
        <v>-11207200</v>
      </c>
      <c r="K129" s="547"/>
      <c r="L129" s="547"/>
      <c r="M129" s="547"/>
      <c r="N129" s="547"/>
      <c r="O129" s="547"/>
      <c r="P129" s="547"/>
      <c r="Q129" s="989">
        <f t="shared" si="5"/>
        <v>-8168446</v>
      </c>
      <c r="R129" s="547">
        <v>57960900</v>
      </c>
      <c r="S129" s="989">
        <f t="shared" si="8"/>
        <v>-8</v>
      </c>
      <c r="T129" s="547">
        <f t="shared" si="8"/>
        <v>58</v>
      </c>
      <c r="U129" s="566"/>
      <c r="V129" s="567"/>
      <c r="W129" s="989">
        <f t="shared" si="9"/>
        <v>-8168446</v>
      </c>
      <c r="X129" s="812">
        <f t="shared" si="6"/>
        <v>-8</v>
      </c>
      <c r="Y129" s="835">
        <f t="shared" si="7"/>
        <v>0</v>
      </c>
    </row>
    <row r="130" spans="1:25" ht="27" customHeight="1">
      <c r="A130" s="531">
        <v>1</v>
      </c>
      <c r="B130" s="531">
        <v>1022</v>
      </c>
      <c r="C130" s="529">
        <v>10</v>
      </c>
      <c r="D130" s="1027" t="s">
        <v>60</v>
      </c>
      <c r="E130" s="1028" t="s">
        <v>1366</v>
      </c>
      <c r="F130" s="547">
        <v>-74340025724</v>
      </c>
      <c r="G130" s="547">
        <v>-6101257568</v>
      </c>
      <c r="H130" s="547">
        <v>-5455168445</v>
      </c>
      <c r="I130" s="547">
        <v>-220884089945</v>
      </c>
      <c r="J130" s="547">
        <v>-141766909</v>
      </c>
      <c r="K130" s="547">
        <v>-73403188</v>
      </c>
      <c r="L130" s="547"/>
      <c r="M130" s="547">
        <f>565173533400-10156</f>
        <v>565173523244</v>
      </c>
      <c r="N130" s="547">
        <v>-47663173</v>
      </c>
      <c r="O130" s="547"/>
      <c r="P130" s="547"/>
      <c r="Q130" s="1007">
        <f t="shared" si="5"/>
        <v>258130148292</v>
      </c>
      <c r="R130" s="547">
        <v>263350508357</v>
      </c>
      <c r="S130" s="989">
        <f t="shared" si="8"/>
        <v>258130</v>
      </c>
      <c r="T130" s="547">
        <f t="shared" si="8"/>
        <v>263351</v>
      </c>
      <c r="U130" s="566"/>
      <c r="V130" s="567"/>
      <c r="W130" s="989">
        <f t="shared" si="9"/>
        <v>258130148292</v>
      </c>
      <c r="X130" s="812">
        <f t="shared" si="6"/>
        <v>258130</v>
      </c>
      <c r="Y130" s="835">
        <f t="shared" si="7"/>
        <v>0</v>
      </c>
    </row>
    <row r="131" spans="1:25" ht="27" customHeight="1">
      <c r="A131" s="531">
        <v>7</v>
      </c>
      <c r="B131" s="531">
        <v>1022</v>
      </c>
      <c r="C131" s="529">
        <v>10</v>
      </c>
      <c r="D131" s="1027" t="s">
        <v>1322</v>
      </c>
      <c r="E131" s="1028" t="s">
        <v>777</v>
      </c>
      <c r="F131" s="547">
        <v>5651581118500</v>
      </c>
      <c r="G131" s="547">
        <v>286152890327</v>
      </c>
      <c r="H131" s="547">
        <v>511763643281</v>
      </c>
      <c r="I131" s="547">
        <v>220315681990</v>
      </c>
      <c r="J131" s="547">
        <v>-6669813334098</v>
      </c>
      <c r="K131" s="547"/>
      <c r="L131" s="547">
        <f>79585280860-1175642020000</f>
        <v>-1096056739140</v>
      </c>
      <c r="M131" s="547"/>
      <c r="N131" s="547"/>
      <c r="O131" s="547"/>
      <c r="P131" s="547">
        <v>-60913906874</v>
      </c>
      <c r="Q131" s="1007">
        <f t="shared" si="5"/>
        <v>-1156970646014</v>
      </c>
      <c r="R131" s="547">
        <v>788447278177</v>
      </c>
      <c r="S131" s="989">
        <f t="shared" si="8"/>
        <v>-1156971</v>
      </c>
      <c r="T131" s="547">
        <f t="shared" si="8"/>
        <v>788447</v>
      </c>
      <c r="U131" s="566"/>
      <c r="V131" s="567"/>
      <c r="W131" s="989">
        <f t="shared" si="9"/>
        <v>-1156970646014</v>
      </c>
      <c r="X131" s="812">
        <f t="shared" si="6"/>
        <v>-1156971</v>
      </c>
      <c r="Y131" s="835">
        <f t="shared" si="7"/>
        <v>0</v>
      </c>
    </row>
    <row r="132" spans="1:25" ht="27" customHeight="1">
      <c r="A132" s="531"/>
      <c r="B132" s="531">
        <v>406</v>
      </c>
      <c r="C132" s="529">
        <v>4</v>
      </c>
      <c r="D132" s="1027" t="s">
        <v>565</v>
      </c>
      <c r="E132" s="1028" t="s">
        <v>566</v>
      </c>
      <c r="F132" s="547">
        <v>1889867140</v>
      </c>
      <c r="G132" s="547"/>
      <c r="H132" s="547"/>
      <c r="I132" s="547"/>
      <c r="J132" s="547"/>
      <c r="K132" s="547"/>
      <c r="L132" s="547"/>
      <c r="M132" s="547"/>
      <c r="N132" s="547"/>
      <c r="O132" s="547"/>
      <c r="P132" s="547"/>
      <c r="Q132" s="989">
        <f t="shared" ref="Q132:Q195" si="10">SUM(F132:P132)</f>
        <v>1889867140</v>
      </c>
      <c r="R132" s="547">
        <v>1838070340</v>
      </c>
      <c r="S132" s="989">
        <f t="shared" si="8"/>
        <v>1890</v>
      </c>
      <c r="T132" s="547">
        <f t="shared" si="8"/>
        <v>1838</v>
      </c>
      <c r="U132" s="566"/>
      <c r="V132" s="567"/>
      <c r="W132" s="989">
        <f t="shared" si="9"/>
        <v>1889867140</v>
      </c>
      <c r="X132" s="812">
        <f t="shared" ref="X132:X195" si="11">ROUND((W132/1000000),0)</f>
        <v>1890</v>
      </c>
      <c r="Y132" s="835">
        <f t="shared" ref="Y132:Y195" si="12">S132-X132</f>
        <v>0</v>
      </c>
    </row>
    <row r="133" spans="1:25" ht="27" customHeight="1">
      <c r="A133" s="531"/>
      <c r="B133" s="1092">
        <v>406</v>
      </c>
      <c r="C133" s="1021">
        <v>4</v>
      </c>
      <c r="D133" s="1027" t="s">
        <v>567</v>
      </c>
      <c r="E133" s="1028" t="s">
        <v>776</v>
      </c>
      <c r="F133" s="547">
        <v>5765626714</v>
      </c>
      <c r="G133" s="547">
        <v>-36731467</v>
      </c>
      <c r="H133" s="547"/>
      <c r="I133" s="547"/>
      <c r="J133" s="547">
        <v>-143845480</v>
      </c>
      <c r="K133" s="547"/>
      <c r="L133" s="547"/>
      <c r="M133" s="547"/>
      <c r="N133" s="547"/>
      <c r="O133" s="547"/>
      <c r="P133" s="547"/>
      <c r="Q133" s="989">
        <f t="shared" si="10"/>
        <v>5585049767</v>
      </c>
      <c r="R133" s="547">
        <v>-516803680</v>
      </c>
      <c r="S133" s="989">
        <f t="shared" si="8"/>
        <v>5585</v>
      </c>
      <c r="T133" s="547">
        <f t="shared" si="8"/>
        <v>-517</v>
      </c>
      <c r="U133" s="566"/>
      <c r="V133" s="567"/>
      <c r="W133" s="989">
        <f t="shared" si="9"/>
        <v>5585049767</v>
      </c>
      <c r="X133" s="812">
        <f t="shared" si="11"/>
        <v>5585</v>
      </c>
      <c r="Y133" s="835">
        <f t="shared" si="12"/>
        <v>0</v>
      </c>
    </row>
    <row r="134" spans="1:25" ht="27" customHeight="1">
      <c r="A134" s="531"/>
      <c r="B134" s="531">
        <v>406</v>
      </c>
      <c r="C134" s="529">
        <v>4</v>
      </c>
      <c r="D134" s="1027" t="s">
        <v>361</v>
      </c>
      <c r="E134" s="1028" t="s">
        <v>253</v>
      </c>
      <c r="F134" s="547">
        <v>6746905</v>
      </c>
      <c r="G134" s="547"/>
      <c r="H134" s="547"/>
      <c r="I134" s="547"/>
      <c r="J134" s="547"/>
      <c r="K134" s="547"/>
      <c r="L134" s="547"/>
      <c r="M134" s="547"/>
      <c r="N134" s="547"/>
      <c r="O134" s="547"/>
      <c r="P134" s="547"/>
      <c r="Q134" s="989">
        <f t="shared" si="10"/>
        <v>6746905</v>
      </c>
      <c r="R134" s="547">
        <v>0</v>
      </c>
      <c r="S134" s="989">
        <f t="shared" si="8"/>
        <v>7</v>
      </c>
      <c r="T134" s="547">
        <f t="shared" si="8"/>
        <v>0</v>
      </c>
      <c r="U134" s="566"/>
      <c r="V134" s="567"/>
      <c r="W134" s="989">
        <f t="shared" si="9"/>
        <v>6746905</v>
      </c>
      <c r="X134" s="812">
        <f t="shared" si="11"/>
        <v>7</v>
      </c>
      <c r="Y134" s="835">
        <f t="shared" si="12"/>
        <v>0</v>
      </c>
    </row>
    <row r="135" spans="1:25" ht="27" customHeight="1">
      <c r="A135" s="531">
        <v>3215</v>
      </c>
      <c r="B135" s="531">
        <v>1028</v>
      </c>
      <c r="C135" s="529">
        <v>10</v>
      </c>
      <c r="D135" s="1027" t="s">
        <v>568</v>
      </c>
      <c r="E135" s="1028" t="s">
        <v>153</v>
      </c>
      <c r="F135" s="547">
        <v>-64331760478</v>
      </c>
      <c r="G135" s="547">
        <v>-6715030867</v>
      </c>
      <c r="H135" s="547">
        <v>-334924169</v>
      </c>
      <c r="I135" s="547">
        <v>-4342957157</v>
      </c>
      <c r="J135" s="547">
        <v>-9811</v>
      </c>
      <c r="K135" s="547">
        <v>-9000</v>
      </c>
      <c r="L135" s="547"/>
      <c r="M135" s="547"/>
      <c r="N135" s="547"/>
      <c r="O135" s="547"/>
      <c r="P135" s="547"/>
      <c r="Q135" s="989">
        <f t="shared" si="10"/>
        <v>-75724691482</v>
      </c>
      <c r="R135" s="547">
        <v>-27918116578</v>
      </c>
      <c r="S135" s="989">
        <f t="shared" si="8"/>
        <v>-75725</v>
      </c>
      <c r="T135" s="547">
        <f t="shared" si="8"/>
        <v>-27918</v>
      </c>
      <c r="U135" s="566"/>
      <c r="V135" s="567"/>
      <c r="W135" s="989">
        <f t="shared" si="9"/>
        <v>-75724691482</v>
      </c>
      <c r="X135" s="812">
        <f t="shared" si="11"/>
        <v>-75725</v>
      </c>
      <c r="Y135" s="835">
        <f t="shared" si="12"/>
        <v>0</v>
      </c>
    </row>
    <row r="136" spans="1:25" ht="27" customHeight="1">
      <c r="A136" s="531"/>
      <c r="B136" s="531">
        <v>406</v>
      </c>
      <c r="C136" s="529">
        <v>4</v>
      </c>
      <c r="D136" s="1027" t="s">
        <v>254</v>
      </c>
      <c r="E136" s="1028" t="s">
        <v>958</v>
      </c>
      <c r="F136" s="547">
        <v>11588814304</v>
      </c>
      <c r="G136" s="547">
        <v>13871892556</v>
      </c>
      <c r="H136" s="547"/>
      <c r="I136" s="547"/>
      <c r="J136" s="547"/>
      <c r="K136" s="547"/>
      <c r="L136" s="547"/>
      <c r="M136" s="547"/>
      <c r="N136" s="547"/>
      <c r="O136" s="547"/>
      <c r="P136" s="547"/>
      <c r="Q136" s="989">
        <f t="shared" si="10"/>
        <v>25460706860</v>
      </c>
      <c r="R136" s="547">
        <v>19017089977</v>
      </c>
      <c r="S136" s="989">
        <f t="shared" ref="S136:T201" si="13">ROUND((Q136/1000000),0)</f>
        <v>25461</v>
      </c>
      <c r="T136" s="547">
        <f t="shared" si="13"/>
        <v>19017</v>
      </c>
      <c r="U136" s="566"/>
      <c r="V136" s="567"/>
      <c r="W136" s="989">
        <f t="shared" si="9"/>
        <v>25460706860</v>
      </c>
      <c r="X136" s="812">
        <f t="shared" si="11"/>
        <v>25461</v>
      </c>
      <c r="Y136" s="835">
        <f t="shared" si="12"/>
        <v>0</v>
      </c>
    </row>
    <row r="137" spans="1:25" ht="27" customHeight="1">
      <c r="A137" s="531"/>
      <c r="B137" s="531">
        <v>1001</v>
      </c>
      <c r="C137" s="529">
        <v>10</v>
      </c>
      <c r="D137" s="1027" t="s">
        <v>569</v>
      </c>
      <c r="E137" s="1028" t="s">
        <v>960</v>
      </c>
      <c r="F137" s="547">
        <v>-3109739595</v>
      </c>
      <c r="G137" s="547">
        <v>-10591829</v>
      </c>
      <c r="H137" s="547"/>
      <c r="I137" s="547"/>
      <c r="J137" s="547"/>
      <c r="K137" s="547"/>
      <c r="L137" s="547"/>
      <c r="M137" s="547"/>
      <c r="N137" s="547"/>
      <c r="O137" s="547"/>
      <c r="P137" s="547"/>
      <c r="Q137" s="989">
        <f t="shared" si="10"/>
        <v>-3120331424</v>
      </c>
      <c r="R137" s="547">
        <v>0</v>
      </c>
      <c r="S137" s="989">
        <f t="shared" si="13"/>
        <v>-3120</v>
      </c>
      <c r="T137" s="547">
        <f t="shared" si="13"/>
        <v>0</v>
      </c>
      <c r="U137" s="566"/>
      <c r="V137" s="567"/>
      <c r="W137" s="989">
        <f t="shared" ref="W137:W202" si="14">Q137+V137-U137</f>
        <v>-3120331424</v>
      </c>
      <c r="X137" s="812">
        <f t="shared" si="11"/>
        <v>-3120</v>
      </c>
      <c r="Y137" s="835">
        <f t="shared" si="12"/>
        <v>0</v>
      </c>
    </row>
    <row r="138" spans="1:25" ht="27" customHeight="1">
      <c r="A138" s="531"/>
      <c r="B138" s="531">
        <v>406</v>
      </c>
      <c r="C138" s="529">
        <v>4</v>
      </c>
      <c r="D138" s="1027" t="s">
        <v>959</v>
      </c>
      <c r="E138" s="1028" t="s">
        <v>961</v>
      </c>
      <c r="F138" s="547">
        <v>1319356788</v>
      </c>
      <c r="G138" s="547"/>
      <c r="H138" s="547"/>
      <c r="I138" s="547"/>
      <c r="J138" s="547"/>
      <c r="K138" s="547"/>
      <c r="L138" s="547"/>
      <c r="M138" s="547"/>
      <c r="N138" s="547"/>
      <c r="O138" s="547"/>
      <c r="P138" s="547"/>
      <c r="Q138" s="989">
        <f t="shared" si="10"/>
        <v>1319356788</v>
      </c>
      <c r="R138" s="547">
        <v>1818151118</v>
      </c>
      <c r="S138" s="989">
        <f t="shared" si="13"/>
        <v>1319</v>
      </c>
      <c r="T138" s="547">
        <f t="shared" si="13"/>
        <v>1818</v>
      </c>
      <c r="U138" s="566"/>
      <c r="V138" s="567"/>
      <c r="W138" s="989">
        <f t="shared" si="14"/>
        <v>1319356788</v>
      </c>
      <c r="X138" s="812">
        <f t="shared" si="11"/>
        <v>1319</v>
      </c>
      <c r="Y138" s="835">
        <f t="shared" si="12"/>
        <v>0</v>
      </c>
    </row>
    <row r="139" spans="1:25" ht="27" customHeight="1">
      <c r="A139" s="531"/>
      <c r="B139" s="531">
        <v>406</v>
      </c>
      <c r="C139" s="529">
        <v>4</v>
      </c>
      <c r="D139" s="1027" t="s">
        <v>732</v>
      </c>
      <c r="E139" s="1028" t="s">
        <v>962</v>
      </c>
      <c r="F139" s="547"/>
      <c r="G139" s="547"/>
      <c r="H139" s="547"/>
      <c r="I139" s="547"/>
      <c r="J139" s="547"/>
      <c r="K139" s="547"/>
      <c r="L139" s="547"/>
      <c r="M139" s="547"/>
      <c r="N139" s="547"/>
      <c r="O139" s="547"/>
      <c r="P139" s="547"/>
      <c r="Q139" s="989">
        <f t="shared" si="10"/>
        <v>0</v>
      </c>
      <c r="R139" s="547">
        <v>0</v>
      </c>
      <c r="S139" s="989">
        <f t="shared" si="13"/>
        <v>0</v>
      </c>
      <c r="T139" s="547">
        <f t="shared" si="13"/>
        <v>0</v>
      </c>
      <c r="U139" s="566"/>
      <c r="V139" s="567"/>
      <c r="W139" s="989">
        <f t="shared" si="14"/>
        <v>0</v>
      </c>
      <c r="X139" s="812">
        <f t="shared" si="11"/>
        <v>0</v>
      </c>
      <c r="Y139" s="835">
        <f t="shared" si="12"/>
        <v>0</v>
      </c>
    </row>
    <row r="140" spans="1:25" ht="27" customHeight="1">
      <c r="A140" s="531"/>
      <c r="B140" s="531">
        <v>406</v>
      </c>
      <c r="C140" s="529">
        <v>4</v>
      </c>
      <c r="D140" s="1027" t="s">
        <v>570</v>
      </c>
      <c r="E140" s="1028" t="s">
        <v>257</v>
      </c>
      <c r="F140" s="547">
        <v>598377228</v>
      </c>
      <c r="G140" s="547"/>
      <c r="H140" s="547"/>
      <c r="I140" s="547"/>
      <c r="J140" s="547"/>
      <c r="K140" s="547"/>
      <c r="L140" s="547"/>
      <c r="M140" s="547"/>
      <c r="N140" s="547"/>
      <c r="O140" s="547"/>
      <c r="P140" s="547"/>
      <c r="Q140" s="989">
        <f t="shared" si="10"/>
        <v>598377228</v>
      </c>
      <c r="R140" s="547">
        <v>583227100</v>
      </c>
      <c r="S140" s="989">
        <f t="shared" si="13"/>
        <v>598</v>
      </c>
      <c r="T140" s="547">
        <f t="shared" si="13"/>
        <v>583</v>
      </c>
      <c r="U140" s="566"/>
      <c r="V140" s="567"/>
      <c r="W140" s="989">
        <f t="shared" si="14"/>
        <v>598377228</v>
      </c>
      <c r="X140" s="812">
        <f t="shared" si="11"/>
        <v>598</v>
      </c>
      <c r="Y140" s="835">
        <f t="shared" si="12"/>
        <v>0</v>
      </c>
    </row>
    <row r="141" spans="1:25" ht="27" customHeight="1">
      <c r="A141" s="531"/>
      <c r="B141" s="531">
        <v>406</v>
      </c>
      <c r="C141" s="529">
        <v>4</v>
      </c>
      <c r="D141" s="1027" t="s">
        <v>256</v>
      </c>
      <c r="E141" s="1028" t="s">
        <v>258</v>
      </c>
      <c r="F141" s="547"/>
      <c r="G141" s="547"/>
      <c r="H141" s="547"/>
      <c r="I141" s="547"/>
      <c r="J141" s="547"/>
      <c r="K141" s="547"/>
      <c r="L141" s="547"/>
      <c r="M141" s="547"/>
      <c r="N141" s="547"/>
      <c r="O141" s="547"/>
      <c r="P141" s="547"/>
      <c r="Q141" s="989">
        <f t="shared" si="10"/>
        <v>0</v>
      </c>
      <c r="R141" s="547">
        <v>0</v>
      </c>
      <c r="S141" s="989">
        <f t="shared" si="13"/>
        <v>0</v>
      </c>
      <c r="T141" s="547">
        <f t="shared" si="13"/>
        <v>0</v>
      </c>
      <c r="U141" s="566"/>
      <c r="V141" s="567"/>
      <c r="W141" s="989">
        <f t="shared" si="14"/>
        <v>0</v>
      </c>
      <c r="X141" s="812">
        <f t="shared" si="11"/>
        <v>0</v>
      </c>
      <c r="Y141" s="835">
        <f t="shared" si="12"/>
        <v>0</v>
      </c>
    </row>
    <row r="142" spans="1:25" ht="27" customHeight="1">
      <c r="A142" s="531"/>
      <c r="B142" s="531">
        <v>406</v>
      </c>
      <c r="C142" s="529">
        <v>4</v>
      </c>
      <c r="D142" s="1027" t="s">
        <v>571</v>
      </c>
      <c r="E142" s="1028" t="s">
        <v>259</v>
      </c>
      <c r="F142" s="547">
        <v>113360000</v>
      </c>
      <c r="G142" s="547">
        <v>13080000</v>
      </c>
      <c r="H142" s="547"/>
      <c r="I142" s="547">
        <v>13080000</v>
      </c>
      <c r="J142" s="547"/>
      <c r="K142" s="547"/>
      <c r="L142" s="547"/>
      <c r="M142" s="547"/>
      <c r="N142" s="547"/>
      <c r="O142" s="547"/>
      <c r="P142" s="547"/>
      <c r="Q142" s="989">
        <f t="shared" si="10"/>
        <v>139520000</v>
      </c>
      <c r="R142" s="547">
        <v>74120000</v>
      </c>
      <c r="S142" s="989">
        <f t="shared" si="13"/>
        <v>140</v>
      </c>
      <c r="T142" s="547">
        <f t="shared" si="13"/>
        <v>74</v>
      </c>
      <c r="U142" s="566"/>
      <c r="V142" s="567"/>
      <c r="W142" s="989">
        <f t="shared" si="14"/>
        <v>139520000</v>
      </c>
      <c r="X142" s="812">
        <f t="shared" si="11"/>
        <v>140</v>
      </c>
      <c r="Y142" s="835">
        <f t="shared" si="12"/>
        <v>0</v>
      </c>
    </row>
    <row r="143" spans="1:25" ht="27" customHeight="1">
      <c r="A143" s="531"/>
      <c r="B143" s="531">
        <v>406</v>
      </c>
      <c r="C143" s="529">
        <v>4</v>
      </c>
      <c r="D143" s="1027" t="s">
        <v>963</v>
      </c>
      <c r="E143" s="1028" t="s">
        <v>964</v>
      </c>
      <c r="F143" s="547">
        <v>173804400</v>
      </c>
      <c r="G143" s="547"/>
      <c r="H143" s="547"/>
      <c r="I143" s="547"/>
      <c r="J143" s="547"/>
      <c r="K143" s="547"/>
      <c r="L143" s="547"/>
      <c r="M143" s="547"/>
      <c r="N143" s="547"/>
      <c r="O143" s="547"/>
      <c r="P143" s="547"/>
      <c r="Q143" s="989">
        <f t="shared" si="10"/>
        <v>173804400</v>
      </c>
      <c r="R143" s="547">
        <v>113374800</v>
      </c>
      <c r="S143" s="989">
        <f t="shared" si="13"/>
        <v>174</v>
      </c>
      <c r="T143" s="547">
        <f t="shared" si="13"/>
        <v>113</v>
      </c>
      <c r="U143" s="566"/>
      <c r="V143" s="567"/>
      <c r="W143" s="989">
        <f t="shared" si="14"/>
        <v>173804400</v>
      </c>
      <c r="X143" s="812">
        <f t="shared" si="11"/>
        <v>174</v>
      </c>
      <c r="Y143" s="835">
        <f t="shared" si="12"/>
        <v>0</v>
      </c>
    </row>
    <row r="144" spans="1:25" ht="27" customHeight="1">
      <c r="A144" s="531"/>
      <c r="B144" s="531">
        <v>406</v>
      </c>
      <c r="C144" s="529">
        <v>4</v>
      </c>
      <c r="D144" s="1027" t="s">
        <v>643</v>
      </c>
      <c r="E144" s="1028" t="s">
        <v>642</v>
      </c>
      <c r="F144" s="547">
        <v>209992860</v>
      </c>
      <c r="G144" s="547"/>
      <c r="H144" s="547"/>
      <c r="I144" s="547"/>
      <c r="J144" s="547"/>
      <c r="K144" s="547"/>
      <c r="L144" s="547"/>
      <c r="M144" s="547"/>
      <c r="N144" s="547"/>
      <c r="O144" s="547"/>
      <c r="P144" s="547"/>
      <c r="Q144" s="989">
        <f t="shared" si="10"/>
        <v>209992860</v>
      </c>
      <c r="R144" s="547">
        <v>2786845820</v>
      </c>
      <c r="S144" s="989">
        <f t="shared" si="13"/>
        <v>210</v>
      </c>
      <c r="T144" s="547">
        <f t="shared" si="13"/>
        <v>2787</v>
      </c>
      <c r="U144" s="566"/>
      <c r="V144" s="567"/>
      <c r="W144" s="989">
        <f t="shared" si="14"/>
        <v>209992860</v>
      </c>
      <c r="X144" s="812">
        <f t="shared" si="11"/>
        <v>210</v>
      </c>
      <c r="Y144" s="835">
        <f t="shared" si="12"/>
        <v>0</v>
      </c>
    </row>
    <row r="145" spans="1:25" ht="27" customHeight="1">
      <c r="A145" s="531"/>
      <c r="B145" s="531">
        <v>406</v>
      </c>
      <c r="C145" s="529">
        <v>4</v>
      </c>
      <c r="D145" s="1027" t="s">
        <v>572</v>
      </c>
      <c r="E145" s="1028" t="s">
        <v>168</v>
      </c>
      <c r="F145" s="547">
        <v>1195289325</v>
      </c>
      <c r="G145" s="547"/>
      <c r="H145" s="547"/>
      <c r="I145" s="547">
        <v>323234911</v>
      </c>
      <c r="J145" s="547">
        <v>-304112338</v>
      </c>
      <c r="K145" s="547"/>
      <c r="L145" s="547"/>
      <c r="M145" s="547"/>
      <c r="N145" s="547"/>
      <c r="O145" s="547"/>
      <c r="P145" s="547"/>
      <c r="Q145" s="989">
        <f t="shared" si="10"/>
        <v>1214411898</v>
      </c>
      <c r="R145" s="547">
        <v>2020436105</v>
      </c>
      <c r="S145" s="989">
        <f t="shared" si="13"/>
        <v>1214</v>
      </c>
      <c r="T145" s="547">
        <f t="shared" si="13"/>
        <v>2020</v>
      </c>
      <c r="U145" s="566"/>
      <c r="V145" s="567"/>
      <c r="W145" s="989">
        <f t="shared" si="14"/>
        <v>1214411898</v>
      </c>
      <c r="X145" s="812">
        <f t="shared" si="11"/>
        <v>1214</v>
      </c>
      <c r="Y145" s="835">
        <f t="shared" si="12"/>
        <v>0</v>
      </c>
    </row>
    <row r="146" spans="1:25" ht="27" customHeight="1">
      <c r="A146" s="531"/>
      <c r="B146" s="531">
        <v>1001</v>
      </c>
      <c r="C146" s="529">
        <v>10</v>
      </c>
      <c r="D146" s="1027" t="s">
        <v>573</v>
      </c>
      <c r="E146" s="1028" t="s">
        <v>965</v>
      </c>
      <c r="F146" s="547">
        <v>-120753402</v>
      </c>
      <c r="G146" s="547">
        <v>-20711253</v>
      </c>
      <c r="H146" s="547">
        <v>-23392146</v>
      </c>
      <c r="I146" s="547">
        <v>-135834708</v>
      </c>
      <c r="J146" s="547">
        <v>-30109637</v>
      </c>
      <c r="K146" s="547"/>
      <c r="L146" s="547"/>
      <c r="M146" s="547"/>
      <c r="N146" s="547"/>
      <c r="O146" s="547"/>
      <c r="P146" s="547"/>
      <c r="Q146" s="989">
        <f t="shared" si="10"/>
        <v>-330801146</v>
      </c>
      <c r="R146" s="547">
        <v>-217319646</v>
      </c>
      <c r="S146" s="989">
        <f t="shared" si="13"/>
        <v>-331</v>
      </c>
      <c r="T146" s="547">
        <f t="shared" si="13"/>
        <v>-217</v>
      </c>
      <c r="U146" s="566"/>
      <c r="V146" s="567"/>
      <c r="W146" s="989">
        <f t="shared" si="14"/>
        <v>-330801146</v>
      </c>
      <c r="X146" s="812">
        <f t="shared" si="11"/>
        <v>-331</v>
      </c>
      <c r="Y146" s="835">
        <f t="shared" si="12"/>
        <v>0</v>
      </c>
    </row>
    <row r="147" spans="1:25" ht="27" customHeight="1">
      <c r="A147" s="531"/>
      <c r="B147" s="531">
        <v>1001</v>
      </c>
      <c r="C147" s="529">
        <v>10</v>
      </c>
      <c r="D147" s="1027" t="s">
        <v>575</v>
      </c>
      <c r="E147" s="1028" t="s">
        <v>1567</v>
      </c>
      <c r="F147" s="547">
        <v>-2413080</v>
      </c>
      <c r="G147" s="547"/>
      <c r="H147" s="547"/>
      <c r="I147" s="547"/>
      <c r="J147" s="547"/>
      <c r="K147" s="547"/>
      <c r="L147" s="547"/>
      <c r="M147" s="547"/>
      <c r="N147" s="547"/>
      <c r="O147" s="547"/>
      <c r="P147" s="547"/>
      <c r="Q147" s="989">
        <f t="shared" si="10"/>
        <v>-2413080</v>
      </c>
      <c r="R147" s="547">
        <v>0</v>
      </c>
      <c r="S147" s="989">
        <f t="shared" si="13"/>
        <v>-2</v>
      </c>
      <c r="T147" s="547">
        <f t="shared" si="13"/>
        <v>0</v>
      </c>
      <c r="U147" s="566"/>
      <c r="V147" s="567"/>
      <c r="W147" s="989">
        <f t="shared" si="14"/>
        <v>-2413080</v>
      </c>
      <c r="X147" s="812">
        <f t="shared" si="11"/>
        <v>-2</v>
      </c>
      <c r="Y147" s="835">
        <f t="shared" si="12"/>
        <v>0</v>
      </c>
    </row>
    <row r="148" spans="1:25" ht="27" customHeight="1">
      <c r="A148" s="531"/>
      <c r="B148" s="531">
        <v>1018</v>
      </c>
      <c r="C148" s="529">
        <v>10</v>
      </c>
      <c r="D148" s="1027" t="s">
        <v>577</v>
      </c>
      <c r="E148" s="1028" t="s">
        <v>578</v>
      </c>
      <c r="F148" s="547">
        <v>-5454014426</v>
      </c>
      <c r="G148" s="547">
        <v>-243002345</v>
      </c>
      <c r="H148" s="547">
        <v>-2381437</v>
      </c>
      <c r="I148" s="547">
        <v>-332906124</v>
      </c>
      <c r="J148" s="547">
        <v>-12692772</v>
      </c>
      <c r="K148" s="547"/>
      <c r="L148" s="547"/>
      <c r="M148" s="547"/>
      <c r="N148" s="547"/>
      <c r="O148" s="547"/>
      <c r="P148" s="547"/>
      <c r="Q148" s="989">
        <f t="shared" si="10"/>
        <v>-6044997104</v>
      </c>
      <c r="R148" s="547">
        <v>-18307201136</v>
      </c>
      <c r="S148" s="989">
        <f t="shared" si="13"/>
        <v>-6045</v>
      </c>
      <c r="T148" s="547">
        <f t="shared" si="13"/>
        <v>-18307</v>
      </c>
      <c r="U148" s="566"/>
      <c r="V148" s="567"/>
      <c r="W148" s="989">
        <f t="shared" si="14"/>
        <v>-6044997104</v>
      </c>
      <c r="X148" s="812">
        <f t="shared" si="11"/>
        <v>-6045</v>
      </c>
      <c r="Y148" s="835">
        <f t="shared" si="12"/>
        <v>0</v>
      </c>
    </row>
    <row r="149" spans="1:25" ht="27" customHeight="1">
      <c r="A149" s="531"/>
      <c r="B149" s="531">
        <v>1001</v>
      </c>
      <c r="C149" s="529">
        <v>10</v>
      </c>
      <c r="D149" s="1027" t="s">
        <v>1176</v>
      </c>
      <c r="E149" s="1028" t="s">
        <v>1177</v>
      </c>
      <c r="F149" s="547">
        <v>-1876262588</v>
      </c>
      <c r="G149" s="547"/>
      <c r="H149" s="547"/>
      <c r="I149" s="547"/>
      <c r="J149" s="547"/>
      <c r="K149" s="547"/>
      <c r="L149" s="547"/>
      <c r="M149" s="547"/>
      <c r="N149" s="547"/>
      <c r="O149" s="547"/>
      <c r="P149" s="547"/>
      <c r="Q149" s="989">
        <f t="shared" si="10"/>
        <v>-1876262588</v>
      </c>
      <c r="R149" s="547">
        <v>-1909616588</v>
      </c>
      <c r="S149" s="989">
        <f t="shared" si="13"/>
        <v>-1876</v>
      </c>
      <c r="T149" s="547">
        <f t="shared" si="13"/>
        <v>-1910</v>
      </c>
      <c r="U149" s="566"/>
      <c r="V149" s="567"/>
      <c r="W149" s="989">
        <f t="shared" si="14"/>
        <v>-1876262588</v>
      </c>
      <c r="X149" s="812">
        <f t="shared" si="11"/>
        <v>-1876</v>
      </c>
      <c r="Y149" s="835">
        <f t="shared" si="12"/>
        <v>0</v>
      </c>
    </row>
    <row r="150" spans="1:25" ht="27" customHeight="1">
      <c r="A150" s="531"/>
      <c r="B150" s="531">
        <v>406</v>
      </c>
      <c r="C150" s="529">
        <v>4</v>
      </c>
      <c r="D150" s="1027" t="s">
        <v>579</v>
      </c>
      <c r="E150" s="1028" t="s">
        <v>580</v>
      </c>
      <c r="F150" s="547">
        <v>2531362670</v>
      </c>
      <c r="G150" s="547"/>
      <c r="H150" s="547"/>
      <c r="I150" s="547"/>
      <c r="J150" s="547"/>
      <c r="K150" s="547"/>
      <c r="L150" s="547"/>
      <c r="M150" s="547"/>
      <c r="N150" s="547"/>
      <c r="O150" s="547"/>
      <c r="P150" s="547"/>
      <c r="Q150" s="989">
        <f t="shared" si="10"/>
        <v>2531362670</v>
      </c>
      <c r="R150" s="547">
        <v>2531362670</v>
      </c>
      <c r="S150" s="989">
        <f t="shared" si="13"/>
        <v>2531</v>
      </c>
      <c r="T150" s="547">
        <f t="shared" si="13"/>
        <v>2531</v>
      </c>
      <c r="U150" s="566"/>
      <c r="V150" s="567"/>
      <c r="W150" s="989">
        <f t="shared" si="14"/>
        <v>2531362670</v>
      </c>
      <c r="X150" s="812">
        <f t="shared" si="11"/>
        <v>2531</v>
      </c>
      <c r="Y150" s="835">
        <f t="shared" si="12"/>
        <v>0</v>
      </c>
    </row>
    <row r="151" spans="1:25" ht="27" customHeight="1">
      <c r="A151" s="531"/>
      <c r="B151" s="531">
        <v>406</v>
      </c>
      <c r="C151" s="529">
        <v>4</v>
      </c>
      <c r="D151" s="1027" t="s">
        <v>581</v>
      </c>
      <c r="E151" s="1028" t="s">
        <v>755</v>
      </c>
      <c r="F151" s="547">
        <v>4234561871</v>
      </c>
      <c r="G151" s="547">
        <v>6432932470</v>
      </c>
      <c r="H151" s="547"/>
      <c r="I151" s="547"/>
      <c r="J151" s="547"/>
      <c r="K151" s="547"/>
      <c r="L151" s="547"/>
      <c r="M151" s="547"/>
      <c r="N151" s="547"/>
      <c r="O151" s="547"/>
      <c r="P151" s="547"/>
      <c r="Q151" s="989">
        <f t="shared" si="10"/>
        <v>10667494341</v>
      </c>
      <c r="R151" s="547">
        <v>18159151275</v>
      </c>
      <c r="S151" s="989">
        <f t="shared" si="13"/>
        <v>10667</v>
      </c>
      <c r="T151" s="547">
        <f t="shared" si="13"/>
        <v>18159</v>
      </c>
      <c r="U151" s="566"/>
      <c r="V151" s="567"/>
      <c r="W151" s="989">
        <f t="shared" si="14"/>
        <v>10667494341</v>
      </c>
      <c r="X151" s="812">
        <f t="shared" si="11"/>
        <v>10667</v>
      </c>
      <c r="Y151" s="835">
        <f t="shared" si="12"/>
        <v>0</v>
      </c>
    </row>
    <row r="152" spans="1:25" ht="27" customHeight="1">
      <c r="A152" s="531"/>
      <c r="B152" s="531">
        <v>406</v>
      </c>
      <c r="C152" s="529">
        <v>4</v>
      </c>
      <c r="D152" s="1027" t="s">
        <v>881</v>
      </c>
      <c r="E152" s="1028" t="s">
        <v>882</v>
      </c>
      <c r="F152" s="547"/>
      <c r="G152" s="547"/>
      <c r="H152" s="547"/>
      <c r="I152" s="547"/>
      <c r="J152" s="547"/>
      <c r="K152" s="547"/>
      <c r="L152" s="547"/>
      <c r="M152" s="547"/>
      <c r="N152" s="547"/>
      <c r="O152" s="547"/>
      <c r="P152" s="547"/>
      <c r="Q152" s="989">
        <f t="shared" si="10"/>
        <v>0</v>
      </c>
      <c r="R152" s="547">
        <v>0</v>
      </c>
      <c r="S152" s="989">
        <f t="shared" si="13"/>
        <v>0</v>
      </c>
      <c r="T152" s="547">
        <f t="shared" si="13"/>
        <v>0</v>
      </c>
      <c r="U152" s="566"/>
      <c r="V152" s="567"/>
      <c r="W152" s="989">
        <f t="shared" si="14"/>
        <v>0</v>
      </c>
      <c r="X152" s="812">
        <f t="shared" si="11"/>
        <v>0</v>
      </c>
      <c r="Y152" s="835">
        <f t="shared" si="12"/>
        <v>0</v>
      </c>
    </row>
    <row r="153" spans="1:25" ht="27" customHeight="1">
      <c r="A153" s="531"/>
      <c r="B153" s="531">
        <v>1001</v>
      </c>
      <c r="C153" s="529">
        <v>10</v>
      </c>
      <c r="D153" s="1027" t="s">
        <v>582</v>
      </c>
      <c r="E153" s="1028" t="s">
        <v>583</v>
      </c>
      <c r="F153" s="547">
        <v>-1444130799</v>
      </c>
      <c r="G153" s="547">
        <v>-610584149</v>
      </c>
      <c r="H153" s="547"/>
      <c r="I153" s="547"/>
      <c r="J153" s="547"/>
      <c r="K153" s="547"/>
      <c r="L153" s="547"/>
      <c r="M153" s="547"/>
      <c r="N153" s="547"/>
      <c r="O153" s="547"/>
      <c r="P153" s="547"/>
      <c r="Q153" s="989">
        <f t="shared" si="10"/>
        <v>-2054714948</v>
      </c>
      <c r="R153" s="547">
        <v>-2020464805</v>
      </c>
      <c r="S153" s="989">
        <f t="shared" si="13"/>
        <v>-2055</v>
      </c>
      <c r="T153" s="547">
        <f t="shared" si="13"/>
        <v>-2020</v>
      </c>
      <c r="U153" s="566"/>
      <c r="V153" s="567"/>
      <c r="W153" s="989">
        <f t="shared" si="14"/>
        <v>-2054714948</v>
      </c>
      <c r="X153" s="812">
        <f t="shared" si="11"/>
        <v>-2055</v>
      </c>
      <c r="Y153" s="835">
        <f t="shared" si="12"/>
        <v>0</v>
      </c>
    </row>
    <row r="154" spans="1:25" ht="27" customHeight="1">
      <c r="A154" s="531"/>
      <c r="B154" s="531">
        <v>406</v>
      </c>
      <c r="C154" s="529">
        <v>4</v>
      </c>
      <c r="D154" s="1027" t="s">
        <v>260</v>
      </c>
      <c r="E154" s="1028" t="s">
        <v>261</v>
      </c>
      <c r="F154" s="547">
        <v>91723500</v>
      </c>
      <c r="G154" s="547"/>
      <c r="H154" s="547"/>
      <c r="I154" s="547"/>
      <c r="J154" s="547"/>
      <c r="K154" s="547"/>
      <c r="L154" s="547"/>
      <c r="M154" s="547"/>
      <c r="N154" s="547"/>
      <c r="O154" s="547"/>
      <c r="P154" s="547"/>
      <c r="Q154" s="989">
        <f t="shared" si="10"/>
        <v>91723500</v>
      </c>
      <c r="R154" s="547">
        <v>58369500</v>
      </c>
      <c r="S154" s="989">
        <f t="shared" si="13"/>
        <v>92</v>
      </c>
      <c r="T154" s="547">
        <f t="shared" si="13"/>
        <v>58</v>
      </c>
      <c r="U154" s="566"/>
      <c r="V154" s="567"/>
      <c r="W154" s="989">
        <f t="shared" si="14"/>
        <v>91723500</v>
      </c>
      <c r="X154" s="812">
        <f t="shared" si="11"/>
        <v>92</v>
      </c>
      <c r="Y154" s="835">
        <f t="shared" si="12"/>
        <v>0</v>
      </c>
    </row>
    <row r="155" spans="1:25" ht="27" customHeight="1">
      <c r="A155" s="531"/>
      <c r="B155" s="531">
        <v>1001</v>
      </c>
      <c r="C155" s="529">
        <v>10</v>
      </c>
      <c r="D155" s="1027" t="s">
        <v>262</v>
      </c>
      <c r="E155" s="1028" t="s">
        <v>263</v>
      </c>
      <c r="F155" s="547">
        <v>-2359693404</v>
      </c>
      <c r="G155" s="547"/>
      <c r="H155" s="547"/>
      <c r="I155" s="547"/>
      <c r="J155" s="547">
        <v>-195699200</v>
      </c>
      <c r="K155" s="547"/>
      <c r="L155" s="547"/>
      <c r="M155" s="547"/>
      <c r="N155" s="547"/>
      <c r="O155" s="547"/>
      <c r="P155" s="547"/>
      <c r="Q155" s="989">
        <f t="shared" si="10"/>
        <v>-2555392604</v>
      </c>
      <c r="R155" s="547">
        <v>-1480258622</v>
      </c>
      <c r="S155" s="989">
        <f t="shared" si="13"/>
        <v>-2555</v>
      </c>
      <c r="T155" s="547">
        <f t="shared" si="13"/>
        <v>-1480</v>
      </c>
      <c r="U155" s="566"/>
      <c r="V155" s="567"/>
      <c r="W155" s="989">
        <f t="shared" si="14"/>
        <v>-2555392604</v>
      </c>
      <c r="X155" s="812">
        <f t="shared" si="11"/>
        <v>-2555</v>
      </c>
      <c r="Y155" s="835">
        <f t="shared" si="12"/>
        <v>0</v>
      </c>
    </row>
    <row r="156" spans="1:25" ht="27" customHeight="1">
      <c r="A156" s="531"/>
      <c r="B156" s="1092">
        <v>406</v>
      </c>
      <c r="C156" s="1021">
        <v>4</v>
      </c>
      <c r="D156" s="1027" t="s">
        <v>584</v>
      </c>
      <c r="E156" s="1028" t="s">
        <v>645</v>
      </c>
      <c r="F156" s="547">
        <v>205026340</v>
      </c>
      <c r="G156" s="547">
        <v>-13080000</v>
      </c>
      <c r="H156" s="547"/>
      <c r="I156" s="547">
        <v>26160000</v>
      </c>
      <c r="J156" s="547"/>
      <c r="K156" s="547"/>
      <c r="L156" s="547"/>
      <c r="M156" s="547"/>
      <c r="N156" s="547"/>
      <c r="O156" s="547"/>
      <c r="P156" s="547"/>
      <c r="Q156" s="989">
        <f t="shared" si="10"/>
        <v>218106340</v>
      </c>
      <c r="R156" s="547">
        <v>126546340</v>
      </c>
      <c r="S156" s="989">
        <f t="shared" si="13"/>
        <v>218</v>
      </c>
      <c r="T156" s="547">
        <f t="shared" si="13"/>
        <v>127</v>
      </c>
      <c r="U156" s="566"/>
      <c r="V156" s="567"/>
      <c r="W156" s="989">
        <f t="shared" si="14"/>
        <v>218106340</v>
      </c>
      <c r="X156" s="812">
        <f t="shared" si="11"/>
        <v>218</v>
      </c>
      <c r="Y156" s="835">
        <f t="shared" si="12"/>
        <v>0</v>
      </c>
    </row>
    <row r="157" spans="1:25" ht="27" customHeight="1">
      <c r="A157" s="531"/>
      <c r="B157" s="531">
        <v>1001</v>
      </c>
      <c r="C157" s="529">
        <v>10</v>
      </c>
      <c r="D157" s="1027" t="s">
        <v>546</v>
      </c>
      <c r="E157" s="1028" t="s">
        <v>170</v>
      </c>
      <c r="F157" s="547">
        <v>-10983386346</v>
      </c>
      <c r="G157" s="547"/>
      <c r="H157" s="547">
        <v>-597062501</v>
      </c>
      <c r="I157" s="547"/>
      <c r="J157" s="547"/>
      <c r="K157" s="547"/>
      <c r="L157" s="547"/>
      <c r="M157" s="547">
        <v>-260901561</v>
      </c>
      <c r="N157" s="547"/>
      <c r="O157" s="547"/>
      <c r="P157" s="547"/>
      <c r="Q157" s="989">
        <f t="shared" si="10"/>
        <v>-11841350408</v>
      </c>
      <c r="R157" s="547">
        <v>-9884865609</v>
      </c>
      <c r="S157" s="989">
        <f t="shared" si="13"/>
        <v>-11841</v>
      </c>
      <c r="T157" s="547">
        <f t="shared" si="13"/>
        <v>-9885</v>
      </c>
      <c r="U157" s="566"/>
      <c r="V157" s="567"/>
      <c r="W157" s="989">
        <f t="shared" si="14"/>
        <v>-11841350408</v>
      </c>
      <c r="X157" s="812">
        <f t="shared" si="11"/>
        <v>-11841</v>
      </c>
      <c r="Y157" s="835">
        <f t="shared" si="12"/>
        <v>0</v>
      </c>
    </row>
    <row r="158" spans="1:25" ht="27" customHeight="1">
      <c r="A158" s="531"/>
      <c r="B158" s="531">
        <v>1001</v>
      </c>
      <c r="C158" s="529">
        <v>10</v>
      </c>
      <c r="D158" s="1027" t="s">
        <v>162</v>
      </c>
      <c r="E158" s="1028" t="s">
        <v>171</v>
      </c>
      <c r="F158" s="547">
        <v>-743251603</v>
      </c>
      <c r="G158" s="547">
        <v>2436218986</v>
      </c>
      <c r="H158" s="547">
        <v>-2037523410</v>
      </c>
      <c r="I158" s="547">
        <v>-4992123</v>
      </c>
      <c r="J158" s="547"/>
      <c r="K158" s="547"/>
      <c r="L158" s="547"/>
      <c r="M158" s="547"/>
      <c r="N158" s="547"/>
      <c r="O158" s="547"/>
      <c r="P158" s="547"/>
      <c r="Q158" s="989">
        <f t="shared" si="10"/>
        <v>-349548150</v>
      </c>
      <c r="R158" s="547">
        <v>1586580473</v>
      </c>
      <c r="S158" s="989">
        <f t="shared" si="13"/>
        <v>-350</v>
      </c>
      <c r="T158" s="547">
        <f t="shared" si="13"/>
        <v>1587</v>
      </c>
      <c r="U158" s="566"/>
      <c r="V158" s="567"/>
      <c r="W158" s="989">
        <f t="shared" si="14"/>
        <v>-349548150</v>
      </c>
      <c r="X158" s="812">
        <f t="shared" si="11"/>
        <v>-350</v>
      </c>
      <c r="Y158" s="835">
        <f t="shared" si="12"/>
        <v>0</v>
      </c>
    </row>
    <row r="159" spans="1:25" ht="27" customHeight="1">
      <c r="A159" s="531"/>
      <c r="B159" s="531">
        <v>406</v>
      </c>
      <c r="C159" s="529">
        <v>4</v>
      </c>
      <c r="D159" s="1027" t="s">
        <v>299</v>
      </c>
      <c r="E159" s="1028" t="s">
        <v>644</v>
      </c>
      <c r="F159" s="547"/>
      <c r="G159" s="547"/>
      <c r="H159" s="547"/>
      <c r="I159" s="547"/>
      <c r="J159" s="547"/>
      <c r="K159" s="547"/>
      <c r="L159" s="547"/>
      <c r="M159" s="547"/>
      <c r="N159" s="547"/>
      <c r="O159" s="547"/>
      <c r="P159" s="547"/>
      <c r="Q159" s="989">
        <f t="shared" si="10"/>
        <v>0</v>
      </c>
      <c r="R159" s="547">
        <v>74821109</v>
      </c>
      <c r="S159" s="989">
        <f t="shared" si="13"/>
        <v>0</v>
      </c>
      <c r="T159" s="547">
        <f t="shared" si="13"/>
        <v>75</v>
      </c>
      <c r="U159" s="566"/>
      <c r="V159" s="567"/>
      <c r="W159" s="989">
        <f t="shared" si="14"/>
        <v>0</v>
      </c>
      <c r="X159" s="812">
        <f t="shared" si="11"/>
        <v>0</v>
      </c>
      <c r="Y159" s="835">
        <f t="shared" si="12"/>
        <v>0</v>
      </c>
    </row>
    <row r="160" spans="1:25" ht="27" customHeight="1">
      <c r="A160" s="531"/>
      <c r="B160" s="531">
        <v>406</v>
      </c>
      <c r="C160" s="529">
        <v>4</v>
      </c>
      <c r="D160" s="1027" t="s">
        <v>838</v>
      </c>
      <c r="E160" s="1028" t="s">
        <v>837</v>
      </c>
      <c r="F160" s="547">
        <v>393575214</v>
      </c>
      <c r="G160" s="547">
        <v>-315754872</v>
      </c>
      <c r="H160" s="547"/>
      <c r="I160" s="547"/>
      <c r="J160" s="547"/>
      <c r="K160" s="547"/>
      <c r="L160" s="547"/>
      <c r="M160" s="547"/>
      <c r="N160" s="547"/>
      <c r="O160" s="547"/>
      <c r="P160" s="547"/>
      <c r="Q160" s="989">
        <f t="shared" si="10"/>
        <v>77820342</v>
      </c>
      <c r="R160" s="547">
        <v>393575214</v>
      </c>
      <c r="S160" s="989">
        <f t="shared" si="13"/>
        <v>78</v>
      </c>
      <c r="T160" s="547">
        <f t="shared" si="13"/>
        <v>394</v>
      </c>
      <c r="U160" s="566"/>
      <c r="V160" s="567"/>
      <c r="W160" s="989">
        <f t="shared" si="14"/>
        <v>77820342</v>
      </c>
      <c r="X160" s="812">
        <f t="shared" si="11"/>
        <v>78</v>
      </c>
      <c r="Y160" s="835">
        <f t="shared" si="12"/>
        <v>0</v>
      </c>
    </row>
    <row r="161" spans="1:25" ht="27" customHeight="1">
      <c r="A161" s="531"/>
      <c r="B161" s="531">
        <v>406</v>
      </c>
      <c r="C161" s="529">
        <v>4</v>
      </c>
      <c r="D161" s="1027" t="s">
        <v>883</v>
      </c>
      <c r="E161" s="1028" t="s">
        <v>884</v>
      </c>
      <c r="F161" s="547">
        <v>44764066</v>
      </c>
      <c r="G161" s="547"/>
      <c r="H161" s="547"/>
      <c r="I161" s="547"/>
      <c r="J161" s="547"/>
      <c r="K161" s="547"/>
      <c r="L161" s="547"/>
      <c r="M161" s="547"/>
      <c r="N161" s="547"/>
      <c r="O161" s="547"/>
      <c r="P161" s="547"/>
      <c r="Q161" s="989">
        <f t="shared" si="10"/>
        <v>44764066</v>
      </c>
      <c r="R161" s="547">
        <v>65912922</v>
      </c>
      <c r="S161" s="989">
        <f t="shared" si="13"/>
        <v>45</v>
      </c>
      <c r="T161" s="547">
        <f t="shared" si="13"/>
        <v>66</v>
      </c>
      <c r="U161" s="566"/>
      <c r="V161" s="567"/>
      <c r="W161" s="989">
        <f t="shared" si="14"/>
        <v>44764066</v>
      </c>
      <c r="X161" s="812">
        <f t="shared" si="11"/>
        <v>45</v>
      </c>
      <c r="Y161" s="835">
        <f t="shared" si="12"/>
        <v>0</v>
      </c>
    </row>
    <row r="162" spans="1:25" ht="27" customHeight="1">
      <c r="A162" s="531"/>
      <c r="B162" s="531">
        <v>1001</v>
      </c>
      <c r="C162" s="529">
        <v>10</v>
      </c>
      <c r="D162" s="1027" t="s">
        <v>301</v>
      </c>
      <c r="E162" s="1028" t="s">
        <v>885</v>
      </c>
      <c r="F162" s="547"/>
      <c r="G162" s="547"/>
      <c r="H162" s="547"/>
      <c r="I162" s="547"/>
      <c r="J162" s="547"/>
      <c r="K162" s="547"/>
      <c r="L162" s="547"/>
      <c r="M162" s="547"/>
      <c r="N162" s="547"/>
      <c r="O162" s="547"/>
      <c r="P162" s="547"/>
      <c r="Q162" s="989">
        <f t="shared" si="10"/>
        <v>0</v>
      </c>
      <c r="R162" s="547">
        <v>-29418821</v>
      </c>
      <c r="S162" s="989">
        <f t="shared" si="13"/>
        <v>0</v>
      </c>
      <c r="T162" s="547">
        <f t="shared" si="13"/>
        <v>-29</v>
      </c>
      <c r="U162" s="566"/>
      <c r="V162" s="567"/>
      <c r="W162" s="989">
        <f t="shared" si="14"/>
        <v>0</v>
      </c>
      <c r="X162" s="812">
        <f t="shared" si="11"/>
        <v>0</v>
      </c>
      <c r="Y162" s="835">
        <f t="shared" si="12"/>
        <v>0</v>
      </c>
    </row>
    <row r="163" spans="1:25" ht="27" customHeight="1">
      <c r="A163" s="531"/>
      <c r="B163" s="531">
        <v>406</v>
      </c>
      <c r="C163" s="529">
        <v>4</v>
      </c>
      <c r="D163" s="1027" t="s">
        <v>264</v>
      </c>
      <c r="E163" s="1028" t="s">
        <v>265</v>
      </c>
      <c r="F163" s="547">
        <v>15240911952</v>
      </c>
      <c r="G163" s="547"/>
      <c r="H163" s="547">
        <v>-15240911952</v>
      </c>
      <c r="I163" s="547"/>
      <c r="J163" s="547"/>
      <c r="K163" s="547"/>
      <c r="L163" s="547"/>
      <c r="M163" s="547"/>
      <c r="N163" s="547"/>
      <c r="O163" s="547"/>
      <c r="P163" s="547"/>
      <c r="Q163" s="989">
        <f t="shared" si="10"/>
        <v>0</v>
      </c>
      <c r="R163" s="547">
        <v>0</v>
      </c>
      <c r="S163" s="989">
        <f t="shared" si="13"/>
        <v>0</v>
      </c>
      <c r="T163" s="547">
        <f t="shared" si="13"/>
        <v>0</v>
      </c>
      <c r="U163" s="566"/>
      <c r="V163" s="567"/>
      <c r="W163" s="989">
        <f t="shared" si="14"/>
        <v>0</v>
      </c>
      <c r="X163" s="812">
        <f t="shared" si="11"/>
        <v>0</v>
      </c>
      <c r="Y163" s="835">
        <f t="shared" si="12"/>
        <v>0</v>
      </c>
    </row>
    <row r="164" spans="1:25" ht="27" customHeight="1">
      <c r="A164" s="531"/>
      <c r="B164" s="531">
        <v>406</v>
      </c>
      <c r="C164" s="529">
        <v>4</v>
      </c>
      <c r="D164" s="1027" t="s">
        <v>647</v>
      </c>
      <c r="E164" s="1028" t="s">
        <v>646</v>
      </c>
      <c r="F164" s="547"/>
      <c r="G164" s="547"/>
      <c r="H164" s="547"/>
      <c r="I164" s="547"/>
      <c r="J164" s="547"/>
      <c r="K164" s="547"/>
      <c r="L164" s="547"/>
      <c r="M164" s="547"/>
      <c r="N164" s="547"/>
      <c r="O164" s="547"/>
      <c r="P164" s="547"/>
      <c r="Q164" s="989">
        <f t="shared" si="10"/>
        <v>0</v>
      </c>
      <c r="R164" s="547">
        <v>0</v>
      </c>
      <c r="S164" s="989">
        <f t="shared" si="13"/>
        <v>0</v>
      </c>
      <c r="T164" s="547">
        <f t="shared" si="13"/>
        <v>0</v>
      </c>
      <c r="U164" s="566"/>
      <c r="V164" s="567"/>
      <c r="W164" s="989">
        <f t="shared" si="14"/>
        <v>0</v>
      </c>
      <c r="X164" s="812">
        <f t="shared" si="11"/>
        <v>0</v>
      </c>
      <c r="Y164" s="835">
        <f t="shared" si="12"/>
        <v>0</v>
      </c>
    </row>
    <row r="165" spans="1:25" ht="27" customHeight="1">
      <c r="A165" s="531"/>
      <c r="B165" s="531">
        <v>1026</v>
      </c>
      <c r="C165" s="529">
        <v>10</v>
      </c>
      <c r="D165" s="1027" t="s">
        <v>305</v>
      </c>
      <c r="E165" s="1028" t="s">
        <v>172</v>
      </c>
      <c r="F165" s="547">
        <v>-6913124815</v>
      </c>
      <c r="G165" s="547">
        <v>-32663280</v>
      </c>
      <c r="H165" s="547">
        <v>-230729360</v>
      </c>
      <c r="I165" s="547"/>
      <c r="J165" s="547"/>
      <c r="K165" s="547"/>
      <c r="L165" s="547"/>
      <c r="M165" s="547"/>
      <c r="N165" s="547"/>
      <c r="O165" s="547"/>
      <c r="P165" s="547"/>
      <c r="Q165" s="989">
        <f t="shared" si="10"/>
        <v>-7176517455</v>
      </c>
      <c r="R165" s="547">
        <v>-6369940471</v>
      </c>
      <c r="S165" s="989">
        <f t="shared" si="13"/>
        <v>-7177</v>
      </c>
      <c r="T165" s="547">
        <f t="shared" si="13"/>
        <v>-6370</v>
      </c>
      <c r="U165" s="566"/>
      <c r="V165" s="567"/>
      <c r="W165" s="989">
        <f t="shared" si="14"/>
        <v>-7176517455</v>
      </c>
      <c r="X165" s="812">
        <f t="shared" si="11"/>
        <v>-7177</v>
      </c>
      <c r="Y165" s="835">
        <f t="shared" si="12"/>
        <v>0</v>
      </c>
    </row>
    <row r="166" spans="1:25" ht="27" customHeight="1">
      <c r="A166" s="531"/>
      <c r="B166" s="531">
        <v>406</v>
      </c>
      <c r="C166" s="529">
        <v>4</v>
      </c>
      <c r="D166" s="1027" t="s">
        <v>306</v>
      </c>
      <c r="E166" s="1028" t="s">
        <v>307</v>
      </c>
      <c r="F166" s="547">
        <v>400050760</v>
      </c>
      <c r="G166" s="547">
        <v>-7977154</v>
      </c>
      <c r="H166" s="547">
        <v>-2411400</v>
      </c>
      <c r="I166" s="547">
        <v>-33827496</v>
      </c>
      <c r="J166" s="547"/>
      <c r="K166" s="547"/>
      <c r="L166" s="547"/>
      <c r="M166" s="547"/>
      <c r="N166" s="547"/>
      <c r="O166" s="547"/>
      <c r="P166" s="547"/>
      <c r="Q166" s="989">
        <f t="shared" si="10"/>
        <v>355834710</v>
      </c>
      <c r="R166" s="547">
        <v>904888400</v>
      </c>
      <c r="S166" s="989">
        <f t="shared" si="13"/>
        <v>356</v>
      </c>
      <c r="T166" s="547">
        <f t="shared" si="13"/>
        <v>905</v>
      </c>
      <c r="U166" s="566"/>
      <c r="V166" s="567"/>
      <c r="W166" s="989">
        <f t="shared" si="14"/>
        <v>355834710</v>
      </c>
      <c r="X166" s="812">
        <f t="shared" si="11"/>
        <v>356</v>
      </c>
      <c r="Y166" s="835">
        <f t="shared" si="12"/>
        <v>0</v>
      </c>
    </row>
    <row r="167" spans="1:25" ht="27" customHeight="1">
      <c r="A167" s="531"/>
      <c r="B167" s="531">
        <v>1018</v>
      </c>
      <c r="C167" s="529">
        <v>10</v>
      </c>
      <c r="D167" s="1027" t="s">
        <v>308</v>
      </c>
      <c r="E167" s="1028" t="s">
        <v>309</v>
      </c>
      <c r="F167" s="547">
        <v>-1038209866</v>
      </c>
      <c r="G167" s="547"/>
      <c r="H167" s="547"/>
      <c r="I167" s="547"/>
      <c r="J167" s="547"/>
      <c r="K167" s="547"/>
      <c r="L167" s="547"/>
      <c r="M167" s="547"/>
      <c r="N167" s="547"/>
      <c r="O167" s="547"/>
      <c r="P167" s="547"/>
      <c r="Q167" s="989">
        <f t="shared" si="10"/>
        <v>-1038209866</v>
      </c>
      <c r="R167" s="547">
        <v>580318179</v>
      </c>
      <c r="S167" s="989">
        <f t="shared" si="13"/>
        <v>-1038</v>
      </c>
      <c r="T167" s="547">
        <f t="shared" si="13"/>
        <v>580</v>
      </c>
      <c r="U167" s="566"/>
      <c r="V167" s="567"/>
      <c r="W167" s="989">
        <f t="shared" si="14"/>
        <v>-1038209866</v>
      </c>
      <c r="X167" s="812">
        <f t="shared" si="11"/>
        <v>-1038</v>
      </c>
      <c r="Y167" s="835">
        <f t="shared" si="12"/>
        <v>0</v>
      </c>
    </row>
    <row r="168" spans="1:25" ht="27" customHeight="1">
      <c r="A168" s="531"/>
      <c r="B168" s="1092">
        <v>406</v>
      </c>
      <c r="C168" s="1021">
        <v>4</v>
      </c>
      <c r="D168" s="1027" t="s">
        <v>310</v>
      </c>
      <c r="E168" s="1028" t="s">
        <v>966</v>
      </c>
      <c r="F168" s="547">
        <v>246557703</v>
      </c>
      <c r="G168" s="547">
        <v>-56332446</v>
      </c>
      <c r="H168" s="547">
        <v>-70276616</v>
      </c>
      <c r="I168" s="547"/>
      <c r="J168" s="547"/>
      <c r="K168" s="547"/>
      <c r="L168" s="547"/>
      <c r="M168" s="547"/>
      <c r="N168" s="547"/>
      <c r="O168" s="547"/>
      <c r="P168" s="547"/>
      <c r="Q168" s="989">
        <f t="shared" si="10"/>
        <v>119948641</v>
      </c>
      <c r="R168" s="547">
        <v>-9745000</v>
      </c>
      <c r="S168" s="989">
        <f t="shared" si="13"/>
        <v>120</v>
      </c>
      <c r="T168" s="547">
        <f t="shared" si="13"/>
        <v>-10</v>
      </c>
      <c r="U168" s="566"/>
      <c r="V168" s="567"/>
      <c r="W168" s="989">
        <f t="shared" si="14"/>
        <v>119948641</v>
      </c>
      <c r="X168" s="812">
        <f t="shared" si="11"/>
        <v>120</v>
      </c>
      <c r="Y168" s="835">
        <f t="shared" si="12"/>
        <v>0</v>
      </c>
    </row>
    <row r="169" spans="1:25" ht="27" customHeight="1">
      <c r="A169" s="531"/>
      <c r="B169" s="531">
        <v>406</v>
      </c>
      <c r="C169" s="529">
        <v>4</v>
      </c>
      <c r="D169" s="1027" t="s">
        <v>1058</v>
      </c>
      <c r="E169" s="1028" t="s">
        <v>1057</v>
      </c>
      <c r="F169" s="547">
        <v>754655645</v>
      </c>
      <c r="G169" s="547"/>
      <c r="H169" s="547"/>
      <c r="I169" s="547"/>
      <c r="J169" s="547"/>
      <c r="K169" s="547"/>
      <c r="L169" s="547"/>
      <c r="M169" s="547"/>
      <c r="N169" s="547"/>
      <c r="O169" s="547"/>
      <c r="P169" s="547"/>
      <c r="Q169" s="989">
        <f t="shared" si="10"/>
        <v>754655645</v>
      </c>
      <c r="R169" s="547">
        <v>754655645</v>
      </c>
      <c r="S169" s="989">
        <f t="shared" si="13"/>
        <v>755</v>
      </c>
      <c r="T169" s="547">
        <f t="shared" si="13"/>
        <v>755</v>
      </c>
      <c r="U169" s="566"/>
      <c r="V169" s="567"/>
      <c r="W169" s="989">
        <f t="shared" si="14"/>
        <v>754655645</v>
      </c>
      <c r="X169" s="812">
        <f t="shared" si="11"/>
        <v>755</v>
      </c>
      <c r="Y169" s="835">
        <f t="shared" si="12"/>
        <v>0</v>
      </c>
    </row>
    <row r="170" spans="1:25" ht="27" customHeight="1">
      <c r="A170" s="531"/>
      <c r="B170" s="531">
        <v>406</v>
      </c>
      <c r="C170" s="529">
        <v>4</v>
      </c>
      <c r="D170" s="1027" t="s">
        <v>109</v>
      </c>
      <c r="E170" s="1028" t="s">
        <v>839</v>
      </c>
      <c r="F170" s="547">
        <v>775026640</v>
      </c>
      <c r="G170" s="547"/>
      <c r="H170" s="547"/>
      <c r="I170" s="547"/>
      <c r="J170" s="547"/>
      <c r="K170" s="547"/>
      <c r="L170" s="547"/>
      <c r="M170" s="547"/>
      <c r="N170" s="547"/>
      <c r="O170" s="547"/>
      <c r="P170" s="547"/>
      <c r="Q170" s="989">
        <f t="shared" si="10"/>
        <v>775026640</v>
      </c>
      <c r="R170" s="547">
        <v>1238311521</v>
      </c>
      <c r="S170" s="989">
        <f t="shared" si="13"/>
        <v>775</v>
      </c>
      <c r="T170" s="547">
        <f t="shared" si="13"/>
        <v>1238</v>
      </c>
      <c r="U170" s="566"/>
      <c r="V170" s="567"/>
      <c r="W170" s="989">
        <f t="shared" si="14"/>
        <v>775026640</v>
      </c>
      <c r="X170" s="812">
        <f t="shared" si="11"/>
        <v>775</v>
      </c>
      <c r="Y170" s="835">
        <f t="shared" si="12"/>
        <v>0</v>
      </c>
    </row>
    <row r="171" spans="1:25" ht="27" customHeight="1">
      <c r="A171" s="531"/>
      <c r="B171" s="531">
        <v>406</v>
      </c>
      <c r="C171" s="529">
        <v>4</v>
      </c>
      <c r="D171" s="1027" t="s">
        <v>110</v>
      </c>
      <c r="E171" s="1028" t="s">
        <v>174</v>
      </c>
      <c r="F171" s="547">
        <v>530759403</v>
      </c>
      <c r="G171" s="547"/>
      <c r="H171" s="547"/>
      <c r="I171" s="547"/>
      <c r="J171" s="547"/>
      <c r="K171" s="547"/>
      <c r="L171" s="547"/>
      <c r="M171" s="547"/>
      <c r="N171" s="547"/>
      <c r="O171" s="547"/>
      <c r="P171" s="547"/>
      <c r="Q171" s="989">
        <f t="shared" si="10"/>
        <v>530759403</v>
      </c>
      <c r="R171" s="547">
        <v>1910951193</v>
      </c>
      <c r="S171" s="989">
        <f t="shared" si="13"/>
        <v>531</v>
      </c>
      <c r="T171" s="547">
        <f t="shared" si="13"/>
        <v>1911</v>
      </c>
      <c r="U171" s="566"/>
      <c r="V171" s="567"/>
      <c r="W171" s="989">
        <f t="shared" si="14"/>
        <v>530759403</v>
      </c>
      <c r="X171" s="812">
        <f t="shared" si="11"/>
        <v>531</v>
      </c>
      <c r="Y171" s="835">
        <f t="shared" si="12"/>
        <v>0</v>
      </c>
    </row>
    <row r="172" spans="1:25" ht="27" customHeight="1">
      <c r="A172" s="531"/>
      <c r="B172" s="531">
        <v>1001</v>
      </c>
      <c r="C172" s="529">
        <v>10</v>
      </c>
      <c r="D172" s="1027" t="s">
        <v>335</v>
      </c>
      <c r="E172" s="1028" t="s">
        <v>762</v>
      </c>
      <c r="F172" s="547"/>
      <c r="G172" s="547"/>
      <c r="H172" s="547"/>
      <c r="I172" s="547"/>
      <c r="J172" s="547"/>
      <c r="K172" s="547"/>
      <c r="L172" s="547"/>
      <c r="M172" s="547"/>
      <c r="N172" s="547"/>
      <c r="O172" s="547"/>
      <c r="P172" s="547"/>
      <c r="Q172" s="989">
        <f t="shared" si="10"/>
        <v>0</v>
      </c>
      <c r="R172" s="547">
        <v>0</v>
      </c>
      <c r="S172" s="989">
        <f t="shared" si="13"/>
        <v>0</v>
      </c>
      <c r="T172" s="547">
        <f t="shared" si="13"/>
        <v>0</v>
      </c>
      <c r="U172" s="566"/>
      <c r="V172" s="567"/>
      <c r="W172" s="989">
        <f t="shared" si="14"/>
        <v>0</v>
      </c>
      <c r="X172" s="812">
        <f t="shared" si="11"/>
        <v>0</v>
      </c>
      <c r="Y172" s="835">
        <f t="shared" si="12"/>
        <v>0</v>
      </c>
    </row>
    <row r="173" spans="1:25" ht="27" customHeight="1">
      <c r="A173" s="531"/>
      <c r="B173" s="531">
        <v>406</v>
      </c>
      <c r="C173" s="529">
        <v>4</v>
      </c>
      <c r="D173" s="1027" t="s">
        <v>336</v>
      </c>
      <c r="E173" s="1028" t="s">
        <v>656</v>
      </c>
      <c r="F173" s="547">
        <v>3699362070</v>
      </c>
      <c r="G173" s="547"/>
      <c r="H173" s="547">
        <v>66786000</v>
      </c>
      <c r="I173" s="547"/>
      <c r="J173" s="547"/>
      <c r="K173" s="547"/>
      <c r="L173" s="547"/>
      <c r="M173" s="547"/>
      <c r="N173" s="547"/>
      <c r="O173" s="547"/>
      <c r="P173" s="547"/>
      <c r="Q173" s="989">
        <f t="shared" si="10"/>
        <v>3766148070</v>
      </c>
      <c r="R173" s="547">
        <v>4868046422</v>
      </c>
      <c r="S173" s="989">
        <f t="shared" si="13"/>
        <v>3766</v>
      </c>
      <c r="T173" s="547">
        <f t="shared" si="13"/>
        <v>4868</v>
      </c>
      <c r="U173" s="566"/>
      <c r="V173" s="567"/>
      <c r="W173" s="989">
        <f t="shared" si="14"/>
        <v>3766148070</v>
      </c>
      <c r="X173" s="812">
        <f t="shared" si="11"/>
        <v>3766</v>
      </c>
      <c r="Y173" s="835">
        <f t="shared" si="12"/>
        <v>0</v>
      </c>
    </row>
    <row r="174" spans="1:25" ht="27" customHeight="1">
      <c r="A174" s="531"/>
      <c r="B174" s="531">
        <v>409</v>
      </c>
      <c r="C174" s="529">
        <v>4</v>
      </c>
      <c r="D174" s="1027" t="s">
        <v>336</v>
      </c>
      <c r="E174" s="1028" t="s">
        <v>655</v>
      </c>
      <c r="F174" s="547"/>
      <c r="G174" s="547"/>
      <c r="H174" s="547"/>
      <c r="I174" s="547"/>
      <c r="J174" s="547"/>
      <c r="K174" s="547"/>
      <c r="L174" s="547"/>
      <c r="M174" s="547"/>
      <c r="N174" s="547"/>
      <c r="O174" s="547"/>
      <c r="P174" s="547"/>
      <c r="Q174" s="989">
        <f t="shared" si="10"/>
        <v>0</v>
      </c>
      <c r="R174" s="547">
        <v>0</v>
      </c>
      <c r="S174" s="989">
        <f t="shared" si="13"/>
        <v>0</v>
      </c>
      <c r="T174" s="547">
        <f t="shared" si="13"/>
        <v>0</v>
      </c>
      <c r="U174" s="566"/>
      <c r="V174" s="567"/>
      <c r="W174" s="989">
        <f t="shared" si="14"/>
        <v>0</v>
      </c>
      <c r="X174" s="812">
        <f t="shared" si="11"/>
        <v>0</v>
      </c>
      <c r="Y174" s="835">
        <f t="shared" si="12"/>
        <v>0</v>
      </c>
    </row>
    <row r="175" spans="1:25" ht="27" customHeight="1">
      <c r="A175" s="531">
        <v>1</v>
      </c>
      <c r="B175" s="531">
        <v>414</v>
      </c>
      <c r="C175" s="529">
        <v>4</v>
      </c>
      <c r="D175" s="1027" t="s">
        <v>338</v>
      </c>
      <c r="E175" s="1028" t="s">
        <v>152</v>
      </c>
      <c r="F175" s="547">
        <v>-13260516961</v>
      </c>
      <c r="G175" s="547"/>
      <c r="H175" s="547">
        <v>-5557315260</v>
      </c>
      <c r="I175" s="547">
        <v>19121944559</v>
      </c>
      <c r="J175" s="547"/>
      <c r="K175" s="547"/>
      <c r="L175" s="547"/>
      <c r="M175" s="547"/>
      <c r="N175" s="547"/>
      <c r="O175" s="547"/>
      <c r="P175" s="547"/>
      <c r="Q175" s="1007">
        <f t="shared" si="10"/>
        <v>304112338</v>
      </c>
      <c r="R175" s="547">
        <v>3654665034</v>
      </c>
      <c r="S175" s="989">
        <f t="shared" si="13"/>
        <v>304</v>
      </c>
      <c r="T175" s="547">
        <f t="shared" si="13"/>
        <v>3655</v>
      </c>
      <c r="U175" s="566"/>
      <c r="V175" s="567"/>
      <c r="W175" s="989">
        <f t="shared" si="14"/>
        <v>304112338</v>
      </c>
      <c r="X175" s="812">
        <f t="shared" si="11"/>
        <v>304</v>
      </c>
      <c r="Y175" s="835">
        <f t="shared" si="12"/>
        <v>0</v>
      </c>
    </row>
    <row r="176" spans="1:25" ht="27" customHeight="1">
      <c r="A176" s="531">
        <v>7</v>
      </c>
      <c r="B176" s="531">
        <v>414</v>
      </c>
      <c r="C176" s="529">
        <v>4</v>
      </c>
      <c r="D176" s="1027" t="s">
        <v>1367</v>
      </c>
      <c r="E176" s="1028" t="s">
        <v>1368</v>
      </c>
      <c r="F176" s="547">
        <v>1291166946995</v>
      </c>
      <c r="G176" s="547">
        <v>111457833242</v>
      </c>
      <c r="H176" s="547">
        <v>129216226932</v>
      </c>
      <c r="I176" s="547">
        <v>-16214335808</v>
      </c>
      <c r="J176" s="547">
        <v>-1515626671361</v>
      </c>
      <c r="K176" s="547"/>
      <c r="L176" s="547"/>
      <c r="M176" s="547"/>
      <c r="N176" s="547"/>
      <c r="O176" s="547"/>
      <c r="P176" s="547"/>
      <c r="Q176" s="1007">
        <f t="shared" si="10"/>
        <v>0</v>
      </c>
      <c r="R176" s="547">
        <v>0</v>
      </c>
      <c r="S176" s="989">
        <f t="shared" si="13"/>
        <v>0</v>
      </c>
      <c r="T176" s="547">
        <f t="shared" si="13"/>
        <v>0</v>
      </c>
      <c r="U176" s="566"/>
      <c r="V176" s="567"/>
      <c r="W176" s="989">
        <f t="shared" si="14"/>
        <v>0</v>
      </c>
      <c r="X176" s="812">
        <f t="shared" si="11"/>
        <v>0</v>
      </c>
      <c r="Y176" s="835">
        <f t="shared" si="12"/>
        <v>0</v>
      </c>
    </row>
    <row r="177" spans="1:25" ht="27" customHeight="1">
      <c r="A177" s="531">
        <v>1</v>
      </c>
      <c r="B177" s="531">
        <v>1005</v>
      </c>
      <c r="C177" s="529">
        <v>10</v>
      </c>
      <c r="D177" s="1027" t="s">
        <v>527</v>
      </c>
      <c r="E177" s="1028" t="s">
        <v>528</v>
      </c>
      <c r="F177" s="547">
        <v>-737016383</v>
      </c>
      <c r="G177" s="547"/>
      <c r="H177" s="547">
        <v>-68277600</v>
      </c>
      <c r="I177" s="547">
        <v>805293983</v>
      </c>
      <c r="J177" s="547">
        <v>-122800099</v>
      </c>
      <c r="K177" s="547"/>
      <c r="L177" s="547"/>
      <c r="M177" s="547"/>
      <c r="N177" s="547"/>
      <c r="O177" s="547"/>
      <c r="P177" s="547"/>
      <c r="Q177" s="1007">
        <f t="shared" si="10"/>
        <v>-122800099</v>
      </c>
      <c r="R177" s="547">
        <v>-3087245784</v>
      </c>
      <c r="S177" s="989">
        <f t="shared" si="13"/>
        <v>-123</v>
      </c>
      <c r="T177" s="547">
        <f t="shared" si="13"/>
        <v>-3087</v>
      </c>
      <c r="U177" s="566"/>
      <c r="V177" s="567"/>
      <c r="W177" s="989">
        <f t="shared" si="14"/>
        <v>-122800099</v>
      </c>
      <c r="X177" s="812">
        <f t="shared" si="11"/>
        <v>-123</v>
      </c>
      <c r="Y177" s="835">
        <f t="shared" si="12"/>
        <v>0</v>
      </c>
    </row>
    <row r="178" spans="1:25" ht="27" customHeight="1">
      <c r="A178" s="531">
        <v>7</v>
      </c>
      <c r="B178" s="531">
        <v>416</v>
      </c>
      <c r="C178" s="529">
        <v>4</v>
      </c>
      <c r="D178" s="1027" t="s">
        <v>1369</v>
      </c>
      <c r="E178" s="1028" t="s">
        <v>1370</v>
      </c>
      <c r="F178" s="547">
        <v>286319062462</v>
      </c>
      <c r="G178" s="547">
        <v>23163148876</v>
      </c>
      <c r="H178" s="547">
        <v>28734246954</v>
      </c>
      <c r="I178" s="547">
        <v>-1656173405</v>
      </c>
      <c r="J178" s="547">
        <v>-336560284887</v>
      </c>
      <c r="K178" s="547"/>
      <c r="L178" s="547"/>
      <c r="M178" s="547"/>
      <c r="N178" s="547"/>
      <c r="O178" s="547"/>
      <c r="P178" s="547"/>
      <c r="Q178" s="1007">
        <f t="shared" si="10"/>
        <v>0</v>
      </c>
      <c r="R178" s="547">
        <v>0</v>
      </c>
      <c r="S178" s="989">
        <f t="shared" si="13"/>
        <v>0</v>
      </c>
      <c r="T178" s="547">
        <f t="shared" si="13"/>
        <v>0</v>
      </c>
      <c r="U178" s="566"/>
      <c r="V178" s="567"/>
      <c r="W178" s="989">
        <f t="shared" si="14"/>
        <v>0</v>
      </c>
      <c r="X178" s="812">
        <f t="shared" si="11"/>
        <v>0</v>
      </c>
      <c r="Y178" s="835">
        <f t="shared" si="12"/>
        <v>0</v>
      </c>
    </row>
    <row r="179" spans="1:25" ht="27" customHeight="1">
      <c r="A179" s="531">
        <v>1</v>
      </c>
      <c r="B179" s="531">
        <v>1006</v>
      </c>
      <c r="C179" s="529">
        <v>10</v>
      </c>
      <c r="D179" s="1027" t="s">
        <v>529</v>
      </c>
      <c r="E179" s="1028" t="s">
        <v>156</v>
      </c>
      <c r="F179" s="547">
        <v>-20951887059</v>
      </c>
      <c r="G179" s="547">
        <v>-1475504257</v>
      </c>
      <c r="H179" s="547">
        <v>-967268572</v>
      </c>
      <c r="I179" s="547">
        <v>23394659888</v>
      </c>
      <c r="J179" s="547">
        <v>-997423361</v>
      </c>
      <c r="K179" s="547"/>
      <c r="L179" s="547"/>
      <c r="M179" s="547"/>
      <c r="N179" s="547"/>
      <c r="O179" s="547"/>
      <c r="P179" s="547"/>
      <c r="Q179" s="1007">
        <f t="shared" si="10"/>
        <v>-997423361</v>
      </c>
      <c r="R179" s="547">
        <v>-31193318858</v>
      </c>
      <c r="S179" s="989">
        <f t="shared" si="13"/>
        <v>-997</v>
      </c>
      <c r="T179" s="547">
        <f t="shared" si="13"/>
        <v>-31193</v>
      </c>
      <c r="U179" s="566"/>
      <c r="V179" s="567"/>
      <c r="W179" s="989">
        <f t="shared" si="14"/>
        <v>-997423361</v>
      </c>
      <c r="X179" s="812">
        <f t="shared" si="11"/>
        <v>-997</v>
      </c>
      <c r="Y179" s="835">
        <f t="shared" si="12"/>
        <v>0</v>
      </c>
    </row>
    <row r="180" spans="1:25" ht="27" customHeight="1">
      <c r="A180" s="531">
        <v>7</v>
      </c>
      <c r="B180" s="531">
        <v>413</v>
      </c>
      <c r="C180" s="529">
        <v>4</v>
      </c>
      <c r="D180" s="1027" t="s">
        <v>1372</v>
      </c>
      <c r="E180" s="1028" t="s">
        <v>1371</v>
      </c>
      <c r="F180" s="547">
        <v>1719759750150</v>
      </c>
      <c r="G180" s="547">
        <v>150620613920</v>
      </c>
      <c r="H180" s="547">
        <v>173298104029</v>
      </c>
      <c r="I180" s="547">
        <v>-28353057627</v>
      </c>
      <c r="J180" s="547">
        <v>-2015325410472</v>
      </c>
      <c r="K180" s="547"/>
      <c r="L180" s="547"/>
      <c r="M180" s="547"/>
      <c r="N180" s="547"/>
      <c r="O180" s="547"/>
      <c r="P180" s="547"/>
      <c r="Q180" s="1007">
        <f t="shared" si="10"/>
        <v>0</v>
      </c>
      <c r="R180" s="547">
        <v>0</v>
      </c>
      <c r="S180" s="989">
        <f t="shared" si="13"/>
        <v>0</v>
      </c>
      <c r="T180" s="547">
        <f t="shared" si="13"/>
        <v>0</v>
      </c>
      <c r="U180" s="566"/>
      <c r="V180" s="567"/>
      <c r="W180" s="989">
        <f t="shared" si="14"/>
        <v>0</v>
      </c>
      <c r="X180" s="812">
        <f t="shared" si="11"/>
        <v>0</v>
      </c>
      <c r="Y180" s="835">
        <f t="shared" si="12"/>
        <v>0</v>
      </c>
    </row>
    <row r="181" spans="1:25" ht="27" customHeight="1">
      <c r="A181" s="531">
        <v>1</v>
      </c>
      <c r="B181" s="531">
        <v>415</v>
      </c>
      <c r="C181" s="529">
        <v>4</v>
      </c>
      <c r="D181" s="1027" t="s">
        <v>157</v>
      </c>
      <c r="E181" s="1028" t="s">
        <v>558</v>
      </c>
      <c r="F181" s="547">
        <v>6071743882</v>
      </c>
      <c r="G181" s="547">
        <v>-8982143</v>
      </c>
      <c r="H181" s="547"/>
      <c r="I181" s="547">
        <v>-2655252</v>
      </c>
      <c r="J181" s="547">
        <v>-941414924</v>
      </c>
      <c r="K181" s="547"/>
      <c r="L181" s="547"/>
      <c r="M181" s="547"/>
      <c r="N181" s="547"/>
      <c r="O181" s="547"/>
      <c r="P181" s="547"/>
      <c r="Q181" s="1007">
        <f t="shared" si="10"/>
        <v>5118691563</v>
      </c>
      <c r="R181" s="547">
        <v>29163344115</v>
      </c>
      <c r="S181" s="989">
        <f t="shared" si="13"/>
        <v>5119</v>
      </c>
      <c r="T181" s="547">
        <f t="shared" si="13"/>
        <v>29163</v>
      </c>
      <c r="U181" s="566"/>
      <c r="V181" s="567"/>
      <c r="W181" s="989">
        <f t="shared" si="14"/>
        <v>5118691563</v>
      </c>
      <c r="X181" s="812">
        <f t="shared" si="11"/>
        <v>5119</v>
      </c>
      <c r="Y181" s="835">
        <f t="shared" si="12"/>
        <v>0</v>
      </c>
    </row>
    <row r="182" spans="1:25" ht="27" customHeight="1">
      <c r="A182" s="531">
        <v>7</v>
      </c>
      <c r="B182" s="531">
        <v>415</v>
      </c>
      <c r="C182" s="529">
        <v>4</v>
      </c>
      <c r="D182" s="1027" t="s">
        <v>1323</v>
      </c>
      <c r="E182" s="1028" t="s">
        <v>558</v>
      </c>
      <c r="F182" s="547">
        <v>570852924026</v>
      </c>
      <c r="G182" s="547">
        <v>49738320436</v>
      </c>
      <c r="H182" s="547">
        <v>56993073471</v>
      </c>
      <c r="I182" s="547"/>
      <c r="J182" s="547">
        <v>-677584317933</v>
      </c>
      <c r="K182" s="547"/>
      <c r="L182" s="547"/>
      <c r="M182" s="547"/>
      <c r="N182" s="547"/>
      <c r="O182" s="547"/>
      <c r="P182" s="547"/>
      <c r="Q182" s="1007">
        <f t="shared" si="10"/>
        <v>0</v>
      </c>
      <c r="R182" s="547">
        <v>0</v>
      </c>
      <c r="S182" s="989">
        <f t="shared" si="13"/>
        <v>0</v>
      </c>
      <c r="T182" s="547">
        <f t="shared" si="13"/>
        <v>0</v>
      </c>
      <c r="U182" s="566"/>
      <c r="V182" s="567"/>
      <c r="W182" s="989">
        <f t="shared" si="14"/>
        <v>0</v>
      </c>
      <c r="X182" s="812">
        <f t="shared" si="11"/>
        <v>0</v>
      </c>
      <c r="Y182" s="835">
        <f t="shared" si="12"/>
        <v>0</v>
      </c>
    </row>
    <row r="183" spans="1:25" ht="27" customHeight="1">
      <c r="A183" s="531">
        <v>1</v>
      </c>
      <c r="B183" s="531">
        <v>1019</v>
      </c>
      <c r="C183" s="529">
        <v>10</v>
      </c>
      <c r="D183" s="1027" t="s">
        <v>158</v>
      </c>
      <c r="E183" s="1028" t="s">
        <v>159</v>
      </c>
      <c r="F183" s="547">
        <v>-3063035088</v>
      </c>
      <c r="G183" s="547"/>
      <c r="H183" s="547">
        <v>96037500</v>
      </c>
      <c r="I183" s="547">
        <v>2966997588</v>
      </c>
      <c r="J183" s="547"/>
      <c r="K183" s="547"/>
      <c r="L183" s="547"/>
      <c r="M183" s="547"/>
      <c r="N183" s="547"/>
      <c r="O183" s="547"/>
      <c r="P183" s="547"/>
      <c r="Q183" s="1007">
        <f t="shared" si="10"/>
        <v>0</v>
      </c>
      <c r="R183" s="547">
        <v>-7389003027</v>
      </c>
      <c r="S183" s="989">
        <f t="shared" si="13"/>
        <v>0</v>
      </c>
      <c r="T183" s="547">
        <f t="shared" si="13"/>
        <v>-7389</v>
      </c>
      <c r="U183" s="566"/>
      <c r="V183" s="567"/>
      <c r="W183" s="989">
        <f t="shared" si="14"/>
        <v>0</v>
      </c>
      <c r="X183" s="812">
        <f t="shared" si="11"/>
        <v>0</v>
      </c>
      <c r="Y183" s="835">
        <f t="shared" si="12"/>
        <v>0</v>
      </c>
    </row>
    <row r="184" spans="1:25" ht="27" customHeight="1">
      <c r="A184" s="531">
        <v>7</v>
      </c>
      <c r="B184" s="531">
        <v>417</v>
      </c>
      <c r="C184" s="529">
        <v>4</v>
      </c>
      <c r="D184" s="1027" t="s">
        <v>1529</v>
      </c>
      <c r="E184" s="1028" t="s">
        <v>159</v>
      </c>
      <c r="F184" s="547">
        <v>101752725661</v>
      </c>
      <c r="G184" s="547">
        <v>13059414732</v>
      </c>
      <c r="H184" s="547">
        <v>11293883397</v>
      </c>
      <c r="I184" s="547">
        <v>-5003429830</v>
      </c>
      <c r="J184" s="547">
        <v>-121102593960</v>
      </c>
      <c r="K184" s="547"/>
      <c r="L184" s="547"/>
      <c r="M184" s="547"/>
      <c r="N184" s="547"/>
      <c r="O184" s="547"/>
      <c r="P184" s="547"/>
      <c r="Q184" s="1007">
        <f t="shared" si="10"/>
        <v>0</v>
      </c>
      <c r="R184" s="547">
        <v>0</v>
      </c>
      <c r="S184" s="989">
        <f t="shared" si="13"/>
        <v>0</v>
      </c>
      <c r="T184" s="547">
        <f t="shared" si="13"/>
        <v>0</v>
      </c>
      <c r="U184" s="566"/>
      <c r="V184" s="567"/>
      <c r="W184" s="989">
        <f t="shared" si="14"/>
        <v>0</v>
      </c>
      <c r="X184" s="812">
        <f t="shared" si="11"/>
        <v>0</v>
      </c>
      <c r="Y184" s="835">
        <f t="shared" si="12"/>
        <v>0</v>
      </c>
    </row>
    <row r="185" spans="1:25" ht="27" customHeight="1">
      <c r="A185" s="531">
        <v>1</v>
      </c>
      <c r="B185" s="531">
        <v>1023</v>
      </c>
      <c r="C185" s="529">
        <v>4</v>
      </c>
      <c r="D185" s="1027" t="s">
        <v>521</v>
      </c>
      <c r="E185" s="1028" t="s">
        <v>207</v>
      </c>
      <c r="F185" s="547">
        <v>373026762</v>
      </c>
      <c r="G185" s="547">
        <v>-691602005</v>
      </c>
      <c r="H185" s="547">
        <v>13262471652</v>
      </c>
      <c r="I185" s="547">
        <v>-8787786331</v>
      </c>
      <c r="J185" s="547">
        <v>-15088010647</v>
      </c>
      <c r="K185" s="547"/>
      <c r="L185" s="547">
        <v>-15240911952</v>
      </c>
      <c r="M185" s="547">
        <f>2420345+201500870</f>
        <v>203921215</v>
      </c>
      <c r="N185" s="547"/>
      <c r="O185" s="547"/>
      <c r="P185" s="547"/>
      <c r="Q185" s="1007">
        <f t="shared" si="10"/>
        <v>-25968891306</v>
      </c>
      <c r="R185" s="547">
        <v>-33518756655</v>
      </c>
      <c r="S185" s="989">
        <f t="shared" si="13"/>
        <v>-25969</v>
      </c>
      <c r="T185" s="547">
        <f t="shared" si="13"/>
        <v>-33519</v>
      </c>
      <c r="U185" s="566"/>
      <c r="V185" s="567"/>
      <c r="W185" s="989">
        <f t="shared" si="14"/>
        <v>-25968891306</v>
      </c>
      <c r="X185" s="812">
        <f t="shared" si="11"/>
        <v>-25969</v>
      </c>
      <c r="Y185" s="835">
        <f t="shared" si="12"/>
        <v>0</v>
      </c>
    </row>
    <row r="186" spans="1:25" ht="27" customHeight="1">
      <c r="A186" s="531">
        <v>7</v>
      </c>
      <c r="B186" s="531">
        <v>1023</v>
      </c>
      <c r="C186" s="529">
        <v>4</v>
      </c>
      <c r="D186" s="1027" t="s">
        <v>1324</v>
      </c>
      <c r="E186" s="1028" t="s">
        <v>207</v>
      </c>
      <c r="F186" s="547">
        <v>1718414353160</v>
      </c>
      <c r="G186" s="547">
        <v>129409342995</v>
      </c>
      <c r="H186" s="547">
        <v>177839997043</v>
      </c>
      <c r="I186" s="547"/>
      <c r="J186" s="547">
        <v>-2025663693198</v>
      </c>
      <c r="K186" s="547"/>
      <c r="L186" s="547">
        <f>-79870954640+1175642020000+15240911952</f>
        <v>1111011977312</v>
      </c>
      <c r="M186" s="547"/>
      <c r="N186" s="547"/>
      <c r="O186" s="547"/>
      <c r="P186" s="547"/>
      <c r="Q186" s="1007">
        <f t="shared" si="10"/>
        <v>1111011977312</v>
      </c>
      <c r="R186" s="547">
        <v>0</v>
      </c>
      <c r="S186" s="989">
        <f t="shared" si="13"/>
        <v>1111012</v>
      </c>
      <c r="T186" s="547">
        <f t="shared" si="13"/>
        <v>0</v>
      </c>
      <c r="U186" s="566"/>
      <c r="V186" s="567"/>
      <c r="W186" s="989">
        <f t="shared" si="14"/>
        <v>1111011977312</v>
      </c>
      <c r="X186" s="812">
        <f t="shared" si="11"/>
        <v>1111012</v>
      </c>
      <c r="Y186" s="835">
        <f t="shared" si="12"/>
        <v>0</v>
      </c>
    </row>
    <row r="187" spans="1:25" ht="27" customHeight="1">
      <c r="A187" s="531">
        <v>1</v>
      </c>
      <c r="B187" s="531">
        <v>1003</v>
      </c>
      <c r="C187" s="529">
        <v>4</v>
      </c>
      <c r="D187" s="1027" t="s">
        <v>208</v>
      </c>
      <c r="E187" s="1028" t="s">
        <v>209</v>
      </c>
      <c r="F187" s="547">
        <v>418710809</v>
      </c>
      <c r="G187" s="547">
        <v>-1401199921</v>
      </c>
      <c r="H187" s="547">
        <v>62269798</v>
      </c>
      <c r="I187" s="547">
        <v>920219314</v>
      </c>
      <c r="J187" s="547">
        <v>112956600706</v>
      </c>
      <c r="K187" s="547"/>
      <c r="L187" s="547"/>
      <c r="M187" s="547"/>
      <c r="N187" s="547"/>
      <c r="O187" s="547"/>
      <c r="P187" s="547"/>
      <c r="Q187" s="1007">
        <f t="shared" si="10"/>
        <v>112956600706</v>
      </c>
      <c r="R187" s="547">
        <v>-179013927</v>
      </c>
      <c r="S187" s="989">
        <f t="shared" si="13"/>
        <v>112957</v>
      </c>
      <c r="T187" s="547">
        <f t="shared" si="13"/>
        <v>-179</v>
      </c>
      <c r="U187" s="566"/>
      <c r="V187" s="567"/>
      <c r="W187" s="989">
        <f t="shared" si="14"/>
        <v>112956600706</v>
      </c>
      <c r="X187" s="812">
        <f t="shared" si="11"/>
        <v>112957</v>
      </c>
      <c r="Y187" s="835">
        <f t="shared" si="12"/>
        <v>0</v>
      </c>
    </row>
    <row r="188" spans="1:25" ht="27" customHeight="1">
      <c r="A188" s="531">
        <v>7</v>
      </c>
      <c r="B188" s="531">
        <v>1003</v>
      </c>
      <c r="C188" s="529">
        <v>4</v>
      </c>
      <c r="D188" s="1027" t="s">
        <v>1325</v>
      </c>
      <c r="E188" s="1028" t="s">
        <v>209</v>
      </c>
      <c r="F188" s="547">
        <v>1355836925622</v>
      </c>
      <c r="G188" s="547">
        <v>84244698674</v>
      </c>
      <c r="H188" s="547">
        <v>132252394068</v>
      </c>
      <c r="I188" s="547">
        <v>-3820825881</v>
      </c>
      <c r="J188" s="547">
        <v>-1568513192483</v>
      </c>
      <c r="K188" s="547"/>
      <c r="L188" s="547"/>
      <c r="M188" s="547"/>
      <c r="N188" s="547"/>
      <c r="O188" s="547"/>
      <c r="P188" s="547"/>
      <c r="Q188" s="1007">
        <f t="shared" si="10"/>
        <v>0</v>
      </c>
      <c r="R188" s="547">
        <v>0</v>
      </c>
      <c r="S188" s="989">
        <f t="shared" si="13"/>
        <v>0</v>
      </c>
      <c r="T188" s="547">
        <f t="shared" si="13"/>
        <v>0</v>
      </c>
      <c r="U188" s="566"/>
      <c r="V188" s="567"/>
      <c r="W188" s="989">
        <f t="shared" si="14"/>
        <v>0</v>
      </c>
      <c r="X188" s="812">
        <f t="shared" si="11"/>
        <v>0</v>
      </c>
      <c r="Y188" s="835">
        <f t="shared" si="12"/>
        <v>0</v>
      </c>
    </row>
    <row r="189" spans="1:25" ht="27" customHeight="1">
      <c r="A189" s="531">
        <v>1</v>
      </c>
      <c r="B189" s="531">
        <v>1021</v>
      </c>
      <c r="C189" s="529">
        <v>10</v>
      </c>
      <c r="D189" s="1027" t="s">
        <v>343</v>
      </c>
      <c r="E189" s="1028" t="s">
        <v>344</v>
      </c>
      <c r="F189" s="547">
        <v>-107776754826</v>
      </c>
      <c r="G189" s="547">
        <v>-4696004366</v>
      </c>
      <c r="H189" s="547">
        <v>8158571</v>
      </c>
      <c r="I189" s="547">
        <v>-44039305846</v>
      </c>
      <c r="J189" s="547">
        <v>-3346279447</v>
      </c>
      <c r="K189" s="547">
        <v>-3546000000</v>
      </c>
      <c r="L189" s="547"/>
      <c r="M189" s="547"/>
      <c r="N189" s="547"/>
      <c r="O189" s="547"/>
      <c r="P189" s="547"/>
      <c r="Q189" s="989">
        <f t="shared" si="10"/>
        <v>-163396185914</v>
      </c>
      <c r="R189" s="547">
        <v>-110220206037</v>
      </c>
      <c r="S189" s="989">
        <f t="shared" si="13"/>
        <v>-163396</v>
      </c>
      <c r="T189" s="547">
        <f t="shared" si="13"/>
        <v>-110220</v>
      </c>
      <c r="U189" s="566"/>
      <c r="V189" s="567"/>
      <c r="W189" s="989">
        <f t="shared" si="14"/>
        <v>-163396185914</v>
      </c>
      <c r="X189" s="812">
        <f t="shared" si="11"/>
        <v>-163396</v>
      </c>
      <c r="Y189" s="835">
        <f t="shared" si="12"/>
        <v>0</v>
      </c>
    </row>
    <row r="190" spans="1:25" ht="27" customHeight="1">
      <c r="A190" s="531"/>
      <c r="B190" s="531">
        <v>1018</v>
      </c>
      <c r="C190" s="529">
        <v>10</v>
      </c>
      <c r="D190" s="1027" t="s">
        <v>266</v>
      </c>
      <c r="E190" s="1028" t="s">
        <v>267</v>
      </c>
      <c r="F190" s="547">
        <v>-2109759796</v>
      </c>
      <c r="G190" s="547">
        <v>-16735923</v>
      </c>
      <c r="H190" s="547"/>
      <c r="I190" s="547"/>
      <c r="J190" s="547"/>
      <c r="K190" s="547"/>
      <c r="L190" s="547"/>
      <c r="M190" s="547"/>
      <c r="N190" s="547"/>
      <c r="O190" s="547"/>
      <c r="P190" s="547"/>
      <c r="Q190" s="989">
        <f t="shared" si="10"/>
        <v>-2126495719</v>
      </c>
      <c r="R190" s="547">
        <v>259688742</v>
      </c>
      <c r="S190" s="989">
        <f t="shared" si="13"/>
        <v>-2126</v>
      </c>
      <c r="T190" s="547">
        <f t="shared" si="13"/>
        <v>260</v>
      </c>
      <c r="U190" s="566"/>
      <c r="V190" s="567"/>
      <c r="W190" s="989">
        <f t="shared" si="14"/>
        <v>-2126495719</v>
      </c>
      <c r="X190" s="812">
        <f t="shared" si="11"/>
        <v>-2126</v>
      </c>
      <c r="Y190" s="835">
        <f t="shared" si="12"/>
        <v>0</v>
      </c>
    </row>
    <row r="191" spans="1:25" ht="27" customHeight="1">
      <c r="A191" s="531"/>
      <c r="B191" s="531">
        <v>1001</v>
      </c>
      <c r="C191" s="529">
        <v>10</v>
      </c>
      <c r="D191" s="1027" t="s">
        <v>393</v>
      </c>
      <c r="E191" s="1028" t="s">
        <v>394</v>
      </c>
      <c r="F191" s="547"/>
      <c r="G191" s="547"/>
      <c r="H191" s="547"/>
      <c r="I191" s="547"/>
      <c r="J191" s="547"/>
      <c r="K191" s="547"/>
      <c r="L191" s="547"/>
      <c r="M191" s="547"/>
      <c r="N191" s="547"/>
      <c r="O191" s="547"/>
      <c r="P191" s="547"/>
      <c r="Q191" s="989">
        <f t="shared" si="10"/>
        <v>0</v>
      </c>
      <c r="R191" s="547">
        <v>0</v>
      </c>
      <c r="S191" s="989">
        <f t="shared" si="13"/>
        <v>0</v>
      </c>
      <c r="T191" s="547">
        <f t="shared" si="13"/>
        <v>0</v>
      </c>
      <c r="U191" s="566"/>
      <c r="V191" s="567"/>
      <c r="W191" s="989">
        <f t="shared" si="14"/>
        <v>0</v>
      </c>
      <c r="X191" s="812">
        <f t="shared" si="11"/>
        <v>0</v>
      </c>
      <c r="Y191" s="835">
        <f t="shared" si="12"/>
        <v>0</v>
      </c>
    </row>
    <row r="192" spans="1:25" ht="27" customHeight="1">
      <c r="A192" s="531"/>
      <c r="B192" s="531">
        <v>406</v>
      </c>
      <c r="C192" s="529">
        <v>4</v>
      </c>
      <c r="D192" s="1027" t="s">
        <v>345</v>
      </c>
      <c r="E192" s="1028" t="s">
        <v>1331</v>
      </c>
      <c r="F192" s="547">
        <v>100062000</v>
      </c>
      <c r="G192" s="547"/>
      <c r="H192" s="547"/>
      <c r="I192" s="547"/>
      <c r="J192" s="547"/>
      <c r="K192" s="547"/>
      <c r="L192" s="547"/>
      <c r="M192" s="547"/>
      <c r="N192" s="547"/>
      <c r="O192" s="547"/>
      <c r="P192" s="547"/>
      <c r="Q192" s="989">
        <f t="shared" si="10"/>
        <v>100062000</v>
      </c>
      <c r="R192" s="547">
        <v>66708000</v>
      </c>
      <c r="S192" s="989">
        <f t="shared" si="13"/>
        <v>100</v>
      </c>
      <c r="T192" s="547">
        <f t="shared" si="13"/>
        <v>67</v>
      </c>
      <c r="U192" s="566"/>
      <c r="V192" s="567"/>
      <c r="W192" s="989">
        <f t="shared" si="14"/>
        <v>100062000</v>
      </c>
      <c r="X192" s="812">
        <f t="shared" si="11"/>
        <v>100</v>
      </c>
      <c r="Y192" s="835">
        <f t="shared" si="12"/>
        <v>0</v>
      </c>
    </row>
    <row r="193" spans="1:25" ht="27" customHeight="1">
      <c r="A193" s="531"/>
      <c r="B193" s="1092">
        <v>406</v>
      </c>
      <c r="C193" s="1021">
        <v>4</v>
      </c>
      <c r="D193" s="1027" t="s">
        <v>269</v>
      </c>
      <c r="E193" s="1028" t="s">
        <v>268</v>
      </c>
      <c r="F193" s="547">
        <v>171833516</v>
      </c>
      <c r="G193" s="547"/>
      <c r="H193" s="547"/>
      <c r="I193" s="547"/>
      <c r="J193" s="547"/>
      <c r="K193" s="547"/>
      <c r="L193" s="547"/>
      <c r="M193" s="547"/>
      <c r="N193" s="547"/>
      <c r="O193" s="547"/>
      <c r="P193" s="547"/>
      <c r="Q193" s="989">
        <f t="shared" si="10"/>
        <v>171833516</v>
      </c>
      <c r="R193" s="547">
        <v>-94998484</v>
      </c>
      <c r="S193" s="989">
        <f t="shared" si="13"/>
        <v>172</v>
      </c>
      <c r="T193" s="547">
        <f t="shared" si="13"/>
        <v>-95</v>
      </c>
      <c r="U193" s="566"/>
      <c r="V193" s="567"/>
      <c r="W193" s="989">
        <f t="shared" si="14"/>
        <v>171833516</v>
      </c>
      <c r="X193" s="812">
        <f t="shared" si="11"/>
        <v>172</v>
      </c>
      <c r="Y193" s="835">
        <f t="shared" si="12"/>
        <v>0</v>
      </c>
    </row>
    <row r="194" spans="1:25" ht="27" customHeight="1">
      <c r="A194" s="531"/>
      <c r="B194" s="1092">
        <v>406</v>
      </c>
      <c r="C194" s="1021">
        <v>4</v>
      </c>
      <c r="D194" s="1027" t="s">
        <v>535</v>
      </c>
      <c r="E194" s="1028" t="s">
        <v>64</v>
      </c>
      <c r="F194" s="547">
        <v>50031000</v>
      </c>
      <c r="G194" s="547"/>
      <c r="H194" s="547"/>
      <c r="I194" s="547"/>
      <c r="J194" s="547"/>
      <c r="K194" s="547"/>
      <c r="L194" s="547"/>
      <c r="M194" s="547"/>
      <c r="N194" s="547"/>
      <c r="O194" s="547"/>
      <c r="P194" s="547"/>
      <c r="Q194" s="989">
        <f t="shared" si="10"/>
        <v>50031000</v>
      </c>
      <c r="R194" s="547">
        <v>-171832310</v>
      </c>
      <c r="S194" s="989">
        <f t="shared" si="13"/>
        <v>50</v>
      </c>
      <c r="T194" s="547">
        <f t="shared" si="13"/>
        <v>-172</v>
      </c>
      <c r="U194" s="566"/>
      <c r="V194" s="567"/>
      <c r="W194" s="989">
        <f t="shared" si="14"/>
        <v>50031000</v>
      </c>
      <c r="X194" s="812">
        <f t="shared" si="11"/>
        <v>50</v>
      </c>
      <c r="Y194" s="835">
        <f t="shared" si="12"/>
        <v>0</v>
      </c>
    </row>
    <row r="195" spans="1:25" ht="27" customHeight="1">
      <c r="A195" s="531"/>
      <c r="B195" s="531">
        <v>406</v>
      </c>
      <c r="C195" s="529">
        <v>4</v>
      </c>
      <c r="D195" s="1027" t="s">
        <v>347</v>
      </c>
      <c r="E195" s="1028" t="s">
        <v>1059</v>
      </c>
      <c r="F195" s="547"/>
      <c r="G195" s="547"/>
      <c r="H195" s="547"/>
      <c r="I195" s="547"/>
      <c r="J195" s="547"/>
      <c r="K195" s="547"/>
      <c r="L195" s="547"/>
      <c r="M195" s="547"/>
      <c r="N195" s="547"/>
      <c r="O195" s="547"/>
      <c r="P195" s="547"/>
      <c r="Q195" s="989">
        <f t="shared" si="10"/>
        <v>0</v>
      </c>
      <c r="R195" s="547">
        <v>0</v>
      </c>
      <c r="S195" s="989">
        <f t="shared" si="13"/>
        <v>0</v>
      </c>
      <c r="T195" s="547">
        <f t="shared" si="13"/>
        <v>0</v>
      </c>
      <c r="U195" s="566"/>
      <c r="V195" s="567"/>
      <c r="W195" s="989">
        <f t="shared" si="14"/>
        <v>0</v>
      </c>
      <c r="X195" s="812">
        <f t="shared" si="11"/>
        <v>0</v>
      </c>
      <c r="Y195" s="835">
        <f t="shared" si="12"/>
        <v>0</v>
      </c>
    </row>
    <row r="196" spans="1:25" ht="27" customHeight="1">
      <c r="A196" s="531"/>
      <c r="B196" s="531">
        <v>406</v>
      </c>
      <c r="C196" s="529">
        <v>4</v>
      </c>
      <c r="D196" s="1027" t="s">
        <v>270</v>
      </c>
      <c r="E196" s="1028" t="s">
        <v>271</v>
      </c>
      <c r="F196" s="547"/>
      <c r="G196" s="547"/>
      <c r="H196" s="547"/>
      <c r="I196" s="547"/>
      <c r="J196" s="547"/>
      <c r="K196" s="547"/>
      <c r="L196" s="547"/>
      <c r="M196" s="547"/>
      <c r="N196" s="547"/>
      <c r="O196" s="547"/>
      <c r="P196" s="547"/>
      <c r="Q196" s="989">
        <f t="shared" ref="Q196:Q262" si="15">SUM(F196:P196)</f>
        <v>0</v>
      </c>
      <c r="R196" s="547">
        <v>0</v>
      </c>
      <c r="S196" s="989">
        <f t="shared" si="13"/>
        <v>0</v>
      </c>
      <c r="T196" s="547">
        <f t="shared" si="13"/>
        <v>0</v>
      </c>
      <c r="U196" s="566"/>
      <c r="V196" s="567"/>
      <c r="W196" s="989">
        <f t="shared" si="14"/>
        <v>0</v>
      </c>
      <c r="X196" s="812">
        <f t="shared" ref="X196:X263" si="16">ROUND((W196/1000000),0)</f>
        <v>0</v>
      </c>
      <c r="Y196" s="835">
        <f t="shared" ref="Y196:Y259" si="17">S196-X196</f>
        <v>0</v>
      </c>
    </row>
    <row r="197" spans="1:25" ht="27" customHeight="1">
      <c r="A197" s="531"/>
      <c r="B197" s="531">
        <v>1001</v>
      </c>
      <c r="C197" s="529">
        <v>10</v>
      </c>
      <c r="D197" s="1027" t="s">
        <v>967</v>
      </c>
      <c r="E197" s="1028" t="s">
        <v>968</v>
      </c>
      <c r="F197" s="547"/>
      <c r="G197" s="547"/>
      <c r="H197" s="547"/>
      <c r="I197" s="547"/>
      <c r="J197" s="547"/>
      <c r="K197" s="547"/>
      <c r="L197" s="547"/>
      <c r="M197" s="547"/>
      <c r="N197" s="547"/>
      <c r="O197" s="547"/>
      <c r="P197" s="547"/>
      <c r="Q197" s="989">
        <f t="shared" si="15"/>
        <v>0</v>
      </c>
      <c r="R197" s="547">
        <v>0</v>
      </c>
      <c r="S197" s="989">
        <f t="shared" si="13"/>
        <v>0</v>
      </c>
      <c r="T197" s="547">
        <f t="shared" si="13"/>
        <v>0</v>
      </c>
      <c r="U197" s="566"/>
      <c r="V197" s="567"/>
      <c r="W197" s="989">
        <f t="shared" si="14"/>
        <v>0</v>
      </c>
      <c r="X197" s="812">
        <f t="shared" si="16"/>
        <v>0</v>
      </c>
      <c r="Y197" s="835">
        <f t="shared" si="17"/>
        <v>0</v>
      </c>
    </row>
    <row r="198" spans="1:25" ht="27" customHeight="1">
      <c r="A198" s="531"/>
      <c r="B198" s="531">
        <v>1001</v>
      </c>
      <c r="C198" s="529">
        <v>10</v>
      </c>
      <c r="D198" s="1027" t="s">
        <v>349</v>
      </c>
      <c r="E198" s="1028" t="s">
        <v>285</v>
      </c>
      <c r="F198" s="547"/>
      <c r="G198" s="547"/>
      <c r="H198" s="547"/>
      <c r="I198" s="547"/>
      <c r="J198" s="547"/>
      <c r="K198" s="547"/>
      <c r="L198" s="547"/>
      <c r="M198" s="547"/>
      <c r="N198" s="547"/>
      <c r="O198" s="547"/>
      <c r="P198" s="547"/>
      <c r="Q198" s="989">
        <f t="shared" si="15"/>
        <v>0</v>
      </c>
      <c r="R198" s="547">
        <v>0</v>
      </c>
      <c r="S198" s="989">
        <f t="shared" si="13"/>
        <v>0</v>
      </c>
      <c r="T198" s="547">
        <f t="shared" si="13"/>
        <v>0</v>
      </c>
      <c r="U198" s="566"/>
      <c r="V198" s="567"/>
      <c r="W198" s="989">
        <f t="shared" si="14"/>
        <v>0</v>
      </c>
      <c r="X198" s="812">
        <f t="shared" si="16"/>
        <v>0</v>
      </c>
      <c r="Y198" s="835">
        <f t="shared" si="17"/>
        <v>0</v>
      </c>
    </row>
    <row r="199" spans="1:25" ht="27" customHeight="1">
      <c r="A199" s="531"/>
      <c r="B199" s="531">
        <v>1001</v>
      </c>
      <c r="C199" s="529">
        <v>10</v>
      </c>
      <c r="D199" s="1027" t="s">
        <v>1063</v>
      </c>
      <c r="E199" s="1028" t="s">
        <v>1237</v>
      </c>
      <c r="F199" s="547"/>
      <c r="G199" s="547"/>
      <c r="H199" s="547"/>
      <c r="I199" s="547"/>
      <c r="J199" s="547"/>
      <c r="K199" s="547"/>
      <c r="L199" s="547"/>
      <c r="M199" s="547"/>
      <c r="N199" s="547"/>
      <c r="O199" s="547"/>
      <c r="P199" s="547"/>
      <c r="Q199" s="989">
        <f t="shared" si="15"/>
        <v>0</v>
      </c>
      <c r="R199" s="547">
        <v>-166410000</v>
      </c>
      <c r="S199" s="989">
        <f t="shared" si="13"/>
        <v>0</v>
      </c>
      <c r="T199" s="547">
        <f t="shared" si="13"/>
        <v>-166</v>
      </c>
      <c r="U199" s="566"/>
      <c r="V199" s="567"/>
      <c r="W199" s="989">
        <f t="shared" si="14"/>
        <v>0</v>
      </c>
      <c r="X199" s="812">
        <f t="shared" si="16"/>
        <v>0</v>
      </c>
      <c r="Y199" s="835">
        <f t="shared" si="17"/>
        <v>0</v>
      </c>
    </row>
    <row r="200" spans="1:25" ht="27" customHeight="1">
      <c r="A200" s="531"/>
      <c r="B200" s="531">
        <v>406</v>
      </c>
      <c r="C200" s="529">
        <v>4</v>
      </c>
      <c r="D200" s="1027" t="s">
        <v>1060</v>
      </c>
      <c r="E200" s="1028" t="s">
        <v>1061</v>
      </c>
      <c r="F200" s="547">
        <v>537808263</v>
      </c>
      <c r="G200" s="547"/>
      <c r="H200" s="547"/>
      <c r="I200" s="547"/>
      <c r="J200" s="547"/>
      <c r="K200" s="547"/>
      <c r="L200" s="547"/>
      <c r="M200" s="547"/>
      <c r="N200" s="547"/>
      <c r="O200" s="547"/>
      <c r="P200" s="547"/>
      <c r="Q200" s="989">
        <f t="shared" si="15"/>
        <v>537808263</v>
      </c>
      <c r="R200" s="547">
        <v>537808263</v>
      </c>
      <c r="S200" s="989">
        <f t="shared" si="13"/>
        <v>538</v>
      </c>
      <c r="T200" s="547">
        <f t="shared" si="13"/>
        <v>538</v>
      </c>
      <c r="U200" s="566"/>
      <c r="V200" s="567"/>
      <c r="W200" s="989">
        <f t="shared" si="14"/>
        <v>537808263</v>
      </c>
      <c r="X200" s="812">
        <f t="shared" si="16"/>
        <v>538</v>
      </c>
      <c r="Y200" s="835">
        <f t="shared" si="17"/>
        <v>0</v>
      </c>
    </row>
    <row r="201" spans="1:25" ht="27" customHeight="1">
      <c r="A201" s="531"/>
      <c r="B201" s="531">
        <v>1001</v>
      </c>
      <c r="C201" s="529">
        <v>10</v>
      </c>
      <c r="D201" s="1027" t="s">
        <v>657</v>
      </c>
      <c r="E201" s="1028" t="s">
        <v>658</v>
      </c>
      <c r="F201" s="547"/>
      <c r="G201" s="547"/>
      <c r="H201" s="547"/>
      <c r="I201" s="547"/>
      <c r="J201" s="547"/>
      <c r="K201" s="547"/>
      <c r="L201" s="547"/>
      <c r="M201" s="547"/>
      <c r="N201" s="547"/>
      <c r="O201" s="547"/>
      <c r="P201" s="547"/>
      <c r="Q201" s="989">
        <f t="shared" si="15"/>
        <v>0</v>
      </c>
      <c r="R201" s="547">
        <v>0</v>
      </c>
      <c r="S201" s="989">
        <f t="shared" si="13"/>
        <v>0</v>
      </c>
      <c r="T201" s="547">
        <f t="shared" si="13"/>
        <v>0</v>
      </c>
      <c r="U201" s="566"/>
      <c r="V201" s="567"/>
      <c r="W201" s="989">
        <f t="shared" si="14"/>
        <v>0</v>
      </c>
      <c r="X201" s="812">
        <f t="shared" si="16"/>
        <v>0</v>
      </c>
      <c r="Y201" s="835">
        <f t="shared" si="17"/>
        <v>0</v>
      </c>
    </row>
    <row r="202" spans="1:25" ht="27" customHeight="1">
      <c r="A202" s="531"/>
      <c r="B202" s="531">
        <v>406</v>
      </c>
      <c r="C202" s="529">
        <v>4</v>
      </c>
      <c r="D202" s="1027" t="s">
        <v>272</v>
      </c>
      <c r="E202" s="1028" t="s">
        <v>969</v>
      </c>
      <c r="F202" s="547"/>
      <c r="G202" s="547"/>
      <c r="H202" s="547"/>
      <c r="I202" s="547"/>
      <c r="J202" s="547"/>
      <c r="K202" s="547"/>
      <c r="L202" s="547"/>
      <c r="M202" s="547"/>
      <c r="N202" s="547"/>
      <c r="O202" s="547"/>
      <c r="P202" s="547"/>
      <c r="Q202" s="989">
        <f t="shared" si="15"/>
        <v>0</v>
      </c>
      <c r="R202" s="547">
        <v>0</v>
      </c>
      <c r="S202" s="989">
        <f t="shared" ref="S202:T279" si="18">ROUND((Q202/1000000),0)</f>
        <v>0</v>
      </c>
      <c r="T202" s="547">
        <f t="shared" si="18"/>
        <v>0</v>
      </c>
      <c r="U202" s="566"/>
      <c r="V202" s="567"/>
      <c r="W202" s="989">
        <f t="shared" si="14"/>
        <v>0</v>
      </c>
      <c r="X202" s="812">
        <f t="shared" si="16"/>
        <v>0</v>
      </c>
      <c r="Y202" s="835">
        <f t="shared" si="17"/>
        <v>0</v>
      </c>
    </row>
    <row r="203" spans="1:25" ht="27" customHeight="1">
      <c r="A203" s="531"/>
      <c r="B203" s="531">
        <v>406</v>
      </c>
      <c r="C203" s="529">
        <v>4</v>
      </c>
      <c r="D203" s="1027" t="s">
        <v>235</v>
      </c>
      <c r="E203" s="1028" t="s">
        <v>1062</v>
      </c>
      <c r="F203" s="547"/>
      <c r="G203" s="547"/>
      <c r="H203" s="547"/>
      <c r="I203" s="547"/>
      <c r="J203" s="547"/>
      <c r="K203" s="547"/>
      <c r="L203" s="547"/>
      <c r="M203" s="547"/>
      <c r="N203" s="547"/>
      <c r="O203" s="547"/>
      <c r="P203" s="547"/>
      <c r="Q203" s="989">
        <f t="shared" si="15"/>
        <v>0</v>
      </c>
      <c r="R203" s="547">
        <v>0</v>
      </c>
      <c r="S203" s="989">
        <f t="shared" si="18"/>
        <v>0</v>
      </c>
      <c r="T203" s="547">
        <f t="shared" si="18"/>
        <v>0</v>
      </c>
      <c r="U203" s="566"/>
      <c r="V203" s="567"/>
      <c r="W203" s="989">
        <f t="shared" ref="W203:W280" si="19">Q203+V203-U203</f>
        <v>0</v>
      </c>
      <c r="X203" s="812">
        <f t="shared" si="16"/>
        <v>0</v>
      </c>
      <c r="Y203" s="835">
        <f t="shared" si="17"/>
        <v>0</v>
      </c>
    </row>
    <row r="204" spans="1:25" ht="27" customHeight="1">
      <c r="A204" s="531"/>
      <c r="B204" s="531">
        <v>1001</v>
      </c>
      <c r="C204" s="529">
        <v>10</v>
      </c>
      <c r="D204" s="1027" t="s">
        <v>237</v>
      </c>
      <c r="E204" s="1028" t="s">
        <v>1002</v>
      </c>
      <c r="F204" s="547"/>
      <c r="G204" s="547"/>
      <c r="H204" s="547"/>
      <c r="I204" s="547"/>
      <c r="J204" s="547"/>
      <c r="K204" s="547"/>
      <c r="L204" s="547"/>
      <c r="M204" s="547"/>
      <c r="N204" s="547"/>
      <c r="O204" s="547"/>
      <c r="P204" s="547"/>
      <c r="Q204" s="989">
        <f t="shared" si="15"/>
        <v>0</v>
      </c>
      <c r="R204" s="547">
        <v>0</v>
      </c>
      <c r="S204" s="989">
        <f t="shared" si="18"/>
        <v>0</v>
      </c>
      <c r="T204" s="547">
        <f t="shared" si="18"/>
        <v>0</v>
      </c>
      <c r="U204" s="566"/>
      <c r="V204" s="567"/>
      <c r="W204" s="989">
        <f t="shared" si="19"/>
        <v>0</v>
      </c>
      <c r="X204" s="812">
        <f t="shared" si="16"/>
        <v>0</v>
      </c>
      <c r="Y204" s="835">
        <f t="shared" si="17"/>
        <v>0</v>
      </c>
    </row>
    <row r="205" spans="1:25" ht="27" customHeight="1">
      <c r="A205" s="531"/>
      <c r="B205" s="531">
        <v>406</v>
      </c>
      <c r="C205" s="529">
        <v>4</v>
      </c>
      <c r="D205" s="1027" t="s">
        <v>970</v>
      </c>
      <c r="E205" s="1028" t="s">
        <v>971</v>
      </c>
      <c r="F205" s="547">
        <v>815399793</v>
      </c>
      <c r="G205" s="547"/>
      <c r="H205" s="547"/>
      <c r="I205" s="547"/>
      <c r="J205" s="547"/>
      <c r="K205" s="547"/>
      <c r="L205" s="547"/>
      <c r="M205" s="547"/>
      <c r="N205" s="547"/>
      <c r="O205" s="547"/>
      <c r="P205" s="547"/>
      <c r="Q205" s="989">
        <f t="shared" si="15"/>
        <v>815399793</v>
      </c>
      <c r="R205" s="547">
        <v>625347393</v>
      </c>
      <c r="S205" s="989">
        <f t="shared" si="18"/>
        <v>815</v>
      </c>
      <c r="T205" s="547">
        <f t="shared" si="18"/>
        <v>625</v>
      </c>
      <c r="U205" s="566"/>
      <c r="V205" s="567"/>
      <c r="W205" s="989">
        <f t="shared" si="19"/>
        <v>815399793</v>
      </c>
      <c r="X205" s="812">
        <f t="shared" si="16"/>
        <v>815</v>
      </c>
      <c r="Y205" s="835">
        <f t="shared" si="17"/>
        <v>0</v>
      </c>
    </row>
    <row r="206" spans="1:25" ht="27" customHeight="1">
      <c r="A206" s="531"/>
      <c r="B206" s="531">
        <v>406</v>
      </c>
      <c r="C206" s="529">
        <v>4</v>
      </c>
      <c r="D206" s="1027" t="s">
        <v>1264</v>
      </c>
      <c r="E206" s="1028" t="s">
        <v>1064</v>
      </c>
      <c r="F206" s="547"/>
      <c r="G206" s="547"/>
      <c r="H206" s="547"/>
      <c r="I206" s="547"/>
      <c r="J206" s="547"/>
      <c r="K206" s="547"/>
      <c r="L206" s="547"/>
      <c r="M206" s="547"/>
      <c r="N206" s="547"/>
      <c r="O206" s="547"/>
      <c r="P206" s="547"/>
      <c r="Q206" s="989">
        <f t="shared" si="15"/>
        <v>0</v>
      </c>
      <c r="R206" s="547">
        <v>0</v>
      </c>
      <c r="S206" s="989">
        <f t="shared" si="18"/>
        <v>0</v>
      </c>
      <c r="T206" s="547">
        <f t="shared" si="18"/>
        <v>0</v>
      </c>
      <c r="U206" s="566"/>
      <c r="V206" s="567"/>
      <c r="W206" s="989">
        <f t="shared" si="19"/>
        <v>0</v>
      </c>
      <c r="X206" s="812">
        <f t="shared" si="16"/>
        <v>0</v>
      </c>
      <c r="Y206" s="835">
        <f t="shared" si="17"/>
        <v>0</v>
      </c>
    </row>
    <row r="207" spans="1:25" ht="27" customHeight="1">
      <c r="A207" s="531"/>
      <c r="B207" s="531">
        <v>406</v>
      </c>
      <c r="C207" s="529">
        <v>4</v>
      </c>
      <c r="D207" s="1027" t="s">
        <v>210</v>
      </c>
      <c r="E207" s="1028" t="s">
        <v>211</v>
      </c>
      <c r="F207" s="547">
        <v>554829926</v>
      </c>
      <c r="G207" s="547"/>
      <c r="H207" s="547"/>
      <c r="I207" s="547"/>
      <c r="J207" s="547"/>
      <c r="K207" s="547"/>
      <c r="L207" s="547"/>
      <c r="M207" s="547"/>
      <c r="N207" s="547"/>
      <c r="O207" s="547"/>
      <c r="P207" s="547"/>
      <c r="Q207" s="989">
        <f t="shared" si="15"/>
        <v>554829926</v>
      </c>
      <c r="R207" s="547">
        <v>521475926</v>
      </c>
      <c r="S207" s="989">
        <f t="shared" si="18"/>
        <v>555</v>
      </c>
      <c r="T207" s="547">
        <f t="shared" si="18"/>
        <v>521</v>
      </c>
      <c r="U207" s="566"/>
      <c r="V207" s="567"/>
      <c r="W207" s="989">
        <f t="shared" si="19"/>
        <v>554829926</v>
      </c>
      <c r="X207" s="812">
        <f t="shared" si="16"/>
        <v>555</v>
      </c>
      <c r="Y207" s="835">
        <f t="shared" si="17"/>
        <v>0</v>
      </c>
    </row>
    <row r="208" spans="1:25" ht="27" customHeight="1">
      <c r="A208" s="531"/>
      <c r="B208" s="531">
        <v>406</v>
      </c>
      <c r="C208" s="529">
        <v>4</v>
      </c>
      <c r="D208" s="1027" t="s">
        <v>274</v>
      </c>
      <c r="E208" s="1028" t="s">
        <v>276</v>
      </c>
      <c r="F208" s="547"/>
      <c r="G208" s="547"/>
      <c r="H208" s="547"/>
      <c r="I208" s="547"/>
      <c r="J208" s="547"/>
      <c r="K208" s="547"/>
      <c r="L208" s="547"/>
      <c r="M208" s="547"/>
      <c r="N208" s="547"/>
      <c r="O208" s="547"/>
      <c r="P208" s="547"/>
      <c r="Q208" s="989">
        <f t="shared" si="15"/>
        <v>0</v>
      </c>
      <c r="R208" s="547">
        <v>0</v>
      </c>
      <c r="S208" s="989">
        <f t="shared" si="18"/>
        <v>0</v>
      </c>
      <c r="T208" s="547">
        <f t="shared" si="18"/>
        <v>0</v>
      </c>
      <c r="U208" s="566"/>
      <c r="V208" s="567"/>
      <c r="W208" s="989">
        <f t="shared" si="19"/>
        <v>0</v>
      </c>
      <c r="X208" s="812">
        <f t="shared" si="16"/>
        <v>0</v>
      </c>
      <c r="Y208" s="835">
        <f t="shared" si="17"/>
        <v>0</v>
      </c>
    </row>
    <row r="209" spans="1:25" ht="27" customHeight="1">
      <c r="A209" s="531"/>
      <c r="B209" s="531">
        <v>406</v>
      </c>
      <c r="C209" s="529">
        <v>4</v>
      </c>
      <c r="D209" s="1027" t="s">
        <v>1030</v>
      </c>
      <c r="E209" s="1028" t="s">
        <v>1031</v>
      </c>
      <c r="F209" s="547"/>
      <c r="G209" s="547"/>
      <c r="H209" s="547"/>
      <c r="I209" s="547"/>
      <c r="J209" s="547"/>
      <c r="K209" s="547"/>
      <c r="L209" s="547"/>
      <c r="M209" s="547"/>
      <c r="N209" s="547"/>
      <c r="O209" s="547"/>
      <c r="P209" s="547"/>
      <c r="Q209" s="989">
        <f t="shared" si="15"/>
        <v>0</v>
      </c>
      <c r="R209" s="547">
        <v>0</v>
      </c>
      <c r="S209" s="989">
        <f t="shared" si="18"/>
        <v>0</v>
      </c>
      <c r="T209" s="547">
        <f t="shared" si="18"/>
        <v>0</v>
      </c>
      <c r="U209" s="566"/>
      <c r="V209" s="567"/>
      <c r="W209" s="989">
        <f t="shared" si="19"/>
        <v>0</v>
      </c>
      <c r="X209" s="812">
        <f t="shared" si="16"/>
        <v>0</v>
      </c>
      <c r="Y209" s="835">
        <f t="shared" si="17"/>
        <v>0</v>
      </c>
    </row>
    <row r="210" spans="1:25" ht="27" customHeight="1">
      <c r="A210" s="531"/>
      <c r="B210" s="531">
        <v>406</v>
      </c>
      <c r="C210" s="529">
        <v>4</v>
      </c>
      <c r="D210" s="1027" t="s">
        <v>1004</v>
      </c>
      <c r="E210" s="1028" t="s">
        <v>840</v>
      </c>
      <c r="F210" s="547"/>
      <c r="G210" s="547"/>
      <c r="H210" s="547"/>
      <c r="I210" s="547"/>
      <c r="J210" s="547"/>
      <c r="K210" s="547"/>
      <c r="L210" s="547"/>
      <c r="M210" s="547"/>
      <c r="N210" s="547"/>
      <c r="O210" s="547"/>
      <c r="P210" s="547"/>
      <c r="Q210" s="989">
        <f t="shared" si="15"/>
        <v>0</v>
      </c>
      <c r="R210" s="547">
        <v>0</v>
      </c>
      <c r="S210" s="989">
        <f t="shared" si="18"/>
        <v>0</v>
      </c>
      <c r="T210" s="547">
        <f t="shared" si="18"/>
        <v>0</v>
      </c>
      <c r="U210" s="566"/>
      <c r="V210" s="567"/>
      <c r="W210" s="989">
        <f t="shared" si="19"/>
        <v>0</v>
      </c>
      <c r="X210" s="812">
        <f t="shared" si="16"/>
        <v>0</v>
      </c>
      <c r="Y210" s="835">
        <f t="shared" si="17"/>
        <v>0</v>
      </c>
    </row>
    <row r="211" spans="1:25" ht="27" customHeight="1">
      <c r="A211" s="531"/>
      <c r="B211" s="531">
        <v>1001</v>
      </c>
      <c r="C211" s="529">
        <v>10</v>
      </c>
      <c r="D211" s="1027" t="s">
        <v>65</v>
      </c>
      <c r="E211" s="1028" t="s">
        <v>1332</v>
      </c>
      <c r="F211" s="547"/>
      <c r="G211" s="547"/>
      <c r="H211" s="547"/>
      <c r="I211" s="547"/>
      <c r="J211" s="547"/>
      <c r="K211" s="547"/>
      <c r="L211" s="547"/>
      <c r="M211" s="547"/>
      <c r="N211" s="547"/>
      <c r="O211" s="547"/>
      <c r="P211" s="547"/>
      <c r="Q211" s="989">
        <f t="shared" si="15"/>
        <v>0</v>
      </c>
      <c r="R211" s="547">
        <v>0</v>
      </c>
      <c r="S211" s="989">
        <f t="shared" si="18"/>
        <v>0</v>
      </c>
      <c r="T211" s="547">
        <f t="shared" si="18"/>
        <v>0</v>
      </c>
      <c r="U211" s="566"/>
      <c r="V211" s="567"/>
      <c r="W211" s="989">
        <f t="shared" si="19"/>
        <v>0</v>
      </c>
      <c r="X211" s="812">
        <f t="shared" si="16"/>
        <v>0</v>
      </c>
      <c r="Y211" s="835">
        <f t="shared" si="17"/>
        <v>0</v>
      </c>
    </row>
    <row r="212" spans="1:25" ht="27" customHeight="1">
      <c r="A212" s="531"/>
      <c r="B212" s="531">
        <v>1001</v>
      </c>
      <c r="C212" s="529">
        <v>10</v>
      </c>
      <c r="D212" s="1027" t="s">
        <v>1065</v>
      </c>
      <c r="E212" s="1028" t="s">
        <v>1066</v>
      </c>
      <c r="F212" s="547"/>
      <c r="G212" s="547"/>
      <c r="H212" s="547"/>
      <c r="I212" s="547"/>
      <c r="J212" s="547"/>
      <c r="K212" s="547"/>
      <c r="L212" s="547"/>
      <c r="M212" s="547"/>
      <c r="N212" s="547"/>
      <c r="O212" s="547"/>
      <c r="P212" s="547"/>
      <c r="Q212" s="989">
        <f t="shared" si="15"/>
        <v>0</v>
      </c>
      <c r="R212" s="547">
        <v>0</v>
      </c>
      <c r="S212" s="989">
        <f t="shared" si="18"/>
        <v>0</v>
      </c>
      <c r="T212" s="547">
        <f t="shared" si="18"/>
        <v>0</v>
      </c>
      <c r="U212" s="566"/>
      <c r="V212" s="567"/>
      <c r="W212" s="989">
        <f t="shared" si="19"/>
        <v>0</v>
      </c>
      <c r="X212" s="812">
        <f t="shared" si="16"/>
        <v>0</v>
      </c>
      <c r="Y212" s="835">
        <f t="shared" si="17"/>
        <v>0</v>
      </c>
    </row>
    <row r="213" spans="1:25" ht="27" customHeight="1">
      <c r="A213" s="531"/>
      <c r="B213" s="531">
        <v>406</v>
      </c>
      <c r="C213" s="529">
        <v>4</v>
      </c>
      <c r="D213" s="1027" t="s">
        <v>1067</v>
      </c>
      <c r="E213" s="1028" t="s">
        <v>1068</v>
      </c>
      <c r="F213" s="547"/>
      <c r="G213" s="547"/>
      <c r="H213" s="547"/>
      <c r="I213" s="547"/>
      <c r="J213" s="547"/>
      <c r="K213" s="547"/>
      <c r="L213" s="547"/>
      <c r="M213" s="547"/>
      <c r="N213" s="547"/>
      <c r="O213" s="547"/>
      <c r="P213" s="547"/>
      <c r="Q213" s="989">
        <f t="shared" si="15"/>
        <v>0</v>
      </c>
      <c r="R213" s="547">
        <v>0</v>
      </c>
      <c r="S213" s="989">
        <f t="shared" si="18"/>
        <v>0</v>
      </c>
      <c r="T213" s="547">
        <f t="shared" si="18"/>
        <v>0</v>
      </c>
      <c r="U213" s="566"/>
      <c r="V213" s="567"/>
      <c r="W213" s="989">
        <f t="shared" si="19"/>
        <v>0</v>
      </c>
      <c r="X213" s="812">
        <f t="shared" si="16"/>
        <v>0</v>
      </c>
      <c r="Y213" s="835">
        <f t="shared" si="17"/>
        <v>0</v>
      </c>
    </row>
    <row r="214" spans="1:25" ht="27" customHeight="1">
      <c r="A214" s="531"/>
      <c r="B214" s="531">
        <v>406</v>
      </c>
      <c r="C214" s="529">
        <v>4</v>
      </c>
      <c r="D214" s="1027" t="s">
        <v>1069</v>
      </c>
      <c r="E214" s="1028" t="s">
        <v>1070</v>
      </c>
      <c r="F214" s="547">
        <v>257357100</v>
      </c>
      <c r="G214" s="547"/>
      <c r="H214" s="547"/>
      <c r="I214" s="547"/>
      <c r="J214" s="547"/>
      <c r="K214" s="547"/>
      <c r="L214" s="547"/>
      <c r="M214" s="547"/>
      <c r="N214" s="547"/>
      <c r="O214" s="547"/>
      <c r="P214" s="547"/>
      <c r="Q214" s="989">
        <f t="shared" si="15"/>
        <v>257357100</v>
      </c>
      <c r="R214" s="547">
        <v>126060060</v>
      </c>
      <c r="S214" s="989">
        <f t="shared" si="18"/>
        <v>257</v>
      </c>
      <c r="T214" s="547">
        <f t="shared" si="18"/>
        <v>126</v>
      </c>
      <c r="U214" s="566"/>
      <c r="V214" s="567"/>
      <c r="W214" s="989">
        <f t="shared" si="19"/>
        <v>257357100</v>
      </c>
      <c r="X214" s="812">
        <f t="shared" si="16"/>
        <v>257</v>
      </c>
      <c r="Y214" s="835">
        <f t="shared" si="17"/>
        <v>0</v>
      </c>
    </row>
    <row r="215" spans="1:25" ht="27" customHeight="1">
      <c r="A215" s="531"/>
      <c r="B215" s="531">
        <v>1001</v>
      </c>
      <c r="C215" s="529">
        <v>10</v>
      </c>
      <c r="D215" s="1027" t="s">
        <v>1072</v>
      </c>
      <c r="E215" s="1028" t="s">
        <v>1071</v>
      </c>
      <c r="F215" s="547"/>
      <c r="G215" s="547"/>
      <c r="H215" s="547"/>
      <c r="I215" s="547"/>
      <c r="J215" s="547"/>
      <c r="K215" s="547"/>
      <c r="L215" s="547"/>
      <c r="M215" s="547"/>
      <c r="N215" s="547"/>
      <c r="O215" s="547"/>
      <c r="P215" s="547"/>
      <c r="Q215" s="989">
        <f t="shared" si="15"/>
        <v>0</v>
      </c>
      <c r="R215" s="547">
        <v>0</v>
      </c>
      <c r="S215" s="989">
        <f t="shared" si="18"/>
        <v>0</v>
      </c>
      <c r="T215" s="547">
        <f t="shared" si="18"/>
        <v>0</v>
      </c>
      <c r="U215" s="566"/>
      <c r="V215" s="567"/>
      <c r="W215" s="989">
        <f t="shared" si="19"/>
        <v>0</v>
      </c>
      <c r="X215" s="812">
        <f t="shared" si="16"/>
        <v>0</v>
      </c>
      <c r="Y215" s="835">
        <f t="shared" si="17"/>
        <v>0</v>
      </c>
    </row>
    <row r="216" spans="1:25" ht="27" customHeight="1">
      <c r="A216" s="531"/>
      <c r="B216" s="531">
        <v>1001</v>
      </c>
      <c r="C216" s="529">
        <v>10</v>
      </c>
      <c r="D216" s="1027" t="s">
        <v>1680</v>
      </c>
      <c r="E216" s="1028" t="s">
        <v>1681</v>
      </c>
      <c r="F216" s="547">
        <v>-36038033</v>
      </c>
      <c r="G216" s="547"/>
      <c r="H216" s="547"/>
      <c r="I216" s="547"/>
      <c r="J216" s="547"/>
      <c r="K216" s="547">
        <v>-9027900</v>
      </c>
      <c r="L216" s="547"/>
      <c r="M216" s="547"/>
      <c r="N216" s="547"/>
      <c r="O216" s="547"/>
      <c r="P216" s="547"/>
      <c r="Q216" s="989">
        <f t="shared" si="15"/>
        <v>-45065933</v>
      </c>
      <c r="R216" s="547">
        <v>0</v>
      </c>
      <c r="S216" s="989">
        <f t="shared" si="18"/>
        <v>-45</v>
      </c>
      <c r="T216" s="547">
        <f t="shared" si="18"/>
        <v>0</v>
      </c>
      <c r="U216" s="566"/>
      <c r="V216" s="567"/>
      <c r="W216" s="989">
        <f t="shared" si="19"/>
        <v>-45065933</v>
      </c>
      <c r="X216" s="812">
        <f t="shared" si="16"/>
        <v>-45</v>
      </c>
      <c r="Y216" s="835">
        <f t="shared" si="17"/>
        <v>0</v>
      </c>
    </row>
    <row r="217" spans="1:25" ht="27" customHeight="1">
      <c r="A217" s="531"/>
      <c r="B217" s="531">
        <v>406</v>
      </c>
      <c r="C217" s="529">
        <v>4</v>
      </c>
      <c r="D217" s="1027" t="s">
        <v>974</v>
      </c>
      <c r="E217" s="1028" t="s">
        <v>975</v>
      </c>
      <c r="F217" s="547">
        <v>381285567</v>
      </c>
      <c r="G217" s="547"/>
      <c r="H217" s="547"/>
      <c r="I217" s="547"/>
      <c r="J217" s="547"/>
      <c r="K217" s="547"/>
      <c r="L217" s="547"/>
      <c r="M217" s="547"/>
      <c r="N217" s="547"/>
      <c r="O217" s="547"/>
      <c r="P217" s="547"/>
      <c r="Q217" s="989">
        <f t="shared" si="15"/>
        <v>381285567</v>
      </c>
      <c r="R217" s="547">
        <v>372652767</v>
      </c>
      <c r="S217" s="989">
        <f>ROUND((Q217/1000000),0)</f>
        <v>381</v>
      </c>
      <c r="T217" s="547">
        <f t="shared" si="18"/>
        <v>373</v>
      </c>
      <c r="U217" s="566"/>
      <c r="V217" s="567"/>
      <c r="W217" s="989">
        <f t="shared" si="19"/>
        <v>381285567</v>
      </c>
      <c r="X217" s="812">
        <f t="shared" si="16"/>
        <v>381</v>
      </c>
      <c r="Y217" s="835">
        <f t="shared" si="17"/>
        <v>0</v>
      </c>
    </row>
    <row r="218" spans="1:25" ht="27" customHeight="1">
      <c r="A218" s="531"/>
      <c r="B218" s="531">
        <v>1001</v>
      </c>
      <c r="C218" s="529">
        <v>10</v>
      </c>
      <c r="D218" s="1027" t="s">
        <v>976</v>
      </c>
      <c r="E218" s="1028" t="s">
        <v>977</v>
      </c>
      <c r="F218" s="547"/>
      <c r="G218" s="547"/>
      <c r="H218" s="547"/>
      <c r="I218" s="547"/>
      <c r="J218" s="547"/>
      <c r="K218" s="547"/>
      <c r="L218" s="547"/>
      <c r="M218" s="547"/>
      <c r="N218" s="547"/>
      <c r="O218" s="547"/>
      <c r="P218" s="547"/>
      <c r="Q218" s="989">
        <f t="shared" si="15"/>
        <v>0</v>
      </c>
      <c r="R218" s="547">
        <v>0</v>
      </c>
      <c r="S218" s="989">
        <f t="shared" si="18"/>
        <v>0</v>
      </c>
      <c r="T218" s="547">
        <f t="shared" si="18"/>
        <v>0</v>
      </c>
      <c r="U218" s="566"/>
      <c r="V218" s="567"/>
      <c r="W218" s="989">
        <f t="shared" si="19"/>
        <v>0</v>
      </c>
      <c r="X218" s="812">
        <f t="shared" si="16"/>
        <v>0</v>
      </c>
      <c r="Y218" s="835">
        <f t="shared" si="17"/>
        <v>0</v>
      </c>
    </row>
    <row r="219" spans="1:25" ht="27" customHeight="1">
      <c r="A219" s="531"/>
      <c r="B219" s="531">
        <v>1001</v>
      </c>
      <c r="C219" s="529">
        <v>10</v>
      </c>
      <c r="D219" s="1027" t="s">
        <v>745</v>
      </c>
      <c r="E219" s="1028" t="s">
        <v>744</v>
      </c>
      <c r="F219" s="547"/>
      <c r="G219" s="547"/>
      <c r="H219" s="547"/>
      <c r="I219" s="547">
        <v>-103000000</v>
      </c>
      <c r="J219" s="547"/>
      <c r="K219" s="547"/>
      <c r="L219" s="547"/>
      <c r="M219" s="547"/>
      <c r="N219" s="547"/>
      <c r="O219" s="547"/>
      <c r="P219" s="547"/>
      <c r="Q219" s="989">
        <f t="shared" si="15"/>
        <v>-103000000</v>
      </c>
      <c r="R219" s="547">
        <v>-80000000</v>
      </c>
      <c r="S219" s="989">
        <f t="shared" si="18"/>
        <v>-103</v>
      </c>
      <c r="T219" s="547">
        <f t="shared" si="18"/>
        <v>-80</v>
      </c>
      <c r="U219" s="566"/>
      <c r="V219" s="567"/>
      <c r="W219" s="989">
        <f t="shared" si="19"/>
        <v>-103000000</v>
      </c>
      <c r="X219" s="812">
        <f t="shared" si="16"/>
        <v>-103</v>
      </c>
      <c r="Y219" s="835">
        <f t="shared" si="17"/>
        <v>0</v>
      </c>
    </row>
    <row r="220" spans="1:25" ht="27" customHeight="1">
      <c r="A220" s="531"/>
      <c r="B220" s="531">
        <v>1001</v>
      </c>
      <c r="C220" s="529">
        <v>10</v>
      </c>
      <c r="D220" s="1027" t="s">
        <v>1682</v>
      </c>
      <c r="E220" s="1028" t="s">
        <v>1683</v>
      </c>
      <c r="F220" s="547">
        <v>-115601478</v>
      </c>
      <c r="G220" s="547"/>
      <c r="H220" s="547"/>
      <c r="I220" s="547"/>
      <c r="J220" s="547"/>
      <c r="K220" s="547"/>
      <c r="L220" s="547"/>
      <c r="M220" s="547"/>
      <c r="N220" s="547"/>
      <c r="O220" s="547"/>
      <c r="P220" s="547"/>
      <c r="Q220" s="989">
        <f>SUM(F220:P220)</f>
        <v>-115601478</v>
      </c>
      <c r="R220" s="547">
        <v>0</v>
      </c>
      <c r="S220" s="989">
        <f t="shared" si="18"/>
        <v>-116</v>
      </c>
      <c r="T220" s="547">
        <f t="shared" si="18"/>
        <v>0</v>
      </c>
      <c r="U220" s="566"/>
      <c r="V220" s="567"/>
      <c r="W220" s="989">
        <f t="shared" si="19"/>
        <v>-115601478</v>
      </c>
      <c r="X220" s="812">
        <f t="shared" si="16"/>
        <v>-116</v>
      </c>
      <c r="Y220" s="835">
        <f t="shared" si="17"/>
        <v>0</v>
      </c>
    </row>
    <row r="221" spans="1:25" ht="27" customHeight="1">
      <c r="A221" s="531"/>
      <c r="B221" s="531">
        <v>1001</v>
      </c>
      <c r="C221" s="529">
        <v>10</v>
      </c>
      <c r="D221" s="1027" t="s">
        <v>978</v>
      </c>
      <c r="E221" s="1028" t="s">
        <v>979</v>
      </c>
      <c r="F221" s="547">
        <v>-9364000</v>
      </c>
      <c r="G221" s="547"/>
      <c r="H221" s="547"/>
      <c r="I221" s="547"/>
      <c r="J221" s="547"/>
      <c r="K221" s="547"/>
      <c r="L221" s="547"/>
      <c r="M221" s="547"/>
      <c r="N221" s="547"/>
      <c r="O221" s="547"/>
      <c r="P221" s="547"/>
      <c r="Q221" s="989">
        <f t="shared" si="15"/>
        <v>-9364000</v>
      </c>
      <c r="R221" s="547">
        <v>-1498381836</v>
      </c>
      <c r="S221" s="989">
        <f>ROUND((Q221/1000000),0)</f>
        <v>-9</v>
      </c>
      <c r="T221" s="547">
        <f t="shared" si="18"/>
        <v>-1498</v>
      </c>
      <c r="U221" s="566"/>
      <c r="V221" s="567"/>
      <c r="W221" s="989">
        <f t="shared" si="19"/>
        <v>-9364000</v>
      </c>
      <c r="X221" s="812">
        <f t="shared" si="16"/>
        <v>-9</v>
      </c>
      <c r="Y221" s="835">
        <f t="shared" si="17"/>
        <v>0</v>
      </c>
    </row>
    <row r="222" spans="1:25" ht="27" customHeight="1">
      <c r="A222" s="531"/>
      <c r="B222" s="531">
        <v>1001</v>
      </c>
      <c r="C222" s="529">
        <v>10</v>
      </c>
      <c r="D222" s="1027" t="s">
        <v>275</v>
      </c>
      <c r="E222" s="1028" t="s">
        <v>843</v>
      </c>
      <c r="F222" s="547">
        <v>-1013652310</v>
      </c>
      <c r="G222" s="547">
        <v>-4601989</v>
      </c>
      <c r="H222" s="547"/>
      <c r="I222" s="547"/>
      <c r="J222" s="547"/>
      <c r="K222" s="547"/>
      <c r="L222" s="547"/>
      <c r="M222" s="547"/>
      <c r="N222" s="547"/>
      <c r="O222" s="547"/>
      <c r="P222" s="547"/>
      <c r="Q222" s="989">
        <f t="shared" si="15"/>
        <v>-1018254299</v>
      </c>
      <c r="R222" s="547">
        <v>0</v>
      </c>
      <c r="S222" s="989">
        <f t="shared" si="18"/>
        <v>-1018</v>
      </c>
      <c r="T222" s="547">
        <f t="shared" si="18"/>
        <v>0</v>
      </c>
      <c r="U222" s="566"/>
      <c r="V222" s="567"/>
      <c r="W222" s="989">
        <f t="shared" si="19"/>
        <v>-1018254299</v>
      </c>
      <c r="X222" s="812">
        <f t="shared" si="16"/>
        <v>-1018</v>
      </c>
      <c r="Y222" s="835">
        <f t="shared" si="17"/>
        <v>0</v>
      </c>
    </row>
    <row r="223" spans="1:25" ht="27" customHeight="1">
      <c r="A223" s="531"/>
      <c r="B223" s="531">
        <v>406</v>
      </c>
      <c r="C223" s="529">
        <v>4</v>
      </c>
      <c r="D223" s="1027" t="s">
        <v>980</v>
      </c>
      <c r="E223" s="1028" t="s">
        <v>981</v>
      </c>
      <c r="F223" s="547"/>
      <c r="G223" s="547"/>
      <c r="H223" s="547"/>
      <c r="I223" s="547"/>
      <c r="J223" s="547"/>
      <c r="K223" s="547"/>
      <c r="L223" s="547"/>
      <c r="M223" s="547"/>
      <c r="N223" s="547"/>
      <c r="O223" s="547"/>
      <c r="P223" s="547"/>
      <c r="Q223" s="989">
        <f t="shared" si="15"/>
        <v>0</v>
      </c>
      <c r="R223" s="547">
        <v>0</v>
      </c>
      <c r="S223" s="989">
        <f t="shared" si="18"/>
        <v>0</v>
      </c>
      <c r="T223" s="547">
        <f t="shared" si="18"/>
        <v>0</v>
      </c>
      <c r="U223" s="566"/>
      <c r="V223" s="567"/>
      <c r="W223" s="989">
        <f t="shared" si="19"/>
        <v>0</v>
      </c>
      <c r="X223" s="812">
        <f t="shared" si="16"/>
        <v>0</v>
      </c>
      <c r="Y223" s="835">
        <f t="shared" si="17"/>
        <v>0</v>
      </c>
    </row>
    <row r="224" spans="1:25" ht="27" customHeight="1">
      <c r="A224" s="531"/>
      <c r="B224" s="531">
        <v>406</v>
      </c>
      <c r="C224" s="529">
        <v>4</v>
      </c>
      <c r="D224" s="1027" t="s">
        <v>982</v>
      </c>
      <c r="E224" s="1028" t="s">
        <v>983</v>
      </c>
      <c r="F224" s="547"/>
      <c r="G224" s="547"/>
      <c r="H224" s="547"/>
      <c r="I224" s="547"/>
      <c r="J224" s="547"/>
      <c r="K224" s="547"/>
      <c r="L224" s="547"/>
      <c r="M224" s="547"/>
      <c r="N224" s="547"/>
      <c r="O224" s="547"/>
      <c r="P224" s="547"/>
      <c r="Q224" s="989">
        <f t="shared" si="15"/>
        <v>0</v>
      </c>
      <c r="R224" s="547">
        <v>0</v>
      </c>
      <c r="S224" s="989">
        <f t="shared" si="18"/>
        <v>0</v>
      </c>
      <c r="T224" s="547">
        <f t="shared" si="18"/>
        <v>0</v>
      </c>
      <c r="U224" s="566"/>
      <c r="V224" s="567"/>
      <c r="W224" s="989">
        <f t="shared" si="19"/>
        <v>0</v>
      </c>
      <c r="X224" s="812">
        <f t="shared" si="16"/>
        <v>0</v>
      </c>
      <c r="Y224" s="835">
        <f t="shared" si="17"/>
        <v>0</v>
      </c>
    </row>
    <row r="225" spans="1:25" ht="27" customHeight="1">
      <c r="A225" s="531"/>
      <c r="B225" s="531">
        <v>406</v>
      </c>
      <c r="C225" s="529">
        <v>4</v>
      </c>
      <c r="D225" s="1027" t="s">
        <v>1333</v>
      </c>
      <c r="E225" s="1028" t="s">
        <v>1334</v>
      </c>
      <c r="F225" s="547">
        <v>3994000</v>
      </c>
      <c r="G225" s="547"/>
      <c r="H225" s="547"/>
      <c r="I225" s="547"/>
      <c r="J225" s="547"/>
      <c r="K225" s="547"/>
      <c r="L225" s="547"/>
      <c r="M225" s="547"/>
      <c r="N225" s="547"/>
      <c r="O225" s="547"/>
      <c r="P225" s="547"/>
      <c r="Q225" s="989">
        <f t="shared" si="15"/>
        <v>3994000</v>
      </c>
      <c r="R225" s="547">
        <v>2543570</v>
      </c>
      <c r="S225" s="989">
        <f t="shared" si="18"/>
        <v>4</v>
      </c>
      <c r="T225" s="547">
        <f t="shared" si="18"/>
        <v>3</v>
      </c>
      <c r="U225" s="566"/>
      <c r="V225" s="567"/>
      <c r="W225" s="989">
        <f t="shared" si="19"/>
        <v>3994000</v>
      </c>
      <c r="X225" s="812">
        <f t="shared" si="16"/>
        <v>4</v>
      </c>
      <c r="Y225" s="835">
        <f t="shared" si="17"/>
        <v>0</v>
      </c>
    </row>
    <row r="226" spans="1:25" ht="27" customHeight="1">
      <c r="A226" s="531"/>
      <c r="B226" s="531">
        <v>1001</v>
      </c>
      <c r="C226" s="529">
        <v>10</v>
      </c>
      <c r="D226" s="1027" t="s">
        <v>1684</v>
      </c>
      <c r="E226" s="1028" t="s">
        <v>1685</v>
      </c>
      <c r="F226" s="547">
        <v>-127809476</v>
      </c>
      <c r="G226" s="547"/>
      <c r="H226" s="547"/>
      <c r="I226" s="547"/>
      <c r="J226" s="547"/>
      <c r="K226" s="547"/>
      <c r="L226" s="547"/>
      <c r="M226" s="547"/>
      <c r="N226" s="547"/>
      <c r="O226" s="547"/>
      <c r="P226" s="547"/>
      <c r="Q226" s="989">
        <f>SUM(F226:P226)</f>
        <v>-127809476</v>
      </c>
      <c r="R226" s="547">
        <v>0</v>
      </c>
      <c r="S226" s="989">
        <f t="shared" si="18"/>
        <v>-128</v>
      </c>
      <c r="T226" s="547">
        <f t="shared" si="18"/>
        <v>0</v>
      </c>
      <c r="U226" s="566"/>
      <c r="V226" s="567"/>
      <c r="W226" s="989">
        <f t="shared" si="19"/>
        <v>-127809476</v>
      </c>
      <c r="X226" s="812">
        <f t="shared" si="16"/>
        <v>-128</v>
      </c>
      <c r="Y226" s="835">
        <f t="shared" si="17"/>
        <v>0</v>
      </c>
    </row>
    <row r="227" spans="1:25" ht="27" customHeight="1">
      <c r="A227" s="531"/>
      <c r="B227" s="531">
        <v>406</v>
      </c>
      <c r="C227" s="529">
        <v>4</v>
      </c>
      <c r="D227" s="1027" t="s">
        <v>984</v>
      </c>
      <c r="E227" s="1028" t="s">
        <v>985</v>
      </c>
      <c r="F227" s="547">
        <v>889270531</v>
      </c>
      <c r="G227" s="547"/>
      <c r="H227" s="547"/>
      <c r="I227" s="547"/>
      <c r="J227" s="547"/>
      <c r="K227" s="547"/>
      <c r="L227" s="547"/>
      <c r="M227" s="547"/>
      <c r="N227" s="547"/>
      <c r="O227" s="547"/>
      <c r="P227" s="547"/>
      <c r="Q227" s="989">
        <f t="shared" si="15"/>
        <v>889270531</v>
      </c>
      <c r="R227" s="547">
        <v>0</v>
      </c>
      <c r="S227" s="989">
        <f t="shared" si="18"/>
        <v>889</v>
      </c>
      <c r="T227" s="547">
        <f t="shared" si="18"/>
        <v>0</v>
      </c>
      <c r="U227" s="566"/>
      <c r="V227" s="567"/>
      <c r="W227" s="989">
        <f t="shared" si="19"/>
        <v>889270531</v>
      </c>
      <c r="X227" s="812">
        <f t="shared" si="16"/>
        <v>889</v>
      </c>
      <c r="Y227" s="835">
        <f t="shared" si="17"/>
        <v>0</v>
      </c>
    </row>
    <row r="228" spans="1:25" ht="27" customHeight="1">
      <c r="A228" s="531"/>
      <c r="B228" s="531">
        <v>1001</v>
      </c>
      <c r="C228" s="529">
        <v>10</v>
      </c>
      <c r="D228" s="1027" t="s">
        <v>1073</v>
      </c>
      <c r="E228" s="1028" t="s">
        <v>1074</v>
      </c>
      <c r="F228" s="547"/>
      <c r="G228" s="547"/>
      <c r="H228" s="547"/>
      <c r="I228" s="547"/>
      <c r="J228" s="547"/>
      <c r="K228" s="547"/>
      <c r="L228" s="547"/>
      <c r="M228" s="547"/>
      <c r="N228" s="547"/>
      <c r="O228" s="547"/>
      <c r="P228" s="547"/>
      <c r="Q228" s="989">
        <f t="shared" si="15"/>
        <v>0</v>
      </c>
      <c r="R228" s="547">
        <v>0</v>
      </c>
      <c r="S228" s="989">
        <f t="shared" si="18"/>
        <v>0</v>
      </c>
      <c r="T228" s="547">
        <f t="shared" si="18"/>
        <v>0</v>
      </c>
      <c r="U228" s="566"/>
      <c r="V228" s="567"/>
      <c r="W228" s="989">
        <f t="shared" si="19"/>
        <v>0</v>
      </c>
      <c r="X228" s="812">
        <f t="shared" si="16"/>
        <v>0</v>
      </c>
      <c r="Y228" s="835">
        <f t="shared" si="17"/>
        <v>0</v>
      </c>
    </row>
    <row r="229" spans="1:25" ht="27" customHeight="1">
      <c r="A229" s="531"/>
      <c r="B229" s="531">
        <v>1001</v>
      </c>
      <c r="C229" s="529">
        <v>10</v>
      </c>
      <c r="D229" s="1027" t="s">
        <v>1238</v>
      </c>
      <c r="E229" s="1028" t="s">
        <v>1239</v>
      </c>
      <c r="F229" s="547"/>
      <c r="G229" s="547">
        <v>-2255564</v>
      </c>
      <c r="H229" s="547"/>
      <c r="I229" s="547"/>
      <c r="J229" s="547"/>
      <c r="K229" s="547"/>
      <c r="L229" s="547"/>
      <c r="M229" s="547"/>
      <c r="N229" s="547"/>
      <c r="O229" s="547"/>
      <c r="P229" s="547"/>
      <c r="Q229" s="989">
        <f t="shared" si="15"/>
        <v>-2255564</v>
      </c>
      <c r="R229" s="547">
        <v>0</v>
      </c>
      <c r="S229" s="989">
        <f t="shared" si="18"/>
        <v>-2</v>
      </c>
      <c r="T229" s="547">
        <f t="shared" si="18"/>
        <v>0</v>
      </c>
      <c r="U229" s="566"/>
      <c r="V229" s="567"/>
      <c r="W229" s="989">
        <f t="shared" si="19"/>
        <v>-2255564</v>
      </c>
      <c r="X229" s="812">
        <f t="shared" si="16"/>
        <v>-2</v>
      </c>
      <c r="Y229" s="835">
        <f t="shared" si="17"/>
        <v>0</v>
      </c>
    </row>
    <row r="230" spans="1:25" ht="27" customHeight="1">
      <c r="A230" s="531"/>
      <c r="B230" s="531">
        <v>406</v>
      </c>
      <c r="C230" s="529">
        <v>4</v>
      </c>
      <c r="D230" s="1027" t="s">
        <v>986</v>
      </c>
      <c r="E230" s="1028" t="s">
        <v>987</v>
      </c>
      <c r="F230" s="547">
        <v>712800</v>
      </c>
      <c r="G230" s="547"/>
      <c r="H230" s="547"/>
      <c r="I230" s="547"/>
      <c r="J230" s="547"/>
      <c r="K230" s="547"/>
      <c r="L230" s="547"/>
      <c r="M230" s="547"/>
      <c r="N230" s="547"/>
      <c r="O230" s="547"/>
      <c r="P230" s="547"/>
      <c r="Q230" s="989">
        <f t="shared" si="15"/>
        <v>712800</v>
      </c>
      <c r="R230" s="547">
        <v>712800</v>
      </c>
      <c r="S230" s="989">
        <f t="shared" si="18"/>
        <v>1</v>
      </c>
      <c r="T230" s="547">
        <f t="shared" si="18"/>
        <v>1</v>
      </c>
      <c r="U230" s="566"/>
      <c r="V230" s="567"/>
      <c r="W230" s="989">
        <f t="shared" si="19"/>
        <v>712800</v>
      </c>
      <c r="X230" s="812">
        <f t="shared" si="16"/>
        <v>1</v>
      </c>
      <c r="Y230" s="835">
        <f t="shared" si="17"/>
        <v>0</v>
      </c>
    </row>
    <row r="231" spans="1:25" ht="27" customHeight="1">
      <c r="A231" s="531"/>
      <c r="B231" s="531">
        <v>1001</v>
      </c>
      <c r="C231" s="529">
        <v>10</v>
      </c>
      <c r="D231" s="1027" t="s">
        <v>1075</v>
      </c>
      <c r="E231" s="1028" t="s">
        <v>1076</v>
      </c>
      <c r="F231" s="547">
        <v>-3128838886</v>
      </c>
      <c r="G231" s="547"/>
      <c r="H231" s="547"/>
      <c r="I231" s="547"/>
      <c r="J231" s="547"/>
      <c r="K231" s="547"/>
      <c r="L231" s="547"/>
      <c r="M231" s="547"/>
      <c r="N231" s="547"/>
      <c r="O231" s="547"/>
      <c r="P231" s="547"/>
      <c r="Q231" s="989">
        <f t="shared" si="15"/>
        <v>-3128838886</v>
      </c>
      <c r="R231" s="547">
        <v>-1607144239</v>
      </c>
      <c r="S231" s="989">
        <f>ROUND((Q231/1000000),0)</f>
        <v>-3129</v>
      </c>
      <c r="T231" s="547">
        <f t="shared" si="18"/>
        <v>-1607</v>
      </c>
      <c r="U231" s="566"/>
      <c r="V231" s="567"/>
      <c r="W231" s="989">
        <f t="shared" si="19"/>
        <v>-3128838886</v>
      </c>
      <c r="X231" s="812">
        <f t="shared" si="16"/>
        <v>-3129</v>
      </c>
      <c r="Y231" s="835">
        <f t="shared" si="17"/>
        <v>0</v>
      </c>
    </row>
    <row r="232" spans="1:25" ht="27" customHeight="1">
      <c r="A232" s="531"/>
      <c r="B232" s="531">
        <v>1001</v>
      </c>
      <c r="C232" s="529">
        <v>10</v>
      </c>
      <c r="D232" s="1027" t="s">
        <v>239</v>
      </c>
      <c r="E232" s="1028" t="s">
        <v>1601</v>
      </c>
      <c r="F232" s="547">
        <v>-391592728</v>
      </c>
      <c r="G232" s="547"/>
      <c r="H232" s="547"/>
      <c r="I232" s="547"/>
      <c r="J232" s="547"/>
      <c r="K232" s="547"/>
      <c r="L232" s="547"/>
      <c r="M232" s="547"/>
      <c r="N232" s="547"/>
      <c r="O232" s="547"/>
      <c r="P232" s="547"/>
      <c r="Q232" s="989">
        <f t="shared" si="15"/>
        <v>-391592728</v>
      </c>
      <c r="R232" s="547">
        <v>-391592728</v>
      </c>
      <c r="S232" s="989">
        <f>ROUND((Q232/1000000),0)</f>
        <v>-392</v>
      </c>
      <c r="T232" s="547">
        <f t="shared" si="18"/>
        <v>-392</v>
      </c>
      <c r="U232" s="566"/>
      <c r="V232" s="567"/>
      <c r="W232" s="989">
        <f t="shared" si="19"/>
        <v>-391592728</v>
      </c>
      <c r="X232" s="812">
        <f t="shared" si="16"/>
        <v>-392</v>
      </c>
      <c r="Y232" s="835">
        <f t="shared" si="17"/>
        <v>0</v>
      </c>
    </row>
    <row r="233" spans="1:25" ht="27" customHeight="1">
      <c r="A233" s="531"/>
      <c r="B233" s="531">
        <v>1001</v>
      </c>
      <c r="C233" s="529">
        <v>10</v>
      </c>
      <c r="D233" s="1027" t="s">
        <v>1568</v>
      </c>
      <c r="E233" s="1028" t="s">
        <v>1569</v>
      </c>
      <c r="F233" s="547">
        <v>34839991</v>
      </c>
      <c r="G233" s="547"/>
      <c r="H233" s="547"/>
      <c r="I233" s="547"/>
      <c r="J233" s="547">
        <v>-102545281</v>
      </c>
      <c r="K233" s="547"/>
      <c r="L233" s="547"/>
      <c r="M233" s="547"/>
      <c r="N233" s="547"/>
      <c r="O233" s="547"/>
      <c r="P233" s="547"/>
      <c r="Q233" s="989">
        <f t="shared" si="15"/>
        <v>-67705290</v>
      </c>
      <c r="R233" s="547">
        <v>-232942220</v>
      </c>
      <c r="S233" s="989">
        <f>ROUND((Q233/1000000),0)</f>
        <v>-68</v>
      </c>
      <c r="T233" s="547">
        <f t="shared" si="18"/>
        <v>-233</v>
      </c>
      <c r="U233" s="566"/>
      <c r="V233" s="567"/>
      <c r="W233" s="989">
        <f t="shared" si="19"/>
        <v>-67705290</v>
      </c>
      <c r="X233" s="812">
        <f t="shared" si="16"/>
        <v>-68</v>
      </c>
      <c r="Y233" s="835">
        <f t="shared" si="17"/>
        <v>0</v>
      </c>
    </row>
    <row r="234" spans="1:25" ht="27" customHeight="1">
      <c r="A234" s="531"/>
      <c r="B234" s="531">
        <v>1001</v>
      </c>
      <c r="C234" s="529">
        <v>10</v>
      </c>
      <c r="D234" s="1027" t="s">
        <v>1240</v>
      </c>
      <c r="E234" s="1028" t="s">
        <v>1241</v>
      </c>
      <c r="F234" s="547">
        <v>-3942158</v>
      </c>
      <c r="G234" s="547"/>
      <c r="H234" s="547"/>
      <c r="I234" s="547"/>
      <c r="J234" s="547"/>
      <c r="K234" s="547"/>
      <c r="L234" s="547"/>
      <c r="M234" s="547"/>
      <c r="N234" s="547"/>
      <c r="O234" s="547"/>
      <c r="P234" s="547"/>
      <c r="Q234" s="989">
        <f t="shared" si="15"/>
        <v>-3942158</v>
      </c>
      <c r="R234" s="547">
        <v>-3942158</v>
      </c>
      <c r="S234" s="989">
        <f t="shared" si="18"/>
        <v>-4</v>
      </c>
      <c r="T234" s="547">
        <f t="shared" si="18"/>
        <v>-4</v>
      </c>
      <c r="U234" s="566"/>
      <c r="V234" s="567"/>
      <c r="W234" s="989">
        <f t="shared" si="19"/>
        <v>-3942158</v>
      </c>
      <c r="X234" s="812">
        <f t="shared" si="16"/>
        <v>-4</v>
      </c>
      <c r="Y234" s="835">
        <f t="shared" si="17"/>
        <v>0</v>
      </c>
    </row>
    <row r="235" spans="1:25" ht="27" customHeight="1">
      <c r="A235" s="531"/>
      <c r="B235" s="1092">
        <v>406</v>
      </c>
      <c r="C235" s="1021">
        <v>4</v>
      </c>
      <c r="D235" s="1027" t="s">
        <v>241</v>
      </c>
      <c r="E235" s="1028" t="s">
        <v>754</v>
      </c>
      <c r="F235" s="547">
        <v>22792553</v>
      </c>
      <c r="G235" s="547"/>
      <c r="H235" s="547"/>
      <c r="I235" s="547"/>
      <c r="J235" s="547"/>
      <c r="K235" s="547"/>
      <c r="L235" s="547"/>
      <c r="M235" s="547"/>
      <c r="N235" s="547"/>
      <c r="O235" s="547"/>
      <c r="P235" s="547"/>
      <c r="Q235" s="989">
        <f t="shared" si="15"/>
        <v>22792553</v>
      </c>
      <c r="R235" s="547">
        <v>22792553</v>
      </c>
      <c r="S235" s="989">
        <f t="shared" si="18"/>
        <v>23</v>
      </c>
      <c r="T235" s="547">
        <f t="shared" si="18"/>
        <v>23</v>
      </c>
      <c r="U235" s="566"/>
      <c r="V235" s="567"/>
      <c r="W235" s="989">
        <f t="shared" si="19"/>
        <v>22792553</v>
      </c>
      <c r="X235" s="812">
        <f t="shared" si="16"/>
        <v>23</v>
      </c>
      <c r="Y235" s="835">
        <f t="shared" si="17"/>
        <v>0</v>
      </c>
    </row>
    <row r="236" spans="1:25" ht="27" customHeight="1">
      <c r="A236" s="531"/>
      <c r="B236" s="531">
        <v>406</v>
      </c>
      <c r="C236" s="529">
        <v>4</v>
      </c>
      <c r="D236" s="1027" t="s">
        <v>1243</v>
      </c>
      <c r="E236" s="1028" t="s">
        <v>1242</v>
      </c>
      <c r="F236" s="547">
        <v>42771997</v>
      </c>
      <c r="G236" s="547"/>
      <c r="H236" s="547"/>
      <c r="I236" s="547"/>
      <c r="J236" s="547"/>
      <c r="K236" s="547"/>
      <c r="L236" s="547"/>
      <c r="M236" s="547"/>
      <c r="N236" s="547"/>
      <c r="O236" s="547"/>
      <c r="P236" s="547"/>
      <c r="Q236" s="989">
        <f t="shared" si="15"/>
        <v>42771997</v>
      </c>
      <c r="R236" s="547">
        <v>42771997</v>
      </c>
      <c r="S236" s="989">
        <f t="shared" si="18"/>
        <v>43</v>
      </c>
      <c r="T236" s="547">
        <f t="shared" si="18"/>
        <v>43</v>
      </c>
      <c r="U236" s="566"/>
      <c r="V236" s="567"/>
      <c r="W236" s="989">
        <f t="shared" si="19"/>
        <v>42771997</v>
      </c>
      <c r="X236" s="812">
        <f t="shared" si="16"/>
        <v>43</v>
      </c>
      <c r="Y236" s="835">
        <f t="shared" si="17"/>
        <v>0</v>
      </c>
    </row>
    <row r="237" spans="1:25" ht="27" customHeight="1">
      <c r="A237" s="531"/>
      <c r="B237" s="531">
        <v>1001</v>
      </c>
      <c r="C237" s="529">
        <v>10</v>
      </c>
      <c r="D237" s="1027" t="s">
        <v>491</v>
      </c>
      <c r="E237" s="1028" t="s">
        <v>659</v>
      </c>
      <c r="F237" s="547"/>
      <c r="G237" s="547"/>
      <c r="H237" s="547"/>
      <c r="I237" s="547"/>
      <c r="J237" s="547"/>
      <c r="K237" s="547"/>
      <c r="L237" s="547"/>
      <c r="M237" s="547"/>
      <c r="N237" s="547"/>
      <c r="O237" s="547"/>
      <c r="P237" s="547"/>
      <c r="Q237" s="989">
        <f t="shared" si="15"/>
        <v>0</v>
      </c>
      <c r="R237" s="547">
        <v>-6530116</v>
      </c>
      <c r="S237" s="989">
        <f>ROUND((Q237/1000000),0)</f>
        <v>0</v>
      </c>
      <c r="T237" s="547">
        <f t="shared" si="18"/>
        <v>-7</v>
      </c>
      <c r="U237" s="566"/>
      <c r="V237" s="567"/>
      <c r="W237" s="989">
        <f t="shared" si="19"/>
        <v>0</v>
      </c>
      <c r="X237" s="812">
        <f t="shared" si="16"/>
        <v>0</v>
      </c>
      <c r="Y237" s="835">
        <f t="shared" si="17"/>
        <v>0</v>
      </c>
    </row>
    <row r="238" spans="1:25" ht="27" customHeight="1">
      <c r="A238" s="531"/>
      <c r="B238" s="1092">
        <v>406</v>
      </c>
      <c r="C238" s="1021">
        <v>4</v>
      </c>
      <c r="D238" s="1027" t="s">
        <v>1032</v>
      </c>
      <c r="E238" s="1028" t="s">
        <v>1033</v>
      </c>
      <c r="F238" s="547">
        <v>102015203</v>
      </c>
      <c r="G238" s="547"/>
      <c r="H238" s="547"/>
      <c r="I238" s="547"/>
      <c r="J238" s="547"/>
      <c r="K238" s="547"/>
      <c r="L238" s="547"/>
      <c r="M238" s="547"/>
      <c r="N238" s="547"/>
      <c r="O238" s="547"/>
      <c r="P238" s="547"/>
      <c r="Q238" s="989">
        <f t="shared" si="15"/>
        <v>102015203</v>
      </c>
      <c r="R238" s="547">
        <v>-264407917</v>
      </c>
      <c r="S238" s="989">
        <f t="shared" si="18"/>
        <v>102</v>
      </c>
      <c r="T238" s="547">
        <f t="shared" si="18"/>
        <v>-264</v>
      </c>
      <c r="U238" s="566"/>
      <c r="V238" s="567"/>
      <c r="W238" s="989">
        <f t="shared" si="19"/>
        <v>102015203</v>
      </c>
      <c r="X238" s="812">
        <f t="shared" si="16"/>
        <v>102</v>
      </c>
      <c r="Y238" s="835">
        <f t="shared" si="17"/>
        <v>0</v>
      </c>
    </row>
    <row r="239" spans="1:25" ht="27" customHeight="1">
      <c r="A239" s="531"/>
      <c r="B239" s="531">
        <v>406</v>
      </c>
      <c r="C239" s="529">
        <v>4</v>
      </c>
      <c r="D239" s="1027" t="s">
        <v>660</v>
      </c>
      <c r="E239" s="1028" t="s">
        <v>661</v>
      </c>
      <c r="F239" s="547">
        <v>86400321</v>
      </c>
      <c r="G239" s="547"/>
      <c r="H239" s="547"/>
      <c r="I239" s="547"/>
      <c r="J239" s="547">
        <v>-52609873</v>
      </c>
      <c r="K239" s="547"/>
      <c r="L239" s="547"/>
      <c r="M239" s="547"/>
      <c r="N239" s="547"/>
      <c r="O239" s="547"/>
      <c r="P239" s="547"/>
      <c r="Q239" s="989">
        <f t="shared" si="15"/>
        <v>33790448</v>
      </c>
      <c r="R239" s="547">
        <v>146589097</v>
      </c>
      <c r="S239" s="989">
        <f t="shared" si="18"/>
        <v>34</v>
      </c>
      <c r="T239" s="547">
        <f t="shared" si="18"/>
        <v>147</v>
      </c>
      <c r="U239" s="566"/>
      <c r="V239" s="567"/>
      <c r="W239" s="989">
        <f t="shared" si="19"/>
        <v>33790448</v>
      </c>
      <c r="X239" s="812">
        <f t="shared" si="16"/>
        <v>34</v>
      </c>
      <c r="Y239" s="835">
        <f t="shared" si="17"/>
        <v>0</v>
      </c>
    </row>
    <row r="240" spans="1:25" ht="27" customHeight="1">
      <c r="A240" s="531"/>
      <c r="B240" s="531">
        <v>1001</v>
      </c>
      <c r="C240" s="529">
        <v>10</v>
      </c>
      <c r="D240" s="1027" t="s">
        <v>1687</v>
      </c>
      <c r="E240" s="1028" t="s">
        <v>1686</v>
      </c>
      <c r="F240" s="547">
        <v>-801811985</v>
      </c>
      <c r="G240" s="547"/>
      <c r="H240" s="547">
        <v>-2774678</v>
      </c>
      <c r="I240" s="547"/>
      <c r="J240" s="547"/>
      <c r="K240" s="547"/>
      <c r="L240" s="547"/>
      <c r="M240" s="547"/>
      <c r="N240" s="547"/>
      <c r="O240" s="547"/>
      <c r="P240" s="547"/>
      <c r="Q240" s="989">
        <f>SUM(F240:P240)</f>
        <v>-804586663</v>
      </c>
      <c r="R240" s="547">
        <v>0</v>
      </c>
      <c r="S240" s="989">
        <f t="shared" si="18"/>
        <v>-805</v>
      </c>
      <c r="T240" s="547">
        <f t="shared" si="18"/>
        <v>0</v>
      </c>
      <c r="U240" s="566"/>
      <c r="V240" s="567"/>
      <c r="W240" s="989">
        <f t="shared" si="19"/>
        <v>-804586663</v>
      </c>
      <c r="X240" s="812">
        <f t="shared" si="16"/>
        <v>-805</v>
      </c>
      <c r="Y240" s="835">
        <f t="shared" si="17"/>
        <v>0</v>
      </c>
    </row>
    <row r="241" spans="1:25" ht="27" customHeight="1">
      <c r="A241" s="531"/>
      <c r="B241" s="531">
        <v>1001</v>
      </c>
      <c r="C241" s="529">
        <v>10</v>
      </c>
      <c r="D241" s="1027" t="s">
        <v>887</v>
      </c>
      <c r="E241" s="1028" t="s">
        <v>886</v>
      </c>
      <c r="F241" s="547"/>
      <c r="G241" s="547"/>
      <c r="H241" s="547"/>
      <c r="I241" s="547"/>
      <c r="J241" s="547"/>
      <c r="K241" s="547"/>
      <c r="L241" s="547"/>
      <c r="M241" s="547"/>
      <c r="N241" s="547"/>
      <c r="O241" s="547"/>
      <c r="P241" s="547"/>
      <c r="Q241" s="989">
        <f t="shared" si="15"/>
        <v>0</v>
      </c>
      <c r="R241" s="547">
        <v>0</v>
      </c>
      <c r="S241" s="989">
        <f t="shared" si="18"/>
        <v>0</v>
      </c>
      <c r="T241" s="547">
        <f t="shared" si="18"/>
        <v>0</v>
      </c>
      <c r="U241" s="566"/>
      <c r="V241" s="567"/>
      <c r="W241" s="989">
        <f t="shared" si="19"/>
        <v>0</v>
      </c>
      <c r="X241" s="812">
        <f t="shared" si="16"/>
        <v>0</v>
      </c>
      <c r="Y241" s="835">
        <f t="shared" si="17"/>
        <v>0</v>
      </c>
    </row>
    <row r="242" spans="1:25" ht="27" customHeight="1">
      <c r="A242" s="531"/>
      <c r="B242" s="531">
        <v>406</v>
      </c>
      <c r="C242" s="529">
        <v>4</v>
      </c>
      <c r="D242" s="1027" t="s">
        <v>493</v>
      </c>
      <c r="E242" s="1028" t="s">
        <v>890</v>
      </c>
      <c r="F242" s="547"/>
      <c r="G242" s="547"/>
      <c r="H242" s="547"/>
      <c r="I242" s="547"/>
      <c r="J242" s="547"/>
      <c r="K242" s="547"/>
      <c r="L242" s="547"/>
      <c r="M242" s="547"/>
      <c r="N242" s="547"/>
      <c r="O242" s="547"/>
      <c r="P242" s="547"/>
      <c r="Q242" s="989">
        <f t="shared" si="15"/>
        <v>0</v>
      </c>
      <c r="R242" s="547">
        <v>0</v>
      </c>
      <c r="S242" s="989">
        <f t="shared" si="18"/>
        <v>0</v>
      </c>
      <c r="T242" s="547">
        <f t="shared" si="18"/>
        <v>0</v>
      </c>
      <c r="U242" s="566"/>
      <c r="V242" s="567"/>
      <c r="W242" s="989">
        <f t="shared" si="19"/>
        <v>0</v>
      </c>
      <c r="X242" s="812">
        <f t="shared" si="16"/>
        <v>0</v>
      </c>
      <c r="Y242" s="835">
        <f t="shared" si="17"/>
        <v>0</v>
      </c>
    </row>
    <row r="243" spans="1:25" ht="27" customHeight="1">
      <c r="A243" s="531"/>
      <c r="B243" s="531"/>
      <c r="C243" s="529">
        <v>4</v>
      </c>
      <c r="D243" s="1027" t="s">
        <v>841</v>
      </c>
      <c r="E243" s="1028" t="s">
        <v>1244</v>
      </c>
      <c r="F243" s="547"/>
      <c r="G243" s="547"/>
      <c r="H243" s="547"/>
      <c r="I243" s="547"/>
      <c r="J243" s="547"/>
      <c r="K243" s="547"/>
      <c r="L243" s="547"/>
      <c r="M243" s="547"/>
      <c r="N243" s="547"/>
      <c r="O243" s="547"/>
      <c r="P243" s="547"/>
      <c r="Q243" s="989">
        <f t="shared" si="15"/>
        <v>0</v>
      </c>
      <c r="R243" s="547">
        <v>0</v>
      </c>
      <c r="S243" s="989">
        <f t="shared" si="18"/>
        <v>0</v>
      </c>
      <c r="T243" s="547">
        <f t="shared" si="18"/>
        <v>0</v>
      </c>
      <c r="U243" s="566"/>
      <c r="V243" s="567"/>
      <c r="W243" s="989">
        <f t="shared" si="19"/>
        <v>0</v>
      </c>
      <c r="X243" s="812">
        <f t="shared" si="16"/>
        <v>0</v>
      </c>
      <c r="Y243" s="835">
        <f t="shared" si="17"/>
        <v>0</v>
      </c>
    </row>
    <row r="244" spans="1:25" ht="27" customHeight="1">
      <c r="A244" s="531"/>
      <c r="B244" s="531">
        <v>406</v>
      </c>
      <c r="C244" s="529">
        <v>4</v>
      </c>
      <c r="D244" s="1027" t="s">
        <v>842</v>
      </c>
      <c r="E244" s="1028" t="s">
        <v>888</v>
      </c>
      <c r="F244" s="547"/>
      <c r="G244" s="547"/>
      <c r="H244" s="547"/>
      <c r="I244" s="547"/>
      <c r="J244" s="547"/>
      <c r="K244" s="547"/>
      <c r="L244" s="547"/>
      <c r="M244" s="547"/>
      <c r="N244" s="547"/>
      <c r="O244" s="547"/>
      <c r="P244" s="547"/>
      <c r="Q244" s="989">
        <f t="shared" si="15"/>
        <v>0</v>
      </c>
      <c r="R244" s="547">
        <v>0</v>
      </c>
      <c r="S244" s="989">
        <f t="shared" si="18"/>
        <v>0</v>
      </c>
      <c r="T244" s="547">
        <f t="shared" si="18"/>
        <v>0</v>
      </c>
      <c r="U244" s="566"/>
      <c r="V244" s="567"/>
      <c r="W244" s="989">
        <f t="shared" si="19"/>
        <v>0</v>
      </c>
      <c r="X244" s="812">
        <f t="shared" si="16"/>
        <v>0</v>
      </c>
      <c r="Y244" s="835">
        <f t="shared" si="17"/>
        <v>0</v>
      </c>
    </row>
    <row r="245" spans="1:25" ht="27" customHeight="1">
      <c r="A245" s="531"/>
      <c r="B245" s="531">
        <v>406</v>
      </c>
      <c r="C245" s="529">
        <v>4</v>
      </c>
      <c r="D245" s="1027" t="s">
        <v>1077</v>
      </c>
      <c r="E245" s="1028" t="s">
        <v>1078</v>
      </c>
      <c r="F245" s="547"/>
      <c r="G245" s="547"/>
      <c r="H245" s="547"/>
      <c r="I245" s="547"/>
      <c r="J245" s="547"/>
      <c r="K245" s="547"/>
      <c r="L245" s="547"/>
      <c r="M245" s="547"/>
      <c r="N245" s="547"/>
      <c r="O245" s="547"/>
      <c r="P245" s="547"/>
      <c r="Q245" s="989">
        <f t="shared" si="15"/>
        <v>0</v>
      </c>
      <c r="R245" s="547">
        <v>0</v>
      </c>
      <c r="S245" s="989">
        <f t="shared" si="18"/>
        <v>0</v>
      </c>
      <c r="T245" s="547">
        <f t="shared" si="18"/>
        <v>0</v>
      </c>
      <c r="U245" s="566"/>
      <c r="V245" s="567"/>
      <c r="W245" s="989">
        <f t="shared" si="19"/>
        <v>0</v>
      </c>
      <c r="X245" s="812">
        <f t="shared" si="16"/>
        <v>0</v>
      </c>
      <c r="Y245" s="835">
        <f t="shared" si="17"/>
        <v>0</v>
      </c>
    </row>
    <row r="246" spans="1:25" ht="27" customHeight="1">
      <c r="A246" s="531"/>
      <c r="B246" s="531">
        <v>1001</v>
      </c>
      <c r="C246" s="529">
        <v>10</v>
      </c>
      <c r="D246" s="1027" t="s">
        <v>1629</v>
      </c>
      <c r="E246" s="1028" t="s">
        <v>1630</v>
      </c>
      <c r="F246" s="547">
        <v>-113265040</v>
      </c>
      <c r="G246" s="547"/>
      <c r="H246" s="547"/>
      <c r="I246" s="547"/>
      <c r="J246" s="547"/>
      <c r="K246" s="547"/>
      <c r="L246" s="547"/>
      <c r="M246" s="547"/>
      <c r="N246" s="547"/>
      <c r="O246" s="547"/>
      <c r="P246" s="547"/>
      <c r="Q246" s="989">
        <f t="shared" si="15"/>
        <v>-113265040</v>
      </c>
      <c r="R246" s="547">
        <v>-113265040</v>
      </c>
      <c r="S246" s="989">
        <f t="shared" si="18"/>
        <v>-113</v>
      </c>
      <c r="T246" s="547">
        <f t="shared" si="18"/>
        <v>-113</v>
      </c>
      <c r="U246" s="566"/>
      <c r="V246" s="567"/>
      <c r="W246" s="989">
        <f t="shared" si="19"/>
        <v>-113265040</v>
      </c>
      <c r="X246" s="812">
        <f t="shared" si="16"/>
        <v>-113</v>
      </c>
      <c r="Y246" s="835">
        <f t="shared" si="17"/>
        <v>0</v>
      </c>
    </row>
    <row r="247" spans="1:25" ht="27" customHeight="1">
      <c r="A247" s="531"/>
      <c r="B247" s="531">
        <v>406</v>
      </c>
      <c r="C247" s="529">
        <v>4</v>
      </c>
      <c r="D247" s="1027" t="s">
        <v>1079</v>
      </c>
      <c r="E247" s="1028" t="s">
        <v>1080</v>
      </c>
      <c r="F247" s="547"/>
      <c r="G247" s="547"/>
      <c r="H247" s="547"/>
      <c r="I247" s="547"/>
      <c r="J247" s="547"/>
      <c r="K247" s="547"/>
      <c r="L247" s="547"/>
      <c r="M247" s="547"/>
      <c r="N247" s="547"/>
      <c r="O247" s="547"/>
      <c r="P247" s="547"/>
      <c r="Q247" s="989">
        <f t="shared" si="15"/>
        <v>0</v>
      </c>
      <c r="R247" s="547">
        <v>0</v>
      </c>
      <c r="S247" s="989">
        <f t="shared" si="18"/>
        <v>0</v>
      </c>
      <c r="T247" s="547">
        <f t="shared" si="18"/>
        <v>0</v>
      </c>
      <c r="U247" s="566"/>
      <c r="V247" s="567"/>
      <c r="W247" s="989">
        <f t="shared" si="19"/>
        <v>0</v>
      </c>
      <c r="X247" s="812">
        <f t="shared" si="16"/>
        <v>0</v>
      </c>
      <c r="Y247" s="835">
        <f t="shared" si="17"/>
        <v>0</v>
      </c>
    </row>
    <row r="248" spans="1:25" ht="27" customHeight="1">
      <c r="A248" s="531"/>
      <c r="B248" s="531">
        <v>406</v>
      </c>
      <c r="C248" s="529">
        <v>4</v>
      </c>
      <c r="D248" s="1027" t="s">
        <v>560</v>
      </c>
      <c r="E248" s="1028" t="s">
        <v>1180</v>
      </c>
      <c r="F248" s="547">
        <v>1</v>
      </c>
      <c r="G248" s="547"/>
      <c r="H248" s="547"/>
      <c r="I248" s="547"/>
      <c r="J248" s="547"/>
      <c r="K248" s="547"/>
      <c r="L248" s="547"/>
      <c r="M248" s="547"/>
      <c r="N248" s="547"/>
      <c r="O248" s="547"/>
      <c r="P248" s="547"/>
      <c r="Q248" s="989">
        <f t="shared" si="15"/>
        <v>1</v>
      </c>
      <c r="R248" s="547">
        <v>1338356479</v>
      </c>
      <c r="S248" s="989">
        <f t="shared" si="18"/>
        <v>0</v>
      </c>
      <c r="T248" s="547">
        <f t="shared" si="18"/>
        <v>1338</v>
      </c>
      <c r="U248" s="566"/>
      <c r="V248" s="567"/>
      <c r="W248" s="989">
        <f t="shared" si="19"/>
        <v>1</v>
      </c>
      <c r="X248" s="812">
        <f t="shared" si="16"/>
        <v>0</v>
      </c>
      <c r="Y248" s="835">
        <f t="shared" si="17"/>
        <v>0</v>
      </c>
    </row>
    <row r="249" spans="1:25" ht="27" customHeight="1">
      <c r="A249" s="531"/>
      <c r="B249" s="531">
        <v>406</v>
      </c>
      <c r="C249" s="529">
        <v>4</v>
      </c>
      <c r="D249" s="1027" t="s">
        <v>1245</v>
      </c>
      <c r="E249" s="1028" t="s">
        <v>1246</v>
      </c>
      <c r="F249" s="547"/>
      <c r="G249" s="547"/>
      <c r="H249" s="547"/>
      <c r="I249" s="547"/>
      <c r="J249" s="547"/>
      <c r="K249" s="547"/>
      <c r="L249" s="547"/>
      <c r="M249" s="547"/>
      <c r="N249" s="547"/>
      <c r="O249" s="547"/>
      <c r="P249" s="547"/>
      <c r="Q249" s="989">
        <f t="shared" si="15"/>
        <v>0</v>
      </c>
      <c r="R249" s="547">
        <v>0</v>
      </c>
      <c r="S249" s="989">
        <f t="shared" si="18"/>
        <v>0</v>
      </c>
      <c r="T249" s="547">
        <f t="shared" si="18"/>
        <v>0</v>
      </c>
      <c r="U249" s="566"/>
      <c r="V249" s="567"/>
      <c r="W249" s="989">
        <f t="shared" si="19"/>
        <v>0</v>
      </c>
      <c r="X249" s="812">
        <f t="shared" si="16"/>
        <v>0</v>
      </c>
      <c r="Y249" s="835">
        <f t="shared" si="17"/>
        <v>0</v>
      </c>
    </row>
    <row r="250" spans="1:25" ht="27" customHeight="1">
      <c r="A250" s="531"/>
      <c r="B250" s="531">
        <v>406</v>
      </c>
      <c r="C250" s="529">
        <v>4</v>
      </c>
      <c r="D250" s="1027" t="s">
        <v>662</v>
      </c>
      <c r="E250" s="1028" t="s">
        <v>988</v>
      </c>
      <c r="F250" s="547">
        <v>19791520043</v>
      </c>
      <c r="G250" s="547">
        <v>-41183814</v>
      </c>
      <c r="H250" s="547"/>
      <c r="I250" s="547"/>
      <c r="J250" s="547"/>
      <c r="K250" s="547"/>
      <c r="L250" s="547"/>
      <c r="M250" s="547"/>
      <c r="N250" s="547"/>
      <c r="O250" s="547"/>
      <c r="P250" s="547"/>
      <c r="Q250" s="989">
        <f t="shared" si="15"/>
        <v>19750336229</v>
      </c>
      <c r="R250" s="547">
        <v>13235741789</v>
      </c>
      <c r="S250" s="989">
        <f>ROUND((Q250/1000000),0)</f>
        <v>19750</v>
      </c>
      <c r="T250" s="547">
        <f t="shared" si="18"/>
        <v>13236</v>
      </c>
      <c r="U250" s="566"/>
      <c r="V250" s="567"/>
      <c r="W250" s="989">
        <f t="shared" si="19"/>
        <v>19750336229</v>
      </c>
      <c r="X250" s="812">
        <f t="shared" si="16"/>
        <v>19750</v>
      </c>
      <c r="Y250" s="835">
        <f t="shared" si="17"/>
        <v>0</v>
      </c>
    </row>
    <row r="251" spans="1:25" ht="27" customHeight="1">
      <c r="A251" s="531"/>
      <c r="B251" s="531">
        <v>1018</v>
      </c>
      <c r="C251" s="529">
        <v>10</v>
      </c>
      <c r="D251" s="1027" t="s">
        <v>889</v>
      </c>
      <c r="E251" s="1028" t="s">
        <v>891</v>
      </c>
      <c r="F251" s="547"/>
      <c r="G251" s="547"/>
      <c r="H251" s="547"/>
      <c r="I251" s="547"/>
      <c r="J251" s="547"/>
      <c r="K251" s="547"/>
      <c r="L251" s="547"/>
      <c r="M251" s="547"/>
      <c r="N251" s="547"/>
      <c r="O251" s="547"/>
      <c r="P251" s="547"/>
      <c r="Q251" s="989">
        <f t="shared" si="15"/>
        <v>0</v>
      </c>
      <c r="R251" s="547">
        <v>0</v>
      </c>
      <c r="S251" s="989">
        <f t="shared" si="18"/>
        <v>0</v>
      </c>
      <c r="T251" s="547">
        <f t="shared" si="18"/>
        <v>0</v>
      </c>
      <c r="U251" s="566"/>
      <c r="V251" s="567"/>
      <c r="W251" s="989">
        <f t="shared" si="19"/>
        <v>0</v>
      </c>
      <c r="X251" s="812">
        <f t="shared" si="16"/>
        <v>0</v>
      </c>
      <c r="Y251" s="835">
        <f t="shared" si="17"/>
        <v>0</v>
      </c>
    </row>
    <row r="252" spans="1:25" ht="27" customHeight="1">
      <c r="A252" s="531"/>
      <c r="B252" s="531">
        <v>1001</v>
      </c>
      <c r="C252" s="529">
        <v>10</v>
      </c>
      <c r="D252" s="1027" t="s">
        <v>116</v>
      </c>
      <c r="E252" s="1028" t="s">
        <v>1265</v>
      </c>
      <c r="F252" s="547">
        <v>-6000000</v>
      </c>
      <c r="G252" s="547"/>
      <c r="H252" s="547"/>
      <c r="I252" s="547"/>
      <c r="J252" s="547">
        <v>6000000</v>
      </c>
      <c r="K252" s="547"/>
      <c r="L252" s="547"/>
      <c r="M252" s="547"/>
      <c r="N252" s="547"/>
      <c r="O252" s="547"/>
      <c r="P252" s="547"/>
      <c r="Q252" s="989">
        <f t="shared" si="15"/>
        <v>0</v>
      </c>
      <c r="R252" s="547">
        <v>0</v>
      </c>
      <c r="S252" s="989">
        <f t="shared" si="18"/>
        <v>0</v>
      </c>
      <c r="T252" s="547">
        <f t="shared" si="18"/>
        <v>0</v>
      </c>
      <c r="U252" s="566"/>
      <c r="V252" s="567"/>
      <c r="W252" s="989">
        <f t="shared" si="19"/>
        <v>0</v>
      </c>
      <c r="X252" s="812">
        <f t="shared" si="16"/>
        <v>0</v>
      </c>
      <c r="Y252" s="835">
        <f t="shared" si="17"/>
        <v>0</v>
      </c>
    </row>
    <row r="253" spans="1:25" ht="27" customHeight="1">
      <c r="A253" s="531"/>
      <c r="B253" s="531">
        <v>1001</v>
      </c>
      <c r="C253" s="529">
        <v>10</v>
      </c>
      <c r="D253" s="1027" t="s">
        <v>485</v>
      </c>
      <c r="E253" s="1028" t="s">
        <v>898</v>
      </c>
      <c r="F253" s="547">
        <v>-161817735</v>
      </c>
      <c r="G253" s="547"/>
      <c r="H253" s="547"/>
      <c r="I253" s="547"/>
      <c r="J253" s="547">
        <v>163347529</v>
      </c>
      <c r="K253" s="547"/>
      <c r="L253" s="547"/>
      <c r="M253" s="547"/>
      <c r="N253" s="547"/>
      <c r="O253" s="547"/>
      <c r="P253" s="547"/>
      <c r="Q253" s="989">
        <f t="shared" si="15"/>
        <v>1529794</v>
      </c>
      <c r="R253" s="547">
        <v>0</v>
      </c>
      <c r="S253" s="989">
        <f t="shared" si="18"/>
        <v>2</v>
      </c>
      <c r="T253" s="547">
        <f t="shared" si="18"/>
        <v>0</v>
      </c>
      <c r="U253" s="566"/>
      <c r="V253" s="567"/>
      <c r="W253" s="989">
        <f t="shared" si="19"/>
        <v>1529794</v>
      </c>
      <c r="X253" s="812">
        <f t="shared" si="16"/>
        <v>2</v>
      </c>
      <c r="Y253" s="835">
        <f t="shared" si="17"/>
        <v>0</v>
      </c>
    </row>
    <row r="254" spans="1:25" ht="27" customHeight="1">
      <c r="A254" s="531"/>
      <c r="B254" s="531">
        <v>1001</v>
      </c>
      <c r="C254" s="529">
        <v>10</v>
      </c>
      <c r="D254" s="1027" t="s">
        <v>485</v>
      </c>
      <c r="E254" s="1028" t="s">
        <v>898</v>
      </c>
      <c r="F254" s="547"/>
      <c r="G254" s="547"/>
      <c r="H254" s="547"/>
      <c r="I254" s="547"/>
      <c r="J254" s="547"/>
      <c r="K254" s="547"/>
      <c r="L254" s="547"/>
      <c r="M254" s="547"/>
      <c r="N254" s="547"/>
      <c r="O254" s="547"/>
      <c r="P254" s="547"/>
      <c r="Q254" s="989">
        <f t="shared" si="15"/>
        <v>0</v>
      </c>
      <c r="R254" s="547">
        <v>0</v>
      </c>
      <c r="S254" s="989">
        <f t="shared" si="18"/>
        <v>0</v>
      </c>
      <c r="T254" s="547">
        <f t="shared" si="18"/>
        <v>0</v>
      </c>
      <c r="U254" s="566"/>
      <c r="V254" s="567"/>
      <c r="W254" s="989">
        <f t="shared" si="19"/>
        <v>0</v>
      </c>
      <c r="X254" s="812">
        <f t="shared" si="16"/>
        <v>0</v>
      </c>
      <c r="Y254" s="835">
        <f t="shared" si="17"/>
        <v>0</v>
      </c>
    </row>
    <row r="255" spans="1:25" ht="27" customHeight="1">
      <c r="A255" s="531"/>
      <c r="B255" s="531">
        <v>1018</v>
      </c>
      <c r="C255" s="529">
        <v>10</v>
      </c>
      <c r="D255" s="1027" t="s">
        <v>845</v>
      </c>
      <c r="E255" s="1028" t="s">
        <v>899</v>
      </c>
      <c r="F255" s="547">
        <v>67373634</v>
      </c>
      <c r="G255" s="547"/>
      <c r="H255" s="547">
        <v>240000</v>
      </c>
      <c r="I255" s="547"/>
      <c r="J255" s="547"/>
      <c r="K255" s="547"/>
      <c r="L255" s="547"/>
      <c r="M255" s="547"/>
      <c r="N255" s="547"/>
      <c r="O255" s="547"/>
      <c r="P255" s="547"/>
      <c r="Q255" s="989">
        <f t="shared" si="15"/>
        <v>67613634</v>
      </c>
      <c r="R255" s="547">
        <v>0</v>
      </c>
      <c r="S255" s="989">
        <f t="shared" si="18"/>
        <v>68</v>
      </c>
      <c r="T255" s="547">
        <f t="shared" si="18"/>
        <v>0</v>
      </c>
      <c r="U255" s="566"/>
      <c r="V255" s="567"/>
      <c r="W255" s="989">
        <f t="shared" si="19"/>
        <v>67613634</v>
      </c>
      <c r="X255" s="812">
        <f t="shared" si="16"/>
        <v>68</v>
      </c>
      <c r="Y255" s="835">
        <f t="shared" si="17"/>
        <v>0</v>
      </c>
    </row>
    <row r="256" spans="1:25" ht="27" customHeight="1">
      <c r="A256" s="531"/>
      <c r="B256" s="531">
        <v>1018</v>
      </c>
      <c r="C256" s="529">
        <v>10</v>
      </c>
      <c r="D256" s="1027" t="s">
        <v>892</v>
      </c>
      <c r="E256" s="1028" t="s">
        <v>1181</v>
      </c>
      <c r="F256" s="547">
        <v>-14766199</v>
      </c>
      <c r="G256" s="547"/>
      <c r="H256" s="547"/>
      <c r="I256" s="547"/>
      <c r="J256" s="547">
        <v>450000</v>
      </c>
      <c r="K256" s="547"/>
      <c r="L256" s="547"/>
      <c r="M256" s="547"/>
      <c r="N256" s="547"/>
      <c r="O256" s="547"/>
      <c r="P256" s="547"/>
      <c r="Q256" s="989">
        <f t="shared" si="15"/>
        <v>-14316199</v>
      </c>
      <c r="R256" s="547">
        <v>-11796199</v>
      </c>
      <c r="S256" s="989">
        <f t="shared" si="18"/>
        <v>-14</v>
      </c>
      <c r="T256" s="547">
        <f t="shared" si="18"/>
        <v>-12</v>
      </c>
      <c r="U256" s="566"/>
      <c r="V256" s="567"/>
      <c r="W256" s="989">
        <f t="shared" si="19"/>
        <v>-14316199</v>
      </c>
      <c r="X256" s="812">
        <f t="shared" si="16"/>
        <v>-14</v>
      </c>
      <c r="Y256" s="835">
        <f t="shared" si="17"/>
        <v>0</v>
      </c>
    </row>
    <row r="257" spans="1:25" ht="27" customHeight="1">
      <c r="A257" s="531"/>
      <c r="B257" s="531">
        <v>1018</v>
      </c>
      <c r="C257" s="529">
        <v>10</v>
      </c>
      <c r="D257" s="1027" t="s">
        <v>1182</v>
      </c>
      <c r="E257" s="1028" t="s">
        <v>1183</v>
      </c>
      <c r="F257" s="547">
        <v>-240000</v>
      </c>
      <c r="G257" s="547"/>
      <c r="H257" s="547"/>
      <c r="I257" s="547"/>
      <c r="J257" s="547"/>
      <c r="K257" s="547"/>
      <c r="L257" s="547"/>
      <c r="M257" s="547"/>
      <c r="N257" s="547"/>
      <c r="O257" s="547"/>
      <c r="P257" s="547"/>
      <c r="Q257" s="989">
        <f t="shared" si="15"/>
        <v>-240000</v>
      </c>
      <c r="R257" s="547">
        <v>0</v>
      </c>
      <c r="S257" s="989">
        <f t="shared" si="18"/>
        <v>0</v>
      </c>
      <c r="T257" s="547">
        <f t="shared" si="18"/>
        <v>0</v>
      </c>
      <c r="U257" s="566"/>
      <c r="V257" s="567"/>
      <c r="W257" s="989">
        <f t="shared" si="19"/>
        <v>-240000</v>
      </c>
      <c r="X257" s="812">
        <f t="shared" si="16"/>
        <v>0</v>
      </c>
      <c r="Y257" s="835">
        <f t="shared" si="17"/>
        <v>0</v>
      </c>
    </row>
    <row r="258" spans="1:25" ht="27" customHeight="1">
      <c r="A258" s="531"/>
      <c r="B258" s="531">
        <v>1018</v>
      </c>
      <c r="C258" s="529">
        <v>10</v>
      </c>
      <c r="D258" s="1027" t="s">
        <v>1184</v>
      </c>
      <c r="E258" s="1028" t="s">
        <v>1185</v>
      </c>
      <c r="F258" s="547">
        <v>-6460000</v>
      </c>
      <c r="G258" s="547"/>
      <c r="H258" s="547"/>
      <c r="I258" s="547"/>
      <c r="J258" s="547"/>
      <c r="K258" s="547"/>
      <c r="L258" s="547"/>
      <c r="M258" s="547"/>
      <c r="N258" s="547"/>
      <c r="O258" s="547"/>
      <c r="P258" s="547"/>
      <c r="Q258" s="989">
        <f t="shared" si="15"/>
        <v>-6460000</v>
      </c>
      <c r="R258" s="547">
        <v>0</v>
      </c>
      <c r="S258" s="989">
        <f t="shared" si="18"/>
        <v>-6</v>
      </c>
      <c r="T258" s="547">
        <f t="shared" si="18"/>
        <v>0</v>
      </c>
      <c r="U258" s="566"/>
      <c r="V258" s="567"/>
      <c r="W258" s="989">
        <f t="shared" si="19"/>
        <v>-6460000</v>
      </c>
      <c r="X258" s="812">
        <f t="shared" si="16"/>
        <v>-6</v>
      </c>
      <c r="Y258" s="835">
        <f t="shared" si="17"/>
        <v>0</v>
      </c>
    </row>
    <row r="259" spans="1:25" ht="27" customHeight="1">
      <c r="A259" s="531"/>
      <c r="B259" s="531">
        <v>1018</v>
      </c>
      <c r="C259" s="529">
        <v>10</v>
      </c>
      <c r="D259" s="1027" t="s">
        <v>1186</v>
      </c>
      <c r="E259" s="1028" t="s">
        <v>1187</v>
      </c>
      <c r="F259" s="547">
        <v>330459</v>
      </c>
      <c r="G259" s="547"/>
      <c r="H259" s="547"/>
      <c r="I259" s="547"/>
      <c r="J259" s="547"/>
      <c r="K259" s="547"/>
      <c r="L259" s="547"/>
      <c r="M259" s="547"/>
      <c r="N259" s="547"/>
      <c r="O259" s="547"/>
      <c r="P259" s="547"/>
      <c r="Q259" s="989">
        <f t="shared" si="15"/>
        <v>330459</v>
      </c>
      <c r="R259" s="547">
        <v>0</v>
      </c>
      <c r="S259" s="989">
        <f t="shared" si="18"/>
        <v>0</v>
      </c>
      <c r="T259" s="547">
        <f t="shared" si="18"/>
        <v>0</v>
      </c>
      <c r="U259" s="566"/>
      <c r="V259" s="567"/>
      <c r="W259" s="989">
        <f t="shared" si="19"/>
        <v>330459</v>
      </c>
      <c r="X259" s="812">
        <f t="shared" si="16"/>
        <v>0</v>
      </c>
      <c r="Y259" s="835">
        <f t="shared" si="17"/>
        <v>0</v>
      </c>
    </row>
    <row r="260" spans="1:25" ht="27" customHeight="1">
      <c r="A260" s="531"/>
      <c r="B260" s="531">
        <v>1018</v>
      </c>
      <c r="C260" s="529">
        <v>10</v>
      </c>
      <c r="D260" s="1027" t="s">
        <v>844</v>
      </c>
      <c r="E260" s="1028" t="s">
        <v>1188</v>
      </c>
      <c r="F260" s="547">
        <v>-360000</v>
      </c>
      <c r="G260" s="547"/>
      <c r="H260" s="547"/>
      <c r="I260" s="547"/>
      <c r="J260" s="547">
        <v>360000</v>
      </c>
      <c r="K260" s="547"/>
      <c r="L260" s="547"/>
      <c r="M260" s="547"/>
      <c r="N260" s="547"/>
      <c r="O260" s="547"/>
      <c r="P260" s="547"/>
      <c r="Q260" s="989">
        <f t="shared" si="15"/>
        <v>0</v>
      </c>
      <c r="R260" s="547">
        <v>0</v>
      </c>
      <c r="S260" s="989">
        <f t="shared" si="18"/>
        <v>0</v>
      </c>
      <c r="T260" s="547">
        <f t="shared" si="18"/>
        <v>0</v>
      </c>
      <c r="U260" s="566"/>
      <c r="V260" s="567"/>
      <c r="W260" s="989">
        <f t="shared" si="19"/>
        <v>0</v>
      </c>
      <c r="X260" s="812">
        <f t="shared" si="16"/>
        <v>0</v>
      </c>
      <c r="Y260" s="835">
        <f t="shared" ref="Y260:Y323" si="20">S260-X260</f>
        <v>0</v>
      </c>
    </row>
    <row r="261" spans="1:25" ht="27" customHeight="1">
      <c r="A261" s="531"/>
      <c r="B261" s="531">
        <v>1018</v>
      </c>
      <c r="C261" s="529">
        <v>10</v>
      </c>
      <c r="D261" s="1027" t="s">
        <v>1247</v>
      </c>
      <c r="E261" s="1028" t="s">
        <v>1105</v>
      </c>
      <c r="F261" s="547">
        <v>-600000</v>
      </c>
      <c r="G261" s="547"/>
      <c r="H261" s="547"/>
      <c r="I261" s="547"/>
      <c r="J261" s="547"/>
      <c r="K261" s="547"/>
      <c r="L261" s="547"/>
      <c r="M261" s="547"/>
      <c r="N261" s="547"/>
      <c r="O261" s="547"/>
      <c r="P261" s="547"/>
      <c r="Q261" s="989">
        <f t="shared" si="15"/>
        <v>-600000</v>
      </c>
      <c r="R261" s="547">
        <v>0</v>
      </c>
      <c r="S261" s="989">
        <f t="shared" si="18"/>
        <v>-1</v>
      </c>
      <c r="T261" s="547">
        <f t="shared" si="18"/>
        <v>0</v>
      </c>
      <c r="U261" s="566"/>
      <c r="V261" s="567"/>
      <c r="W261" s="989">
        <f t="shared" si="19"/>
        <v>-600000</v>
      </c>
      <c r="X261" s="812">
        <f t="shared" si="16"/>
        <v>-1</v>
      </c>
      <c r="Y261" s="835">
        <f t="shared" si="20"/>
        <v>0</v>
      </c>
    </row>
    <row r="262" spans="1:25" ht="27" customHeight="1">
      <c r="A262" s="531"/>
      <c r="B262" s="531">
        <v>401</v>
      </c>
      <c r="C262" s="529">
        <v>4</v>
      </c>
      <c r="D262" s="1027" t="s">
        <v>487</v>
      </c>
      <c r="E262" s="1028" t="s">
        <v>663</v>
      </c>
      <c r="F262" s="547"/>
      <c r="G262" s="547"/>
      <c r="H262" s="547"/>
      <c r="I262" s="547"/>
      <c r="J262" s="547"/>
      <c r="K262" s="547"/>
      <c r="L262" s="547"/>
      <c r="M262" s="547"/>
      <c r="N262" s="547"/>
      <c r="O262" s="547"/>
      <c r="P262" s="547"/>
      <c r="Q262" s="989">
        <f t="shared" si="15"/>
        <v>0</v>
      </c>
      <c r="R262" s="547">
        <v>0</v>
      </c>
      <c r="S262" s="989">
        <f t="shared" si="18"/>
        <v>0</v>
      </c>
      <c r="T262" s="547">
        <f t="shared" si="18"/>
        <v>0</v>
      </c>
      <c r="U262" s="566"/>
      <c r="V262" s="567"/>
      <c r="W262" s="989">
        <f t="shared" si="19"/>
        <v>0</v>
      </c>
      <c r="X262" s="812">
        <f t="shared" si="16"/>
        <v>0</v>
      </c>
      <c r="Y262" s="835">
        <f t="shared" si="20"/>
        <v>0</v>
      </c>
    </row>
    <row r="263" spans="1:25" ht="27" customHeight="1">
      <c r="A263" s="531"/>
      <c r="B263" s="531">
        <v>401</v>
      </c>
      <c r="C263" s="529">
        <v>4</v>
      </c>
      <c r="D263" s="1027" t="s">
        <v>846</v>
      </c>
      <c r="E263" s="1028" t="s">
        <v>847</v>
      </c>
      <c r="F263" s="547"/>
      <c r="G263" s="547"/>
      <c r="H263" s="547"/>
      <c r="I263" s="547"/>
      <c r="J263" s="547"/>
      <c r="K263" s="547"/>
      <c r="L263" s="547"/>
      <c r="M263" s="547"/>
      <c r="N263" s="547"/>
      <c r="O263" s="547"/>
      <c r="P263" s="547"/>
      <c r="Q263" s="989">
        <f t="shared" ref="Q263:Q327" si="21">SUM(F263:P263)</f>
        <v>0</v>
      </c>
      <c r="R263" s="547">
        <v>0</v>
      </c>
      <c r="S263" s="989">
        <f t="shared" si="18"/>
        <v>0</v>
      </c>
      <c r="T263" s="547">
        <f t="shared" si="18"/>
        <v>0</v>
      </c>
      <c r="U263" s="566"/>
      <c r="V263" s="567"/>
      <c r="W263" s="989">
        <f t="shared" si="19"/>
        <v>0</v>
      </c>
      <c r="X263" s="812">
        <f t="shared" si="16"/>
        <v>0</v>
      </c>
      <c r="Y263" s="835">
        <f t="shared" si="20"/>
        <v>0</v>
      </c>
    </row>
    <row r="264" spans="1:25" ht="27" customHeight="1">
      <c r="A264" s="531"/>
      <c r="B264" s="531">
        <v>1018</v>
      </c>
      <c r="C264" s="529">
        <v>10</v>
      </c>
      <c r="D264" s="1027" t="s">
        <v>1189</v>
      </c>
      <c r="E264" s="1028" t="s">
        <v>1190</v>
      </c>
      <c r="F264" s="547">
        <v>1400110</v>
      </c>
      <c r="G264" s="547">
        <v>-1420110</v>
      </c>
      <c r="H264" s="547"/>
      <c r="I264" s="547"/>
      <c r="J264" s="547"/>
      <c r="K264" s="547"/>
      <c r="L264" s="547"/>
      <c r="M264" s="547"/>
      <c r="N264" s="547"/>
      <c r="O264" s="547"/>
      <c r="P264" s="547"/>
      <c r="Q264" s="989">
        <f t="shared" si="21"/>
        <v>-20000</v>
      </c>
      <c r="R264" s="547">
        <v>-335530700</v>
      </c>
      <c r="S264" s="989">
        <f t="shared" si="18"/>
        <v>0</v>
      </c>
      <c r="T264" s="547">
        <f t="shared" si="18"/>
        <v>-336</v>
      </c>
      <c r="U264" s="566"/>
      <c r="V264" s="567"/>
      <c r="W264" s="989">
        <f t="shared" si="19"/>
        <v>-20000</v>
      </c>
      <c r="X264" s="812">
        <f t="shared" ref="X264:X328" si="22">ROUND((W264/1000000),0)</f>
        <v>0</v>
      </c>
      <c r="Y264" s="835">
        <f t="shared" si="20"/>
        <v>0</v>
      </c>
    </row>
    <row r="265" spans="1:25" ht="27" customHeight="1">
      <c r="A265" s="531"/>
      <c r="B265" s="531">
        <v>1001</v>
      </c>
      <c r="C265" s="529">
        <v>10</v>
      </c>
      <c r="D265" s="1027" t="s">
        <v>1335</v>
      </c>
      <c r="E265" s="1028" t="s">
        <v>1336</v>
      </c>
      <c r="F265" s="547">
        <v>628028</v>
      </c>
      <c r="G265" s="547"/>
      <c r="H265" s="547">
        <v>495360</v>
      </c>
      <c r="I265" s="547"/>
      <c r="J265" s="547"/>
      <c r="K265" s="547"/>
      <c r="L265" s="547"/>
      <c r="M265" s="547"/>
      <c r="N265" s="547"/>
      <c r="O265" s="547"/>
      <c r="P265" s="547"/>
      <c r="Q265" s="989">
        <f t="shared" si="21"/>
        <v>1123388</v>
      </c>
      <c r="R265" s="547">
        <v>-10386274</v>
      </c>
      <c r="S265" s="989">
        <f t="shared" si="18"/>
        <v>1</v>
      </c>
      <c r="T265" s="547">
        <f t="shared" si="18"/>
        <v>-10</v>
      </c>
      <c r="U265" s="566"/>
      <c r="V265" s="567"/>
      <c r="W265" s="989">
        <f t="shared" si="19"/>
        <v>1123388</v>
      </c>
      <c r="X265" s="812">
        <f t="shared" si="22"/>
        <v>1</v>
      </c>
      <c r="Y265" s="835">
        <f t="shared" si="20"/>
        <v>0</v>
      </c>
    </row>
    <row r="266" spans="1:25" ht="27" customHeight="1">
      <c r="A266" s="531"/>
      <c r="B266" s="531">
        <v>1001</v>
      </c>
      <c r="C266" s="529">
        <v>10</v>
      </c>
      <c r="D266" s="1027" t="s">
        <v>1538</v>
      </c>
      <c r="E266" s="1028" t="s">
        <v>1545</v>
      </c>
      <c r="F266" s="547">
        <v>-214975</v>
      </c>
      <c r="G266" s="547"/>
      <c r="H266" s="547">
        <v>54000</v>
      </c>
      <c r="I266" s="547"/>
      <c r="J266" s="547"/>
      <c r="K266" s="547"/>
      <c r="L266" s="547"/>
      <c r="M266" s="547"/>
      <c r="N266" s="547"/>
      <c r="O266" s="547"/>
      <c r="P266" s="547"/>
      <c r="Q266" s="989">
        <f t="shared" si="21"/>
        <v>-160975</v>
      </c>
      <c r="R266" s="547">
        <v>-108000</v>
      </c>
      <c r="S266" s="989">
        <f t="shared" si="18"/>
        <v>0</v>
      </c>
      <c r="T266" s="547">
        <f t="shared" si="18"/>
        <v>0</v>
      </c>
      <c r="U266" s="566"/>
      <c r="V266" s="567"/>
      <c r="W266" s="989">
        <f t="shared" si="19"/>
        <v>-160975</v>
      </c>
      <c r="X266" s="812">
        <f t="shared" si="22"/>
        <v>0</v>
      </c>
      <c r="Y266" s="835">
        <f t="shared" si="20"/>
        <v>0</v>
      </c>
    </row>
    <row r="267" spans="1:25" ht="27" customHeight="1">
      <c r="A267" s="531"/>
      <c r="B267" s="531">
        <v>1001</v>
      </c>
      <c r="C267" s="529">
        <v>10</v>
      </c>
      <c r="D267" s="1027" t="s">
        <v>1539</v>
      </c>
      <c r="E267" s="1028" t="s">
        <v>1546</v>
      </c>
      <c r="F267" s="547">
        <v>14738</v>
      </c>
      <c r="G267" s="547"/>
      <c r="H267" s="547"/>
      <c r="I267" s="547"/>
      <c r="J267" s="547"/>
      <c r="K267" s="547"/>
      <c r="L267" s="547"/>
      <c r="M267" s="547"/>
      <c r="N267" s="547"/>
      <c r="O267" s="547"/>
      <c r="P267" s="547"/>
      <c r="Q267" s="989">
        <f t="shared" si="21"/>
        <v>14738</v>
      </c>
      <c r="R267" s="547">
        <v>-660480</v>
      </c>
      <c r="S267" s="989">
        <f t="shared" si="18"/>
        <v>0</v>
      </c>
      <c r="T267" s="547">
        <f t="shared" si="18"/>
        <v>-1</v>
      </c>
      <c r="U267" s="566"/>
      <c r="V267" s="567"/>
      <c r="W267" s="989">
        <f t="shared" si="19"/>
        <v>14738</v>
      </c>
      <c r="X267" s="812">
        <f t="shared" si="22"/>
        <v>0</v>
      </c>
      <c r="Y267" s="835">
        <f t="shared" si="20"/>
        <v>0</v>
      </c>
    </row>
    <row r="268" spans="1:25" ht="27" customHeight="1">
      <c r="A268" s="531"/>
      <c r="B268" s="531">
        <v>1001</v>
      </c>
      <c r="C268" s="529">
        <v>10</v>
      </c>
      <c r="D268" s="1027" t="s">
        <v>1540</v>
      </c>
      <c r="E268" s="1028" t="s">
        <v>1547</v>
      </c>
      <c r="F268" s="547">
        <v>-253355</v>
      </c>
      <c r="G268" s="547"/>
      <c r="H268" s="547"/>
      <c r="I268" s="547"/>
      <c r="J268" s="547"/>
      <c r="K268" s="547"/>
      <c r="L268" s="547"/>
      <c r="M268" s="547"/>
      <c r="N268" s="547"/>
      <c r="O268" s="547"/>
      <c r="P268" s="547"/>
      <c r="Q268" s="989">
        <f t="shared" si="21"/>
        <v>-253355</v>
      </c>
      <c r="R268" s="547">
        <v>-85000</v>
      </c>
      <c r="S268" s="989">
        <f t="shared" si="18"/>
        <v>0</v>
      </c>
      <c r="T268" s="547">
        <f t="shared" si="18"/>
        <v>0</v>
      </c>
      <c r="U268" s="566"/>
      <c r="V268" s="567"/>
      <c r="W268" s="989">
        <f t="shared" si="19"/>
        <v>-253355</v>
      </c>
      <c r="X268" s="812">
        <f t="shared" si="22"/>
        <v>0</v>
      </c>
      <c r="Y268" s="835">
        <f t="shared" si="20"/>
        <v>0</v>
      </c>
    </row>
    <row r="269" spans="1:25" ht="27" customHeight="1">
      <c r="A269" s="531"/>
      <c r="B269" s="531">
        <v>1001</v>
      </c>
      <c r="C269" s="529">
        <v>10</v>
      </c>
      <c r="D269" s="1027" t="s">
        <v>1541</v>
      </c>
      <c r="E269" s="1028" t="s">
        <v>1548</v>
      </c>
      <c r="F269" s="547">
        <v>1685087</v>
      </c>
      <c r="G269" s="547"/>
      <c r="H269" s="547"/>
      <c r="I269" s="547"/>
      <c r="J269" s="547"/>
      <c r="K269" s="547"/>
      <c r="L269" s="547"/>
      <c r="M269" s="547"/>
      <c r="N269" s="547"/>
      <c r="O269" s="547"/>
      <c r="P269" s="547"/>
      <c r="Q269" s="989">
        <f t="shared" si="21"/>
        <v>1685087</v>
      </c>
      <c r="R269" s="547">
        <v>-15579411</v>
      </c>
      <c r="S269" s="989">
        <f t="shared" si="18"/>
        <v>2</v>
      </c>
      <c r="T269" s="547">
        <f t="shared" si="18"/>
        <v>-16</v>
      </c>
      <c r="U269" s="566"/>
      <c r="V269" s="567"/>
      <c r="W269" s="989">
        <f t="shared" si="19"/>
        <v>1685087</v>
      </c>
      <c r="X269" s="812">
        <f t="shared" si="22"/>
        <v>2</v>
      </c>
      <c r="Y269" s="835">
        <f t="shared" si="20"/>
        <v>0</v>
      </c>
    </row>
    <row r="270" spans="1:25" ht="27" customHeight="1">
      <c r="A270" s="531"/>
      <c r="B270" s="531">
        <v>1001</v>
      </c>
      <c r="C270" s="529">
        <v>10</v>
      </c>
      <c r="D270" s="1027" t="s">
        <v>1542</v>
      </c>
      <c r="E270" s="1028" t="s">
        <v>1549</v>
      </c>
      <c r="F270" s="547">
        <v>-643869</v>
      </c>
      <c r="G270" s="547"/>
      <c r="H270" s="547"/>
      <c r="I270" s="547"/>
      <c r="J270" s="547"/>
      <c r="K270" s="547"/>
      <c r="L270" s="547"/>
      <c r="M270" s="547"/>
      <c r="N270" s="547"/>
      <c r="O270" s="547"/>
      <c r="P270" s="547"/>
      <c r="Q270" s="989">
        <f t="shared" si="21"/>
        <v>-643869</v>
      </c>
      <c r="R270" s="547">
        <v>-216000</v>
      </c>
      <c r="S270" s="989">
        <f t="shared" si="18"/>
        <v>-1</v>
      </c>
      <c r="T270" s="547">
        <f t="shared" si="18"/>
        <v>0</v>
      </c>
      <c r="U270" s="566"/>
      <c r="V270" s="567"/>
      <c r="W270" s="989">
        <f t="shared" si="19"/>
        <v>-643869</v>
      </c>
      <c r="X270" s="812">
        <f t="shared" si="22"/>
        <v>-1</v>
      </c>
      <c r="Y270" s="835">
        <f t="shared" si="20"/>
        <v>0</v>
      </c>
    </row>
    <row r="271" spans="1:25" ht="27" customHeight="1">
      <c r="A271" s="531"/>
      <c r="B271" s="531">
        <v>1001</v>
      </c>
      <c r="C271" s="529">
        <v>10</v>
      </c>
      <c r="D271" s="1027" t="s">
        <v>1543</v>
      </c>
      <c r="E271" s="1028" t="s">
        <v>1550</v>
      </c>
      <c r="F271" s="547">
        <v>29486</v>
      </c>
      <c r="G271" s="547"/>
      <c r="H271" s="547"/>
      <c r="I271" s="547"/>
      <c r="J271" s="547"/>
      <c r="K271" s="547"/>
      <c r="L271" s="547"/>
      <c r="M271" s="547"/>
      <c r="N271" s="547"/>
      <c r="O271" s="547"/>
      <c r="P271" s="547"/>
      <c r="Q271" s="989">
        <f t="shared" si="21"/>
        <v>29486</v>
      </c>
      <c r="R271" s="547">
        <v>-1320960</v>
      </c>
      <c r="S271" s="989">
        <f t="shared" si="18"/>
        <v>0</v>
      </c>
      <c r="T271" s="547">
        <f t="shared" si="18"/>
        <v>-1</v>
      </c>
      <c r="U271" s="566"/>
      <c r="V271" s="567"/>
      <c r="W271" s="989">
        <f t="shared" si="19"/>
        <v>29486</v>
      </c>
      <c r="X271" s="812">
        <f t="shared" si="22"/>
        <v>0</v>
      </c>
      <c r="Y271" s="835">
        <f t="shared" si="20"/>
        <v>0</v>
      </c>
    </row>
    <row r="272" spans="1:25" ht="27" customHeight="1">
      <c r="A272" s="531"/>
      <c r="B272" s="531">
        <v>1001</v>
      </c>
      <c r="C272" s="529">
        <v>10</v>
      </c>
      <c r="D272" s="1027" t="s">
        <v>1544</v>
      </c>
      <c r="E272" s="1028" t="s">
        <v>1551</v>
      </c>
      <c r="F272" s="547">
        <v>-342789</v>
      </c>
      <c r="G272" s="547"/>
      <c r="H272" s="547"/>
      <c r="I272" s="547"/>
      <c r="J272" s="547"/>
      <c r="K272" s="547"/>
      <c r="L272" s="547"/>
      <c r="M272" s="547"/>
      <c r="N272" s="547"/>
      <c r="O272" s="547"/>
      <c r="P272" s="547"/>
      <c r="Q272" s="989">
        <f t="shared" si="21"/>
        <v>-342789</v>
      </c>
      <c r="R272" s="547">
        <v>-115000</v>
      </c>
      <c r="S272" s="989">
        <f t="shared" si="18"/>
        <v>0</v>
      </c>
      <c r="T272" s="547">
        <f t="shared" si="18"/>
        <v>0</v>
      </c>
      <c r="U272" s="566"/>
      <c r="V272" s="567"/>
      <c r="W272" s="989">
        <f t="shared" si="19"/>
        <v>-342789</v>
      </c>
      <c r="X272" s="812">
        <f t="shared" si="22"/>
        <v>0</v>
      </c>
      <c r="Y272" s="835">
        <f t="shared" si="20"/>
        <v>0</v>
      </c>
    </row>
    <row r="273" spans="1:25" ht="27" customHeight="1">
      <c r="A273" s="531"/>
      <c r="B273" s="531">
        <v>406</v>
      </c>
      <c r="C273" s="529">
        <v>4</v>
      </c>
      <c r="D273" s="1027" t="s">
        <v>1191</v>
      </c>
      <c r="E273" s="1028" t="s">
        <v>1192</v>
      </c>
      <c r="F273" s="547">
        <v>3233832</v>
      </c>
      <c r="G273" s="547"/>
      <c r="H273" s="547"/>
      <c r="I273" s="547"/>
      <c r="J273" s="547"/>
      <c r="K273" s="547"/>
      <c r="L273" s="547"/>
      <c r="M273" s="547"/>
      <c r="N273" s="547"/>
      <c r="O273" s="547"/>
      <c r="P273" s="547"/>
      <c r="Q273" s="989">
        <f t="shared" si="21"/>
        <v>3233832</v>
      </c>
      <c r="R273" s="547">
        <v>3233832</v>
      </c>
      <c r="S273" s="989">
        <f t="shared" si="18"/>
        <v>3</v>
      </c>
      <c r="T273" s="547">
        <f t="shared" si="18"/>
        <v>3</v>
      </c>
      <c r="U273" s="566"/>
      <c r="V273" s="567"/>
      <c r="W273" s="989">
        <f t="shared" si="19"/>
        <v>3233832</v>
      </c>
      <c r="X273" s="812">
        <f t="shared" si="22"/>
        <v>3</v>
      </c>
      <c r="Y273" s="835">
        <f t="shared" si="20"/>
        <v>0</v>
      </c>
    </row>
    <row r="274" spans="1:25" ht="27" customHeight="1">
      <c r="A274" s="531"/>
      <c r="B274" s="531">
        <v>1018</v>
      </c>
      <c r="C274" s="529">
        <v>10</v>
      </c>
      <c r="D274" s="1027" t="s">
        <v>989</v>
      </c>
      <c r="E274" s="1028" t="s">
        <v>990</v>
      </c>
      <c r="F274" s="547"/>
      <c r="G274" s="547"/>
      <c r="H274" s="547"/>
      <c r="I274" s="547"/>
      <c r="J274" s="547"/>
      <c r="K274" s="547"/>
      <c r="L274" s="547"/>
      <c r="M274" s="547"/>
      <c r="N274" s="547"/>
      <c r="O274" s="547"/>
      <c r="P274" s="547"/>
      <c r="Q274" s="989">
        <f t="shared" si="21"/>
        <v>0</v>
      </c>
      <c r="R274" s="547">
        <v>0</v>
      </c>
      <c r="S274" s="989">
        <f t="shared" si="18"/>
        <v>0</v>
      </c>
      <c r="T274" s="547">
        <f t="shared" si="18"/>
        <v>0</v>
      </c>
      <c r="U274" s="566"/>
      <c r="V274" s="567"/>
      <c r="W274" s="989">
        <f t="shared" si="19"/>
        <v>0</v>
      </c>
      <c r="X274" s="812">
        <f t="shared" si="22"/>
        <v>0</v>
      </c>
      <c r="Y274" s="835">
        <f t="shared" si="20"/>
        <v>0</v>
      </c>
    </row>
    <row r="275" spans="1:25" ht="27" customHeight="1">
      <c r="A275" s="531"/>
      <c r="B275" s="531">
        <v>1018</v>
      </c>
      <c r="C275" s="529">
        <v>10</v>
      </c>
      <c r="D275" s="1027" t="s">
        <v>991</v>
      </c>
      <c r="E275" s="1028" t="s">
        <v>992</v>
      </c>
      <c r="F275" s="547">
        <v>-800000</v>
      </c>
      <c r="G275" s="547"/>
      <c r="H275" s="547"/>
      <c r="I275" s="547"/>
      <c r="J275" s="547"/>
      <c r="K275" s="547"/>
      <c r="L275" s="547"/>
      <c r="M275" s="547"/>
      <c r="N275" s="547"/>
      <c r="O275" s="547"/>
      <c r="P275" s="547"/>
      <c r="Q275" s="989">
        <f t="shared" si="21"/>
        <v>-800000</v>
      </c>
      <c r="R275" s="547">
        <v>0</v>
      </c>
      <c r="S275" s="989">
        <f t="shared" si="18"/>
        <v>-1</v>
      </c>
      <c r="T275" s="547">
        <f t="shared" si="18"/>
        <v>0</v>
      </c>
      <c r="U275" s="566"/>
      <c r="V275" s="567"/>
      <c r="W275" s="989">
        <f t="shared" si="19"/>
        <v>-800000</v>
      </c>
      <c r="X275" s="812">
        <f t="shared" si="22"/>
        <v>-1</v>
      </c>
      <c r="Y275" s="835">
        <f t="shared" si="20"/>
        <v>0</v>
      </c>
    </row>
    <row r="276" spans="1:25" ht="27" customHeight="1">
      <c r="A276" s="531"/>
      <c r="B276" s="531">
        <v>1018</v>
      </c>
      <c r="C276" s="529">
        <v>10</v>
      </c>
      <c r="D276" s="1027" t="s">
        <v>277</v>
      </c>
      <c r="E276" s="1028" t="s">
        <v>278</v>
      </c>
      <c r="F276" s="547"/>
      <c r="G276" s="547"/>
      <c r="H276" s="547"/>
      <c r="I276" s="547"/>
      <c r="J276" s="547"/>
      <c r="K276" s="547"/>
      <c r="L276" s="547"/>
      <c r="M276" s="547"/>
      <c r="N276" s="547"/>
      <c r="O276" s="547"/>
      <c r="P276" s="547"/>
      <c r="Q276" s="989">
        <f t="shared" si="21"/>
        <v>0</v>
      </c>
      <c r="R276" s="547">
        <v>0</v>
      </c>
      <c r="S276" s="989">
        <f t="shared" si="18"/>
        <v>0</v>
      </c>
      <c r="T276" s="547">
        <f t="shared" si="18"/>
        <v>0</v>
      </c>
      <c r="U276" s="566"/>
      <c r="V276" s="567"/>
      <c r="W276" s="989">
        <f t="shared" si="19"/>
        <v>0</v>
      </c>
      <c r="X276" s="812">
        <f t="shared" si="22"/>
        <v>0</v>
      </c>
      <c r="Y276" s="835">
        <f t="shared" si="20"/>
        <v>0</v>
      </c>
    </row>
    <row r="277" spans="1:25" ht="27" customHeight="1">
      <c r="A277" s="531"/>
      <c r="B277" s="531">
        <v>1018</v>
      </c>
      <c r="C277" s="529">
        <v>10</v>
      </c>
      <c r="D277" s="1027" t="s">
        <v>993</v>
      </c>
      <c r="E277" s="1028" t="s">
        <v>994</v>
      </c>
      <c r="F277" s="547">
        <v>-200000</v>
      </c>
      <c r="G277" s="547"/>
      <c r="H277" s="547"/>
      <c r="I277" s="547"/>
      <c r="J277" s="547"/>
      <c r="K277" s="547"/>
      <c r="L277" s="547"/>
      <c r="M277" s="547"/>
      <c r="N277" s="547"/>
      <c r="O277" s="547"/>
      <c r="P277" s="547"/>
      <c r="Q277" s="989">
        <f t="shared" si="21"/>
        <v>-200000</v>
      </c>
      <c r="R277" s="547">
        <v>0</v>
      </c>
      <c r="S277" s="989">
        <f t="shared" si="18"/>
        <v>0</v>
      </c>
      <c r="T277" s="547">
        <f t="shared" si="18"/>
        <v>0</v>
      </c>
      <c r="U277" s="566"/>
      <c r="V277" s="567"/>
      <c r="W277" s="989">
        <f t="shared" si="19"/>
        <v>-200000</v>
      </c>
      <c r="X277" s="812">
        <f t="shared" si="22"/>
        <v>0</v>
      </c>
      <c r="Y277" s="835">
        <f t="shared" si="20"/>
        <v>0</v>
      </c>
    </row>
    <row r="278" spans="1:25" ht="27" customHeight="1">
      <c r="A278" s="531"/>
      <c r="B278" s="531">
        <v>1018</v>
      </c>
      <c r="C278" s="529">
        <v>10</v>
      </c>
      <c r="D278" s="1027" t="s">
        <v>995</v>
      </c>
      <c r="E278" s="1028" t="s">
        <v>996</v>
      </c>
      <c r="F278" s="547"/>
      <c r="G278" s="547"/>
      <c r="H278" s="547"/>
      <c r="I278" s="547"/>
      <c r="J278" s="547"/>
      <c r="K278" s="547"/>
      <c r="L278" s="547"/>
      <c r="M278" s="547"/>
      <c r="N278" s="547"/>
      <c r="O278" s="547"/>
      <c r="P278" s="547"/>
      <c r="Q278" s="989">
        <f t="shared" si="21"/>
        <v>0</v>
      </c>
      <c r="R278" s="547">
        <v>0</v>
      </c>
      <c r="S278" s="989">
        <f t="shared" si="18"/>
        <v>0</v>
      </c>
      <c r="T278" s="547">
        <f t="shared" si="18"/>
        <v>0</v>
      </c>
      <c r="U278" s="566"/>
      <c r="V278" s="567"/>
      <c r="W278" s="989">
        <f t="shared" si="19"/>
        <v>0</v>
      </c>
      <c r="X278" s="812">
        <f t="shared" si="22"/>
        <v>0</v>
      </c>
      <c r="Y278" s="835">
        <f t="shared" si="20"/>
        <v>0</v>
      </c>
    </row>
    <row r="279" spans="1:25" ht="27" customHeight="1">
      <c r="A279" s="531"/>
      <c r="B279" s="531">
        <v>406</v>
      </c>
      <c r="C279" s="529">
        <v>4</v>
      </c>
      <c r="D279" s="1027" t="s">
        <v>1106</v>
      </c>
      <c r="E279" s="1028" t="s">
        <v>1337</v>
      </c>
      <c r="F279" s="547"/>
      <c r="G279" s="547"/>
      <c r="H279" s="547"/>
      <c r="I279" s="547"/>
      <c r="J279" s="547"/>
      <c r="K279" s="547"/>
      <c r="L279" s="547"/>
      <c r="M279" s="547"/>
      <c r="N279" s="547"/>
      <c r="O279" s="547"/>
      <c r="P279" s="547"/>
      <c r="Q279" s="989">
        <f t="shared" si="21"/>
        <v>0</v>
      </c>
      <c r="R279" s="547">
        <v>0</v>
      </c>
      <c r="S279" s="989">
        <f t="shared" si="18"/>
        <v>0</v>
      </c>
      <c r="T279" s="547">
        <f t="shared" si="18"/>
        <v>0</v>
      </c>
      <c r="U279" s="566"/>
      <c r="V279" s="567"/>
      <c r="W279" s="989">
        <f t="shared" si="19"/>
        <v>0</v>
      </c>
      <c r="X279" s="812">
        <f t="shared" si="22"/>
        <v>0</v>
      </c>
      <c r="Y279" s="835">
        <f t="shared" si="20"/>
        <v>0</v>
      </c>
    </row>
    <row r="280" spans="1:25" ht="27" customHeight="1">
      <c r="A280" s="531"/>
      <c r="B280" s="531">
        <v>1018</v>
      </c>
      <c r="C280" s="529">
        <v>10</v>
      </c>
      <c r="D280" s="1027" t="s">
        <v>1373</v>
      </c>
      <c r="E280" s="1028" t="s">
        <v>1374</v>
      </c>
      <c r="F280" s="547"/>
      <c r="G280" s="547"/>
      <c r="H280" s="547"/>
      <c r="I280" s="547"/>
      <c r="J280" s="547"/>
      <c r="K280" s="547"/>
      <c r="L280" s="547"/>
      <c r="M280" s="547"/>
      <c r="N280" s="547"/>
      <c r="O280" s="547"/>
      <c r="P280" s="547"/>
      <c r="Q280" s="989">
        <f t="shared" si="21"/>
        <v>0</v>
      </c>
      <c r="R280" s="547">
        <v>0</v>
      </c>
      <c r="S280" s="989">
        <f t="shared" ref="S280:T353" si="23">ROUND((Q280/1000000),0)</f>
        <v>0</v>
      </c>
      <c r="T280" s="547">
        <f t="shared" si="23"/>
        <v>0</v>
      </c>
      <c r="U280" s="566"/>
      <c r="V280" s="567"/>
      <c r="W280" s="989">
        <f t="shared" si="19"/>
        <v>0</v>
      </c>
      <c r="X280" s="812">
        <f t="shared" si="22"/>
        <v>0</v>
      </c>
      <c r="Y280" s="835">
        <f t="shared" si="20"/>
        <v>0</v>
      </c>
    </row>
    <row r="281" spans="1:25" ht="27" customHeight="1">
      <c r="A281" s="531"/>
      <c r="B281" s="531">
        <v>1018</v>
      </c>
      <c r="C281" s="529">
        <v>10</v>
      </c>
      <c r="D281" s="1027" t="s">
        <v>1193</v>
      </c>
      <c r="E281" s="1028" t="s">
        <v>1194</v>
      </c>
      <c r="F281" s="547">
        <v>-2910000</v>
      </c>
      <c r="G281" s="547"/>
      <c r="H281" s="547"/>
      <c r="I281" s="547"/>
      <c r="J281" s="547"/>
      <c r="K281" s="547"/>
      <c r="L281" s="547"/>
      <c r="M281" s="547"/>
      <c r="N281" s="547"/>
      <c r="O281" s="547"/>
      <c r="P281" s="547"/>
      <c r="Q281" s="989">
        <f t="shared" si="21"/>
        <v>-2910000</v>
      </c>
      <c r="R281" s="547">
        <v>-1890000</v>
      </c>
      <c r="S281" s="989">
        <f t="shared" si="23"/>
        <v>-3</v>
      </c>
      <c r="T281" s="547">
        <f t="shared" si="23"/>
        <v>-2</v>
      </c>
      <c r="U281" s="566"/>
      <c r="V281" s="567"/>
      <c r="W281" s="989">
        <f t="shared" ref="W281:W354" si="24">Q281+V281-U281</f>
        <v>-2910000</v>
      </c>
      <c r="X281" s="812">
        <f t="shared" si="22"/>
        <v>-3</v>
      </c>
      <c r="Y281" s="835">
        <f t="shared" si="20"/>
        <v>0</v>
      </c>
    </row>
    <row r="282" spans="1:25" ht="27" customHeight="1">
      <c r="A282" s="531"/>
      <c r="B282" s="531">
        <v>1001</v>
      </c>
      <c r="C282" s="529">
        <v>10</v>
      </c>
      <c r="D282" s="1027" t="s">
        <v>1338</v>
      </c>
      <c r="E282" s="1028" t="s">
        <v>1339</v>
      </c>
      <c r="F282" s="547">
        <v>-50740000</v>
      </c>
      <c r="G282" s="547"/>
      <c r="H282" s="547"/>
      <c r="I282" s="547"/>
      <c r="J282" s="547"/>
      <c r="K282" s="547"/>
      <c r="L282" s="547"/>
      <c r="M282" s="547"/>
      <c r="N282" s="547"/>
      <c r="O282" s="547"/>
      <c r="P282" s="547"/>
      <c r="Q282" s="989">
        <f t="shared" si="21"/>
        <v>-50740000</v>
      </c>
      <c r="R282" s="547">
        <v>-62640000</v>
      </c>
      <c r="S282" s="989">
        <f t="shared" si="23"/>
        <v>-51</v>
      </c>
      <c r="T282" s="547">
        <f t="shared" si="23"/>
        <v>-63</v>
      </c>
      <c r="U282" s="566"/>
      <c r="V282" s="567"/>
      <c r="W282" s="989">
        <f t="shared" si="24"/>
        <v>-50740000</v>
      </c>
      <c r="X282" s="812">
        <f t="shared" si="22"/>
        <v>-51</v>
      </c>
      <c r="Y282" s="835">
        <f t="shared" si="20"/>
        <v>0</v>
      </c>
    </row>
    <row r="283" spans="1:25" ht="27" customHeight="1">
      <c r="A283" s="531"/>
      <c r="B283" s="531">
        <v>1018</v>
      </c>
      <c r="C283" s="529">
        <v>10</v>
      </c>
      <c r="D283" s="1027" t="s">
        <v>752</v>
      </c>
      <c r="E283" s="1028" t="s">
        <v>997</v>
      </c>
      <c r="F283" s="547"/>
      <c r="G283" s="547"/>
      <c r="H283" s="547"/>
      <c r="I283" s="547"/>
      <c r="J283" s="547"/>
      <c r="K283" s="547"/>
      <c r="L283" s="547"/>
      <c r="M283" s="547"/>
      <c r="N283" s="547"/>
      <c r="O283" s="547"/>
      <c r="P283" s="547"/>
      <c r="Q283" s="989">
        <f t="shared" si="21"/>
        <v>0</v>
      </c>
      <c r="R283" s="547">
        <v>0</v>
      </c>
      <c r="S283" s="989">
        <f t="shared" si="23"/>
        <v>0</v>
      </c>
      <c r="T283" s="547">
        <f t="shared" si="23"/>
        <v>0</v>
      </c>
      <c r="U283" s="566"/>
      <c r="V283" s="567"/>
      <c r="W283" s="989">
        <f t="shared" si="24"/>
        <v>0</v>
      </c>
      <c r="X283" s="812">
        <f t="shared" si="22"/>
        <v>0</v>
      </c>
      <c r="Y283" s="835">
        <f t="shared" si="20"/>
        <v>0</v>
      </c>
    </row>
    <row r="284" spans="1:25" ht="27" customHeight="1">
      <c r="A284" s="531"/>
      <c r="B284" s="531">
        <v>1018</v>
      </c>
      <c r="C284" s="529">
        <v>10</v>
      </c>
      <c r="D284" s="1027" t="s">
        <v>665</v>
      </c>
      <c r="E284" s="1028" t="s">
        <v>664</v>
      </c>
      <c r="F284" s="547"/>
      <c r="G284" s="547"/>
      <c r="H284" s="547"/>
      <c r="I284" s="547"/>
      <c r="J284" s="547"/>
      <c r="K284" s="547"/>
      <c r="L284" s="547"/>
      <c r="M284" s="547"/>
      <c r="N284" s="547"/>
      <c r="O284" s="547"/>
      <c r="P284" s="547"/>
      <c r="Q284" s="989">
        <f t="shared" si="21"/>
        <v>0</v>
      </c>
      <c r="R284" s="547">
        <v>-23730000</v>
      </c>
      <c r="S284" s="989">
        <f t="shared" si="23"/>
        <v>0</v>
      </c>
      <c r="T284" s="547">
        <f t="shared" si="23"/>
        <v>-24</v>
      </c>
      <c r="U284" s="566"/>
      <c r="V284" s="567"/>
      <c r="W284" s="989">
        <f t="shared" si="24"/>
        <v>0</v>
      </c>
      <c r="X284" s="812">
        <f t="shared" si="22"/>
        <v>0</v>
      </c>
      <c r="Y284" s="835">
        <f t="shared" si="20"/>
        <v>0</v>
      </c>
    </row>
    <row r="285" spans="1:25" ht="27" customHeight="1">
      <c r="A285" s="531"/>
      <c r="B285" s="531">
        <v>406</v>
      </c>
      <c r="C285" s="529">
        <v>4</v>
      </c>
      <c r="D285" s="1027" t="s">
        <v>489</v>
      </c>
      <c r="E285" s="1028" t="s">
        <v>854</v>
      </c>
      <c r="F285" s="547">
        <v>71320783</v>
      </c>
      <c r="G285" s="547"/>
      <c r="H285" s="547"/>
      <c r="I285" s="547"/>
      <c r="J285" s="547"/>
      <c r="K285" s="547"/>
      <c r="L285" s="547"/>
      <c r="M285" s="547"/>
      <c r="N285" s="547"/>
      <c r="O285" s="547"/>
      <c r="P285" s="547"/>
      <c r="Q285" s="989">
        <f t="shared" si="21"/>
        <v>71320783</v>
      </c>
      <c r="R285" s="547">
        <v>71320783</v>
      </c>
      <c r="S285" s="989">
        <f t="shared" si="23"/>
        <v>71</v>
      </c>
      <c r="T285" s="547">
        <f t="shared" si="23"/>
        <v>71</v>
      </c>
      <c r="U285" s="566"/>
      <c r="V285" s="567"/>
      <c r="W285" s="989">
        <f t="shared" si="24"/>
        <v>71320783</v>
      </c>
      <c r="X285" s="812">
        <f t="shared" si="22"/>
        <v>71</v>
      </c>
      <c r="Y285" s="835">
        <f t="shared" si="20"/>
        <v>0</v>
      </c>
    </row>
    <row r="286" spans="1:25" ht="27" customHeight="1">
      <c r="A286" s="531"/>
      <c r="B286" s="531">
        <v>406</v>
      </c>
      <c r="C286" s="529">
        <v>4</v>
      </c>
      <c r="D286" s="1027" t="s">
        <v>293</v>
      </c>
      <c r="E286" s="1028" t="s">
        <v>467</v>
      </c>
      <c r="F286" s="547">
        <v>1718974151</v>
      </c>
      <c r="G286" s="547">
        <v>292500000</v>
      </c>
      <c r="H286" s="547"/>
      <c r="I286" s="547"/>
      <c r="J286" s="547"/>
      <c r="K286" s="547"/>
      <c r="L286" s="547"/>
      <c r="M286" s="547"/>
      <c r="N286" s="547"/>
      <c r="O286" s="547"/>
      <c r="P286" s="547"/>
      <c r="Q286" s="989">
        <f t="shared" si="21"/>
        <v>2011474151</v>
      </c>
      <c r="R286" s="547">
        <v>1718974151</v>
      </c>
      <c r="S286" s="989">
        <f t="shared" si="23"/>
        <v>2011</v>
      </c>
      <c r="T286" s="547">
        <f t="shared" si="23"/>
        <v>1719</v>
      </c>
      <c r="U286" s="566"/>
      <c r="V286" s="567"/>
      <c r="W286" s="989">
        <f t="shared" si="24"/>
        <v>2011474151</v>
      </c>
      <c r="X286" s="812">
        <f t="shared" si="22"/>
        <v>2011</v>
      </c>
      <c r="Y286" s="835">
        <f t="shared" si="20"/>
        <v>0</v>
      </c>
    </row>
    <row r="287" spans="1:25" ht="27" customHeight="1">
      <c r="A287" s="531">
        <v>3214</v>
      </c>
      <c r="B287" s="531">
        <v>408</v>
      </c>
      <c r="C287" s="529">
        <v>4</v>
      </c>
      <c r="D287" s="1027" t="s">
        <v>293</v>
      </c>
      <c r="E287" s="1028" t="s">
        <v>1435</v>
      </c>
      <c r="F287" s="547"/>
      <c r="G287" s="547"/>
      <c r="H287" s="547"/>
      <c r="I287" s="547"/>
      <c r="J287" s="547">
        <v>296023641455</v>
      </c>
      <c r="K287" s="547"/>
      <c r="L287" s="547"/>
      <c r="M287" s="547"/>
      <c r="N287" s="547">
        <v>-2429884902</v>
      </c>
      <c r="O287" s="547"/>
      <c r="P287" s="547"/>
      <c r="Q287" s="989">
        <f t="shared" si="21"/>
        <v>293593756553</v>
      </c>
      <c r="R287" s="547">
        <v>521425405869</v>
      </c>
      <c r="S287" s="989">
        <f t="shared" si="23"/>
        <v>293594</v>
      </c>
      <c r="T287" s="547">
        <f t="shared" si="23"/>
        <v>521425</v>
      </c>
      <c r="U287" s="566"/>
      <c r="V287" s="567"/>
      <c r="W287" s="989">
        <f t="shared" si="24"/>
        <v>293593756553</v>
      </c>
      <c r="X287" s="812">
        <f t="shared" si="22"/>
        <v>293594</v>
      </c>
      <c r="Y287" s="835">
        <f t="shared" si="20"/>
        <v>0</v>
      </c>
    </row>
    <row r="288" spans="1:25" ht="27" customHeight="1">
      <c r="A288" s="531"/>
      <c r="B288" s="531">
        <v>1018</v>
      </c>
      <c r="C288" s="1021">
        <v>10</v>
      </c>
      <c r="D288" s="1027" t="s">
        <v>296</v>
      </c>
      <c r="E288" s="1028" t="s">
        <v>1552</v>
      </c>
      <c r="F288" s="547">
        <v>-3779387012</v>
      </c>
      <c r="G288" s="547">
        <v>-3251437135</v>
      </c>
      <c r="H288" s="547"/>
      <c r="I288" s="547"/>
      <c r="J288" s="547"/>
      <c r="K288" s="547"/>
      <c r="L288" s="547"/>
      <c r="M288" s="547"/>
      <c r="N288" s="547"/>
      <c r="O288" s="547"/>
      <c r="P288" s="547"/>
      <c r="Q288" s="989">
        <f t="shared" si="21"/>
        <v>-7030824147</v>
      </c>
      <c r="R288" s="547">
        <v>-4229974651</v>
      </c>
      <c r="S288" s="989">
        <f t="shared" si="23"/>
        <v>-7031</v>
      </c>
      <c r="T288" s="547">
        <f t="shared" si="23"/>
        <v>-4230</v>
      </c>
      <c r="U288" s="566"/>
      <c r="V288" s="567"/>
      <c r="W288" s="989">
        <f t="shared" si="24"/>
        <v>-7030824147</v>
      </c>
      <c r="X288" s="812">
        <f t="shared" si="22"/>
        <v>-7031</v>
      </c>
      <c r="Y288" s="835">
        <f t="shared" si="20"/>
        <v>0</v>
      </c>
    </row>
    <row r="289" spans="1:25" ht="27" customHeight="1">
      <c r="A289" s="531"/>
      <c r="B289" s="531">
        <v>1018</v>
      </c>
      <c r="C289" s="529">
        <v>10</v>
      </c>
      <c r="D289" s="1027" t="s">
        <v>298</v>
      </c>
      <c r="E289" s="1028" t="s">
        <v>1553</v>
      </c>
      <c r="F289" s="547">
        <v>-131562773250</v>
      </c>
      <c r="G289" s="547"/>
      <c r="H289" s="547"/>
      <c r="I289" s="547"/>
      <c r="J289" s="547"/>
      <c r="K289" s="547"/>
      <c r="L289" s="547"/>
      <c r="M289" s="547"/>
      <c r="N289" s="547"/>
      <c r="O289" s="547"/>
      <c r="P289" s="547"/>
      <c r="Q289" s="989">
        <f t="shared" si="21"/>
        <v>-131562773250</v>
      </c>
      <c r="R289" s="547">
        <v>-51266792675</v>
      </c>
      <c r="S289" s="989">
        <f t="shared" si="23"/>
        <v>-131563</v>
      </c>
      <c r="T289" s="547">
        <f t="shared" si="23"/>
        <v>-51267</v>
      </c>
      <c r="U289" s="566"/>
      <c r="V289" s="567"/>
      <c r="W289" s="989">
        <f t="shared" si="24"/>
        <v>-131562773250</v>
      </c>
      <c r="X289" s="812">
        <f t="shared" si="22"/>
        <v>-131563</v>
      </c>
      <c r="Y289" s="835">
        <f t="shared" si="20"/>
        <v>0</v>
      </c>
    </row>
    <row r="290" spans="1:25" ht="27" customHeight="1">
      <c r="A290" s="531"/>
      <c r="B290" s="531">
        <v>1018</v>
      </c>
      <c r="C290" s="1021">
        <v>10</v>
      </c>
      <c r="D290" s="1027" t="s">
        <v>79</v>
      </c>
      <c r="E290" s="1028" t="s">
        <v>1554</v>
      </c>
      <c r="F290" s="547">
        <v>-46264913854</v>
      </c>
      <c r="G290" s="547">
        <v>-1904588497</v>
      </c>
      <c r="H290" s="547">
        <v>3</v>
      </c>
      <c r="I290" s="547"/>
      <c r="J290" s="547"/>
      <c r="K290" s="547"/>
      <c r="L290" s="547"/>
      <c r="M290" s="547"/>
      <c r="N290" s="547"/>
      <c r="O290" s="547"/>
      <c r="P290" s="547"/>
      <c r="Q290" s="989">
        <f t="shared" si="21"/>
        <v>-48169502348</v>
      </c>
      <c r="R290" s="547">
        <v>-25901173710</v>
      </c>
      <c r="S290" s="989">
        <f t="shared" si="23"/>
        <v>-48170</v>
      </c>
      <c r="T290" s="547">
        <f t="shared" si="23"/>
        <v>-25901</v>
      </c>
      <c r="U290" s="566"/>
      <c r="V290" s="567"/>
      <c r="W290" s="989">
        <f t="shared" si="24"/>
        <v>-48169502348</v>
      </c>
      <c r="X290" s="812">
        <f t="shared" si="22"/>
        <v>-48170</v>
      </c>
      <c r="Y290" s="835">
        <f t="shared" si="20"/>
        <v>0</v>
      </c>
    </row>
    <row r="291" spans="1:25" ht="27" customHeight="1">
      <c r="A291" s="531"/>
      <c r="B291" s="531">
        <v>1018</v>
      </c>
      <c r="C291" s="529">
        <v>10</v>
      </c>
      <c r="D291" s="1027" t="s">
        <v>443</v>
      </c>
      <c r="E291" s="1028" t="s">
        <v>1555</v>
      </c>
      <c r="F291" s="547">
        <v>-70258489292</v>
      </c>
      <c r="G291" s="547">
        <v>3290475960</v>
      </c>
      <c r="H291" s="547">
        <v>6</v>
      </c>
      <c r="I291" s="547"/>
      <c r="J291" s="547"/>
      <c r="K291" s="547"/>
      <c r="L291" s="547"/>
      <c r="M291" s="547"/>
      <c r="N291" s="547"/>
      <c r="O291" s="547"/>
      <c r="P291" s="547"/>
      <c r="Q291" s="989">
        <f t="shared" si="21"/>
        <v>-66968013326</v>
      </c>
      <c r="R291" s="547">
        <v>-47482226549</v>
      </c>
      <c r="S291" s="989">
        <f t="shared" si="23"/>
        <v>-66968</v>
      </c>
      <c r="T291" s="547">
        <f t="shared" si="23"/>
        <v>-47482</v>
      </c>
      <c r="U291" s="566"/>
      <c r="V291" s="567"/>
      <c r="W291" s="989">
        <f t="shared" si="24"/>
        <v>-66968013326</v>
      </c>
      <c r="X291" s="812">
        <f t="shared" si="22"/>
        <v>-66968</v>
      </c>
      <c r="Y291" s="835">
        <f t="shared" si="20"/>
        <v>0</v>
      </c>
    </row>
    <row r="292" spans="1:25" ht="27" customHeight="1">
      <c r="A292" s="531"/>
      <c r="B292" s="531">
        <v>1018</v>
      </c>
      <c r="C292" s="1021">
        <v>10</v>
      </c>
      <c r="D292" s="1027" t="s">
        <v>445</v>
      </c>
      <c r="E292" s="1028" t="s">
        <v>1556</v>
      </c>
      <c r="F292" s="547">
        <v>-15800659041</v>
      </c>
      <c r="G292" s="547">
        <v>1878897195</v>
      </c>
      <c r="H292" s="547"/>
      <c r="I292" s="547"/>
      <c r="J292" s="547"/>
      <c r="K292" s="547"/>
      <c r="L292" s="547"/>
      <c r="M292" s="547"/>
      <c r="N292" s="547"/>
      <c r="O292" s="547"/>
      <c r="P292" s="547"/>
      <c r="Q292" s="989">
        <f t="shared" si="21"/>
        <v>-13921761846</v>
      </c>
      <c r="R292" s="547">
        <v>-1776377053</v>
      </c>
      <c r="S292" s="989">
        <f t="shared" si="23"/>
        <v>-13922</v>
      </c>
      <c r="T292" s="547">
        <f t="shared" si="23"/>
        <v>-1776</v>
      </c>
      <c r="U292" s="566"/>
      <c r="V292" s="567"/>
      <c r="W292" s="989">
        <f t="shared" si="24"/>
        <v>-13921761846</v>
      </c>
      <c r="X292" s="812">
        <f t="shared" si="22"/>
        <v>-13922</v>
      </c>
      <c r="Y292" s="835">
        <f t="shared" si="20"/>
        <v>0</v>
      </c>
    </row>
    <row r="293" spans="1:25" ht="27" customHeight="1">
      <c r="A293" s="531"/>
      <c r="B293" s="531">
        <v>1018</v>
      </c>
      <c r="C293" s="529">
        <v>10</v>
      </c>
      <c r="D293" s="1027" t="s">
        <v>449</v>
      </c>
      <c r="E293" s="1028" t="s">
        <v>1609</v>
      </c>
      <c r="F293" s="547"/>
      <c r="G293" s="547"/>
      <c r="H293" s="547"/>
      <c r="I293" s="547"/>
      <c r="J293" s="547"/>
      <c r="K293" s="547"/>
      <c r="L293" s="547"/>
      <c r="M293" s="547"/>
      <c r="N293" s="547"/>
      <c r="O293" s="547"/>
      <c r="P293" s="547"/>
      <c r="Q293" s="989">
        <f t="shared" si="21"/>
        <v>0</v>
      </c>
      <c r="R293" s="547">
        <v>-102800277</v>
      </c>
      <c r="S293" s="989">
        <f t="shared" si="23"/>
        <v>0</v>
      </c>
      <c r="T293" s="547">
        <f t="shared" si="23"/>
        <v>-103</v>
      </c>
      <c r="U293" s="566"/>
      <c r="V293" s="567"/>
      <c r="W293" s="989">
        <f t="shared" si="24"/>
        <v>0</v>
      </c>
      <c r="X293" s="812">
        <f t="shared" si="22"/>
        <v>0</v>
      </c>
      <c r="Y293" s="835">
        <f t="shared" si="20"/>
        <v>0</v>
      </c>
    </row>
    <row r="294" spans="1:25" ht="27" customHeight="1">
      <c r="A294" s="531"/>
      <c r="B294" s="531">
        <v>1018</v>
      </c>
      <c r="C294" s="529">
        <v>10</v>
      </c>
      <c r="D294" s="1027" t="s">
        <v>450</v>
      </c>
      <c r="E294" s="1028" t="s">
        <v>1011</v>
      </c>
      <c r="F294" s="547"/>
      <c r="G294" s="547"/>
      <c r="H294" s="547"/>
      <c r="I294" s="547"/>
      <c r="J294" s="547"/>
      <c r="K294" s="547"/>
      <c r="L294" s="547"/>
      <c r="M294" s="547"/>
      <c r="N294" s="547"/>
      <c r="O294" s="547"/>
      <c r="P294" s="547"/>
      <c r="Q294" s="989">
        <f t="shared" si="21"/>
        <v>0</v>
      </c>
      <c r="R294" s="547">
        <v>-560437038</v>
      </c>
      <c r="S294" s="989">
        <f>ROUND((Q294/1000000),0)</f>
        <v>0</v>
      </c>
      <c r="T294" s="547">
        <f>ROUND((R294/1000000),0)</f>
        <v>-560</v>
      </c>
      <c r="U294" s="566"/>
      <c r="V294" s="567"/>
      <c r="W294" s="989">
        <f>Q294+V294-U294</f>
        <v>0</v>
      </c>
      <c r="X294" s="812">
        <f t="shared" si="22"/>
        <v>0</v>
      </c>
      <c r="Y294" s="835">
        <f t="shared" si="20"/>
        <v>0</v>
      </c>
    </row>
    <row r="295" spans="1:25" ht="27" customHeight="1">
      <c r="A295" s="531"/>
      <c r="B295" s="531">
        <v>501</v>
      </c>
      <c r="C295" s="529">
        <v>5</v>
      </c>
      <c r="D295" s="1027" t="s">
        <v>452</v>
      </c>
      <c r="E295" s="1028" t="s">
        <v>1610</v>
      </c>
      <c r="F295" s="547"/>
      <c r="G295" s="547"/>
      <c r="H295" s="547"/>
      <c r="I295" s="547"/>
      <c r="J295" s="547"/>
      <c r="K295" s="547"/>
      <c r="L295" s="547"/>
      <c r="M295" s="547"/>
      <c r="N295" s="547"/>
      <c r="O295" s="547"/>
      <c r="P295" s="547"/>
      <c r="Q295" s="989">
        <f t="shared" si="21"/>
        <v>0</v>
      </c>
      <c r="R295" s="547">
        <v>0</v>
      </c>
      <c r="S295" s="989">
        <f t="shared" si="23"/>
        <v>0</v>
      </c>
      <c r="T295" s="547">
        <f t="shared" si="23"/>
        <v>0</v>
      </c>
      <c r="U295" s="566"/>
      <c r="V295" s="567"/>
      <c r="W295" s="989">
        <f t="shared" si="24"/>
        <v>0</v>
      </c>
      <c r="X295" s="812">
        <f t="shared" si="22"/>
        <v>0</v>
      </c>
      <c r="Y295" s="835">
        <f t="shared" si="20"/>
        <v>0</v>
      </c>
    </row>
    <row r="296" spans="1:25" ht="27" customHeight="1">
      <c r="A296" s="531"/>
      <c r="B296" s="531">
        <v>908</v>
      </c>
      <c r="C296" s="529">
        <v>9</v>
      </c>
      <c r="D296" s="1027" t="s">
        <v>454</v>
      </c>
      <c r="E296" s="1028" t="s">
        <v>1012</v>
      </c>
      <c r="F296" s="547"/>
      <c r="G296" s="547"/>
      <c r="H296" s="547"/>
      <c r="I296" s="547"/>
      <c r="J296" s="547"/>
      <c r="K296" s="547"/>
      <c r="L296" s="547"/>
      <c r="M296" s="547"/>
      <c r="N296" s="547"/>
      <c r="O296" s="547"/>
      <c r="P296" s="547"/>
      <c r="Q296" s="989">
        <f t="shared" si="21"/>
        <v>0</v>
      </c>
      <c r="R296" s="547">
        <v>38485800</v>
      </c>
      <c r="S296" s="989">
        <f>ROUND((Q296/1000000),0)</f>
        <v>0</v>
      </c>
      <c r="T296" s="547">
        <f>ROUND((R296/1000000),0)</f>
        <v>38</v>
      </c>
      <c r="U296" s="566"/>
      <c r="V296" s="567"/>
      <c r="W296" s="989">
        <f>Q296+V296-U296</f>
        <v>0</v>
      </c>
      <c r="X296" s="812">
        <f t="shared" si="22"/>
        <v>0</v>
      </c>
      <c r="Y296" s="835">
        <f t="shared" si="20"/>
        <v>0</v>
      </c>
    </row>
    <row r="297" spans="1:25" ht="27" customHeight="1">
      <c r="A297" s="531"/>
      <c r="B297" s="531">
        <v>501</v>
      </c>
      <c r="C297" s="529">
        <v>5</v>
      </c>
      <c r="D297" s="1027" t="s">
        <v>460</v>
      </c>
      <c r="E297" s="1028" t="s">
        <v>757</v>
      </c>
      <c r="F297" s="547">
        <v>2717465101817</v>
      </c>
      <c r="G297" s="547">
        <v>-3924655633</v>
      </c>
      <c r="H297" s="547"/>
      <c r="I297" s="547"/>
      <c r="J297" s="547"/>
      <c r="K297" s="547"/>
      <c r="L297" s="547"/>
      <c r="M297" s="547"/>
      <c r="N297" s="547"/>
      <c r="O297" s="547"/>
      <c r="P297" s="547"/>
      <c r="Q297" s="989">
        <f t="shared" si="21"/>
        <v>2713540446184</v>
      </c>
      <c r="R297" s="547">
        <v>2338131540805</v>
      </c>
      <c r="S297" s="989">
        <f>ROUND((Q297/1000000),0)</f>
        <v>2713540</v>
      </c>
      <c r="T297" s="547">
        <f t="shared" si="23"/>
        <v>2338132</v>
      </c>
      <c r="U297" s="566"/>
      <c r="V297" s="567"/>
      <c r="W297" s="989">
        <f t="shared" si="24"/>
        <v>2713540446184</v>
      </c>
      <c r="X297" s="812">
        <f t="shared" si="22"/>
        <v>2713540</v>
      </c>
      <c r="Y297" s="835">
        <f t="shared" si="20"/>
        <v>0</v>
      </c>
    </row>
    <row r="298" spans="1:25" ht="27" customHeight="1">
      <c r="A298" s="531"/>
      <c r="B298" s="531">
        <v>501</v>
      </c>
      <c r="C298" s="529">
        <v>5</v>
      </c>
      <c r="D298" s="1027" t="s">
        <v>460</v>
      </c>
      <c r="E298" s="1028" t="s">
        <v>758</v>
      </c>
      <c r="F298" s="547"/>
      <c r="G298" s="547"/>
      <c r="H298" s="547"/>
      <c r="I298" s="547"/>
      <c r="J298" s="547"/>
      <c r="K298" s="547"/>
      <c r="L298" s="547"/>
      <c r="M298" s="547"/>
      <c r="N298" s="547"/>
      <c r="O298" s="547"/>
      <c r="P298" s="547"/>
      <c r="Q298" s="989">
        <f t="shared" si="21"/>
        <v>0</v>
      </c>
      <c r="R298" s="547">
        <v>0</v>
      </c>
      <c r="S298" s="989">
        <f t="shared" si="23"/>
        <v>0</v>
      </c>
      <c r="T298" s="547">
        <f t="shared" si="23"/>
        <v>0</v>
      </c>
      <c r="U298" s="566"/>
      <c r="V298" s="567"/>
      <c r="W298" s="989">
        <f t="shared" si="24"/>
        <v>0</v>
      </c>
      <c r="X298" s="812">
        <f t="shared" si="22"/>
        <v>0</v>
      </c>
      <c r="Y298" s="835">
        <f t="shared" si="20"/>
        <v>0</v>
      </c>
    </row>
    <row r="299" spans="1:25" ht="27" customHeight="1">
      <c r="A299" s="531"/>
      <c r="B299" s="531">
        <v>503</v>
      </c>
      <c r="C299" s="529">
        <v>5</v>
      </c>
      <c r="D299" s="1027" t="s">
        <v>460</v>
      </c>
      <c r="E299" s="1028" t="s">
        <v>759</v>
      </c>
      <c r="F299" s="547"/>
      <c r="G299" s="547"/>
      <c r="H299" s="547"/>
      <c r="I299" s="547"/>
      <c r="J299" s="547"/>
      <c r="K299" s="547"/>
      <c r="L299" s="547"/>
      <c r="M299" s="547"/>
      <c r="N299" s="547"/>
      <c r="O299" s="547"/>
      <c r="P299" s="547"/>
      <c r="Q299" s="989">
        <f t="shared" si="21"/>
        <v>0</v>
      </c>
      <c r="R299" s="547">
        <v>0</v>
      </c>
      <c r="S299" s="989">
        <f t="shared" si="23"/>
        <v>0</v>
      </c>
      <c r="T299" s="547">
        <f t="shared" si="23"/>
        <v>0</v>
      </c>
      <c r="U299" s="566"/>
      <c r="V299" s="567"/>
      <c r="W299" s="989">
        <f t="shared" si="24"/>
        <v>0</v>
      </c>
      <c r="X299" s="812">
        <f t="shared" si="22"/>
        <v>0</v>
      </c>
      <c r="Y299" s="835">
        <f t="shared" si="20"/>
        <v>0</v>
      </c>
    </row>
    <row r="300" spans="1:25" ht="27" customHeight="1">
      <c r="A300" s="531"/>
      <c r="B300" s="531">
        <v>908</v>
      </c>
      <c r="C300" s="529">
        <v>9</v>
      </c>
      <c r="D300" s="1027" t="s">
        <v>462</v>
      </c>
      <c r="E300" s="1028" t="s">
        <v>463</v>
      </c>
      <c r="F300" s="547">
        <v>526013368482</v>
      </c>
      <c r="G300" s="547">
        <v>-41746404</v>
      </c>
      <c r="H300" s="547"/>
      <c r="I300" s="547"/>
      <c r="J300" s="547">
        <v>-418580306902</v>
      </c>
      <c r="K300" s="547">
        <v>140842661129</v>
      </c>
      <c r="L300" s="547">
        <f>-34333179-92874000000</f>
        <v>-92908333179</v>
      </c>
      <c r="M300" s="547">
        <v>92874000000</v>
      </c>
      <c r="N300" s="547">
        <f>-139080572622</f>
        <v>-139080572622</v>
      </c>
      <c r="O300" s="547"/>
      <c r="P300" s="547"/>
      <c r="Q300" s="989">
        <f t="shared" si="21"/>
        <v>109119070504</v>
      </c>
      <c r="R300" s="547">
        <v>95405606218</v>
      </c>
      <c r="S300" s="989">
        <f t="shared" si="23"/>
        <v>109119</v>
      </c>
      <c r="T300" s="547">
        <f t="shared" si="23"/>
        <v>95406</v>
      </c>
      <c r="U300" s="566"/>
      <c r="V300" s="567"/>
      <c r="W300" s="989">
        <f t="shared" si="24"/>
        <v>109119070504</v>
      </c>
      <c r="X300" s="812">
        <f t="shared" si="22"/>
        <v>109119</v>
      </c>
      <c r="Y300" s="835">
        <f t="shared" si="20"/>
        <v>0</v>
      </c>
    </row>
    <row r="301" spans="1:25" ht="27" customHeight="1">
      <c r="A301" s="531"/>
      <c r="B301" s="531">
        <v>506</v>
      </c>
      <c r="C301" s="529">
        <v>5</v>
      </c>
      <c r="D301" s="1027" t="s">
        <v>163</v>
      </c>
      <c r="E301" s="1028" t="s">
        <v>1558</v>
      </c>
      <c r="F301" s="547">
        <v>141871774</v>
      </c>
      <c r="G301" s="547">
        <v>73155279</v>
      </c>
      <c r="H301" s="547"/>
      <c r="I301" s="547"/>
      <c r="J301" s="547"/>
      <c r="K301" s="547"/>
      <c r="L301" s="547"/>
      <c r="M301" s="547"/>
      <c r="N301" s="547"/>
      <c r="O301" s="547"/>
      <c r="P301" s="547"/>
      <c r="Q301" s="989">
        <f t="shared" si="21"/>
        <v>215027053</v>
      </c>
      <c r="R301" s="547">
        <v>263279216</v>
      </c>
      <c r="S301" s="989">
        <f t="shared" si="23"/>
        <v>215</v>
      </c>
      <c r="T301" s="547">
        <f t="shared" si="23"/>
        <v>263</v>
      </c>
      <c r="U301" s="566"/>
      <c r="V301" s="567"/>
      <c r="W301" s="989">
        <f t="shared" si="24"/>
        <v>215027053</v>
      </c>
      <c r="X301" s="812">
        <f t="shared" si="22"/>
        <v>215</v>
      </c>
      <c r="Y301" s="835">
        <f t="shared" si="20"/>
        <v>0</v>
      </c>
    </row>
    <row r="302" spans="1:25" ht="27" customHeight="1">
      <c r="A302" s="531"/>
      <c r="B302" s="531">
        <v>506</v>
      </c>
      <c r="C302" s="529">
        <v>5</v>
      </c>
      <c r="D302" s="1027" t="s">
        <v>165</v>
      </c>
      <c r="E302" s="1028" t="s">
        <v>1559</v>
      </c>
      <c r="F302" s="547">
        <v>19108887220</v>
      </c>
      <c r="G302" s="547">
        <v>12381891405</v>
      </c>
      <c r="H302" s="547"/>
      <c r="I302" s="547"/>
      <c r="J302" s="547"/>
      <c r="K302" s="547"/>
      <c r="L302" s="547"/>
      <c r="M302" s="547"/>
      <c r="N302" s="547"/>
      <c r="O302" s="547"/>
      <c r="P302" s="547"/>
      <c r="Q302" s="989">
        <f t="shared" si="21"/>
        <v>31490778625</v>
      </c>
      <c r="R302" s="547">
        <v>11438759484</v>
      </c>
      <c r="S302" s="989">
        <f t="shared" si="23"/>
        <v>31491</v>
      </c>
      <c r="T302" s="547">
        <f t="shared" si="23"/>
        <v>11439</v>
      </c>
      <c r="U302" s="566"/>
      <c r="V302" s="567"/>
      <c r="W302" s="989">
        <f t="shared" si="24"/>
        <v>31490778625</v>
      </c>
      <c r="X302" s="812">
        <f t="shared" si="22"/>
        <v>31491</v>
      </c>
      <c r="Y302" s="835">
        <f t="shared" si="20"/>
        <v>0</v>
      </c>
    </row>
    <row r="303" spans="1:25" ht="27" customHeight="1">
      <c r="A303" s="531"/>
      <c r="B303" s="531">
        <v>506</v>
      </c>
      <c r="C303" s="529">
        <v>5</v>
      </c>
      <c r="D303" s="1027" t="s">
        <v>1557</v>
      </c>
      <c r="E303" s="1028" t="s">
        <v>1560</v>
      </c>
      <c r="F303" s="547">
        <v>695428702</v>
      </c>
      <c r="G303" s="547"/>
      <c r="H303" s="547"/>
      <c r="I303" s="547"/>
      <c r="J303" s="547"/>
      <c r="K303" s="547"/>
      <c r="L303" s="547"/>
      <c r="M303" s="547"/>
      <c r="N303" s="547"/>
      <c r="O303" s="547"/>
      <c r="P303" s="547"/>
      <c r="Q303" s="989">
        <f t="shared" si="21"/>
        <v>695428702</v>
      </c>
      <c r="R303" s="547">
        <v>725129990</v>
      </c>
      <c r="S303" s="989">
        <f t="shared" si="23"/>
        <v>695</v>
      </c>
      <c r="T303" s="547">
        <f t="shared" si="23"/>
        <v>725</v>
      </c>
      <c r="U303" s="566"/>
      <c r="V303" s="567"/>
      <c r="W303" s="989">
        <f t="shared" si="24"/>
        <v>695428702</v>
      </c>
      <c r="X303" s="812">
        <f t="shared" si="22"/>
        <v>695</v>
      </c>
      <c r="Y303" s="835">
        <f t="shared" si="20"/>
        <v>0</v>
      </c>
    </row>
    <row r="304" spans="1:25" ht="27" customHeight="1">
      <c r="A304" s="531"/>
      <c r="B304" s="531">
        <v>1018</v>
      </c>
      <c r="C304" s="529">
        <v>10</v>
      </c>
      <c r="D304" s="1027" t="s">
        <v>395</v>
      </c>
      <c r="E304" s="1028" t="s">
        <v>1611</v>
      </c>
      <c r="F304" s="547">
        <v>-2188306276</v>
      </c>
      <c r="G304" s="547"/>
      <c r="H304" s="547">
        <v>-3082500</v>
      </c>
      <c r="I304" s="547"/>
      <c r="J304" s="547"/>
      <c r="K304" s="547"/>
      <c r="L304" s="547"/>
      <c r="M304" s="547"/>
      <c r="N304" s="547"/>
      <c r="O304" s="547"/>
      <c r="P304" s="547"/>
      <c r="Q304" s="989">
        <f t="shared" si="21"/>
        <v>-2191388776</v>
      </c>
      <c r="R304" s="547">
        <v>-13417500</v>
      </c>
      <c r="S304" s="989">
        <f t="shared" si="23"/>
        <v>-2191</v>
      </c>
      <c r="T304" s="547">
        <f t="shared" si="23"/>
        <v>-13</v>
      </c>
      <c r="U304" s="566"/>
      <c r="V304" s="567"/>
      <c r="W304" s="989">
        <f t="shared" si="24"/>
        <v>-2191388776</v>
      </c>
      <c r="X304" s="812">
        <f t="shared" si="22"/>
        <v>-2191</v>
      </c>
      <c r="Y304" s="835">
        <f t="shared" si="20"/>
        <v>0</v>
      </c>
    </row>
    <row r="305" spans="1:25" ht="27" customHeight="1">
      <c r="A305" s="531"/>
      <c r="B305" s="531">
        <v>506</v>
      </c>
      <c r="C305" s="529">
        <v>5</v>
      </c>
      <c r="D305" s="1027" t="s">
        <v>1006</v>
      </c>
      <c r="E305" s="1028" t="s">
        <v>1007</v>
      </c>
      <c r="F305" s="547">
        <v>60399836</v>
      </c>
      <c r="G305" s="547">
        <v>-60400011</v>
      </c>
      <c r="H305" s="547"/>
      <c r="I305" s="547"/>
      <c r="J305" s="547"/>
      <c r="K305" s="547"/>
      <c r="L305" s="547"/>
      <c r="M305" s="547"/>
      <c r="N305" s="547"/>
      <c r="O305" s="547"/>
      <c r="P305" s="547"/>
      <c r="Q305" s="989">
        <f t="shared" si="21"/>
        <v>-175</v>
      </c>
      <c r="R305" s="547">
        <v>60399902</v>
      </c>
      <c r="S305" s="989">
        <f t="shared" si="23"/>
        <v>0</v>
      </c>
      <c r="T305" s="547">
        <f t="shared" si="23"/>
        <v>60</v>
      </c>
      <c r="U305" s="566"/>
      <c r="V305" s="567"/>
      <c r="W305" s="989">
        <f t="shared" si="24"/>
        <v>-175</v>
      </c>
      <c r="X305" s="812">
        <f t="shared" si="22"/>
        <v>0</v>
      </c>
      <c r="Y305" s="835">
        <f t="shared" si="20"/>
        <v>0</v>
      </c>
    </row>
    <row r="306" spans="1:25" ht="27" customHeight="1">
      <c r="A306" s="531"/>
      <c r="B306" s="531">
        <v>1018</v>
      </c>
      <c r="C306" s="529">
        <v>10</v>
      </c>
      <c r="D306" s="1027" t="s">
        <v>167</v>
      </c>
      <c r="E306" s="1028" t="s">
        <v>1026</v>
      </c>
      <c r="F306" s="547">
        <v>-125543265</v>
      </c>
      <c r="G306" s="547"/>
      <c r="H306" s="547"/>
      <c r="I306" s="547"/>
      <c r="J306" s="547"/>
      <c r="K306" s="547"/>
      <c r="L306" s="547"/>
      <c r="M306" s="547"/>
      <c r="N306" s="547"/>
      <c r="O306" s="547"/>
      <c r="P306" s="547"/>
      <c r="Q306" s="989">
        <f t="shared" si="21"/>
        <v>-125543265</v>
      </c>
      <c r="R306" s="547">
        <v>-125543265</v>
      </c>
      <c r="S306" s="989">
        <f t="shared" si="23"/>
        <v>-126</v>
      </c>
      <c r="T306" s="547">
        <f t="shared" si="23"/>
        <v>-126</v>
      </c>
      <c r="U306" s="566"/>
      <c r="V306" s="567"/>
      <c r="W306" s="989">
        <f t="shared" si="24"/>
        <v>-125543265</v>
      </c>
      <c r="X306" s="812">
        <f t="shared" si="22"/>
        <v>-126</v>
      </c>
      <c r="Y306" s="835">
        <f t="shared" si="20"/>
        <v>0</v>
      </c>
    </row>
    <row r="307" spans="1:25" ht="27" customHeight="1">
      <c r="A307" s="531"/>
      <c r="B307" s="531">
        <v>506</v>
      </c>
      <c r="C307" s="529">
        <v>5</v>
      </c>
      <c r="D307" s="1027" t="s">
        <v>1008</v>
      </c>
      <c r="E307" s="1028" t="s">
        <v>1007</v>
      </c>
      <c r="F307" s="547">
        <v>3644964817</v>
      </c>
      <c r="G307" s="547"/>
      <c r="H307" s="547"/>
      <c r="I307" s="547"/>
      <c r="J307" s="547"/>
      <c r="K307" s="547"/>
      <c r="L307" s="547"/>
      <c r="M307" s="547"/>
      <c r="N307" s="547"/>
      <c r="O307" s="547"/>
      <c r="P307" s="547"/>
      <c r="Q307" s="989">
        <f t="shared" si="21"/>
        <v>3644964817</v>
      </c>
      <c r="R307" s="547">
        <v>545876737</v>
      </c>
      <c r="S307" s="989">
        <f t="shared" si="23"/>
        <v>3645</v>
      </c>
      <c r="T307" s="547">
        <f t="shared" si="23"/>
        <v>546</v>
      </c>
      <c r="U307" s="566"/>
      <c r="V307" s="567"/>
      <c r="W307" s="989">
        <f t="shared" si="24"/>
        <v>3644964817</v>
      </c>
      <c r="X307" s="812">
        <f t="shared" si="22"/>
        <v>3645</v>
      </c>
      <c r="Y307" s="835">
        <f t="shared" si="20"/>
        <v>0</v>
      </c>
    </row>
    <row r="308" spans="1:25" ht="27" customHeight="1">
      <c r="A308" s="531"/>
      <c r="B308" s="531">
        <v>506</v>
      </c>
      <c r="C308" s="529">
        <v>5</v>
      </c>
      <c r="D308" s="1027" t="s">
        <v>1023</v>
      </c>
      <c r="E308" s="1028" t="s">
        <v>1024</v>
      </c>
      <c r="F308" s="547">
        <v>2000</v>
      </c>
      <c r="G308" s="547"/>
      <c r="H308" s="547"/>
      <c r="I308" s="547"/>
      <c r="J308" s="547"/>
      <c r="K308" s="547"/>
      <c r="L308" s="547"/>
      <c r="M308" s="547"/>
      <c r="N308" s="547"/>
      <c r="O308" s="547"/>
      <c r="P308" s="547"/>
      <c r="Q308" s="989">
        <f t="shared" si="21"/>
        <v>2000</v>
      </c>
      <c r="R308" s="547">
        <v>2000</v>
      </c>
      <c r="S308" s="989">
        <f t="shared" si="23"/>
        <v>0</v>
      </c>
      <c r="T308" s="547">
        <f t="shared" si="23"/>
        <v>0</v>
      </c>
      <c r="U308" s="566"/>
      <c r="V308" s="567"/>
      <c r="W308" s="989">
        <f t="shared" si="24"/>
        <v>2000</v>
      </c>
      <c r="X308" s="812">
        <f t="shared" si="22"/>
        <v>0</v>
      </c>
      <c r="Y308" s="835">
        <f t="shared" si="20"/>
        <v>0</v>
      </c>
    </row>
    <row r="309" spans="1:25" ht="27" customHeight="1">
      <c r="A309" s="531"/>
      <c r="B309" s="531">
        <v>506</v>
      </c>
      <c r="C309" s="529">
        <v>5</v>
      </c>
      <c r="D309" s="1027" t="s">
        <v>282</v>
      </c>
      <c r="E309" s="1028" t="s">
        <v>283</v>
      </c>
      <c r="F309" s="547">
        <v>320955123</v>
      </c>
      <c r="G309" s="547"/>
      <c r="H309" s="547"/>
      <c r="I309" s="547"/>
      <c r="J309" s="547"/>
      <c r="K309" s="547"/>
      <c r="L309" s="547"/>
      <c r="M309" s="547"/>
      <c r="N309" s="547"/>
      <c r="O309" s="547"/>
      <c r="P309" s="547"/>
      <c r="Q309" s="989">
        <f t="shared" si="21"/>
        <v>320955123</v>
      </c>
      <c r="R309" s="547">
        <v>861775263</v>
      </c>
      <c r="S309" s="989">
        <f t="shared" si="23"/>
        <v>321</v>
      </c>
      <c r="T309" s="547">
        <f t="shared" si="23"/>
        <v>862</v>
      </c>
      <c r="U309" s="566"/>
      <c r="V309" s="567"/>
      <c r="W309" s="989">
        <f t="shared" si="24"/>
        <v>320955123</v>
      </c>
      <c r="X309" s="812">
        <f t="shared" si="22"/>
        <v>321</v>
      </c>
      <c r="Y309" s="835">
        <f t="shared" si="20"/>
        <v>0</v>
      </c>
    </row>
    <row r="310" spans="1:25" ht="27" customHeight="1">
      <c r="A310" s="531"/>
      <c r="B310" s="531">
        <v>506</v>
      </c>
      <c r="C310" s="529">
        <v>5</v>
      </c>
      <c r="D310" s="1027" t="s">
        <v>76</v>
      </c>
      <c r="E310" s="1028" t="s">
        <v>77</v>
      </c>
      <c r="F310" s="547">
        <v>916433</v>
      </c>
      <c r="G310" s="547"/>
      <c r="H310" s="547"/>
      <c r="I310" s="547"/>
      <c r="J310" s="547"/>
      <c r="K310" s="547"/>
      <c r="L310" s="547"/>
      <c r="M310" s="547"/>
      <c r="N310" s="547"/>
      <c r="O310" s="547"/>
      <c r="P310" s="547"/>
      <c r="Q310" s="989">
        <f t="shared" si="21"/>
        <v>916433</v>
      </c>
      <c r="R310" s="547">
        <v>130232068</v>
      </c>
      <c r="S310" s="989">
        <f t="shared" si="23"/>
        <v>1</v>
      </c>
      <c r="T310" s="547">
        <f t="shared" si="23"/>
        <v>130</v>
      </c>
      <c r="U310" s="566"/>
      <c r="V310" s="567"/>
      <c r="W310" s="989">
        <f t="shared" si="24"/>
        <v>916433</v>
      </c>
      <c r="X310" s="812">
        <f t="shared" si="22"/>
        <v>1</v>
      </c>
      <c r="Y310" s="835">
        <f t="shared" si="20"/>
        <v>0</v>
      </c>
    </row>
    <row r="311" spans="1:25" ht="27" customHeight="1">
      <c r="A311" s="531"/>
      <c r="B311" s="531">
        <v>506</v>
      </c>
      <c r="C311" s="529">
        <v>5</v>
      </c>
      <c r="D311" s="1027" t="s">
        <v>1688</v>
      </c>
      <c r="E311" s="1028" t="s">
        <v>77</v>
      </c>
      <c r="F311" s="547">
        <v>19320</v>
      </c>
      <c r="G311" s="547"/>
      <c r="H311" s="547"/>
      <c r="I311" s="547"/>
      <c r="J311" s="547"/>
      <c r="K311" s="547"/>
      <c r="L311" s="547"/>
      <c r="M311" s="547"/>
      <c r="N311" s="547"/>
      <c r="O311" s="547"/>
      <c r="P311" s="547"/>
      <c r="Q311" s="989">
        <f>SUM(F311:P311)</f>
        <v>19320</v>
      </c>
      <c r="R311" s="547">
        <v>0</v>
      </c>
      <c r="S311" s="989">
        <f t="shared" si="23"/>
        <v>0</v>
      </c>
      <c r="T311" s="547">
        <f t="shared" si="23"/>
        <v>0</v>
      </c>
      <c r="U311" s="566"/>
      <c r="V311" s="567"/>
      <c r="W311" s="989">
        <f t="shared" si="24"/>
        <v>19320</v>
      </c>
      <c r="X311" s="812">
        <f t="shared" si="22"/>
        <v>0</v>
      </c>
      <c r="Y311" s="835">
        <f t="shared" si="20"/>
        <v>0</v>
      </c>
    </row>
    <row r="312" spans="1:25" ht="27" customHeight="1">
      <c r="A312" s="531"/>
      <c r="B312" s="531">
        <v>1018</v>
      </c>
      <c r="C312" s="529">
        <v>10</v>
      </c>
      <c r="D312" s="1027" t="s">
        <v>464</v>
      </c>
      <c r="E312" s="1028" t="s">
        <v>311</v>
      </c>
      <c r="F312" s="547">
        <v>-703496819</v>
      </c>
      <c r="G312" s="547">
        <v>-447</v>
      </c>
      <c r="H312" s="547"/>
      <c r="I312" s="547"/>
      <c r="J312" s="547"/>
      <c r="K312" s="547"/>
      <c r="L312" s="547"/>
      <c r="M312" s="547"/>
      <c r="N312" s="547"/>
      <c r="O312" s="547"/>
      <c r="P312" s="547"/>
      <c r="Q312" s="989">
        <f t="shared" si="21"/>
        <v>-703497266</v>
      </c>
      <c r="R312" s="547">
        <v>-716725263</v>
      </c>
      <c r="S312" s="989">
        <f t="shared" si="23"/>
        <v>-703</v>
      </c>
      <c r="T312" s="547">
        <f t="shared" si="23"/>
        <v>-717</v>
      </c>
      <c r="U312" s="566"/>
      <c r="V312" s="567"/>
      <c r="W312" s="989">
        <f t="shared" si="24"/>
        <v>-703497266</v>
      </c>
      <c r="X312" s="812">
        <f t="shared" si="22"/>
        <v>-703</v>
      </c>
      <c r="Y312" s="835">
        <f t="shared" si="20"/>
        <v>0</v>
      </c>
    </row>
    <row r="313" spans="1:25" ht="27" customHeight="1">
      <c r="A313" s="531"/>
      <c r="B313" s="531">
        <v>506</v>
      </c>
      <c r="C313" s="529">
        <v>5</v>
      </c>
      <c r="D313" s="1027" t="s">
        <v>1561</v>
      </c>
      <c r="E313" s="1028" t="s">
        <v>1562</v>
      </c>
      <c r="F313" s="547">
        <v>109610776</v>
      </c>
      <c r="G313" s="547"/>
      <c r="H313" s="547"/>
      <c r="I313" s="547"/>
      <c r="J313" s="547"/>
      <c r="K313" s="547"/>
      <c r="L313" s="547"/>
      <c r="M313" s="547"/>
      <c r="N313" s="547"/>
      <c r="O313" s="547"/>
      <c r="P313" s="547"/>
      <c r="Q313" s="989">
        <f t="shared" si="21"/>
        <v>109610776</v>
      </c>
      <c r="R313" s="547">
        <v>68413817</v>
      </c>
      <c r="S313" s="989">
        <f t="shared" si="23"/>
        <v>110</v>
      </c>
      <c r="T313" s="547">
        <f t="shared" si="23"/>
        <v>68</v>
      </c>
      <c r="U313" s="566"/>
      <c r="V313" s="567"/>
      <c r="W313" s="989">
        <f t="shared" si="24"/>
        <v>109610776</v>
      </c>
      <c r="X313" s="812">
        <f t="shared" si="22"/>
        <v>110</v>
      </c>
      <c r="Y313" s="835">
        <f t="shared" si="20"/>
        <v>0</v>
      </c>
    </row>
    <row r="314" spans="1:25" ht="27" customHeight="1">
      <c r="A314" s="531"/>
      <c r="B314" s="531">
        <v>506</v>
      </c>
      <c r="C314" s="529">
        <v>5</v>
      </c>
      <c r="D314" s="1027" t="s">
        <v>594</v>
      </c>
      <c r="E314" s="1028" t="s">
        <v>314</v>
      </c>
      <c r="F314" s="547"/>
      <c r="G314" s="547"/>
      <c r="H314" s="547"/>
      <c r="I314" s="547"/>
      <c r="J314" s="547"/>
      <c r="K314" s="547"/>
      <c r="L314" s="547"/>
      <c r="M314" s="547"/>
      <c r="N314" s="547"/>
      <c r="O314" s="547"/>
      <c r="P314" s="547"/>
      <c r="Q314" s="989">
        <f t="shared" si="21"/>
        <v>0</v>
      </c>
      <c r="R314" s="547">
        <v>302233</v>
      </c>
      <c r="S314" s="989">
        <f t="shared" si="23"/>
        <v>0</v>
      </c>
      <c r="T314" s="547">
        <f t="shared" si="23"/>
        <v>0</v>
      </c>
      <c r="U314" s="566"/>
      <c r="V314" s="567"/>
      <c r="W314" s="989">
        <f t="shared" si="24"/>
        <v>0</v>
      </c>
      <c r="X314" s="812">
        <f t="shared" si="22"/>
        <v>0</v>
      </c>
      <c r="Y314" s="835">
        <f t="shared" si="20"/>
        <v>0</v>
      </c>
    </row>
    <row r="315" spans="1:25" ht="27" customHeight="1">
      <c r="A315" s="531"/>
      <c r="B315" s="531">
        <v>906</v>
      </c>
      <c r="C315" s="529">
        <v>9</v>
      </c>
      <c r="D315" s="1027" t="s">
        <v>1563</v>
      </c>
      <c r="E315" s="1028" t="s">
        <v>1564</v>
      </c>
      <c r="F315" s="547"/>
      <c r="G315" s="547"/>
      <c r="H315" s="547"/>
      <c r="I315" s="547"/>
      <c r="J315" s="547"/>
      <c r="K315" s="547"/>
      <c r="L315" s="547"/>
      <c r="M315" s="547"/>
      <c r="N315" s="547"/>
      <c r="O315" s="547"/>
      <c r="P315" s="547"/>
      <c r="Q315" s="989">
        <f t="shared" si="21"/>
        <v>0</v>
      </c>
      <c r="R315" s="547">
        <v>0</v>
      </c>
      <c r="S315" s="989">
        <f t="shared" si="23"/>
        <v>0</v>
      </c>
      <c r="T315" s="547">
        <f t="shared" si="23"/>
        <v>0</v>
      </c>
      <c r="U315" s="566"/>
      <c r="V315" s="567"/>
      <c r="W315" s="989">
        <f t="shared" si="24"/>
        <v>0</v>
      </c>
      <c r="X315" s="812">
        <f t="shared" si="22"/>
        <v>0</v>
      </c>
      <c r="Y315" s="835">
        <f t="shared" si="20"/>
        <v>0</v>
      </c>
    </row>
    <row r="316" spans="1:25" ht="27" customHeight="1">
      <c r="A316" s="531"/>
      <c r="B316" s="531"/>
      <c r="C316" s="529">
        <v>5</v>
      </c>
      <c r="D316" s="1027" t="s">
        <v>595</v>
      </c>
      <c r="E316" s="1028" t="s">
        <v>315</v>
      </c>
      <c r="F316" s="547"/>
      <c r="G316" s="547"/>
      <c r="H316" s="547"/>
      <c r="I316" s="547"/>
      <c r="J316" s="547"/>
      <c r="K316" s="547"/>
      <c r="L316" s="547"/>
      <c r="M316" s="547"/>
      <c r="N316" s="547"/>
      <c r="O316" s="547"/>
      <c r="P316" s="547"/>
      <c r="Q316" s="989">
        <f t="shared" si="21"/>
        <v>0</v>
      </c>
      <c r="R316" s="547">
        <v>0</v>
      </c>
      <c r="S316" s="989">
        <f t="shared" si="23"/>
        <v>0</v>
      </c>
      <c r="T316" s="547">
        <f t="shared" si="23"/>
        <v>0</v>
      </c>
      <c r="U316" s="566"/>
      <c r="V316" s="567"/>
      <c r="W316" s="989">
        <f t="shared" si="24"/>
        <v>0</v>
      </c>
      <c r="X316" s="812">
        <f t="shared" si="22"/>
        <v>0</v>
      </c>
      <c r="Y316" s="835">
        <f t="shared" si="20"/>
        <v>0</v>
      </c>
    </row>
    <row r="317" spans="1:25" ht="27" customHeight="1">
      <c r="A317" s="531"/>
      <c r="B317" s="531">
        <v>506</v>
      </c>
      <c r="C317" s="529">
        <v>5</v>
      </c>
      <c r="D317" s="1027" t="s">
        <v>333</v>
      </c>
      <c r="E317" s="1028" t="s">
        <v>334</v>
      </c>
      <c r="F317" s="547">
        <v>-410393</v>
      </c>
      <c r="G317" s="547"/>
      <c r="H317" s="547"/>
      <c r="I317" s="547"/>
      <c r="J317" s="547"/>
      <c r="K317" s="547"/>
      <c r="L317" s="547"/>
      <c r="M317" s="547"/>
      <c r="N317" s="547"/>
      <c r="O317" s="547"/>
      <c r="P317" s="547"/>
      <c r="Q317" s="989">
        <f t="shared" si="21"/>
        <v>-410393</v>
      </c>
      <c r="R317" s="547">
        <v>0</v>
      </c>
      <c r="S317" s="989">
        <f t="shared" si="23"/>
        <v>0</v>
      </c>
      <c r="T317" s="547">
        <f t="shared" si="23"/>
        <v>0</v>
      </c>
      <c r="U317" s="566"/>
      <c r="V317" s="567"/>
      <c r="W317" s="989">
        <f t="shared" si="24"/>
        <v>-410393</v>
      </c>
      <c r="X317" s="812">
        <f t="shared" si="22"/>
        <v>0</v>
      </c>
      <c r="Y317" s="835">
        <f t="shared" si="20"/>
        <v>0</v>
      </c>
    </row>
    <row r="318" spans="1:25" ht="27" customHeight="1">
      <c r="A318" s="531"/>
      <c r="B318" s="531">
        <v>501</v>
      </c>
      <c r="C318" s="529">
        <v>5</v>
      </c>
      <c r="D318" s="1027" t="s">
        <v>901</v>
      </c>
      <c r="E318" s="1028" t="s">
        <v>1029</v>
      </c>
      <c r="F318" s="547">
        <v>-238835576</v>
      </c>
      <c r="G318" s="547">
        <v>60400000</v>
      </c>
      <c r="H318" s="547"/>
      <c r="I318" s="547"/>
      <c r="J318" s="547"/>
      <c r="K318" s="547"/>
      <c r="L318" s="547"/>
      <c r="M318" s="547"/>
      <c r="N318" s="547"/>
      <c r="O318" s="547"/>
      <c r="P318" s="547"/>
      <c r="Q318" s="989">
        <f t="shared" si="21"/>
        <v>-178435576</v>
      </c>
      <c r="R318" s="547">
        <v>0</v>
      </c>
      <c r="S318" s="989">
        <f t="shared" si="23"/>
        <v>-178</v>
      </c>
      <c r="T318" s="547">
        <f t="shared" si="23"/>
        <v>0</v>
      </c>
      <c r="U318" s="566"/>
      <c r="V318" s="567"/>
      <c r="W318" s="989">
        <f t="shared" si="24"/>
        <v>-178435576</v>
      </c>
      <c r="X318" s="812">
        <f t="shared" si="22"/>
        <v>-178</v>
      </c>
      <c r="Y318" s="835">
        <f t="shared" si="20"/>
        <v>0</v>
      </c>
    </row>
    <row r="319" spans="1:25" ht="27" customHeight="1">
      <c r="A319" s="531"/>
      <c r="B319" s="531"/>
      <c r="C319" s="529">
        <v>9</v>
      </c>
      <c r="D319" s="1027" t="s">
        <v>902</v>
      </c>
      <c r="E319" s="1028" t="s">
        <v>911</v>
      </c>
      <c r="F319" s="547"/>
      <c r="G319" s="547"/>
      <c r="H319" s="547"/>
      <c r="I319" s="547"/>
      <c r="J319" s="547"/>
      <c r="K319" s="547"/>
      <c r="L319" s="547"/>
      <c r="M319" s="547"/>
      <c r="N319" s="547"/>
      <c r="O319" s="547"/>
      <c r="P319" s="547"/>
      <c r="Q319" s="989">
        <f t="shared" si="21"/>
        <v>0</v>
      </c>
      <c r="R319" s="547">
        <v>0</v>
      </c>
      <c r="S319" s="989">
        <f t="shared" si="23"/>
        <v>0</v>
      </c>
      <c r="T319" s="547">
        <f t="shared" si="23"/>
        <v>0</v>
      </c>
      <c r="U319" s="566"/>
      <c r="V319" s="567"/>
      <c r="W319" s="989">
        <f t="shared" si="24"/>
        <v>0</v>
      </c>
      <c r="X319" s="812">
        <f t="shared" si="22"/>
        <v>0</v>
      </c>
      <c r="Y319" s="835">
        <f t="shared" si="20"/>
        <v>0</v>
      </c>
    </row>
    <row r="320" spans="1:25" ht="27" customHeight="1">
      <c r="A320" s="531"/>
      <c r="B320" s="531">
        <v>506</v>
      </c>
      <c r="C320" s="529">
        <v>5</v>
      </c>
      <c r="D320" s="1027" t="s">
        <v>596</v>
      </c>
      <c r="E320" s="1028" t="s">
        <v>761</v>
      </c>
      <c r="F320" s="547">
        <v>32470269003</v>
      </c>
      <c r="G320" s="547"/>
      <c r="H320" s="547">
        <v>1025130310</v>
      </c>
      <c r="I320" s="547"/>
      <c r="J320" s="547">
        <v>-15297206</v>
      </c>
      <c r="K320" s="547"/>
      <c r="L320" s="547"/>
      <c r="M320" s="547"/>
      <c r="N320" s="547"/>
      <c r="O320" s="547"/>
      <c r="P320" s="547"/>
      <c r="Q320" s="989">
        <f t="shared" si="21"/>
        <v>33480102107</v>
      </c>
      <c r="R320" s="547">
        <v>13336873947</v>
      </c>
      <c r="S320" s="989">
        <f t="shared" si="23"/>
        <v>33480</v>
      </c>
      <c r="T320" s="547">
        <f t="shared" si="23"/>
        <v>13337</v>
      </c>
      <c r="U320" s="566"/>
      <c r="V320" s="567"/>
      <c r="W320" s="989">
        <f t="shared" si="24"/>
        <v>33480102107</v>
      </c>
      <c r="X320" s="812">
        <f t="shared" si="22"/>
        <v>33480</v>
      </c>
      <c r="Y320" s="835">
        <f t="shared" si="20"/>
        <v>0</v>
      </c>
    </row>
    <row r="321" spans="1:25" ht="27" customHeight="1">
      <c r="A321" s="531">
        <v>3214</v>
      </c>
      <c r="B321" s="531">
        <v>907</v>
      </c>
      <c r="C321" s="529">
        <v>9</v>
      </c>
      <c r="D321" s="1027" t="s">
        <v>596</v>
      </c>
      <c r="E321" s="1028" t="s">
        <v>1436</v>
      </c>
      <c r="F321" s="547"/>
      <c r="G321" s="547"/>
      <c r="H321" s="547"/>
      <c r="I321" s="547"/>
      <c r="J321" s="547"/>
      <c r="K321" s="547"/>
      <c r="L321" s="547"/>
      <c r="M321" s="547"/>
      <c r="N321" s="547"/>
      <c r="O321" s="547"/>
      <c r="P321" s="547"/>
      <c r="Q321" s="989">
        <f t="shared" si="21"/>
        <v>0</v>
      </c>
      <c r="R321" s="547">
        <v>0</v>
      </c>
      <c r="S321" s="989">
        <f t="shared" si="23"/>
        <v>0</v>
      </c>
      <c r="T321" s="547">
        <f t="shared" si="23"/>
        <v>0</v>
      </c>
      <c r="U321" s="566"/>
      <c r="V321" s="567"/>
      <c r="W321" s="989">
        <f t="shared" si="24"/>
        <v>0</v>
      </c>
      <c r="X321" s="812">
        <f t="shared" si="22"/>
        <v>0</v>
      </c>
      <c r="Y321" s="835">
        <f t="shared" si="20"/>
        <v>0</v>
      </c>
    </row>
    <row r="322" spans="1:25" ht="27" customHeight="1">
      <c r="A322" s="531"/>
      <c r="B322" s="531">
        <v>403</v>
      </c>
      <c r="C322" s="529">
        <v>4</v>
      </c>
      <c r="D322" s="1027" t="s">
        <v>1376</v>
      </c>
      <c r="E322" s="1028" t="s">
        <v>739</v>
      </c>
      <c r="F322" s="547"/>
      <c r="G322" s="547"/>
      <c r="H322" s="547"/>
      <c r="I322" s="547"/>
      <c r="J322" s="547"/>
      <c r="K322" s="547"/>
      <c r="L322" s="547"/>
      <c r="M322" s="547"/>
      <c r="N322" s="547"/>
      <c r="O322" s="547"/>
      <c r="P322" s="547"/>
      <c r="Q322" s="989">
        <f t="shared" si="21"/>
        <v>0</v>
      </c>
      <c r="R322" s="547">
        <v>0</v>
      </c>
      <c r="S322" s="989">
        <f t="shared" si="23"/>
        <v>0</v>
      </c>
      <c r="T322" s="547">
        <f t="shared" si="23"/>
        <v>0</v>
      </c>
      <c r="U322" s="566"/>
      <c r="V322" s="567"/>
      <c r="W322" s="989">
        <f t="shared" si="24"/>
        <v>0</v>
      </c>
      <c r="X322" s="812">
        <f t="shared" si="22"/>
        <v>0</v>
      </c>
      <c r="Y322" s="835">
        <f t="shared" si="20"/>
        <v>0</v>
      </c>
    </row>
    <row r="323" spans="1:25" ht="27" customHeight="1">
      <c r="A323" s="531"/>
      <c r="B323" s="531">
        <v>607</v>
      </c>
      <c r="C323" s="529">
        <v>6</v>
      </c>
      <c r="D323" s="1027" t="s">
        <v>1375</v>
      </c>
      <c r="E323" s="1028" t="s">
        <v>1382</v>
      </c>
      <c r="F323" s="547">
        <v>19568661550</v>
      </c>
      <c r="G323" s="547"/>
      <c r="H323" s="547"/>
      <c r="I323" s="547"/>
      <c r="J323" s="547">
        <v>1329038616</v>
      </c>
      <c r="K323" s="547">
        <v>7653430247</v>
      </c>
      <c r="L323" s="547"/>
      <c r="M323" s="547"/>
      <c r="N323" s="547"/>
      <c r="O323" s="547"/>
      <c r="P323" s="547"/>
      <c r="Q323" s="989">
        <f t="shared" si="21"/>
        <v>28551130413</v>
      </c>
      <c r="R323" s="547">
        <v>4392074898</v>
      </c>
      <c r="S323" s="989">
        <f t="shared" si="23"/>
        <v>28551</v>
      </c>
      <c r="T323" s="547">
        <f t="shared" si="23"/>
        <v>4392</v>
      </c>
      <c r="U323" s="566"/>
      <c r="V323" s="567"/>
      <c r="W323" s="989">
        <f t="shared" si="24"/>
        <v>28551130413</v>
      </c>
      <c r="X323" s="812">
        <f t="shared" si="22"/>
        <v>28551</v>
      </c>
      <c r="Y323" s="835">
        <f t="shared" si="20"/>
        <v>0</v>
      </c>
    </row>
    <row r="324" spans="1:25" ht="27" customHeight="1">
      <c r="A324" s="531"/>
      <c r="B324" s="531">
        <v>607</v>
      </c>
      <c r="C324" s="529">
        <v>6</v>
      </c>
      <c r="D324" s="1027" t="s">
        <v>319</v>
      </c>
      <c r="E324" s="1028" t="s">
        <v>1034</v>
      </c>
      <c r="F324" s="547"/>
      <c r="G324" s="547"/>
      <c r="H324" s="547"/>
      <c r="I324" s="547"/>
      <c r="J324" s="547"/>
      <c r="K324" s="547"/>
      <c r="L324" s="547"/>
      <c r="M324" s="547"/>
      <c r="N324" s="547"/>
      <c r="O324" s="547"/>
      <c r="P324" s="547"/>
      <c r="Q324" s="989">
        <f t="shared" si="21"/>
        <v>0</v>
      </c>
      <c r="R324" s="547">
        <v>0</v>
      </c>
      <c r="S324" s="989">
        <f t="shared" si="23"/>
        <v>0</v>
      </c>
      <c r="T324" s="547">
        <f t="shared" si="23"/>
        <v>0</v>
      </c>
      <c r="U324" s="566"/>
      <c r="V324" s="567"/>
      <c r="W324" s="989">
        <f t="shared" si="24"/>
        <v>0</v>
      </c>
      <c r="X324" s="812">
        <f t="shared" si="22"/>
        <v>0</v>
      </c>
      <c r="Y324" s="835">
        <f t="shared" ref="Y324:Y387" si="25">S324-X324</f>
        <v>0</v>
      </c>
    </row>
    <row r="325" spans="1:25" ht="27" customHeight="1">
      <c r="A325" s="531"/>
      <c r="B325" s="531">
        <v>1018</v>
      </c>
      <c r="C325" s="529">
        <v>10</v>
      </c>
      <c r="D325" s="1027" t="s">
        <v>321</v>
      </c>
      <c r="E325" s="1028" t="s">
        <v>1615</v>
      </c>
      <c r="F325" s="547">
        <v>-20867948725</v>
      </c>
      <c r="G325" s="547">
        <v>380500000</v>
      </c>
      <c r="H325" s="547">
        <v>6699361883</v>
      </c>
      <c r="I325" s="547">
        <v>-3611949600</v>
      </c>
      <c r="J325" s="547"/>
      <c r="K325" s="547">
        <v>-8982468863</v>
      </c>
      <c r="L325" s="547"/>
      <c r="M325" s="547"/>
      <c r="N325" s="547"/>
      <c r="O325" s="547"/>
      <c r="P325" s="547"/>
      <c r="Q325" s="989">
        <f t="shared" si="21"/>
        <v>-26382505305</v>
      </c>
      <c r="R325" s="547">
        <v>3613440000</v>
      </c>
      <c r="S325" s="989">
        <f t="shared" si="23"/>
        <v>-26383</v>
      </c>
      <c r="T325" s="547">
        <f t="shared" si="23"/>
        <v>3613</v>
      </c>
      <c r="U325" s="566"/>
      <c r="V325" s="567"/>
      <c r="W325" s="989">
        <f t="shared" si="24"/>
        <v>-26382505305</v>
      </c>
      <c r="X325" s="812">
        <f t="shared" si="22"/>
        <v>-26383</v>
      </c>
      <c r="Y325" s="835">
        <f t="shared" si="25"/>
        <v>0</v>
      </c>
    </row>
    <row r="326" spans="1:25" ht="27" customHeight="1">
      <c r="A326" s="531"/>
      <c r="B326" s="531">
        <v>403</v>
      </c>
      <c r="C326" s="529">
        <v>4</v>
      </c>
      <c r="D326" s="1027" t="s">
        <v>323</v>
      </c>
      <c r="E326" s="1028" t="s">
        <v>1035</v>
      </c>
      <c r="F326" s="547"/>
      <c r="G326" s="547"/>
      <c r="H326" s="547"/>
      <c r="I326" s="547"/>
      <c r="J326" s="547"/>
      <c r="K326" s="547"/>
      <c r="L326" s="547"/>
      <c r="M326" s="547"/>
      <c r="N326" s="547"/>
      <c r="O326" s="547"/>
      <c r="P326" s="547"/>
      <c r="Q326" s="989">
        <f t="shared" si="21"/>
        <v>0</v>
      </c>
      <c r="R326" s="547">
        <v>0</v>
      </c>
      <c r="S326" s="989">
        <f t="shared" si="23"/>
        <v>0</v>
      </c>
      <c r="T326" s="547">
        <f t="shared" si="23"/>
        <v>0</v>
      </c>
      <c r="U326" s="566"/>
      <c r="V326" s="567"/>
      <c r="W326" s="989">
        <f t="shared" si="24"/>
        <v>0</v>
      </c>
      <c r="X326" s="812">
        <f t="shared" si="22"/>
        <v>0</v>
      </c>
      <c r="Y326" s="835">
        <f t="shared" si="25"/>
        <v>0</v>
      </c>
    </row>
    <row r="327" spans="1:25" ht="27" customHeight="1">
      <c r="A327" s="531">
        <v>11</v>
      </c>
      <c r="B327" s="531">
        <v>907</v>
      </c>
      <c r="C327" s="529">
        <v>9</v>
      </c>
      <c r="D327" s="1027" t="s">
        <v>323</v>
      </c>
      <c r="E327" s="1028" t="s">
        <v>1036</v>
      </c>
      <c r="F327" s="547">
        <v>82319205560</v>
      </c>
      <c r="G327" s="547"/>
      <c r="H327" s="547"/>
      <c r="I327" s="547"/>
      <c r="J327" s="547">
        <v>90358283476</v>
      </c>
      <c r="K327" s="547">
        <v>-172677489036</v>
      </c>
      <c r="L327" s="547"/>
      <c r="M327" s="547"/>
      <c r="N327" s="547"/>
      <c r="O327" s="547"/>
      <c r="P327" s="547"/>
      <c r="Q327" s="989">
        <f t="shared" si="21"/>
        <v>0</v>
      </c>
      <c r="R327" s="547">
        <v>0</v>
      </c>
      <c r="S327" s="989">
        <f t="shared" si="23"/>
        <v>0</v>
      </c>
      <c r="T327" s="547">
        <f t="shared" si="23"/>
        <v>0</v>
      </c>
      <c r="U327" s="566"/>
      <c r="V327" s="567"/>
      <c r="W327" s="989">
        <f t="shared" si="24"/>
        <v>0</v>
      </c>
      <c r="X327" s="812">
        <f t="shared" si="22"/>
        <v>0</v>
      </c>
      <c r="Y327" s="835">
        <f t="shared" si="25"/>
        <v>0</v>
      </c>
    </row>
    <row r="328" spans="1:25" ht="27" customHeight="1">
      <c r="A328" s="531">
        <v>11</v>
      </c>
      <c r="B328" s="531">
        <v>907</v>
      </c>
      <c r="C328" s="529">
        <v>9</v>
      </c>
      <c r="D328" s="1027" t="s">
        <v>325</v>
      </c>
      <c r="E328" s="1028" t="s">
        <v>1037</v>
      </c>
      <c r="F328" s="547">
        <v>182542724834</v>
      </c>
      <c r="G328" s="547">
        <v>-1169653344</v>
      </c>
      <c r="H328" s="547">
        <v>9477077177</v>
      </c>
      <c r="I328" s="547"/>
      <c r="J328" s="547">
        <v>-224014015190</v>
      </c>
      <c r="K328" s="547">
        <v>33163866523</v>
      </c>
      <c r="L328" s="547"/>
      <c r="M328" s="547"/>
      <c r="N328" s="547"/>
      <c r="O328" s="547"/>
      <c r="P328" s="547"/>
      <c r="Q328" s="989">
        <f t="shared" ref="Q328:Q391" si="26">SUM(F328:P328)</f>
        <v>0</v>
      </c>
      <c r="R328" s="547">
        <v>98821463977</v>
      </c>
      <c r="S328" s="989">
        <f t="shared" si="23"/>
        <v>0</v>
      </c>
      <c r="T328" s="547">
        <f t="shared" si="23"/>
        <v>98821</v>
      </c>
      <c r="U328" s="566"/>
      <c r="V328" s="567"/>
      <c r="W328" s="989">
        <f t="shared" si="24"/>
        <v>0</v>
      </c>
      <c r="X328" s="812">
        <f t="shared" si="22"/>
        <v>0</v>
      </c>
      <c r="Y328" s="835">
        <f t="shared" si="25"/>
        <v>0</v>
      </c>
    </row>
    <row r="329" spans="1:25" ht="27" customHeight="1">
      <c r="A329" s="531"/>
      <c r="B329" s="531">
        <v>906</v>
      </c>
      <c r="C329" s="529">
        <v>9</v>
      </c>
      <c r="D329" s="1027" t="s">
        <v>750</v>
      </c>
      <c r="E329" s="1028" t="s">
        <v>751</v>
      </c>
      <c r="F329" s="547"/>
      <c r="G329" s="547"/>
      <c r="H329" s="547"/>
      <c r="I329" s="547"/>
      <c r="J329" s="547"/>
      <c r="K329" s="547"/>
      <c r="L329" s="547"/>
      <c r="M329" s="547"/>
      <c r="N329" s="547"/>
      <c r="O329" s="547"/>
      <c r="P329" s="547"/>
      <c r="Q329" s="989">
        <f t="shared" si="26"/>
        <v>0</v>
      </c>
      <c r="R329" s="547">
        <v>0</v>
      </c>
      <c r="S329" s="989">
        <f t="shared" si="23"/>
        <v>0</v>
      </c>
      <c r="T329" s="547">
        <f t="shared" si="23"/>
        <v>0</v>
      </c>
      <c r="U329" s="566"/>
      <c r="V329" s="567"/>
      <c r="W329" s="989">
        <f t="shared" si="24"/>
        <v>0</v>
      </c>
      <c r="X329" s="812">
        <f t="shared" ref="X329:X393" si="27">ROUND((W329/1000000),0)</f>
        <v>0</v>
      </c>
      <c r="Y329" s="835">
        <f t="shared" si="25"/>
        <v>0</v>
      </c>
    </row>
    <row r="330" spans="1:25" ht="27" customHeight="1">
      <c r="A330" s="531"/>
      <c r="B330" s="531">
        <v>907</v>
      </c>
      <c r="C330" s="529">
        <v>9</v>
      </c>
      <c r="D330" s="1027" t="s">
        <v>750</v>
      </c>
      <c r="E330" s="1028" t="s">
        <v>751</v>
      </c>
      <c r="F330" s="547"/>
      <c r="G330" s="547"/>
      <c r="H330" s="547"/>
      <c r="I330" s="547"/>
      <c r="J330" s="547"/>
      <c r="K330" s="547"/>
      <c r="L330" s="547"/>
      <c r="M330" s="547"/>
      <c r="N330" s="547"/>
      <c r="O330" s="547"/>
      <c r="P330" s="547"/>
      <c r="Q330" s="989">
        <f t="shared" si="26"/>
        <v>0</v>
      </c>
      <c r="R330" s="547">
        <v>0</v>
      </c>
      <c r="S330" s="989">
        <f t="shared" si="23"/>
        <v>0</v>
      </c>
      <c r="T330" s="547">
        <f t="shared" si="23"/>
        <v>0</v>
      </c>
      <c r="U330" s="566"/>
      <c r="V330" s="567"/>
      <c r="W330" s="989">
        <f t="shared" si="24"/>
        <v>0</v>
      </c>
      <c r="X330" s="812">
        <f t="shared" si="27"/>
        <v>0</v>
      </c>
      <c r="Y330" s="835">
        <f t="shared" si="25"/>
        <v>0</v>
      </c>
    </row>
    <row r="331" spans="1:25" ht="27" customHeight="1">
      <c r="A331" s="531"/>
      <c r="B331" s="531">
        <v>601</v>
      </c>
      <c r="C331" s="529">
        <v>6</v>
      </c>
      <c r="D331" s="1027" t="s">
        <v>749</v>
      </c>
      <c r="E331" s="1028" t="s">
        <v>751</v>
      </c>
      <c r="F331" s="547"/>
      <c r="G331" s="547"/>
      <c r="H331" s="547"/>
      <c r="I331" s="547"/>
      <c r="J331" s="547"/>
      <c r="K331" s="547"/>
      <c r="L331" s="547"/>
      <c r="M331" s="547"/>
      <c r="N331" s="547"/>
      <c r="O331" s="547"/>
      <c r="P331" s="547"/>
      <c r="Q331" s="989">
        <f t="shared" si="26"/>
        <v>0</v>
      </c>
      <c r="R331" s="547">
        <v>0</v>
      </c>
      <c r="S331" s="989">
        <f t="shared" si="23"/>
        <v>0</v>
      </c>
      <c r="T331" s="547">
        <f t="shared" si="23"/>
        <v>0</v>
      </c>
      <c r="U331" s="566"/>
      <c r="V331" s="567"/>
      <c r="W331" s="989">
        <f t="shared" si="24"/>
        <v>0</v>
      </c>
      <c r="X331" s="812">
        <f t="shared" si="27"/>
        <v>0</v>
      </c>
      <c r="Y331" s="835">
        <f t="shared" si="25"/>
        <v>0</v>
      </c>
    </row>
    <row r="332" spans="1:25" ht="27" customHeight="1">
      <c r="A332" s="531"/>
      <c r="B332" s="531">
        <v>302</v>
      </c>
      <c r="C332" s="529">
        <v>3</v>
      </c>
      <c r="D332" s="1027" t="s">
        <v>749</v>
      </c>
      <c r="E332" s="1028" t="s">
        <v>751</v>
      </c>
      <c r="F332" s="547"/>
      <c r="G332" s="547"/>
      <c r="H332" s="547"/>
      <c r="I332" s="547"/>
      <c r="J332" s="547"/>
      <c r="K332" s="547"/>
      <c r="L332" s="547"/>
      <c r="M332" s="547"/>
      <c r="N332" s="547"/>
      <c r="O332" s="547"/>
      <c r="P332" s="547"/>
      <c r="Q332" s="989">
        <f t="shared" si="26"/>
        <v>0</v>
      </c>
      <c r="R332" s="547">
        <v>0</v>
      </c>
      <c r="S332" s="989">
        <f t="shared" si="23"/>
        <v>0</v>
      </c>
      <c r="T332" s="547">
        <f t="shared" si="23"/>
        <v>0</v>
      </c>
      <c r="U332" s="566"/>
      <c r="V332" s="567"/>
      <c r="W332" s="989">
        <f t="shared" si="24"/>
        <v>0</v>
      </c>
      <c r="X332" s="812">
        <f t="shared" si="27"/>
        <v>0</v>
      </c>
      <c r="Y332" s="835">
        <f t="shared" si="25"/>
        <v>0</v>
      </c>
    </row>
    <row r="333" spans="1:25" ht="27" customHeight="1">
      <c r="A333" s="531"/>
      <c r="B333" s="531"/>
      <c r="C333" s="529">
        <v>12</v>
      </c>
      <c r="D333" s="1027" t="s">
        <v>327</v>
      </c>
      <c r="E333" s="1028" t="s">
        <v>328</v>
      </c>
      <c r="F333" s="547">
        <v>-12000000000000</v>
      </c>
      <c r="G333" s="547"/>
      <c r="H333" s="547"/>
      <c r="I333" s="547"/>
      <c r="J333" s="547"/>
      <c r="K333" s="547"/>
      <c r="L333" s="547"/>
      <c r="M333" s="547"/>
      <c r="N333" s="547"/>
      <c r="O333" s="547"/>
      <c r="P333" s="547"/>
      <c r="Q333" s="989">
        <f t="shared" si="26"/>
        <v>-12000000000000</v>
      </c>
      <c r="R333" s="547">
        <v>-12000000000000</v>
      </c>
      <c r="S333" s="989">
        <f t="shared" si="23"/>
        <v>-12000000</v>
      </c>
      <c r="T333" s="547">
        <f t="shared" si="23"/>
        <v>-12000000</v>
      </c>
      <c r="U333" s="566"/>
      <c r="V333" s="567"/>
      <c r="W333" s="989">
        <f t="shared" si="24"/>
        <v>-12000000000000</v>
      </c>
      <c r="X333" s="812">
        <f t="shared" si="27"/>
        <v>-12000000</v>
      </c>
      <c r="Y333" s="835">
        <f t="shared" si="25"/>
        <v>0</v>
      </c>
    </row>
    <row r="334" spans="1:25" ht="27" customHeight="1">
      <c r="A334" s="531"/>
      <c r="B334" s="531">
        <v>10040</v>
      </c>
      <c r="C334" s="529">
        <v>4</v>
      </c>
      <c r="D334" s="1027" t="s">
        <v>1340</v>
      </c>
      <c r="E334" s="1028" t="s">
        <v>1341</v>
      </c>
      <c r="F334" s="547"/>
      <c r="G334" s="547"/>
      <c r="H334" s="547"/>
      <c r="I334" s="547"/>
      <c r="J334" s="547"/>
      <c r="K334" s="547"/>
      <c r="L334" s="547"/>
      <c r="M334" s="547"/>
      <c r="N334" s="547"/>
      <c r="O334" s="547"/>
      <c r="P334" s="547"/>
      <c r="Q334" s="989">
        <f t="shared" si="26"/>
        <v>0</v>
      </c>
      <c r="R334" s="547">
        <v>0</v>
      </c>
      <c r="S334" s="989">
        <f t="shared" si="23"/>
        <v>0</v>
      </c>
      <c r="T334" s="547">
        <f t="shared" si="23"/>
        <v>0</v>
      </c>
      <c r="U334" s="566"/>
      <c r="V334" s="567"/>
      <c r="W334" s="989">
        <f t="shared" si="24"/>
        <v>0</v>
      </c>
      <c r="X334" s="812">
        <f t="shared" si="27"/>
        <v>0</v>
      </c>
      <c r="Y334" s="835">
        <f t="shared" si="25"/>
        <v>0</v>
      </c>
    </row>
    <row r="335" spans="1:25" ht="27" customHeight="1">
      <c r="A335" s="531"/>
      <c r="B335" s="531">
        <v>1401</v>
      </c>
      <c r="C335" s="529">
        <v>13</v>
      </c>
      <c r="D335" s="1027" t="s">
        <v>329</v>
      </c>
      <c r="E335" s="1028" t="s">
        <v>330</v>
      </c>
      <c r="F335" s="547">
        <v>-500000</v>
      </c>
      <c r="G335" s="547"/>
      <c r="H335" s="547"/>
      <c r="I335" s="547"/>
      <c r="J335" s="547"/>
      <c r="K335" s="547"/>
      <c r="L335" s="547"/>
      <c r="M335" s="547"/>
      <c r="N335" s="547"/>
      <c r="O335" s="547"/>
      <c r="P335" s="547"/>
      <c r="Q335" s="989">
        <f t="shared" si="26"/>
        <v>-500000</v>
      </c>
      <c r="R335" s="547">
        <v>-500000</v>
      </c>
      <c r="S335" s="989">
        <f t="shared" si="23"/>
        <v>-1</v>
      </c>
      <c r="T335" s="547">
        <f t="shared" si="23"/>
        <v>-1</v>
      </c>
      <c r="U335" s="566"/>
      <c r="V335" s="567"/>
      <c r="W335" s="989">
        <f t="shared" si="24"/>
        <v>-500000</v>
      </c>
      <c r="X335" s="812">
        <f t="shared" si="27"/>
        <v>-1</v>
      </c>
      <c r="Y335" s="835">
        <f t="shared" si="25"/>
        <v>0</v>
      </c>
    </row>
    <row r="336" spans="1:25" ht="27" customHeight="1">
      <c r="A336" s="531"/>
      <c r="B336" s="531">
        <v>1402</v>
      </c>
      <c r="C336" s="529">
        <v>13</v>
      </c>
      <c r="D336" s="1027" t="s">
        <v>331</v>
      </c>
      <c r="E336" s="1028" t="s">
        <v>332</v>
      </c>
      <c r="F336" s="547">
        <v>-2735500000</v>
      </c>
      <c r="G336" s="547"/>
      <c r="H336" s="547"/>
      <c r="I336" s="547"/>
      <c r="J336" s="547"/>
      <c r="K336" s="547"/>
      <c r="L336" s="547"/>
      <c r="M336" s="547"/>
      <c r="N336" s="547"/>
      <c r="O336" s="547"/>
      <c r="P336" s="547"/>
      <c r="Q336" s="989">
        <f t="shared" si="26"/>
        <v>-2735500000</v>
      </c>
      <c r="R336" s="547">
        <v>-2735500000</v>
      </c>
      <c r="S336" s="989">
        <f t="shared" si="23"/>
        <v>-2736</v>
      </c>
      <c r="T336" s="547">
        <f t="shared" si="23"/>
        <v>-2736</v>
      </c>
      <c r="U336" s="566"/>
      <c r="V336" s="567"/>
      <c r="W336" s="989">
        <f t="shared" si="24"/>
        <v>-2735500000</v>
      </c>
      <c r="X336" s="812">
        <f t="shared" si="27"/>
        <v>-2736</v>
      </c>
      <c r="Y336" s="835">
        <f t="shared" si="25"/>
        <v>0</v>
      </c>
    </row>
    <row r="337" spans="1:25" ht="27" customHeight="1">
      <c r="A337" s="531"/>
      <c r="B337" s="531">
        <v>406</v>
      </c>
      <c r="C337" s="529">
        <v>4</v>
      </c>
      <c r="D337" s="1027" t="s">
        <v>1208</v>
      </c>
      <c r="E337" s="1028" t="s">
        <v>1164</v>
      </c>
      <c r="F337" s="547"/>
      <c r="G337" s="547"/>
      <c r="H337" s="547"/>
      <c r="I337" s="547"/>
      <c r="J337" s="547"/>
      <c r="K337" s="547"/>
      <c r="L337" s="547"/>
      <c r="M337" s="547"/>
      <c r="N337" s="547"/>
      <c r="O337" s="547"/>
      <c r="P337" s="547"/>
      <c r="Q337" s="989">
        <f t="shared" si="26"/>
        <v>0</v>
      </c>
      <c r="R337" s="547">
        <v>0</v>
      </c>
      <c r="S337" s="989">
        <f t="shared" si="23"/>
        <v>0</v>
      </c>
      <c r="T337" s="547">
        <f t="shared" si="23"/>
        <v>0</v>
      </c>
      <c r="U337" s="566"/>
      <c r="V337" s="567"/>
      <c r="W337" s="989">
        <f t="shared" si="24"/>
        <v>0</v>
      </c>
      <c r="X337" s="812">
        <f t="shared" si="27"/>
        <v>0</v>
      </c>
      <c r="Y337" s="835">
        <f t="shared" si="25"/>
        <v>0</v>
      </c>
    </row>
    <row r="338" spans="1:25" ht="27" customHeight="1">
      <c r="A338" s="531"/>
      <c r="B338" s="531">
        <v>901</v>
      </c>
      <c r="C338" s="529">
        <v>9</v>
      </c>
      <c r="D338" s="1027" t="s">
        <v>112</v>
      </c>
      <c r="E338" s="1028" t="s">
        <v>113</v>
      </c>
      <c r="F338" s="547">
        <v>2178360659596</v>
      </c>
      <c r="G338" s="547"/>
      <c r="H338" s="547">
        <v>129596715326</v>
      </c>
      <c r="I338" s="547"/>
      <c r="J338" s="547">
        <v>3614896250</v>
      </c>
      <c r="K338" s="547"/>
      <c r="L338" s="547"/>
      <c r="M338" s="547"/>
      <c r="N338" s="547"/>
      <c r="O338" s="547"/>
      <c r="P338" s="547"/>
      <c r="Q338" s="989">
        <f t="shared" si="26"/>
        <v>2311572271172</v>
      </c>
      <c r="R338" s="547">
        <v>2161542801496</v>
      </c>
      <c r="S338" s="989">
        <f t="shared" si="23"/>
        <v>2311572</v>
      </c>
      <c r="T338" s="547">
        <f t="shared" si="23"/>
        <v>2161543</v>
      </c>
      <c r="U338" s="566"/>
      <c r="V338" s="567"/>
      <c r="W338" s="989">
        <f t="shared" si="24"/>
        <v>2311572271172</v>
      </c>
      <c r="X338" s="812">
        <f t="shared" si="27"/>
        <v>2311572</v>
      </c>
      <c r="Y338" s="835">
        <f t="shared" si="25"/>
        <v>0</v>
      </c>
    </row>
    <row r="339" spans="1:25" ht="27" customHeight="1">
      <c r="A339" s="531"/>
      <c r="B339" s="531">
        <v>902</v>
      </c>
      <c r="C339" s="529">
        <v>9</v>
      </c>
      <c r="D339" s="1027" t="s">
        <v>114</v>
      </c>
      <c r="E339" s="1028" t="s">
        <v>920</v>
      </c>
      <c r="F339" s="547">
        <v>30124621893061</v>
      </c>
      <c r="G339" s="547">
        <v>35104602664</v>
      </c>
      <c r="H339" s="547">
        <v>840243870436</v>
      </c>
      <c r="I339" s="547">
        <v>56011623645</v>
      </c>
      <c r="J339" s="547"/>
      <c r="K339" s="547"/>
      <c r="L339" s="547"/>
      <c r="M339" s="547"/>
      <c r="N339" s="547"/>
      <c r="O339" s="547"/>
      <c r="P339" s="547"/>
      <c r="Q339" s="989">
        <f t="shared" si="26"/>
        <v>31055981989806</v>
      </c>
      <c r="R339" s="547">
        <v>29871357326135</v>
      </c>
      <c r="S339" s="989">
        <f>ROUND((Q339/1000000),0)</f>
        <v>31055982</v>
      </c>
      <c r="T339" s="547">
        <f t="shared" si="23"/>
        <v>29871357</v>
      </c>
      <c r="U339" s="566"/>
      <c r="V339" s="567"/>
      <c r="W339" s="989">
        <f t="shared" si="24"/>
        <v>31055981989806</v>
      </c>
      <c r="X339" s="812">
        <f t="shared" si="27"/>
        <v>31055982</v>
      </c>
      <c r="Y339" s="835">
        <f t="shared" si="25"/>
        <v>0</v>
      </c>
    </row>
    <row r="340" spans="1:25" ht="27" customHeight="1">
      <c r="A340" s="531"/>
      <c r="B340" s="531">
        <v>902</v>
      </c>
      <c r="C340" s="529">
        <v>9</v>
      </c>
      <c r="D340" s="1027" t="s">
        <v>1624</v>
      </c>
      <c r="E340" s="1028" t="s">
        <v>1604</v>
      </c>
      <c r="F340" s="547"/>
      <c r="G340" s="547"/>
      <c r="H340" s="547"/>
      <c r="I340" s="547"/>
      <c r="J340" s="547"/>
      <c r="K340" s="547"/>
      <c r="L340" s="547"/>
      <c r="M340" s="547"/>
      <c r="N340" s="547"/>
      <c r="O340" s="547"/>
      <c r="P340" s="547"/>
      <c r="Q340" s="989">
        <f t="shared" si="26"/>
        <v>0</v>
      </c>
      <c r="R340" s="547">
        <v>0</v>
      </c>
      <c r="S340" s="989">
        <f t="shared" si="23"/>
        <v>0</v>
      </c>
      <c r="T340" s="547">
        <f t="shared" si="23"/>
        <v>0</v>
      </c>
      <c r="U340" s="566"/>
      <c r="V340" s="567"/>
      <c r="W340" s="989">
        <f t="shared" si="24"/>
        <v>0</v>
      </c>
      <c r="X340" s="812">
        <f t="shared" si="27"/>
        <v>0</v>
      </c>
      <c r="Y340" s="835">
        <f t="shared" si="25"/>
        <v>0</v>
      </c>
    </row>
    <row r="341" spans="1:25" ht="27" customHeight="1">
      <c r="A341" s="531"/>
      <c r="B341" s="531"/>
      <c r="C341" s="529">
        <v>8</v>
      </c>
      <c r="D341" s="1027" t="s">
        <v>667</v>
      </c>
      <c r="E341" s="1028" t="s">
        <v>666</v>
      </c>
      <c r="F341" s="547">
        <v>8557763010</v>
      </c>
      <c r="G341" s="547"/>
      <c r="H341" s="547"/>
      <c r="I341" s="547"/>
      <c r="J341" s="547"/>
      <c r="K341" s="547"/>
      <c r="L341" s="547"/>
      <c r="M341" s="547"/>
      <c r="N341" s="547"/>
      <c r="O341" s="547"/>
      <c r="P341" s="547"/>
      <c r="Q341" s="989">
        <f t="shared" si="26"/>
        <v>8557763010</v>
      </c>
      <c r="R341" s="547">
        <v>8557763010</v>
      </c>
      <c r="S341" s="989">
        <f t="shared" si="23"/>
        <v>8558</v>
      </c>
      <c r="T341" s="547">
        <f t="shared" si="23"/>
        <v>8558</v>
      </c>
      <c r="U341" s="566"/>
      <c r="V341" s="567"/>
      <c r="W341" s="989">
        <f t="shared" si="24"/>
        <v>8557763010</v>
      </c>
      <c r="X341" s="812">
        <f t="shared" si="27"/>
        <v>8558</v>
      </c>
      <c r="Y341" s="835">
        <f t="shared" si="25"/>
        <v>0</v>
      </c>
    </row>
    <row r="342" spans="1:25" ht="27" customHeight="1">
      <c r="A342" s="531"/>
      <c r="B342" s="531">
        <v>903</v>
      </c>
      <c r="C342" s="529">
        <v>9</v>
      </c>
      <c r="D342" s="1027" t="s">
        <v>105</v>
      </c>
      <c r="E342" s="1028" t="s">
        <v>913</v>
      </c>
      <c r="F342" s="547">
        <v>1167462128586</v>
      </c>
      <c r="G342" s="547"/>
      <c r="H342" s="547"/>
      <c r="I342" s="547">
        <v>107158252481</v>
      </c>
      <c r="J342" s="547"/>
      <c r="K342" s="547">
        <v>-40158691</v>
      </c>
      <c r="L342" s="547"/>
      <c r="M342" s="547"/>
      <c r="N342" s="547"/>
      <c r="O342" s="547"/>
      <c r="P342" s="547"/>
      <c r="Q342" s="989">
        <f t="shared" si="26"/>
        <v>1274580222376</v>
      </c>
      <c r="R342" s="547">
        <v>1170578607678</v>
      </c>
      <c r="S342" s="989">
        <f t="shared" si="23"/>
        <v>1274580</v>
      </c>
      <c r="T342" s="547">
        <f t="shared" si="23"/>
        <v>1170579</v>
      </c>
      <c r="U342" s="566"/>
      <c r="V342" s="567"/>
      <c r="W342" s="989">
        <f t="shared" si="24"/>
        <v>1274580222376</v>
      </c>
      <c r="X342" s="812">
        <f t="shared" si="27"/>
        <v>1274580</v>
      </c>
      <c r="Y342" s="835">
        <f t="shared" si="25"/>
        <v>0</v>
      </c>
    </row>
    <row r="343" spans="1:25" ht="27" customHeight="1">
      <c r="A343" s="531"/>
      <c r="B343" s="531">
        <v>903</v>
      </c>
      <c r="C343" s="529">
        <v>9</v>
      </c>
      <c r="D343" s="1027" t="s">
        <v>1107</v>
      </c>
      <c r="E343" s="1028" t="s">
        <v>1108</v>
      </c>
      <c r="F343" s="547">
        <v>90931334883</v>
      </c>
      <c r="G343" s="547">
        <v>9956711197</v>
      </c>
      <c r="H343" s="547">
        <v>3759666067</v>
      </c>
      <c r="I343" s="547">
        <v>-104647712147</v>
      </c>
      <c r="J343" s="547"/>
      <c r="K343" s="547"/>
      <c r="L343" s="547"/>
      <c r="M343" s="547"/>
      <c r="N343" s="547"/>
      <c r="O343" s="547"/>
      <c r="P343" s="547"/>
      <c r="Q343" s="989">
        <f t="shared" si="26"/>
        <v>0</v>
      </c>
      <c r="R343" s="547">
        <v>0</v>
      </c>
      <c r="S343" s="989">
        <f t="shared" si="23"/>
        <v>0</v>
      </c>
      <c r="T343" s="547">
        <f t="shared" si="23"/>
        <v>0</v>
      </c>
      <c r="U343" s="566"/>
      <c r="V343" s="567"/>
      <c r="W343" s="989">
        <f t="shared" si="24"/>
        <v>0</v>
      </c>
      <c r="X343" s="812">
        <f t="shared" si="27"/>
        <v>0</v>
      </c>
      <c r="Y343" s="835">
        <f t="shared" si="25"/>
        <v>0</v>
      </c>
    </row>
    <row r="344" spans="1:25" ht="27" customHeight="1">
      <c r="A344" s="531"/>
      <c r="B344" s="531">
        <v>903</v>
      </c>
      <c r="C344" s="529">
        <v>9</v>
      </c>
      <c r="D344" s="1027" t="s">
        <v>1109</v>
      </c>
      <c r="E344" s="1028" t="s">
        <v>1110</v>
      </c>
      <c r="F344" s="547">
        <v>-5083316691</v>
      </c>
      <c r="G344" s="547">
        <v>-45871049</v>
      </c>
      <c r="H344" s="547">
        <v>-2160000</v>
      </c>
      <c r="I344" s="547">
        <v>5131347740</v>
      </c>
      <c r="J344" s="547"/>
      <c r="K344" s="547"/>
      <c r="L344" s="547"/>
      <c r="M344" s="547"/>
      <c r="N344" s="547"/>
      <c r="O344" s="547"/>
      <c r="P344" s="547"/>
      <c r="Q344" s="989">
        <f t="shared" si="26"/>
        <v>0</v>
      </c>
      <c r="R344" s="547">
        <v>0</v>
      </c>
      <c r="S344" s="989">
        <f t="shared" si="23"/>
        <v>0</v>
      </c>
      <c r="T344" s="547">
        <f t="shared" si="23"/>
        <v>0</v>
      </c>
      <c r="U344" s="566"/>
      <c r="V344" s="567"/>
      <c r="W344" s="989">
        <f t="shared" si="24"/>
        <v>0</v>
      </c>
      <c r="X344" s="812">
        <f t="shared" si="27"/>
        <v>0</v>
      </c>
      <c r="Y344" s="835">
        <f t="shared" si="25"/>
        <v>0</v>
      </c>
    </row>
    <row r="345" spans="1:25" ht="27" customHeight="1">
      <c r="A345" s="531"/>
      <c r="B345" s="531">
        <v>903</v>
      </c>
      <c r="C345" s="529">
        <v>9</v>
      </c>
      <c r="D345" s="1027" t="s">
        <v>1571</v>
      </c>
      <c r="E345" s="1028" t="s">
        <v>1111</v>
      </c>
      <c r="F345" s="547"/>
      <c r="G345" s="547"/>
      <c r="H345" s="547"/>
      <c r="I345" s="547"/>
      <c r="J345" s="547"/>
      <c r="K345" s="547"/>
      <c r="L345" s="547"/>
      <c r="M345" s="547"/>
      <c r="N345" s="547"/>
      <c r="O345" s="547"/>
      <c r="P345" s="547"/>
      <c r="Q345" s="989">
        <f t="shared" si="26"/>
        <v>0</v>
      </c>
      <c r="R345" s="547">
        <v>0</v>
      </c>
      <c r="S345" s="989">
        <f t="shared" si="23"/>
        <v>0</v>
      </c>
      <c r="T345" s="547">
        <f t="shared" si="23"/>
        <v>0</v>
      </c>
      <c r="U345" s="566"/>
      <c r="V345" s="567"/>
      <c r="W345" s="989">
        <f t="shared" si="24"/>
        <v>0</v>
      </c>
      <c r="X345" s="812">
        <f t="shared" si="27"/>
        <v>0</v>
      </c>
      <c r="Y345" s="835">
        <f t="shared" si="25"/>
        <v>0</v>
      </c>
    </row>
    <row r="346" spans="1:25" ht="27" customHeight="1">
      <c r="A346" s="531"/>
      <c r="B346" s="531">
        <v>905</v>
      </c>
      <c r="C346" s="529">
        <v>9</v>
      </c>
      <c r="D346" s="1027" t="s">
        <v>107</v>
      </c>
      <c r="E346" s="1028" t="s">
        <v>917</v>
      </c>
      <c r="F346" s="547">
        <v>636111125296</v>
      </c>
      <c r="G346" s="547"/>
      <c r="H346" s="547"/>
      <c r="I346" s="547">
        <v>10254548127</v>
      </c>
      <c r="J346" s="547"/>
      <c r="K346" s="547">
        <v>-531093766</v>
      </c>
      <c r="L346" s="547"/>
      <c r="M346" s="547"/>
      <c r="N346" s="547"/>
      <c r="O346" s="547"/>
      <c r="P346" s="547"/>
      <c r="Q346" s="989">
        <f t="shared" si="26"/>
        <v>645834579657</v>
      </c>
      <c r="R346" s="547">
        <v>636111125296</v>
      </c>
      <c r="S346" s="989">
        <f>ROUND((Q346/1000000),0)</f>
        <v>645835</v>
      </c>
      <c r="T346" s="547">
        <f t="shared" si="23"/>
        <v>636111</v>
      </c>
      <c r="U346" s="566"/>
      <c r="V346" s="567"/>
      <c r="W346" s="989">
        <f t="shared" si="24"/>
        <v>645834579657</v>
      </c>
      <c r="X346" s="812">
        <f t="shared" si="27"/>
        <v>645835</v>
      </c>
      <c r="Y346" s="835">
        <f t="shared" si="25"/>
        <v>0</v>
      </c>
    </row>
    <row r="347" spans="1:25" ht="27" customHeight="1">
      <c r="A347" s="531"/>
      <c r="B347" s="531">
        <v>905</v>
      </c>
      <c r="C347" s="529">
        <v>9</v>
      </c>
      <c r="D347" s="1027" t="s">
        <v>1112</v>
      </c>
      <c r="E347" s="1028" t="s">
        <v>1113</v>
      </c>
      <c r="F347" s="547">
        <v>6293072650</v>
      </c>
      <c r="G347" s="547">
        <v>3402749000</v>
      </c>
      <c r="H347" s="547">
        <v>5378300309</v>
      </c>
      <c r="I347" s="547">
        <v>-15074121959</v>
      </c>
      <c r="J347" s="547"/>
      <c r="K347" s="547"/>
      <c r="L347" s="547"/>
      <c r="M347" s="547"/>
      <c r="N347" s="547"/>
      <c r="O347" s="547"/>
      <c r="P347" s="547"/>
      <c r="Q347" s="989">
        <f t="shared" si="26"/>
        <v>0</v>
      </c>
      <c r="R347" s="547">
        <v>0</v>
      </c>
      <c r="S347" s="989">
        <f t="shared" si="23"/>
        <v>0</v>
      </c>
      <c r="T347" s="547">
        <f t="shared" si="23"/>
        <v>0</v>
      </c>
      <c r="U347" s="566"/>
      <c r="V347" s="567"/>
      <c r="W347" s="989">
        <f t="shared" si="24"/>
        <v>0</v>
      </c>
      <c r="X347" s="812">
        <f t="shared" si="27"/>
        <v>0</v>
      </c>
      <c r="Y347" s="835">
        <f t="shared" si="25"/>
        <v>0</v>
      </c>
    </row>
    <row r="348" spans="1:25" ht="27" customHeight="1">
      <c r="A348" s="531"/>
      <c r="B348" s="531">
        <v>905</v>
      </c>
      <c r="C348" s="529">
        <v>9</v>
      </c>
      <c r="D348" s="1027" t="s">
        <v>1115</v>
      </c>
      <c r="E348" s="1028" t="s">
        <v>1114</v>
      </c>
      <c r="F348" s="547">
        <v>-5305155232</v>
      </c>
      <c r="G348" s="547"/>
      <c r="H348" s="547"/>
      <c r="I348" s="547">
        <v>5305155232</v>
      </c>
      <c r="J348" s="547"/>
      <c r="K348" s="547"/>
      <c r="L348" s="547"/>
      <c r="M348" s="547"/>
      <c r="N348" s="547"/>
      <c r="O348" s="547"/>
      <c r="P348" s="547"/>
      <c r="Q348" s="989">
        <f t="shared" si="26"/>
        <v>0</v>
      </c>
      <c r="R348" s="547">
        <v>0</v>
      </c>
      <c r="S348" s="989">
        <f t="shared" si="23"/>
        <v>0</v>
      </c>
      <c r="T348" s="547">
        <f t="shared" si="23"/>
        <v>0</v>
      </c>
      <c r="U348" s="566"/>
      <c r="V348" s="567"/>
      <c r="W348" s="989">
        <f t="shared" si="24"/>
        <v>0</v>
      </c>
      <c r="X348" s="812">
        <f t="shared" si="27"/>
        <v>0</v>
      </c>
      <c r="Y348" s="835">
        <f t="shared" si="25"/>
        <v>0</v>
      </c>
    </row>
    <row r="349" spans="1:25" ht="27" customHeight="1">
      <c r="A349" s="531"/>
      <c r="B349" s="531"/>
      <c r="C349" s="529">
        <v>9</v>
      </c>
      <c r="D349" s="1027" t="s">
        <v>1017</v>
      </c>
      <c r="E349" s="1028" t="s">
        <v>1018</v>
      </c>
      <c r="F349" s="547"/>
      <c r="G349" s="547"/>
      <c r="H349" s="547"/>
      <c r="I349" s="547"/>
      <c r="J349" s="547"/>
      <c r="K349" s="547"/>
      <c r="L349" s="547"/>
      <c r="M349" s="547"/>
      <c r="N349" s="547"/>
      <c r="O349" s="547"/>
      <c r="P349" s="547"/>
      <c r="Q349" s="989">
        <f t="shared" si="26"/>
        <v>0</v>
      </c>
      <c r="R349" s="547">
        <v>0</v>
      </c>
      <c r="S349" s="989">
        <f t="shared" si="23"/>
        <v>0</v>
      </c>
      <c r="T349" s="547">
        <f t="shared" si="23"/>
        <v>0</v>
      </c>
      <c r="U349" s="566"/>
      <c r="V349" s="567"/>
      <c r="W349" s="989">
        <f t="shared" si="24"/>
        <v>0</v>
      </c>
      <c r="X349" s="812">
        <f t="shared" si="27"/>
        <v>0</v>
      </c>
      <c r="Y349" s="835">
        <f t="shared" si="25"/>
        <v>0</v>
      </c>
    </row>
    <row r="350" spans="1:25" ht="27" customHeight="1">
      <c r="A350" s="531"/>
      <c r="B350" s="531"/>
      <c r="C350" s="529">
        <v>9</v>
      </c>
      <c r="D350" s="1027" t="s">
        <v>1197</v>
      </c>
      <c r="E350" s="1028" t="s">
        <v>1198</v>
      </c>
      <c r="F350" s="547"/>
      <c r="G350" s="547"/>
      <c r="H350" s="547"/>
      <c r="I350" s="547"/>
      <c r="J350" s="547"/>
      <c r="K350" s="547"/>
      <c r="L350" s="547"/>
      <c r="M350" s="547"/>
      <c r="N350" s="547"/>
      <c r="O350" s="547"/>
      <c r="P350" s="547"/>
      <c r="Q350" s="989">
        <f t="shared" si="26"/>
        <v>0</v>
      </c>
      <c r="R350" s="547">
        <v>0</v>
      </c>
      <c r="S350" s="989">
        <f t="shared" si="23"/>
        <v>0</v>
      </c>
      <c r="T350" s="547">
        <f t="shared" si="23"/>
        <v>0</v>
      </c>
      <c r="U350" s="566"/>
      <c r="V350" s="567"/>
      <c r="W350" s="989">
        <f t="shared" si="24"/>
        <v>0</v>
      </c>
      <c r="X350" s="812">
        <f t="shared" si="27"/>
        <v>0</v>
      </c>
      <c r="Y350" s="835">
        <f t="shared" si="25"/>
        <v>0</v>
      </c>
    </row>
    <row r="351" spans="1:25" ht="27" customHeight="1">
      <c r="A351" s="531"/>
      <c r="B351" s="531">
        <v>904</v>
      </c>
      <c r="C351" s="529">
        <v>9</v>
      </c>
      <c r="D351" s="1027" t="s">
        <v>149</v>
      </c>
      <c r="E351" s="1028" t="s">
        <v>915</v>
      </c>
      <c r="F351" s="547">
        <v>321543820079</v>
      </c>
      <c r="G351" s="547"/>
      <c r="H351" s="547">
        <v>-465345743</v>
      </c>
      <c r="I351" s="547">
        <v>48875321313</v>
      </c>
      <c r="J351" s="547">
        <v>135000000</v>
      </c>
      <c r="K351" s="547">
        <v>-15000000</v>
      </c>
      <c r="L351" s="547"/>
      <c r="M351" s="547"/>
      <c r="N351" s="547"/>
      <c r="O351" s="547"/>
      <c r="P351" s="547"/>
      <c r="Q351" s="989">
        <f t="shared" si="26"/>
        <v>370073795649</v>
      </c>
      <c r="R351" s="547">
        <v>321543820079</v>
      </c>
      <c r="S351" s="989">
        <f t="shared" si="23"/>
        <v>370074</v>
      </c>
      <c r="T351" s="547">
        <f t="shared" si="23"/>
        <v>321544</v>
      </c>
      <c r="U351" s="566"/>
      <c r="V351" s="567"/>
      <c r="W351" s="989">
        <f t="shared" si="24"/>
        <v>370073795649</v>
      </c>
      <c r="X351" s="812">
        <f t="shared" si="27"/>
        <v>370074</v>
      </c>
      <c r="Y351" s="835">
        <f t="shared" si="25"/>
        <v>0</v>
      </c>
    </row>
    <row r="352" spans="1:25" ht="27" customHeight="1">
      <c r="A352" s="531"/>
      <c r="B352" s="531">
        <v>904</v>
      </c>
      <c r="C352" s="529">
        <v>9</v>
      </c>
      <c r="D352" s="1027" t="s">
        <v>1116</v>
      </c>
      <c r="E352" s="1028" t="s">
        <v>1119</v>
      </c>
      <c r="F352" s="547">
        <v>27281005394</v>
      </c>
      <c r="G352" s="547">
        <v>19666337576</v>
      </c>
      <c r="H352" s="547">
        <v>1489212000</v>
      </c>
      <c r="I352" s="547">
        <v>-48436554970</v>
      </c>
      <c r="J352" s="547"/>
      <c r="K352" s="547"/>
      <c r="L352" s="547"/>
      <c r="M352" s="547"/>
      <c r="N352" s="547"/>
      <c r="O352" s="547"/>
      <c r="P352" s="547"/>
      <c r="Q352" s="989">
        <f t="shared" si="26"/>
        <v>0</v>
      </c>
      <c r="R352" s="547">
        <v>0</v>
      </c>
      <c r="S352" s="989">
        <f t="shared" si="23"/>
        <v>0</v>
      </c>
      <c r="T352" s="547">
        <f t="shared" si="23"/>
        <v>0</v>
      </c>
      <c r="U352" s="566"/>
      <c r="V352" s="567"/>
      <c r="W352" s="989">
        <f t="shared" si="24"/>
        <v>0</v>
      </c>
      <c r="X352" s="812">
        <f t="shared" si="27"/>
        <v>0</v>
      </c>
      <c r="Y352" s="835">
        <f t="shared" si="25"/>
        <v>0</v>
      </c>
    </row>
    <row r="353" spans="1:25" ht="27" customHeight="1">
      <c r="A353" s="531"/>
      <c r="B353" s="531">
        <v>904</v>
      </c>
      <c r="C353" s="529">
        <v>9</v>
      </c>
      <c r="D353" s="1027" t="s">
        <v>1117</v>
      </c>
      <c r="E353" s="1028" t="s">
        <v>1120</v>
      </c>
      <c r="F353" s="547">
        <v>-906419953</v>
      </c>
      <c r="G353" s="547">
        <v>0</v>
      </c>
      <c r="H353" s="547"/>
      <c r="I353" s="547">
        <v>906419953</v>
      </c>
      <c r="J353" s="547"/>
      <c r="K353" s="547"/>
      <c r="L353" s="547"/>
      <c r="M353" s="547"/>
      <c r="N353" s="547"/>
      <c r="O353" s="547"/>
      <c r="P353" s="547"/>
      <c r="Q353" s="989">
        <f t="shared" si="26"/>
        <v>0</v>
      </c>
      <c r="R353" s="547">
        <v>0</v>
      </c>
      <c r="S353" s="989">
        <f t="shared" si="23"/>
        <v>0</v>
      </c>
      <c r="T353" s="547">
        <f t="shared" si="23"/>
        <v>0</v>
      </c>
      <c r="U353" s="566"/>
      <c r="V353" s="567"/>
      <c r="W353" s="989">
        <f t="shared" si="24"/>
        <v>0</v>
      </c>
      <c r="X353" s="812">
        <f t="shared" si="27"/>
        <v>0</v>
      </c>
      <c r="Y353" s="835">
        <f t="shared" si="25"/>
        <v>0</v>
      </c>
    </row>
    <row r="354" spans="1:25" ht="27" customHeight="1">
      <c r="A354" s="531"/>
      <c r="B354" s="531">
        <v>904</v>
      </c>
      <c r="C354" s="529">
        <v>9</v>
      </c>
      <c r="D354" s="1027" t="s">
        <v>1118</v>
      </c>
      <c r="E354" s="1028" t="s">
        <v>1121</v>
      </c>
      <c r="F354" s="547"/>
      <c r="G354" s="547"/>
      <c r="H354" s="547"/>
      <c r="I354" s="547"/>
      <c r="J354" s="547"/>
      <c r="K354" s="547"/>
      <c r="L354" s="547"/>
      <c r="M354" s="547"/>
      <c r="N354" s="547"/>
      <c r="O354" s="547"/>
      <c r="P354" s="547"/>
      <c r="Q354" s="989">
        <f t="shared" si="26"/>
        <v>0</v>
      </c>
      <c r="R354" s="547">
        <v>0</v>
      </c>
      <c r="S354" s="989">
        <f t="shared" ref="S354:T399" si="28">ROUND((Q354/1000000),0)</f>
        <v>0</v>
      </c>
      <c r="T354" s="547">
        <f t="shared" si="28"/>
        <v>0</v>
      </c>
      <c r="U354" s="566"/>
      <c r="V354" s="567"/>
      <c r="W354" s="989">
        <f t="shared" si="24"/>
        <v>0</v>
      </c>
      <c r="X354" s="812">
        <f t="shared" si="27"/>
        <v>0</v>
      </c>
      <c r="Y354" s="835">
        <f t="shared" si="25"/>
        <v>0</v>
      </c>
    </row>
    <row r="355" spans="1:25" ht="27" customHeight="1">
      <c r="A355" s="531"/>
      <c r="B355" s="531"/>
      <c r="C355" s="529">
        <v>9</v>
      </c>
      <c r="D355" s="1027" t="s">
        <v>1019</v>
      </c>
      <c r="E355" s="1028" t="s">
        <v>1020</v>
      </c>
      <c r="F355" s="547">
        <v>1436100945</v>
      </c>
      <c r="G355" s="547">
        <v>630182446</v>
      </c>
      <c r="H355" s="547">
        <v>-2066283391</v>
      </c>
      <c r="I355" s="547"/>
      <c r="J355" s="547"/>
      <c r="K355" s="547"/>
      <c r="L355" s="547"/>
      <c r="M355" s="547"/>
      <c r="N355" s="547"/>
      <c r="O355" s="547"/>
      <c r="P355" s="547"/>
      <c r="Q355" s="989">
        <f t="shared" si="26"/>
        <v>0</v>
      </c>
      <c r="R355" s="547">
        <v>0</v>
      </c>
      <c r="S355" s="989">
        <f t="shared" si="28"/>
        <v>0</v>
      </c>
      <c r="T355" s="547">
        <f t="shared" si="28"/>
        <v>0</v>
      </c>
      <c r="U355" s="566"/>
      <c r="V355" s="567"/>
      <c r="W355" s="989">
        <f t="shared" ref="W355:W421" si="29">Q355+V355-U355</f>
        <v>0</v>
      </c>
      <c r="X355" s="812">
        <f t="shared" si="27"/>
        <v>0</v>
      </c>
      <c r="Y355" s="835">
        <f t="shared" si="25"/>
        <v>0</v>
      </c>
    </row>
    <row r="356" spans="1:25" ht="27" customHeight="1">
      <c r="A356" s="531"/>
      <c r="B356" s="531">
        <v>902</v>
      </c>
      <c r="C356" s="529">
        <v>9</v>
      </c>
      <c r="D356" s="1027" t="s">
        <v>1009</v>
      </c>
      <c r="E356" s="1028" t="s">
        <v>1010</v>
      </c>
      <c r="F356" s="547">
        <v>-1723867932536</v>
      </c>
      <c r="G356" s="547">
        <v>-11146263206</v>
      </c>
      <c r="H356" s="547">
        <v>-9402940833</v>
      </c>
      <c r="I356" s="547">
        <v>1744417136575</v>
      </c>
      <c r="J356" s="547"/>
      <c r="K356" s="547"/>
      <c r="L356" s="547"/>
      <c r="M356" s="547"/>
      <c r="N356" s="547"/>
      <c r="O356" s="547"/>
      <c r="P356" s="547"/>
      <c r="Q356" s="989">
        <f t="shared" si="26"/>
        <v>0</v>
      </c>
      <c r="R356" s="547">
        <v>0</v>
      </c>
      <c r="S356" s="989">
        <f t="shared" si="28"/>
        <v>0</v>
      </c>
      <c r="T356" s="547">
        <f t="shared" si="28"/>
        <v>0</v>
      </c>
      <c r="U356" s="566"/>
      <c r="V356" s="567"/>
      <c r="W356" s="989">
        <f t="shared" si="29"/>
        <v>0</v>
      </c>
      <c r="X356" s="812">
        <f t="shared" si="27"/>
        <v>0</v>
      </c>
      <c r="Y356" s="835">
        <f t="shared" si="25"/>
        <v>0</v>
      </c>
    </row>
    <row r="357" spans="1:25" ht="27" customHeight="1">
      <c r="A357" s="531"/>
      <c r="B357" s="531"/>
      <c r="C357" s="529">
        <v>9</v>
      </c>
      <c r="D357" s="1027" t="s">
        <v>1625</v>
      </c>
      <c r="E357" s="1028" t="s">
        <v>1249</v>
      </c>
      <c r="F357" s="547"/>
      <c r="G357" s="547"/>
      <c r="H357" s="547"/>
      <c r="I357" s="547"/>
      <c r="J357" s="547"/>
      <c r="K357" s="547"/>
      <c r="L357" s="547"/>
      <c r="M357" s="547"/>
      <c r="N357" s="547"/>
      <c r="O357" s="547"/>
      <c r="P357" s="547"/>
      <c r="Q357" s="989">
        <f t="shared" si="26"/>
        <v>0</v>
      </c>
      <c r="R357" s="547">
        <v>0</v>
      </c>
      <c r="S357" s="989">
        <f t="shared" si="28"/>
        <v>0</v>
      </c>
      <c r="T357" s="547">
        <f t="shared" si="28"/>
        <v>0</v>
      </c>
      <c r="U357" s="566"/>
      <c r="V357" s="567"/>
      <c r="W357" s="989">
        <f t="shared" si="29"/>
        <v>0</v>
      </c>
      <c r="X357" s="812">
        <f t="shared" si="27"/>
        <v>0</v>
      </c>
      <c r="Y357" s="835">
        <f t="shared" si="25"/>
        <v>0</v>
      </c>
    </row>
    <row r="358" spans="1:25" ht="27" customHeight="1">
      <c r="A358" s="531"/>
      <c r="B358" s="531"/>
      <c r="C358" s="529">
        <v>9</v>
      </c>
      <c r="D358" s="1027" t="s">
        <v>1250</v>
      </c>
      <c r="E358" s="1028" t="s">
        <v>1249</v>
      </c>
      <c r="F358" s="547">
        <v>-3065148</v>
      </c>
      <c r="G358" s="547"/>
      <c r="H358" s="547"/>
      <c r="I358" s="547">
        <v>3065148</v>
      </c>
      <c r="J358" s="547"/>
      <c r="K358" s="547"/>
      <c r="L358" s="547"/>
      <c r="M358" s="547"/>
      <c r="N358" s="547"/>
      <c r="O358" s="547"/>
      <c r="P358" s="547"/>
      <c r="Q358" s="989">
        <f t="shared" si="26"/>
        <v>0</v>
      </c>
      <c r="R358" s="547">
        <v>0</v>
      </c>
      <c r="S358" s="989">
        <f t="shared" si="28"/>
        <v>0</v>
      </c>
      <c r="T358" s="547">
        <f t="shared" si="28"/>
        <v>0</v>
      </c>
      <c r="U358" s="566"/>
      <c r="V358" s="567"/>
      <c r="W358" s="989">
        <f t="shared" si="29"/>
        <v>0</v>
      </c>
      <c r="X358" s="812">
        <f t="shared" si="27"/>
        <v>0</v>
      </c>
      <c r="Y358" s="835">
        <f t="shared" si="25"/>
        <v>0</v>
      </c>
    </row>
    <row r="359" spans="1:25" ht="27" customHeight="1">
      <c r="A359" s="531"/>
      <c r="B359" s="531">
        <v>902</v>
      </c>
      <c r="C359" s="529">
        <v>9</v>
      </c>
      <c r="D359" s="1027" t="s">
        <v>1122</v>
      </c>
      <c r="E359" s="1028" t="s">
        <v>1123</v>
      </c>
      <c r="F359" s="547">
        <v>-52636830546</v>
      </c>
      <c r="G359" s="547"/>
      <c r="H359" s="547">
        <v>-58096113372</v>
      </c>
      <c r="I359" s="547">
        <v>110732943918</v>
      </c>
      <c r="J359" s="547"/>
      <c r="K359" s="547"/>
      <c r="L359" s="547"/>
      <c r="M359" s="547"/>
      <c r="N359" s="547"/>
      <c r="O359" s="547"/>
      <c r="P359" s="547"/>
      <c r="Q359" s="989">
        <f t="shared" si="26"/>
        <v>0</v>
      </c>
      <c r="R359" s="547">
        <v>0</v>
      </c>
      <c r="S359" s="989">
        <f t="shared" si="28"/>
        <v>0</v>
      </c>
      <c r="T359" s="547">
        <f t="shared" si="28"/>
        <v>0</v>
      </c>
      <c r="U359" s="566"/>
      <c r="V359" s="567"/>
      <c r="W359" s="989">
        <f t="shared" si="29"/>
        <v>0</v>
      </c>
      <c r="X359" s="812">
        <f t="shared" si="27"/>
        <v>0</v>
      </c>
      <c r="Y359" s="835">
        <f t="shared" si="25"/>
        <v>0</v>
      </c>
    </row>
    <row r="360" spans="1:25" ht="27" customHeight="1">
      <c r="A360" s="531"/>
      <c r="B360" s="531"/>
      <c r="C360" s="529">
        <v>9</v>
      </c>
      <c r="D360" s="1027" t="s">
        <v>1251</v>
      </c>
      <c r="E360" s="1028" t="s">
        <v>1252</v>
      </c>
      <c r="F360" s="547"/>
      <c r="G360" s="547"/>
      <c r="H360" s="547"/>
      <c r="I360" s="547"/>
      <c r="J360" s="547"/>
      <c r="K360" s="547"/>
      <c r="L360" s="547"/>
      <c r="M360" s="547"/>
      <c r="N360" s="547"/>
      <c r="O360" s="547"/>
      <c r="P360" s="547"/>
      <c r="Q360" s="989">
        <f t="shared" si="26"/>
        <v>0</v>
      </c>
      <c r="R360" s="547">
        <v>0</v>
      </c>
      <c r="S360" s="989">
        <f t="shared" si="28"/>
        <v>0</v>
      </c>
      <c r="T360" s="547">
        <f t="shared" si="28"/>
        <v>0</v>
      </c>
      <c r="U360" s="566"/>
      <c r="V360" s="567"/>
      <c r="W360" s="989">
        <f t="shared" si="29"/>
        <v>0</v>
      </c>
      <c r="X360" s="812">
        <f t="shared" si="27"/>
        <v>0</v>
      </c>
      <c r="Y360" s="835">
        <f t="shared" si="25"/>
        <v>0</v>
      </c>
    </row>
    <row r="361" spans="1:25" ht="27" customHeight="1">
      <c r="A361" s="531"/>
      <c r="B361" s="531">
        <v>902</v>
      </c>
      <c r="C361" s="529">
        <v>9</v>
      </c>
      <c r="D361" s="1027" t="s">
        <v>1124</v>
      </c>
      <c r="E361" s="1028" t="s">
        <v>1125</v>
      </c>
      <c r="F361" s="547">
        <v>-44459263583</v>
      </c>
      <c r="G361" s="547">
        <v>-219363014</v>
      </c>
      <c r="H361" s="547">
        <v>-234342017</v>
      </c>
      <c r="I361" s="547">
        <v>44912968614</v>
      </c>
      <c r="J361" s="547"/>
      <c r="K361" s="547"/>
      <c r="L361" s="547"/>
      <c r="M361" s="547"/>
      <c r="N361" s="547"/>
      <c r="O361" s="547"/>
      <c r="P361" s="547"/>
      <c r="Q361" s="989">
        <f t="shared" si="26"/>
        <v>0</v>
      </c>
      <c r="R361" s="547">
        <v>0</v>
      </c>
      <c r="S361" s="989">
        <f t="shared" si="28"/>
        <v>0</v>
      </c>
      <c r="T361" s="547">
        <f t="shared" si="28"/>
        <v>0</v>
      </c>
      <c r="U361" s="566"/>
      <c r="V361" s="567"/>
      <c r="W361" s="989">
        <f t="shared" si="29"/>
        <v>0</v>
      </c>
      <c r="X361" s="812">
        <f t="shared" si="27"/>
        <v>0</v>
      </c>
      <c r="Y361" s="835">
        <f t="shared" si="25"/>
        <v>0</v>
      </c>
    </row>
    <row r="362" spans="1:25" ht="27" customHeight="1">
      <c r="A362" s="531"/>
      <c r="B362" s="531"/>
      <c r="C362" s="529">
        <v>9</v>
      </c>
      <c r="D362" s="1027" t="s">
        <v>1199</v>
      </c>
      <c r="E362" s="1028" t="s">
        <v>1200</v>
      </c>
      <c r="F362" s="547"/>
      <c r="G362" s="547"/>
      <c r="H362" s="547"/>
      <c r="I362" s="547"/>
      <c r="J362" s="547"/>
      <c r="K362" s="547"/>
      <c r="L362" s="547"/>
      <c r="M362" s="547"/>
      <c r="N362" s="547"/>
      <c r="O362" s="547"/>
      <c r="P362" s="547"/>
      <c r="Q362" s="989">
        <f t="shared" si="26"/>
        <v>0</v>
      </c>
      <c r="R362" s="547">
        <v>0</v>
      </c>
      <c r="S362" s="989">
        <f t="shared" si="28"/>
        <v>0</v>
      </c>
      <c r="T362" s="547">
        <f t="shared" si="28"/>
        <v>0</v>
      </c>
      <c r="U362" s="566"/>
      <c r="V362" s="567"/>
      <c r="W362" s="989">
        <f t="shared" si="29"/>
        <v>0</v>
      </c>
      <c r="X362" s="812">
        <f t="shared" si="27"/>
        <v>0</v>
      </c>
      <c r="Y362" s="835">
        <f t="shared" si="25"/>
        <v>0</v>
      </c>
    </row>
    <row r="363" spans="1:25" ht="27" customHeight="1">
      <c r="A363" s="531"/>
      <c r="B363" s="531">
        <v>902</v>
      </c>
      <c r="C363" s="529">
        <v>9</v>
      </c>
      <c r="D363" s="1027" t="s">
        <v>151</v>
      </c>
      <c r="E363" s="1028" t="s">
        <v>914</v>
      </c>
      <c r="F363" s="547">
        <v>-20292975593684</v>
      </c>
      <c r="G363" s="547"/>
      <c r="H363" s="547">
        <v>-15660926</v>
      </c>
      <c r="I363" s="547">
        <v>-1474728602024</v>
      </c>
      <c r="J363" s="547"/>
      <c r="K363" s="547"/>
      <c r="L363" s="547"/>
      <c r="M363" s="547"/>
      <c r="N363" s="547"/>
      <c r="O363" s="547"/>
      <c r="P363" s="547"/>
      <c r="Q363" s="989">
        <f t="shared" si="26"/>
        <v>-21767719856634</v>
      </c>
      <c r="R363" s="547">
        <v>-20302184535016</v>
      </c>
      <c r="S363" s="989">
        <f>ROUND((Q363/1000000),0)</f>
        <v>-21767720</v>
      </c>
      <c r="T363" s="547">
        <f t="shared" si="28"/>
        <v>-20302185</v>
      </c>
      <c r="U363" s="566"/>
      <c r="V363" s="567"/>
      <c r="W363" s="989">
        <f t="shared" si="29"/>
        <v>-21767719856634</v>
      </c>
      <c r="X363" s="812">
        <f t="shared" si="27"/>
        <v>-21767720</v>
      </c>
      <c r="Y363" s="835">
        <f t="shared" si="25"/>
        <v>0</v>
      </c>
    </row>
    <row r="364" spans="1:25" ht="27" customHeight="1">
      <c r="A364" s="531"/>
      <c r="B364" s="531"/>
      <c r="C364" s="529">
        <v>9</v>
      </c>
      <c r="D364" s="1027" t="s">
        <v>1253</v>
      </c>
      <c r="E364" s="1028" t="s">
        <v>1254</v>
      </c>
      <c r="F364" s="547"/>
      <c r="G364" s="547"/>
      <c r="H364" s="547"/>
      <c r="I364" s="547"/>
      <c r="J364" s="547"/>
      <c r="K364" s="547"/>
      <c r="L364" s="547"/>
      <c r="M364" s="547"/>
      <c r="N364" s="547"/>
      <c r="O364" s="547"/>
      <c r="P364" s="547"/>
      <c r="Q364" s="989">
        <f t="shared" si="26"/>
        <v>0</v>
      </c>
      <c r="R364" s="547">
        <v>0</v>
      </c>
      <c r="S364" s="989">
        <f t="shared" si="28"/>
        <v>0</v>
      </c>
      <c r="T364" s="547">
        <f t="shared" si="28"/>
        <v>0</v>
      </c>
      <c r="U364" s="566"/>
      <c r="V364" s="567"/>
      <c r="W364" s="989">
        <f t="shared" si="29"/>
        <v>0</v>
      </c>
      <c r="X364" s="812">
        <f t="shared" si="27"/>
        <v>0</v>
      </c>
      <c r="Y364" s="835">
        <f t="shared" si="25"/>
        <v>0</v>
      </c>
    </row>
    <row r="365" spans="1:25" ht="27" customHeight="1">
      <c r="A365" s="531"/>
      <c r="B365" s="531">
        <v>902</v>
      </c>
      <c r="C365" s="529">
        <v>9</v>
      </c>
      <c r="D365" s="1027" t="s">
        <v>1126</v>
      </c>
      <c r="E365" s="1028" t="s">
        <v>1127</v>
      </c>
      <c r="F365" s="547">
        <v>-8322279007</v>
      </c>
      <c r="G365" s="547"/>
      <c r="H365" s="547"/>
      <c r="I365" s="547">
        <v>8322279007</v>
      </c>
      <c r="J365" s="547"/>
      <c r="K365" s="547"/>
      <c r="L365" s="547"/>
      <c r="M365" s="547"/>
      <c r="N365" s="547"/>
      <c r="O365" s="547"/>
      <c r="P365" s="547"/>
      <c r="Q365" s="989">
        <f t="shared" si="26"/>
        <v>0</v>
      </c>
      <c r="R365" s="547">
        <v>0</v>
      </c>
      <c r="S365" s="989">
        <f t="shared" si="28"/>
        <v>0</v>
      </c>
      <c r="T365" s="547">
        <f t="shared" si="28"/>
        <v>0</v>
      </c>
      <c r="U365" s="566"/>
      <c r="V365" s="567"/>
      <c r="W365" s="989">
        <f t="shared" si="29"/>
        <v>0</v>
      </c>
      <c r="X365" s="812">
        <f t="shared" si="27"/>
        <v>0</v>
      </c>
      <c r="Y365" s="835">
        <f t="shared" si="25"/>
        <v>0</v>
      </c>
    </row>
    <row r="366" spans="1:25" ht="27" customHeight="1">
      <c r="A366" s="531"/>
      <c r="B366" s="531">
        <v>903</v>
      </c>
      <c r="C366" s="529">
        <v>9</v>
      </c>
      <c r="D366" s="1027" t="s">
        <v>509</v>
      </c>
      <c r="E366" s="1028" t="s">
        <v>921</v>
      </c>
      <c r="F366" s="547">
        <v>-674076924248</v>
      </c>
      <c r="G366" s="547"/>
      <c r="H366" s="547">
        <v>15660926</v>
      </c>
      <c r="I366" s="547">
        <v>-85978636747</v>
      </c>
      <c r="J366" s="547"/>
      <c r="K366" s="547">
        <v>39832093</v>
      </c>
      <c r="L366" s="547"/>
      <c r="M366" s="547"/>
      <c r="N366" s="547"/>
      <c r="O366" s="547"/>
      <c r="P366" s="547"/>
      <c r="Q366" s="989">
        <f t="shared" si="26"/>
        <v>-760000067976</v>
      </c>
      <c r="R366" s="547">
        <v>-674076924248</v>
      </c>
      <c r="S366" s="989">
        <f t="shared" si="28"/>
        <v>-760000</v>
      </c>
      <c r="T366" s="547">
        <f t="shared" si="28"/>
        <v>-674077</v>
      </c>
      <c r="U366" s="566"/>
      <c r="V366" s="567"/>
      <c r="W366" s="989">
        <f t="shared" si="29"/>
        <v>-760000067976</v>
      </c>
      <c r="X366" s="812">
        <f t="shared" si="27"/>
        <v>-760000</v>
      </c>
      <c r="Y366" s="835">
        <f t="shared" si="25"/>
        <v>0</v>
      </c>
    </row>
    <row r="367" spans="1:25" ht="27" customHeight="1">
      <c r="A367" s="531"/>
      <c r="B367" s="531">
        <v>903</v>
      </c>
      <c r="C367" s="529">
        <v>9</v>
      </c>
      <c r="D367" s="1027" t="s">
        <v>1128</v>
      </c>
      <c r="E367" s="1028" t="s">
        <v>1133</v>
      </c>
      <c r="F367" s="547">
        <v>-92165699205</v>
      </c>
      <c r="G367" s="547">
        <v>-1319247131</v>
      </c>
      <c r="H367" s="547">
        <v>-184641114</v>
      </c>
      <c r="I367" s="547">
        <v>93669587450</v>
      </c>
      <c r="J367" s="547"/>
      <c r="K367" s="547"/>
      <c r="L367" s="547"/>
      <c r="M367" s="547"/>
      <c r="N367" s="547"/>
      <c r="O367" s="547"/>
      <c r="P367" s="547"/>
      <c r="Q367" s="989">
        <f t="shared" si="26"/>
        <v>0</v>
      </c>
      <c r="R367" s="547">
        <v>0</v>
      </c>
      <c r="S367" s="989">
        <f t="shared" si="28"/>
        <v>0</v>
      </c>
      <c r="T367" s="547">
        <f t="shared" si="28"/>
        <v>0</v>
      </c>
      <c r="U367" s="566"/>
      <c r="V367" s="567"/>
      <c r="W367" s="989">
        <f t="shared" si="29"/>
        <v>0</v>
      </c>
      <c r="X367" s="812">
        <f t="shared" si="27"/>
        <v>0</v>
      </c>
      <c r="Y367" s="835">
        <f t="shared" si="25"/>
        <v>0</v>
      </c>
    </row>
    <row r="368" spans="1:25" ht="27" customHeight="1">
      <c r="A368" s="531"/>
      <c r="B368" s="531">
        <v>903</v>
      </c>
      <c r="C368" s="529">
        <v>9</v>
      </c>
      <c r="D368" s="1027" t="s">
        <v>1129</v>
      </c>
      <c r="E368" s="1028" t="s">
        <v>1131</v>
      </c>
      <c r="F368" s="547">
        <v>4900686036</v>
      </c>
      <c r="G368" s="547">
        <v>36736049</v>
      </c>
      <c r="H368" s="547">
        <v>1548000</v>
      </c>
      <c r="I368" s="547">
        <v>-4938970085</v>
      </c>
      <c r="J368" s="547"/>
      <c r="K368" s="547"/>
      <c r="L368" s="547"/>
      <c r="M368" s="547"/>
      <c r="N368" s="547"/>
      <c r="O368" s="547"/>
      <c r="P368" s="547"/>
      <c r="Q368" s="989">
        <f t="shared" si="26"/>
        <v>0</v>
      </c>
      <c r="R368" s="547">
        <v>0</v>
      </c>
      <c r="S368" s="989">
        <f t="shared" si="28"/>
        <v>0</v>
      </c>
      <c r="T368" s="547">
        <f t="shared" si="28"/>
        <v>0</v>
      </c>
      <c r="U368" s="566"/>
      <c r="V368" s="567"/>
      <c r="W368" s="989">
        <f t="shared" si="29"/>
        <v>0</v>
      </c>
      <c r="X368" s="812">
        <f t="shared" si="27"/>
        <v>0</v>
      </c>
      <c r="Y368" s="835">
        <f t="shared" si="25"/>
        <v>0</v>
      </c>
    </row>
    <row r="369" spans="1:25" ht="27" customHeight="1">
      <c r="A369" s="531"/>
      <c r="B369" s="531"/>
      <c r="C369" s="529">
        <v>9</v>
      </c>
      <c r="D369" s="1027" t="s">
        <v>1130</v>
      </c>
      <c r="E369" s="1028" t="s">
        <v>1132</v>
      </c>
      <c r="F369" s="547"/>
      <c r="G369" s="547"/>
      <c r="H369" s="547"/>
      <c r="I369" s="547"/>
      <c r="J369" s="547"/>
      <c r="K369" s="547"/>
      <c r="L369" s="547"/>
      <c r="M369" s="547"/>
      <c r="N369" s="547"/>
      <c r="O369" s="547"/>
      <c r="P369" s="547"/>
      <c r="Q369" s="989">
        <f t="shared" si="26"/>
        <v>0</v>
      </c>
      <c r="R369" s="547">
        <v>0</v>
      </c>
      <c r="S369" s="989">
        <f t="shared" si="28"/>
        <v>0</v>
      </c>
      <c r="T369" s="547">
        <f t="shared" si="28"/>
        <v>0</v>
      </c>
      <c r="U369" s="566"/>
      <c r="V369" s="567"/>
      <c r="W369" s="989">
        <f t="shared" si="29"/>
        <v>0</v>
      </c>
      <c r="X369" s="812">
        <f t="shared" si="27"/>
        <v>0</v>
      </c>
      <c r="Y369" s="835">
        <f t="shared" si="25"/>
        <v>0</v>
      </c>
    </row>
    <row r="370" spans="1:25" ht="27" customHeight="1">
      <c r="A370" s="531"/>
      <c r="B370" s="531">
        <v>905</v>
      </c>
      <c r="C370" s="529">
        <v>9</v>
      </c>
      <c r="D370" s="1027" t="s">
        <v>287</v>
      </c>
      <c r="E370" s="1028" t="s">
        <v>918</v>
      </c>
      <c r="F370" s="547">
        <v>-484792774685</v>
      </c>
      <c r="G370" s="547"/>
      <c r="H370" s="547"/>
      <c r="I370" s="547">
        <v>-35769780247</v>
      </c>
      <c r="J370" s="547"/>
      <c r="K370" s="547">
        <v>531093766</v>
      </c>
      <c r="L370" s="547"/>
      <c r="M370" s="547"/>
      <c r="N370" s="547"/>
      <c r="O370" s="547"/>
      <c r="P370" s="547"/>
      <c r="Q370" s="989">
        <f t="shared" si="26"/>
        <v>-520031461166</v>
      </c>
      <c r="R370" s="547">
        <v>-484792774685</v>
      </c>
      <c r="S370" s="989">
        <f t="shared" si="28"/>
        <v>-520031</v>
      </c>
      <c r="T370" s="547">
        <f t="shared" si="28"/>
        <v>-484793</v>
      </c>
      <c r="U370" s="566"/>
      <c r="V370" s="567"/>
      <c r="W370" s="989">
        <f t="shared" si="29"/>
        <v>-520031461166</v>
      </c>
      <c r="X370" s="812">
        <f t="shared" si="27"/>
        <v>-520031</v>
      </c>
      <c r="Y370" s="835">
        <f t="shared" si="25"/>
        <v>0</v>
      </c>
    </row>
    <row r="371" spans="1:25" ht="27" customHeight="1">
      <c r="A371" s="531"/>
      <c r="B371" s="531">
        <v>905</v>
      </c>
      <c r="C371" s="529">
        <v>9</v>
      </c>
      <c r="D371" s="1027" t="s">
        <v>1134</v>
      </c>
      <c r="E371" s="1028" t="s">
        <v>1136</v>
      </c>
      <c r="F371" s="547">
        <v>-43580504701</v>
      </c>
      <c r="G371" s="547">
        <v>-522629717</v>
      </c>
      <c r="H371" s="547">
        <v>-86265271</v>
      </c>
      <c r="I371" s="547">
        <v>44189399689</v>
      </c>
      <c r="J371" s="547"/>
      <c r="K371" s="547"/>
      <c r="L371" s="547"/>
      <c r="M371" s="547"/>
      <c r="N371" s="547"/>
      <c r="O371" s="547"/>
      <c r="P371" s="547"/>
      <c r="Q371" s="989">
        <f t="shared" si="26"/>
        <v>0</v>
      </c>
      <c r="R371" s="547">
        <v>0</v>
      </c>
      <c r="S371" s="989">
        <f t="shared" si="28"/>
        <v>0</v>
      </c>
      <c r="T371" s="547">
        <f t="shared" si="28"/>
        <v>0</v>
      </c>
      <c r="U371" s="566"/>
      <c r="V371" s="567"/>
      <c r="W371" s="989">
        <f t="shared" si="29"/>
        <v>0</v>
      </c>
      <c r="X371" s="812">
        <f t="shared" si="27"/>
        <v>0</v>
      </c>
      <c r="Y371" s="835">
        <f t="shared" si="25"/>
        <v>0</v>
      </c>
    </row>
    <row r="372" spans="1:25" ht="27" customHeight="1">
      <c r="A372" s="531"/>
      <c r="B372" s="531">
        <v>905</v>
      </c>
      <c r="C372" s="529">
        <v>9</v>
      </c>
      <c r="D372" s="1027" t="s">
        <v>1135</v>
      </c>
      <c r="E372" s="1028" t="s">
        <v>1137</v>
      </c>
      <c r="F372" s="547">
        <v>5305155230</v>
      </c>
      <c r="G372" s="547"/>
      <c r="H372" s="547"/>
      <c r="I372" s="547">
        <v>-5305155230</v>
      </c>
      <c r="J372" s="547"/>
      <c r="K372" s="547"/>
      <c r="L372" s="547"/>
      <c r="M372" s="547"/>
      <c r="N372" s="547"/>
      <c r="O372" s="547"/>
      <c r="P372" s="547"/>
      <c r="Q372" s="989">
        <f t="shared" si="26"/>
        <v>0</v>
      </c>
      <c r="R372" s="547">
        <v>0</v>
      </c>
      <c r="S372" s="989">
        <f t="shared" si="28"/>
        <v>0</v>
      </c>
      <c r="T372" s="547">
        <f t="shared" si="28"/>
        <v>0</v>
      </c>
      <c r="U372" s="566"/>
      <c r="V372" s="567"/>
      <c r="W372" s="989">
        <f t="shared" si="29"/>
        <v>0</v>
      </c>
      <c r="X372" s="812">
        <f t="shared" si="27"/>
        <v>0</v>
      </c>
      <c r="Y372" s="835">
        <f t="shared" si="25"/>
        <v>0</v>
      </c>
    </row>
    <row r="373" spans="1:25" ht="27" customHeight="1">
      <c r="A373" s="531"/>
      <c r="B373" s="531"/>
      <c r="C373" s="529">
        <v>9</v>
      </c>
      <c r="D373" s="1027" t="s">
        <v>1021</v>
      </c>
      <c r="E373" s="1028" t="s">
        <v>1022</v>
      </c>
      <c r="F373" s="547"/>
      <c r="G373" s="547"/>
      <c r="H373" s="547"/>
      <c r="I373" s="547"/>
      <c r="J373" s="547"/>
      <c r="K373" s="547"/>
      <c r="L373" s="547"/>
      <c r="M373" s="547"/>
      <c r="N373" s="547"/>
      <c r="O373" s="547"/>
      <c r="P373" s="547"/>
      <c r="Q373" s="989">
        <f t="shared" si="26"/>
        <v>0</v>
      </c>
      <c r="R373" s="547">
        <v>0</v>
      </c>
      <c r="S373" s="989">
        <f t="shared" si="28"/>
        <v>0</v>
      </c>
      <c r="T373" s="547">
        <f t="shared" si="28"/>
        <v>0</v>
      </c>
      <c r="U373" s="566"/>
      <c r="V373" s="567"/>
      <c r="W373" s="989">
        <f t="shared" si="29"/>
        <v>0</v>
      </c>
      <c r="X373" s="812">
        <f t="shared" si="27"/>
        <v>0</v>
      </c>
      <c r="Y373" s="835">
        <f t="shared" si="25"/>
        <v>0</v>
      </c>
    </row>
    <row r="374" spans="1:25" ht="27" customHeight="1">
      <c r="A374" s="531"/>
      <c r="B374" s="531">
        <v>904</v>
      </c>
      <c r="C374" s="529">
        <v>9</v>
      </c>
      <c r="D374" s="1027" t="s">
        <v>289</v>
      </c>
      <c r="E374" s="1028" t="s">
        <v>916</v>
      </c>
      <c r="F374" s="547">
        <v>-209546263296</v>
      </c>
      <c r="G374" s="547"/>
      <c r="H374" s="547">
        <v>465345743</v>
      </c>
      <c r="I374" s="547">
        <v>-38084901592</v>
      </c>
      <c r="J374" s="547">
        <v>-5625000</v>
      </c>
      <c r="K374" s="547">
        <v>15000000</v>
      </c>
      <c r="L374" s="547"/>
      <c r="M374" s="547"/>
      <c r="N374" s="547"/>
      <c r="O374" s="547"/>
      <c r="P374" s="547"/>
      <c r="Q374" s="989">
        <f t="shared" si="26"/>
        <v>-247156444145</v>
      </c>
      <c r="R374" s="547">
        <v>-209546263296</v>
      </c>
      <c r="S374" s="989">
        <f t="shared" si="28"/>
        <v>-247156</v>
      </c>
      <c r="T374" s="547">
        <f t="shared" si="28"/>
        <v>-209546</v>
      </c>
      <c r="U374" s="566"/>
      <c r="V374" s="567"/>
      <c r="W374" s="989">
        <f t="shared" si="29"/>
        <v>-247156444145</v>
      </c>
      <c r="X374" s="812">
        <f t="shared" si="27"/>
        <v>-247156</v>
      </c>
      <c r="Y374" s="835">
        <f t="shared" si="25"/>
        <v>0</v>
      </c>
    </row>
    <row r="375" spans="1:25" ht="27" customHeight="1">
      <c r="A375" s="531"/>
      <c r="B375" s="531">
        <v>904</v>
      </c>
      <c r="C375" s="529">
        <v>9</v>
      </c>
      <c r="D375" s="1027" t="s">
        <v>1138</v>
      </c>
      <c r="E375" s="1028" t="s">
        <v>1141</v>
      </c>
      <c r="F375" s="547">
        <v>-35349800090</v>
      </c>
      <c r="G375" s="547">
        <v>-3192324675</v>
      </c>
      <c r="H375" s="547">
        <v>-191279556</v>
      </c>
      <c r="I375" s="547">
        <v>38733404321</v>
      </c>
      <c r="J375" s="547"/>
      <c r="K375" s="547"/>
      <c r="L375" s="547"/>
      <c r="M375" s="547"/>
      <c r="N375" s="547"/>
      <c r="O375" s="547"/>
      <c r="P375" s="547"/>
      <c r="Q375" s="989">
        <f t="shared" si="26"/>
        <v>0</v>
      </c>
      <c r="R375" s="547">
        <v>0</v>
      </c>
      <c r="S375" s="989">
        <f t="shared" si="28"/>
        <v>0</v>
      </c>
      <c r="T375" s="547">
        <f t="shared" si="28"/>
        <v>0</v>
      </c>
      <c r="U375" s="566"/>
      <c r="V375" s="567"/>
      <c r="W375" s="989">
        <f t="shared" si="29"/>
        <v>0</v>
      </c>
      <c r="X375" s="812">
        <f t="shared" si="27"/>
        <v>0</v>
      </c>
      <c r="Y375" s="835">
        <f t="shared" si="25"/>
        <v>0</v>
      </c>
    </row>
    <row r="376" spans="1:25" ht="27" customHeight="1">
      <c r="A376" s="531"/>
      <c r="B376" s="531">
        <v>904</v>
      </c>
      <c r="C376" s="529">
        <v>9</v>
      </c>
      <c r="D376" s="1027" t="s">
        <v>1139</v>
      </c>
      <c r="E376" s="1028" t="s">
        <v>1142</v>
      </c>
      <c r="F376" s="547">
        <v>829587532</v>
      </c>
      <c r="G376" s="547"/>
      <c r="H376" s="547"/>
      <c r="I376" s="547">
        <v>-829587532</v>
      </c>
      <c r="J376" s="547"/>
      <c r="K376" s="547"/>
      <c r="L376" s="547"/>
      <c r="M376" s="547"/>
      <c r="N376" s="547"/>
      <c r="O376" s="547"/>
      <c r="P376" s="547"/>
      <c r="Q376" s="989">
        <f t="shared" si="26"/>
        <v>0</v>
      </c>
      <c r="R376" s="547">
        <v>0</v>
      </c>
      <c r="S376" s="989">
        <f t="shared" si="28"/>
        <v>0</v>
      </c>
      <c r="T376" s="547">
        <f t="shared" si="28"/>
        <v>0</v>
      </c>
      <c r="U376" s="566"/>
      <c r="V376" s="567"/>
      <c r="W376" s="989">
        <f t="shared" si="29"/>
        <v>0</v>
      </c>
      <c r="X376" s="812">
        <f t="shared" si="27"/>
        <v>0</v>
      </c>
      <c r="Y376" s="835">
        <f t="shared" si="25"/>
        <v>0</v>
      </c>
    </row>
    <row r="377" spans="1:25" ht="27" customHeight="1">
      <c r="A377" s="531"/>
      <c r="B377" s="531">
        <v>904</v>
      </c>
      <c r="C377" s="529">
        <v>9</v>
      </c>
      <c r="D377" s="1027" t="s">
        <v>1140</v>
      </c>
      <c r="E377" s="1028" t="s">
        <v>1143</v>
      </c>
      <c r="F377" s="547"/>
      <c r="G377" s="547"/>
      <c r="H377" s="547"/>
      <c r="I377" s="547"/>
      <c r="J377" s="547"/>
      <c r="K377" s="547"/>
      <c r="L377" s="547"/>
      <c r="M377" s="547"/>
      <c r="N377" s="547"/>
      <c r="O377" s="547"/>
      <c r="P377" s="547"/>
      <c r="Q377" s="989">
        <f t="shared" si="26"/>
        <v>0</v>
      </c>
      <c r="R377" s="547">
        <v>0</v>
      </c>
      <c r="S377" s="989">
        <f t="shared" si="28"/>
        <v>0</v>
      </c>
      <c r="T377" s="547">
        <f t="shared" si="28"/>
        <v>0</v>
      </c>
      <c r="U377" s="566"/>
      <c r="V377" s="567"/>
      <c r="W377" s="989">
        <f t="shared" si="29"/>
        <v>0</v>
      </c>
      <c r="X377" s="812">
        <f t="shared" si="27"/>
        <v>0</v>
      </c>
      <c r="Y377" s="835">
        <f t="shared" si="25"/>
        <v>0</v>
      </c>
    </row>
    <row r="378" spans="1:25" ht="27" customHeight="1">
      <c r="A378" s="531"/>
      <c r="B378" s="531">
        <v>902</v>
      </c>
      <c r="C378" s="529">
        <v>9</v>
      </c>
      <c r="D378" s="1027" t="s">
        <v>1144</v>
      </c>
      <c r="E378" s="1028" t="s">
        <v>1146</v>
      </c>
      <c r="F378" s="547">
        <v>-5948283272</v>
      </c>
      <c r="G378" s="547"/>
      <c r="H378" s="547"/>
      <c r="I378" s="547">
        <v>5948283272</v>
      </c>
      <c r="J378" s="547"/>
      <c r="K378" s="547"/>
      <c r="L378" s="547"/>
      <c r="M378" s="547"/>
      <c r="N378" s="547"/>
      <c r="O378" s="547"/>
      <c r="P378" s="547"/>
      <c r="Q378" s="989">
        <f t="shared" si="26"/>
        <v>0</v>
      </c>
      <c r="R378" s="547">
        <v>0</v>
      </c>
      <c r="S378" s="989">
        <f t="shared" si="28"/>
        <v>0</v>
      </c>
      <c r="T378" s="547">
        <f t="shared" si="28"/>
        <v>0</v>
      </c>
      <c r="U378" s="566"/>
      <c r="V378" s="567"/>
      <c r="W378" s="989">
        <f t="shared" si="29"/>
        <v>0</v>
      </c>
      <c r="X378" s="812">
        <f t="shared" si="27"/>
        <v>0</v>
      </c>
      <c r="Y378" s="835">
        <f t="shared" si="25"/>
        <v>0</v>
      </c>
    </row>
    <row r="379" spans="1:25" ht="27" customHeight="1">
      <c r="A379" s="531"/>
      <c r="B379" s="531">
        <v>902</v>
      </c>
      <c r="C379" s="529">
        <v>9</v>
      </c>
      <c r="D379" s="1027" t="s">
        <v>1145</v>
      </c>
      <c r="E379" s="1028" t="s">
        <v>1147</v>
      </c>
      <c r="F379" s="547">
        <v>-1158794832</v>
      </c>
      <c r="G379" s="547"/>
      <c r="H379" s="547"/>
      <c r="I379" s="547">
        <v>1158794832</v>
      </c>
      <c r="J379" s="547"/>
      <c r="K379" s="547"/>
      <c r="L379" s="547"/>
      <c r="M379" s="547"/>
      <c r="N379" s="547"/>
      <c r="O379" s="547"/>
      <c r="P379" s="547"/>
      <c r="Q379" s="989">
        <f t="shared" si="26"/>
        <v>0</v>
      </c>
      <c r="R379" s="547">
        <v>0</v>
      </c>
      <c r="S379" s="989">
        <f t="shared" si="28"/>
        <v>0</v>
      </c>
      <c r="T379" s="547">
        <f t="shared" si="28"/>
        <v>0</v>
      </c>
      <c r="U379" s="566"/>
      <c r="V379" s="567"/>
      <c r="W379" s="989">
        <f t="shared" si="29"/>
        <v>0</v>
      </c>
      <c r="X379" s="812">
        <f t="shared" si="27"/>
        <v>0</v>
      </c>
      <c r="Y379" s="835">
        <f t="shared" si="25"/>
        <v>0</v>
      </c>
    </row>
    <row r="380" spans="1:25" ht="27" customHeight="1">
      <c r="A380" s="531"/>
      <c r="B380" s="531">
        <v>906</v>
      </c>
      <c r="C380" s="529">
        <v>9</v>
      </c>
      <c r="D380" s="1027" t="s">
        <v>770</v>
      </c>
      <c r="E380" s="1028" t="s">
        <v>772</v>
      </c>
      <c r="F380" s="547">
        <v>5650679411945</v>
      </c>
      <c r="G380" s="547">
        <v>21358877068</v>
      </c>
      <c r="H380" s="547">
        <v>-944328405254</v>
      </c>
      <c r="I380" s="547">
        <v>-65423759408</v>
      </c>
      <c r="J380" s="547">
        <v>-2111087732650</v>
      </c>
      <c r="K380" s="547">
        <f>-58225119505</f>
        <v>-58225119505</v>
      </c>
      <c r="L380" s="547">
        <v>92874000000</v>
      </c>
      <c r="M380" s="547">
        <v>-92874000000</v>
      </c>
      <c r="N380" s="547">
        <f>2634517227240-2541644857040-44043734674+22283416661</f>
        <v>71112052187</v>
      </c>
      <c r="O380" s="547"/>
      <c r="P380" s="547"/>
      <c r="Q380" s="989">
        <f t="shared" si="26"/>
        <v>2564085324383</v>
      </c>
      <c r="R380" s="547">
        <v>2492462923261</v>
      </c>
      <c r="S380" s="989">
        <f t="shared" si="28"/>
        <v>2564085</v>
      </c>
      <c r="T380" s="547">
        <f t="shared" si="28"/>
        <v>2492463</v>
      </c>
      <c r="U380" s="566"/>
      <c r="V380" s="567"/>
      <c r="W380" s="989">
        <f t="shared" si="29"/>
        <v>2564085324383</v>
      </c>
      <c r="X380" s="812">
        <f t="shared" si="27"/>
        <v>2564085</v>
      </c>
      <c r="Y380" s="835">
        <f t="shared" si="25"/>
        <v>0</v>
      </c>
    </row>
    <row r="381" spans="1:25" ht="27" customHeight="1">
      <c r="A381" s="531"/>
      <c r="B381" s="531"/>
      <c r="C381" s="529">
        <v>9</v>
      </c>
      <c r="D381" s="1027" t="s">
        <v>1013</v>
      </c>
      <c r="E381" s="1028" t="s">
        <v>1014</v>
      </c>
      <c r="F381" s="547">
        <v>5926026174</v>
      </c>
      <c r="G381" s="547">
        <v>-5889326174</v>
      </c>
      <c r="H381" s="547">
        <v>-36700000</v>
      </c>
      <c r="I381" s="547"/>
      <c r="J381" s="547"/>
      <c r="K381" s="547"/>
      <c r="L381" s="547"/>
      <c r="M381" s="547"/>
      <c r="N381" s="547"/>
      <c r="O381" s="547"/>
      <c r="P381" s="547"/>
      <c r="Q381" s="989">
        <f t="shared" si="26"/>
        <v>0</v>
      </c>
      <c r="R381" s="547">
        <v>0</v>
      </c>
      <c r="S381" s="989">
        <f t="shared" si="28"/>
        <v>0</v>
      </c>
      <c r="T381" s="547">
        <f t="shared" si="28"/>
        <v>0</v>
      </c>
      <c r="U381" s="566"/>
      <c r="V381" s="567"/>
      <c r="W381" s="989">
        <f t="shared" si="29"/>
        <v>0</v>
      </c>
      <c r="X381" s="812">
        <f t="shared" si="27"/>
        <v>0</v>
      </c>
      <c r="Y381" s="835">
        <f t="shared" si="25"/>
        <v>0</v>
      </c>
    </row>
    <row r="382" spans="1:25" ht="27" customHeight="1">
      <c r="A382" s="531"/>
      <c r="B382" s="531">
        <v>906</v>
      </c>
      <c r="C382" s="529">
        <v>9</v>
      </c>
      <c r="D382" s="1027" t="s">
        <v>771</v>
      </c>
      <c r="E382" s="1028" t="s">
        <v>773</v>
      </c>
      <c r="F382" s="547">
        <v>11998910000</v>
      </c>
      <c r="G382" s="547"/>
      <c r="H382" s="547"/>
      <c r="I382" s="547"/>
      <c r="J382" s="547"/>
      <c r="K382" s="547">
        <f>-9340000000-2658910000</f>
        <v>-11998910000</v>
      </c>
      <c r="L382" s="547"/>
      <c r="M382" s="547"/>
      <c r="N382" s="547"/>
      <c r="O382" s="547"/>
      <c r="P382" s="547"/>
      <c r="Q382" s="989">
        <f t="shared" si="26"/>
        <v>0</v>
      </c>
      <c r="R382" s="547">
        <v>11998910000</v>
      </c>
      <c r="S382" s="989">
        <f t="shared" si="28"/>
        <v>0</v>
      </c>
      <c r="T382" s="547">
        <f t="shared" si="28"/>
        <v>11999</v>
      </c>
      <c r="U382" s="566"/>
      <c r="V382" s="567"/>
      <c r="W382" s="989">
        <f t="shared" si="29"/>
        <v>0</v>
      </c>
      <c r="X382" s="812">
        <f t="shared" si="27"/>
        <v>0</v>
      </c>
      <c r="Y382" s="835">
        <f t="shared" si="25"/>
        <v>0</v>
      </c>
    </row>
    <row r="383" spans="1:25" ht="27" customHeight="1">
      <c r="A383" s="531"/>
      <c r="B383" s="531"/>
      <c r="C383" s="529">
        <v>7</v>
      </c>
      <c r="D383" s="1027" t="s">
        <v>291</v>
      </c>
      <c r="E383" s="1028" t="s">
        <v>495</v>
      </c>
      <c r="F383" s="547">
        <v>47500000</v>
      </c>
      <c r="G383" s="547"/>
      <c r="H383" s="547"/>
      <c r="I383" s="547"/>
      <c r="J383" s="547"/>
      <c r="K383" s="547"/>
      <c r="L383" s="547"/>
      <c r="M383" s="547"/>
      <c r="N383" s="547"/>
      <c r="O383" s="547"/>
      <c r="P383" s="547"/>
      <c r="Q383" s="989">
        <f t="shared" si="26"/>
        <v>47500000</v>
      </c>
      <c r="R383" s="547">
        <v>47500000</v>
      </c>
      <c r="S383" s="989">
        <f t="shared" si="28"/>
        <v>48</v>
      </c>
      <c r="T383" s="547">
        <f t="shared" si="28"/>
        <v>48</v>
      </c>
      <c r="U383" s="566"/>
      <c r="V383" s="567"/>
      <c r="W383" s="989">
        <f t="shared" si="29"/>
        <v>47500000</v>
      </c>
      <c r="X383" s="812">
        <f t="shared" si="27"/>
        <v>48</v>
      </c>
      <c r="Y383" s="835">
        <f t="shared" si="25"/>
        <v>0</v>
      </c>
    </row>
    <row r="384" spans="1:25" ht="27" customHeight="1">
      <c r="A384" s="531"/>
      <c r="B384" s="531">
        <v>421</v>
      </c>
      <c r="C384" s="529">
        <v>4</v>
      </c>
      <c r="D384" s="1027" t="s">
        <v>610</v>
      </c>
      <c r="E384" s="1028" t="s">
        <v>611</v>
      </c>
      <c r="F384" s="547">
        <v>20125875211</v>
      </c>
      <c r="G384" s="547"/>
      <c r="H384" s="547"/>
      <c r="I384" s="547"/>
      <c r="J384" s="547"/>
      <c r="K384" s="547"/>
      <c r="L384" s="547"/>
      <c r="M384" s="547"/>
      <c r="N384" s="547"/>
      <c r="O384" s="547"/>
      <c r="P384" s="547"/>
      <c r="Q384" s="989">
        <f t="shared" si="26"/>
        <v>20125875211</v>
      </c>
      <c r="R384" s="547">
        <v>28318794679</v>
      </c>
      <c r="S384" s="989">
        <f t="shared" si="28"/>
        <v>20126</v>
      </c>
      <c r="T384" s="547">
        <f t="shared" si="28"/>
        <v>28319</v>
      </c>
      <c r="U384" s="566"/>
      <c r="V384" s="567"/>
      <c r="W384" s="989">
        <f t="shared" si="29"/>
        <v>20125875211</v>
      </c>
      <c r="X384" s="812">
        <f t="shared" si="27"/>
        <v>20126</v>
      </c>
      <c r="Y384" s="835">
        <f t="shared" si="25"/>
        <v>0</v>
      </c>
    </row>
    <row r="385" spans="1:25" ht="27" customHeight="1">
      <c r="A385" s="531"/>
      <c r="B385" s="531">
        <v>410</v>
      </c>
      <c r="C385" s="529">
        <v>4</v>
      </c>
      <c r="D385" s="1027" t="s">
        <v>610</v>
      </c>
      <c r="E385" s="1028" t="s">
        <v>611</v>
      </c>
      <c r="F385" s="547"/>
      <c r="G385" s="547"/>
      <c r="H385" s="547"/>
      <c r="I385" s="547"/>
      <c r="J385" s="547"/>
      <c r="K385" s="547"/>
      <c r="L385" s="547"/>
      <c r="M385" s="547"/>
      <c r="N385" s="547"/>
      <c r="O385" s="547"/>
      <c r="P385" s="547"/>
      <c r="Q385" s="989">
        <f t="shared" si="26"/>
        <v>0</v>
      </c>
      <c r="R385" s="547">
        <v>0</v>
      </c>
      <c r="S385" s="989">
        <f t="shared" si="28"/>
        <v>0</v>
      </c>
      <c r="T385" s="547">
        <f t="shared" si="28"/>
        <v>0</v>
      </c>
      <c r="U385" s="566"/>
      <c r="V385" s="567"/>
      <c r="W385" s="989">
        <f t="shared" si="29"/>
        <v>0</v>
      </c>
      <c r="X385" s="812">
        <f t="shared" si="27"/>
        <v>0</v>
      </c>
      <c r="Y385" s="835">
        <f t="shared" si="25"/>
        <v>0</v>
      </c>
    </row>
    <row r="386" spans="1:25" ht="27" customHeight="1">
      <c r="A386" s="531"/>
      <c r="B386" s="531">
        <v>406</v>
      </c>
      <c r="C386" s="529">
        <v>4</v>
      </c>
      <c r="D386" s="1027" t="s">
        <v>893</v>
      </c>
      <c r="E386" s="1028" t="s">
        <v>894</v>
      </c>
      <c r="F386" s="547">
        <v>-11740275110</v>
      </c>
      <c r="G386" s="547"/>
      <c r="H386" s="547"/>
      <c r="I386" s="547">
        <v>11740275110</v>
      </c>
      <c r="J386" s="547"/>
      <c r="K386" s="547"/>
      <c r="L386" s="547"/>
      <c r="M386" s="547"/>
      <c r="N386" s="547"/>
      <c r="O386" s="547"/>
      <c r="P386" s="547"/>
      <c r="Q386" s="989">
        <f t="shared" si="26"/>
        <v>0</v>
      </c>
      <c r="R386" s="547">
        <v>0</v>
      </c>
      <c r="S386" s="989">
        <f t="shared" si="28"/>
        <v>0</v>
      </c>
      <c r="T386" s="547">
        <f t="shared" si="28"/>
        <v>0</v>
      </c>
      <c r="U386" s="566"/>
      <c r="V386" s="567"/>
      <c r="W386" s="989">
        <f t="shared" si="29"/>
        <v>0</v>
      </c>
      <c r="X386" s="812">
        <f t="shared" si="27"/>
        <v>0</v>
      </c>
      <c r="Y386" s="835">
        <f t="shared" si="25"/>
        <v>0</v>
      </c>
    </row>
    <row r="387" spans="1:25" ht="27" customHeight="1">
      <c r="A387" s="531"/>
      <c r="B387" s="531">
        <v>506</v>
      </c>
      <c r="C387" s="529">
        <v>5</v>
      </c>
      <c r="D387" s="1027" t="s">
        <v>145</v>
      </c>
      <c r="E387" s="1028" t="s">
        <v>760</v>
      </c>
      <c r="F387" s="547">
        <v>214844387</v>
      </c>
      <c r="G387" s="547"/>
      <c r="H387" s="547"/>
      <c r="I387" s="547"/>
      <c r="J387" s="547"/>
      <c r="K387" s="547"/>
      <c r="L387" s="547"/>
      <c r="M387" s="547"/>
      <c r="N387" s="547"/>
      <c r="O387" s="547"/>
      <c r="P387" s="547"/>
      <c r="Q387" s="989">
        <f t="shared" si="26"/>
        <v>214844387</v>
      </c>
      <c r="R387" s="547">
        <v>214844387</v>
      </c>
      <c r="S387" s="989">
        <f t="shared" si="28"/>
        <v>215</v>
      </c>
      <c r="T387" s="547">
        <f t="shared" si="28"/>
        <v>215</v>
      </c>
      <c r="U387" s="566"/>
      <c r="V387" s="567"/>
      <c r="W387" s="989">
        <f t="shared" si="29"/>
        <v>214844387</v>
      </c>
      <c r="X387" s="812">
        <f t="shared" si="27"/>
        <v>215</v>
      </c>
      <c r="Y387" s="835">
        <f t="shared" si="25"/>
        <v>0</v>
      </c>
    </row>
    <row r="388" spans="1:25" ht="27" customHeight="1">
      <c r="A388" s="531"/>
      <c r="B388" s="531">
        <v>504</v>
      </c>
      <c r="C388" s="529">
        <v>5</v>
      </c>
      <c r="D388" s="1027" t="s">
        <v>119</v>
      </c>
      <c r="E388" s="1028" t="s">
        <v>1148</v>
      </c>
      <c r="F388" s="547">
        <v>25201431000</v>
      </c>
      <c r="G388" s="547"/>
      <c r="H388" s="547"/>
      <c r="I388" s="547">
        <v>3263364000</v>
      </c>
      <c r="J388" s="547"/>
      <c r="K388" s="547">
        <v>30000000</v>
      </c>
      <c r="L388" s="547"/>
      <c r="M388" s="547"/>
      <c r="N388" s="547"/>
      <c r="O388" s="547"/>
      <c r="P388" s="547"/>
      <c r="Q388" s="989">
        <f t="shared" si="26"/>
        <v>28494795000</v>
      </c>
      <c r="R388" s="547">
        <v>25201431000</v>
      </c>
      <c r="S388" s="989">
        <f>ROUND((Q388/1000000),0)</f>
        <v>28495</v>
      </c>
      <c r="T388" s="547">
        <f t="shared" si="28"/>
        <v>25201</v>
      </c>
      <c r="U388" s="566"/>
      <c r="V388" s="567"/>
      <c r="W388" s="989">
        <f t="shared" si="29"/>
        <v>28494795000</v>
      </c>
      <c r="X388" s="812">
        <f t="shared" si="27"/>
        <v>28495</v>
      </c>
      <c r="Y388" s="835">
        <f t="shared" ref="Y388:Y451" si="30">S388-X388</f>
        <v>0</v>
      </c>
    </row>
    <row r="389" spans="1:25" ht="27" customHeight="1">
      <c r="A389" s="531"/>
      <c r="B389" s="531">
        <v>1022</v>
      </c>
      <c r="C389" s="529">
        <v>4</v>
      </c>
      <c r="D389" s="1027" t="s">
        <v>121</v>
      </c>
      <c r="E389" s="1028" t="s">
        <v>1149</v>
      </c>
      <c r="F389" s="547"/>
      <c r="G389" s="547"/>
      <c r="H389" s="547"/>
      <c r="I389" s="547"/>
      <c r="J389" s="547"/>
      <c r="K389" s="547"/>
      <c r="L389" s="547"/>
      <c r="M389" s="547"/>
      <c r="N389" s="547"/>
      <c r="O389" s="547"/>
      <c r="P389" s="547"/>
      <c r="Q389" s="989">
        <f t="shared" si="26"/>
        <v>0</v>
      </c>
      <c r="R389" s="547">
        <v>-482985882900</v>
      </c>
      <c r="S389" s="989">
        <f>ROUND((Q389/1000000),0)</f>
        <v>0</v>
      </c>
      <c r="T389" s="547">
        <f t="shared" si="28"/>
        <v>-482986</v>
      </c>
      <c r="U389" s="566"/>
      <c r="V389" s="567"/>
      <c r="W389" s="989">
        <f t="shared" si="29"/>
        <v>0</v>
      </c>
      <c r="X389" s="812">
        <f t="shared" si="27"/>
        <v>0</v>
      </c>
      <c r="Y389" s="835">
        <f t="shared" si="30"/>
        <v>0</v>
      </c>
    </row>
    <row r="390" spans="1:25" ht="27" customHeight="1">
      <c r="A390" s="531"/>
      <c r="B390" s="531">
        <v>505</v>
      </c>
      <c r="C390" s="529">
        <v>5</v>
      </c>
      <c r="D390" s="1027" t="s">
        <v>123</v>
      </c>
      <c r="E390" s="1028" t="s">
        <v>124</v>
      </c>
      <c r="F390" s="547">
        <v>28711352244</v>
      </c>
      <c r="G390" s="547">
        <v>-229688937</v>
      </c>
      <c r="H390" s="547"/>
      <c r="I390" s="547"/>
      <c r="J390" s="547"/>
      <c r="K390" s="547"/>
      <c r="L390" s="547"/>
      <c r="M390" s="547"/>
      <c r="N390" s="547"/>
      <c r="O390" s="547"/>
      <c r="P390" s="547"/>
      <c r="Q390" s="989">
        <f t="shared" si="26"/>
        <v>28481663307</v>
      </c>
      <c r="R390" s="547">
        <v>1404891685</v>
      </c>
      <c r="S390" s="989">
        <f t="shared" si="28"/>
        <v>28482</v>
      </c>
      <c r="T390" s="547">
        <f t="shared" si="28"/>
        <v>1405</v>
      </c>
      <c r="U390" s="566"/>
      <c r="V390" s="567"/>
      <c r="W390" s="989">
        <f t="shared" si="29"/>
        <v>28481663307</v>
      </c>
      <c r="X390" s="812">
        <f t="shared" si="27"/>
        <v>28482</v>
      </c>
      <c r="Y390" s="835">
        <f t="shared" si="30"/>
        <v>0</v>
      </c>
    </row>
    <row r="391" spans="1:25" ht="27" customHeight="1">
      <c r="A391" s="531"/>
      <c r="B391" s="531"/>
      <c r="C391" s="529">
        <v>8</v>
      </c>
      <c r="D391" s="1027" t="s">
        <v>125</v>
      </c>
      <c r="E391" s="1028" t="s">
        <v>998</v>
      </c>
      <c r="F391" s="547">
        <v>67757910490</v>
      </c>
      <c r="G391" s="547">
        <v>5452800</v>
      </c>
      <c r="H391" s="547"/>
      <c r="I391" s="547"/>
      <c r="J391" s="547"/>
      <c r="K391" s="547"/>
      <c r="L391" s="547"/>
      <c r="M391" s="547"/>
      <c r="N391" s="547"/>
      <c r="O391" s="547"/>
      <c r="P391" s="547"/>
      <c r="Q391" s="989">
        <f t="shared" si="26"/>
        <v>67763363290</v>
      </c>
      <c r="R391" s="547">
        <v>60808081047</v>
      </c>
      <c r="S391" s="989">
        <f t="shared" si="28"/>
        <v>67763</v>
      </c>
      <c r="T391" s="547">
        <f t="shared" si="28"/>
        <v>60808</v>
      </c>
      <c r="U391" s="566"/>
      <c r="V391" s="567"/>
      <c r="W391" s="989">
        <f t="shared" si="29"/>
        <v>67763363290</v>
      </c>
      <c r="X391" s="812">
        <f t="shared" si="27"/>
        <v>67763</v>
      </c>
      <c r="Y391" s="835">
        <f t="shared" si="30"/>
        <v>0</v>
      </c>
    </row>
    <row r="392" spans="1:25" ht="27" customHeight="1">
      <c r="A392" s="531"/>
      <c r="B392" s="531">
        <v>406</v>
      </c>
      <c r="C392" s="529">
        <v>4</v>
      </c>
      <c r="D392" s="1027" t="s">
        <v>63</v>
      </c>
      <c r="E392" s="1028" t="s">
        <v>559</v>
      </c>
      <c r="F392" s="547">
        <v>20026101779</v>
      </c>
      <c r="G392" s="547"/>
      <c r="H392" s="547"/>
      <c r="I392" s="547"/>
      <c r="J392" s="547"/>
      <c r="K392" s="547"/>
      <c r="L392" s="547"/>
      <c r="M392" s="547"/>
      <c r="N392" s="547"/>
      <c r="O392" s="547"/>
      <c r="P392" s="547"/>
      <c r="Q392" s="989">
        <f t="shared" ref="Q392:Q457" si="31">SUM(F392:P392)</f>
        <v>20026101779</v>
      </c>
      <c r="R392" s="547">
        <v>19328166547</v>
      </c>
      <c r="S392" s="989">
        <f t="shared" si="28"/>
        <v>20026</v>
      </c>
      <c r="T392" s="547">
        <f t="shared" si="28"/>
        <v>19328</v>
      </c>
      <c r="U392" s="566"/>
      <c r="V392" s="567"/>
      <c r="W392" s="989">
        <f t="shared" si="29"/>
        <v>20026101779</v>
      </c>
      <c r="X392" s="812">
        <f t="shared" si="27"/>
        <v>20026</v>
      </c>
      <c r="Y392" s="835">
        <f t="shared" si="30"/>
        <v>0</v>
      </c>
    </row>
    <row r="393" spans="1:25" ht="27" customHeight="1">
      <c r="A393" s="531"/>
      <c r="B393" s="531">
        <v>606</v>
      </c>
      <c r="C393" s="529">
        <v>6</v>
      </c>
      <c r="D393" s="1027" t="s">
        <v>848</v>
      </c>
      <c r="E393" s="1028" t="s">
        <v>919</v>
      </c>
      <c r="F393" s="547">
        <v>7811858592</v>
      </c>
      <c r="G393" s="547">
        <v>9616532</v>
      </c>
      <c r="H393" s="547"/>
      <c r="I393" s="547"/>
      <c r="J393" s="547"/>
      <c r="K393" s="547"/>
      <c r="L393" s="547"/>
      <c r="M393" s="547"/>
      <c r="N393" s="547"/>
      <c r="O393" s="547"/>
      <c r="P393" s="547"/>
      <c r="Q393" s="989">
        <f t="shared" si="31"/>
        <v>7821475124</v>
      </c>
      <c r="R393" s="547">
        <v>7134640431</v>
      </c>
      <c r="S393" s="989">
        <f t="shared" si="28"/>
        <v>7821</v>
      </c>
      <c r="T393" s="547">
        <f t="shared" si="28"/>
        <v>7135</v>
      </c>
      <c r="U393" s="566"/>
      <c r="V393" s="567"/>
      <c r="W393" s="989">
        <f t="shared" si="29"/>
        <v>7821475124</v>
      </c>
      <c r="X393" s="812">
        <f t="shared" si="27"/>
        <v>7821</v>
      </c>
      <c r="Y393" s="835">
        <f t="shared" si="30"/>
        <v>0</v>
      </c>
    </row>
    <row r="394" spans="1:25" ht="27" customHeight="1">
      <c r="A394" s="531"/>
      <c r="B394" s="531">
        <v>604</v>
      </c>
      <c r="C394" s="529">
        <v>6</v>
      </c>
      <c r="D394" s="1027" t="s">
        <v>69</v>
      </c>
      <c r="E394" s="1028" t="s">
        <v>70</v>
      </c>
      <c r="F394" s="547">
        <v>223324836</v>
      </c>
      <c r="G394" s="547"/>
      <c r="H394" s="547"/>
      <c r="I394" s="547"/>
      <c r="J394" s="547"/>
      <c r="K394" s="547"/>
      <c r="L394" s="547"/>
      <c r="M394" s="547"/>
      <c r="N394" s="547"/>
      <c r="O394" s="547"/>
      <c r="P394" s="547"/>
      <c r="Q394" s="989">
        <f t="shared" si="31"/>
        <v>223324836</v>
      </c>
      <c r="R394" s="547">
        <v>218481346</v>
      </c>
      <c r="S394" s="989">
        <f t="shared" si="28"/>
        <v>223</v>
      </c>
      <c r="T394" s="547">
        <f t="shared" si="28"/>
        <v>218</v>
      </c>
      <c r="U394" s="566"/>
      <c r="V394" s="567"/>
      <c r="W394" s="989">
        <f t="shared" si="29"/>
        <v>223324836</v>
      </c>
      <c r="X394" s="812">
        <f t="shared" ref="X394:X468" si="32">ROUND((W394/1000000),0)</f>
        <v>223</v>
      </c>
      <c r="Y394" s="835">
        <f t="shared" si="30"/>
        <v>0</v>
      </c>
    </row>
    <row r="395" spans="1:25" ht="27" customHeight="1">
      <c r="A395" s="531"/>
      <c r="B395" s="531">
        <v>406</v>
      </c>
      <c r="C395" s="529">
        <v>4</v>
      </c>
      <c r="D395" s="1027" t="s">
        <v>1150</v>
      </c>
      <c r="E395" s="1028" t="s">
        <v>1151</v>
      </c>
      <c r="F395" s="547">
        <v>1348983865</v>
      </c>
      <c r="G395" s="547"/>
      <c r="H395" s="547"/>
      <c r="I395" s="547"/>
      <c r="J395" s="547"/>
      <c r="K395" s="547"/>
      <c r="L395" s="547"/>
      <c r="M395" s="547"/>
      <c r="N395" s="547"/>
      <c r="O395" s="547"/>
      <c r="P395" s="547"/>
      <c r="Q395" s="989">
        <f t="shared" si="31"/>
        <v>1348983865</v>
      </c>
      <c r="R395" s="547">
        <v>30648243865</v>
      </c>
      <c r="S395" s="989">
        <f>ROUND((Q395/1000000),0)</f>
        <v>1349</v>
      </c>
      <c r="T395" s="547">
        <f t="shared" si="28"/>
        <v>30648</v>
      </c>
      <c r="U395" s="566"/>
      <c r="V395" s="567"/>
      <c r="W395" s="989">
        <f t="shared" si="29"/>
        <v>1348983865</v>
      </c>
      <c r="X395" s="812">
        <f t="shared" si="32"/>
        <v>1349</v>
      </c>
      <c r="Y395" s="835">
        <f t="shared" si="30"/>
        <v>0</v>
      </c>
    </row>
    <row r="396" spans="1:25" ht="27" customHeight="1">
      <c r="A396" s="531"/>
      <c r="B396" s="531">
        <v>907</v>
      </c>
      <c r="C396" s="529">
        <v>9</v>
      </c>
      <c r="D396" s="1027" t="s">
        <v>71</v>
      </c>
      <c r="E396" s="1028" t="s">
        <v>72</v>
      </c>
      <c r="F396" s="547">
        <f>96857954057-83150719566+83150719566</f>
        <v>96857954057</v>
      </c>
      <c r="G396" s="547">
        <v>-56162528221</v>
      </c>
      <c r="H396" s="547"/>
      <c r="I396" s="547"/>
      <c r="J396" s="547">
        <v>-40695425836</v>
      </c>
      <c r="K396" s="547"/>
      <c r="L396" s="547"/>
      <c r="M396" s="547"/>
      <c r="N396" s="547"/>
      <c r="O396" s="547"/>
      <c r="P396" s="547"/>
      <c r="Q396" s="989">
        <f t="shared" si="31"/>
        <v>0</v>
      </c>
      <c r="R396" s="547">
        <v>83150719566</v>
      </c>
      <c r="S396" s="989">
        <f t="shared" si="28"/>
        <v>0</v>
      </c>
      <c r="T396" s="547">
        <f t="shared" si="28"/>
        <v>83151</v>
      </c>
      <c r="U396" s="566"/>
      <c r="V396" s="567"/>
      <c r="W396" s="989">
        <f t="shared" si="29"/>
        <v>0</v>
      </c>
      <c r="X396" s="812">
        <f t="shared" si="32"/>
        <v>0</v>
      </c>
      <c r="Y396" s="835">
        <f t="shared" si="30"/>
        <v>0</v>
      </c>
    </row>
    <row r="397" spans="1:25" ht="27" customHeight="1">
      <c r="A397" s="531">
        <v>3214</v>
      </c>
      <c r="B397" s="531">
        <v>907</v>
      </c>
      <c r="C397" s="529">
        <v>9</v>
      </c>
      <c r="D397" s="1027" t="s">
        <v>71</v>
      </c>
      <c r="E397" s="1028" t="s">
        <v>1437</v>
      </c>
      <c r="G397" s="547"/>
      <c r="H397" s="547"/>
      <c r="I397" s="547"/>
      <c r="J397" s="547">
        <f>21831258741+93299379574</f>
        <v>115130638315</v>
      </c>
      <c r="K397" s="547"/>
      <c r="L397" s="547"/>
      <c r="M397" s="547"/>
      <c r="N397" s="547">
        <v>-13652104197</v>
      </c>
      <c r="O397" s="547"/>
      <c r="P397" s="547"/>
      <c r="Q397" s="989">
        <f t="shared" si="31"/>
        <v>101478534118</v>
      </c>
      <c r="R397" s="547">
        <v>55701684041</v>
      </c>
      <c r="S397" s="989">
        <f t="shared" si="28"/>
        <v>101479</v>
      </c>
      <c r="T397" s="683">
        <f t="shared" si="28"/>
        <v>55702</v>
      </c>
      <c r="U397" s="566"/>
      <c r="V397" s="567"/>
      <c r="W397" s="989">
        <f t="shared" si="29"/>
        <v>101478534118</v>
      </c>
      <c r="X397" s="812">
        <f t="shared" si="32"/>
        <v>101479</v>
      </c>
      <c r="Y397" s="835">
        <f t="shared" si="30"/>
        <v>0</v>
      </c>
    </row>
    <row r="398" spans="1:25" ht="27" customHeight="1">
      <c r="A398" s="531">
        <v>6587</v>
      </c>
      <c r="B398" s="531">
        <v>907</v>
      </c>
      <c r="C398" s="529">
        <v>9</v>
      </c>
      <c r="D398" s="1027" t="s">
        <v>71</v>
      </c>
      <c r="E398" s="1028" t="s">
        <v>1668</v>
      </c>
      <c r="F398" s="547"/>
      <c r="G398" s="547"/>
      <c r="H398" s="547"/>
      <c r="I398" s="547"/>
      <c r="J398" s="547"/>
      <c r="K398" s="547"/>
      <c r="L398" s="547"/>
      <c r="M398" s="547"/>
      <c r="N398" s="547"/>
      <c r="O398" s="547"/>
      <c r="P398" s="547"/>
      <c r="Q398" s="989">
        <f>SUM(F398:P398)</f>
        <v>0</v>
      </c>
      <c r="R398" s="547">
        <v>-83150719566</v>
      </c>
      <c r="S398" s="989">
        <f t="shared" si="28"/>
        <v>0</v>
      </c>
      <c r="T398" s="547">
        <f t="shared" si="28"/>
        <v>-83151</v>
      </c>
      <c r="U398" s="566"/>
      <c r="V398" s="567"/>
      <c r="W398" s="989">
        <f t="shared" si="29"/>
        <v>0</v>
      </c>
      <c r="X398" s="812">
        <f t="shared" si="32"/>
        <v>0</v>
      </c>
      <c r="Y398" s="835">
        <f t="shared" si="30"/>
        <v>0</v>
      </c>
    </row>
    <row r="399" spans="1:25" ht="27" customHeight="1">
      <c r="A399" s="531"/>
      <c r="B399" s="531">
        <v>406</v>
      </c>
      <c r="C399" s="529">
        <v>4</v>
      </c>
      <c r="D399" s="1027" t="s">
        <v>73</v>
      </c>
      <c r="E399" s="1028" t="s">
        <v>74</v>
      </c>
      <c r="F399" s="547">
        <v>20133414434</v>
      </c>
      <c r="G399" s="547">
        <v>-1909418999</v>
      </c>
      <c r="H399" s="547">
        <v>-2582288537</v>
      </c>
      <c r="I399" s="547">
        <v>-85228100</v>
      </c>
      <c r="J399" s="547">
        <v>-3845000000</v>
      </c>
      <c r="K399" s="547"/>
      <c r="L399" s="547"/>
      <c r="M399" s="547"/>
      <c r="N399" s="547"/>
      <c r="O399" s="547"/>
      <c r="P399" s="547"/>
      <c r="Q399" s="989">
        <f t="shared" si="31"/>
        <v>11711478798</v>
      </c>
      <c r="R399" s="547">
        <v>11729386384</v>
      </c>
      <c r="S399" s="989">
        <f t="shared" si="28"/>
        <v>11711</v>
      </c>
      <c r="T399" s="547">
        <f t="shared" si="28"/>
        <v>11729</v>
      </c>
      <c r="U399" s="566"/>
      <c r="V399" s="567"/>
      <c r="W399" s="989">
        <f t="shared" si="29"/>
        <v>11711478798</v>
      </c>
      <c r="X399" s="812">
        <f t="shared" si="32"/>
        <v>11711</v>
      </c>
      <c r="Y399" s="835">
        <f t="shared" si="30"/>
        <v>0</v>
      </c>
    </row>
    <row r="400" spans="1:25" ht="27" customHeight="1">
      <c r="A400" s="531"/>
      <c r="B400" s="531">
        <v>605</v>
      </c>
      <c r="C400" s="529">
        <v>6</v>
      </c>
      <c r="D400" s="1027" t="s">
        <v>1152</v>
      </c>
      <c r="E400" s="1028" t="s">
        <v>1153</v>
      </c>
      <c r="F400" s="547">
        <v>693739541469</v>
      </c>
      <c r="G400" s="547"/>
      <c r="H400" s="547">
        <v>19008307</v>
      </c>
      <c r="I400" s="547"/>
      <c r="J400" s="547">
        <f>57960900-46753700</f>
        <v>11207200</v>
      </c>
      <c r="K400" s="547"/>
      <c r="L400" s="547"/>
      <c r="M400" s="547"/>
      <c r="N400" s="547"/>
      <c r="O400" s="547"/>
      <c r="P400" s="547"/>
      <c r="Q400" s="989">
        <f t="shared" si="31"/>
        <v>693769756976</v>
      </c>
      <c r="R400" s="547">
        <v>732169898345</v>
      </c>
      <c r="S400" s="989">
        <f>ROUND((Q400/1000000),0)</f>
        <v>693770</v>
      </c>
      <c r="T400" s="547">
        <f>ROUND((R400/1000000),0)</f>
        <v>732170</v>
      </c>
      <c r="U400" s="566"/>
      <c r="V400" s="567"/>
      <c r="W400" s="989">
        <f t="shared" si="29"/>
        <v>693769756976</v>
      </c>
      <c r="X400" s="812">
        <f t="shared" si="32"/>
        <v>693770</v>
      </c>
      <c r="Y400" s="835">
        <f t="shared" si="30"/>
        <v>0</v>
      </c>
    </row>
    <row r="401" spans="1:25" ht="27" customHeight="1">
      <c r="A401" s="531"/>
      <c r="B401" s="531">
        <v>406</v>
      </c>
      <c r="C401" s="529">
        <v>4</v>
      </c>
      <c r="D401" s="1027" t="s">
        <v>75</v>
      </c>
      <c r="E401" s="1028" t="s">
        <v>406</v>
      </c>
      <c r="F401" s="547">
        <v>7359182508</v>
      </c>
      <c r="G401" s="547">
        <v>-610116238</v>
      </c>
      <c r="H401" s="547"/>
      <c r="I401" s="547"/>
      <c r="J401" s="547"/>
      <c r="K401" s="547"/>
      <c r="L401" s="547"/>
      <c r="M401" s="547"/>
      <c r="N401" s="547"/>
      <c r="O401" s="547"/>
      <c r="P401" s="547"/>
      <c r="Q401" s="989">
        <f t="shared" si="31"/>
        <v>6749066270</v>
      </c>
      <c r="R401" s="547">
        <v>17655938276</v>
      </c>
      <c r="S401" s="989">
        <f t="shared" ref="S401:T437" si="33">ROUND((Q401/1000000),0)</f>
        <v>6749</v>
      </c>
      <c r="T401" s="547">
        <f t="shared" si="33"/>
        <v>17656</v>
      </c>
      <c r="U401" s="566"/>
      <c r="V401" s="567"/>
      <c r="W401" s="989">
        <f t="shared" si="29"/>
        <v>6749066270</v>
      </c>
      <c r="X401" s="812">
        <f t="shared" si="32"/>
        <v>6749</v>
      </c>
      <c r="Y401" s="835">
        <f t="shared" si="30"/>
        <v>0</v>
      </c>
    </row>
    <row r="402" spans="1:25" ht="27" customHeight="1">
      <c r="A402" s="531"/>
      <c r="B402" s="531">
        <v>406</v>
      </c>
      <c r="C402" s="529">
        <v>4</v>
      </c>
      <c r="D402" s="1027" t="s">
        <v>407</v>
      </c>
      <c r="E402" s="1028" t="s">
        <v>408</v>
      </c>
      <c r="F402" s="547">
        <v>199100360</v>
      </c>
      <c r="G402" s="547"/>
      <c r="H402" s="547"/>
      <c r="I402" s="547"/>
      <c r="J402" s="547"/>
      <c r="K402" s="547"/>
      <c r="L402" s="547"/>
      <c r="M402" s="547"/>
      <c r="N402" s="547"/>
      <c r="O402" s="547"/>
      <c r="P402" s="547"/>
      <c r="Q402" s="989">
        <f t="shared" si="31"/>
        <v>199100360</v>
      </c>
      <c r="R402" s="547">
        <v>199100360</v>
      </c>
      <c r="S402" s="989">
        <f t="shared" si="33"/>
        <v>199</v>
      </c>
      <c r="T402" s="547">
        <f t="shared" si="33"/>
        <v>199</v>
      </c>
      <c r="U402" s="566"/>
      <c r="V402" s="567"/>
      <c r="W402" s="989">
        <f t="shared" si="29"/>
        <v>199100360</v>
      </c>
      <c r="X402" s="812">
        <f t="shared" si="32"/>
        <v>199</v>
      </c>
      <c r="Y402" s="835">
        <f t="shared" si="30"/>
        <v>0</v>
      </c>
    </row>
    <row r="403" spans="1:25" ht="27" customHeight="1">
      <c r="A403" s="531"/>
      <c r="B403" s="531">
        <v>411</v>
      </c>
      <c r="C403" s="529">
        <v>4</v>
      </c>
      <c r="D403" s="1027" t="s">
        <v>409</v>
      </c>
      <c r="E403" s="1028" t="s">
        <v>410</v>
      </c>
      <c r="F403" s="547">
        <v>34803144697</v>
      </c>
      <c r="G403" s="547"/>
      <c r="H403" s="547">
        <v>-429173062</v>
      </c>
      <c r="I403" s="547"/>
      <c r="J403" s="547">
        <v>420000</v>
      </c>
      <c r="K403" s="547"/>
      <c r="L403" s="547"/>
      <c r="M403" s="547"/>
      <c r="N403" s="547"/>
      <c r="O403" s="547"/>
      <c r="P403" s="547"/>
      <c r="Q403" s="989">
        <f t="shared" si="31"/>
        <v>34374391635</v>
      </c>
      <c r="R403" s="547">
        <v>108343408969</v>
      </c>
      <c r="S403" s="989">
        <f t="shared" si="33"/>
        <v>34374</v>
      </c>
      <c r="T403" s="547">
        <f t="shared" si="33"/>
        <v>108343</v>
      </c>
      <c r="U403" s="566"/>
      <c r="V403" s="567"/>
      <c r="W403" s="989">
        <f t="shared" si="29"/>
        <v>34374391635</v>
      </c>
      <c r="X403" s="812">
        <f t="shared" si="32"/>
        <v>34374</v>
      </c>
      <c r="Y403" s="835">
        <f t="shared" si="30"/>
        <v>0</v>
      </c>
    </row>
    <row r="404" spans="1:25" ht="27" customHeight="1">
      <c r="A404" s="531">
        <v>3214</v>
      </c>
      <c r="B404" s="531">
        <v>408</v>
      </c>
      <c r="C404" s="529">
        <v>4</v>
      </c>
      <c r="D404" s="1027" t="s">
        <v>409</v>
      </c>
      <c r="E404" s="1028" t="s">
        <v>1627</v>
      </c>
      <c r="F404" s="547"/>
      <c r="G404" s="547"/>
      <c r="H404" s="547"/>
      <c r="I404" s="547"/>
      <c r="J404" s="547"/>
      <c r="K404" s="547"/>
      <c r="L404" s="547"/>
      <c r="M404" s="547"/>
      <c r="N404" s="547"/>
      <c r="O404" s="547"/>
      <c r="P404" s="547"/>
      <c r="Q404" s="989">
        <f t="shared" si="31"/>
        <v>0</v>
      </c>
      <c r="R404" s="547">
        <v>140701273587</v>
      </c>
      <c r="S404" s="989">
        <f t="shared" si="33"/>
        <v>0</v>
      </c>
      <c r="T404" s="547">
        <f t="shared" si="33"/>
        <v>140701</v>
      </c>
      <c r="U404" s="566"/>
      <c r="V404" s="567"/>
      <c r="W404" s="989">
        <f t="shared" si="29"/>
        <v>0</v>
      </c>
      <c r="X404" s="812">
        <f t="shared" si="32"/>
        <v>0</v>
      </c>
      <c r="Y404" s="835">
        <f t="shared" si="30"/>
        <v>0</v>
      </c>
    </row>
    <row r="405" spans="1:25" ht="27" customHeight="1">
      <c r="A405" s="531"/>
      <c r="B405" s="531">
        <v>907</v>
      </c>
      <c r="C405" s="529">
        <v>9</v>
      </c>
      <c r="D405" s="1027" t="s">
        <v>411</v>
      </c>
      <c r="E405" s="1028" t="s">
        <v>768</v>
      </c>
      <c r="F405" s="547">
        <f>363049887674</f>
        <v>363049887674</v>
      </c>
      <c r="G405" s="547">
        <v>-177922150</v>
      </c>
      <c r="H405" s="547">
        <v>-10547688057</v>
      </c>
      <c r="I405" s="547">
        <v>47122150</v>
      </c>
      <c r="J405" s="547">
        <f>1723882271834-1842910811576-308906189766+93299379574</f>
        <v>-334635349934</v>
      </c>
      <c r="K405" s="547">
        <f>9340000000+2658910000</f>
        <v>11998910000</v>
      </c>
      <c r="L405" s="547"/>
      <c r="M405" s="547"/>
      <c r="N405" s="547">
        <v>6208202422</v>
      </c>
      <c r="O405" s="547"/>
      <c r="P405" s="547"/>
      <c r="Q405" s="989">
        <f t="shared" si="31"/>
        <v>35943162105</v>
      </c>
      <c r="R405" s="547">
        <v>144555738443</v>
      </c>
      <c r="S405" s="989">
        <f t="shared" si="33"/>
        <v>35943</v>
      </c>
      <c r="T405" s="547">
        <f t="shared" si="33"/>
        <v>144556</v>
      </c>
      <c r="U405" s="566"/>
      <c r="V405" s="567"/>
      <c r="W405" s="989">
        <f t="shared" si="29"/>
        <v>35943162105</v>
      </c>
      <c r="X405" s="812">
        <f t="shared" si="32"/>
        <v>35943</v>
      </c>
      <c r="Y405" s="835">
        <f t="shared" si="30"/>
        <v>0</v>
      </c>
    </row>
    <row r="406" spans="1:25" ht="27" customHeight="1">
      <c r="A406" s="531">
        <v>3214</v>
      </c>
      <c r="B406" s="531">
        <v>907</v>
      </c>
      <c r="C406" s="529">
        <v>9</v>
      </c>
      <c r="D406" s="1027" t="s">
        <v>411</v>
      </c>
      <c r="E406" s="1028" t="s">
        <v>1628</v>
      </c>
      <c r="G406" s="547"/>
      <c r="H406" s="547"/>
      <c r="I406" s="547"/>
      <c r="J406" s="547">
        <f>1842910811576-93299379574</f>
        <v>1749611432002</v>
      </c>
      <c r="K406" s="547"/>
      <c r="L406" s="547"/>
      <c r="M406" s="547"/>
      <c r="N406" s="547">
        <f>105082250011+71272562026</f>
        <v>176354812037</v>
      </c>
      <c r="O406" s="547"/>
      <c r="P406" s="547"/>
      <c r="Q406" s="989">
        <f t="shared" si="31"/>
        <v>1925966244039</v>
      </c>
      <c r="R406" s="547">
        <v>148038750319</v>
      </c>
      <c r="S406" s="989">
        <f t="shared" si="33"/>
        <v>1925966</v>
      </c>
      <c r="T406" s="683">
        <f t="shared" si="33"/>
        <v>148039</v>
      </c>
      <c r="U406" s="566"/>
      <c r="V406" s="567"/>
      <c r="W406" s="989">
        <f t="shared" si="29"/>
        <v>1925966244039</v>
      </c>
      <c r="X406" s="812">
        <f t="shared" si="32"/>
        <v>1925966</v>
      </c>
      <c r="Y406" s="835">
        <f t="shared" si="30"/>
        <v>0</v>
      </c>
    </row>
    <row r="407" spans="1:25" ht="33.75" customHeight="1">
      <c r="A407" s="531">
        <v>6587</v>
      </c>
      <c r="B407" s="531">
        <v>907</v>
      </c>
      <c r="C407" s="529">
        <v>9</v>
      </c>
      <c r="D407" s="1027" t="s">
        <v>411</v>
      </c>
      <c r="E407" s="1029" t="s">
        <v>1632</v>
      </c>
      <c r="F407" s="547"/>
      <c r="G407" s="547"/>
      <c r="H407" s="547"/>
      <c r="I407" s="547"/>
      <c r="J407" s="547"/>
      <c r="K407" s="547"/>
      <c r="L407" s="547"/>
      <c r="M407" s="547"/>
      <c r="N407" s="547"/>
      <c r="O407" s="547"/>
      <c r="P407" s="547"/>
      <c r="Q407" s="989">
        <f>SUM(F407:P407)</f>
        <v>0</v>
      </c>
      <c r="R407" s="547">
        <v>-118977872339</v>
      </c>
      <c r="S407" s="989">
        <f t="shared" si="33"/>
        <v>0</v>
      </c>
      <c r="T407" s="547">
        <f t="shared" si="33"/>
        <v>-118978</v>
      </c>
      <c r="U407" s="566"/>
      <c r="V407" s="567"/>
      <c r="W407" s="989">
        <f t="shared" si="29"/>
        <v>0</v>
      </c>
      <c r="X407" s="812">
        <f t="shared" si="32"/>
        <v>0</v>
      </c>
      <c r="Y407" s="835">
        <f t="shared" si="30"/>
        <v>0</v>
      </c>
    </row>
    <row r="408" spans="1:25" ht="27" customHeight="1">
      <c r="A408" s="531"/>
      <c r="B408" s="531">
        <v>603</v>
      </c>
      <c r="C408" s="529">
        <v>6</v>
      </c>
      <c r="D408" s="1027" t="s">
        <v>353</v>
      </c>
      <c r="E408" s="1028" t="s">
        <v>354</v>
      </c>
      <c r="F408" s="547">
        <v>33644097242</v>
      </c>
      <c r="G408" s="547">
        <v>9382650</v>
      </c>
      <c r="H408" s="547"/>
      <c r="I408" s="547"/>
      <c r="J408" s="547"/>
      <c r="K408" s="547"/>
      <c r="L408" s="547"/>
      <c r="M408" s="547"/>
      <c r="N408" s="547"/>
      <c r="O408" s="547"/>
      <c r="P408" s="547"/>
      <c r="Q408" s="989">
        <f t="shared" si="31"/>
        <v>33653479892</v>
      </c>
      <c r="R408" s="547">
        <v>33840351343</v>
      </c>
      <c r="S408" s="989">
        <f t="shared" si="33"/>
        <v>33653</v>
      </c>
      <c r="T408" s="547">
        <f t="shared" si="33"/>
        <v>33840</v>
      </c>
      <c r="U408" s="566"/>
      <c r="V408" s="567"/>
      <c r="W408" s="989">
        <f t="shared" si="29"/>
        <v>33653479892</v>
      </c>
      <c r="X408" s="812">
        <f t="shared" si="32"/>
        <v>33653</v>
      </c>
      <c r="Y408" s="835">
        <f t="shared" si="30"/>
        <v>0</v>
      </c>
    </row>
    <row r="409" spans="1:25" ht="27" customHeight="1">
      <c r="A409" s="531"/>
      <c r="B409" s="531">
        <v>406</v>
      </c>
      <c r="C409" s="529">
        <v>4</v>
      </c>
      <c r="D409" s="1027" t="s">
        <v>355</v>
      </c>
      <c r="E409" s="1028" t="s">
        <v>356</v>
      </c>
      <c r="F409" s="547">
        <v>83549006</v>
      </c>
      <c r="G409" s="547"/>
      <c r="H409" s="547"/>
      <c r="I409" s="547"/>
      <c r="J409" s="547">
        <v>0</v>
      </c>
      <c r="K409" s="547"/>
      <c r="L409" s="547"/>
      <c r="M409" s="547"/>
      <c r="N409" s="547"/>
      <c r="O409" s="547"/>
      <c r="P409" s="547"/>
      <c r="Q409" s="989">
        <f t="shared" si="31"/>
        <v>83549006</v>
      </c>
      <c r="R409" s="547">
        <v>81193775</v>
      </c>
      <c r="S409" s="989">
        <f t="shared" si="33"/>
        <v>84</v>
      </c>
      <c r="T409" s="547">
        <f t="shared" si="33"/>
        <v>81</v>
      </c>
      <c r="U409" s="566"/>
      <c r="V409" s="567"/>
      <c r="W409" s="989">
        <f t="shared" si="29"/>
        <v>83549006</v>
      </c>
      <c r="X409" s="812">
        <f t="shared" si="32"/>
        <v>84</v>
      </c>
      <c r="Y409" s="835">
        <f t="shared" si="30"/>
        <v>0</v>
      </c>
    </row>
    <row r="410" spans="1:25" ht="27" customHeight="1">
      <c r="A410" s="531">
        <v>3214</v>
      </c>
      <c r="B410" s="531">
        <v>1015</v>
      </c>
      <c r="C410" s="529">
        <v>10</v>
      </c>
      <c r="D410" s="1027" t="s">
        <v>355</v>
      </c>
      <c r="E410" s="1028" t="s">
        <v>1440</v>
      </c>
      <c r="F410" s="547"/>
      <c r="G410" s="547"/>
      <c r="H410" s="547"/>
      <c r="I410" s="547"/>
      <c r="J410" s="547">
        <v>-42738271</v>
      </c>
      <c r="K410" s="547"/>
      <c r="L410" s="547"/>
      <c r="M410" s="547"/>
      <c r="N410" s="547"/>
      <c r="O410" s="547"/>
      <c r="P410" s="547"/>
      <c r="Q410" s="989">
        <f t="shared" si="31"/>
        <v>-42738271</v>
      </c>
      <c r="R410" s="547">
        <v>0</v>
      </c>
      <c r="S410" s="989">
        <f t="shared" si="33"/>
        <v>-43</v>
      </c>
      <c r="T410" s="547">
        <f t="shared" si="33"/>
        <v>0</v>
      </c>
      <c r="U410" s="566"/>
      <c r="V410" s="567"/>
      <c r="W410" s="989">
        <f t="shared" si="29"/>
        <v>-42738271</v>
      </c>
      <c r="X410" s="812">
        <f t="shared" si="32"/>
        <v>-43</v>
      </c>
      <c r="Y410" s="835">
        <f t="shared" si="30"/>
        <v>0</v>
      </c>
    </row>
    <row r="411" spans="1:25" ht="27" customHeight="1">
      <c r="A411" s="531"/>
      <c r="B411" s="531">
        <v>406</v>
      </c>
      <c r="C411" s="529">
        <v>4</v>
      </c>
      <c r="D411" s="1027" t="s">
        <v>1255</v>
      </c>
      <c r="E411" s="1028" t="s">
        <v>1256</v>
      </c>
      <c r="F411" s="547"/>
      <c r="G411" s="547"/>
      <c r="H411" s="547"/>
      <c r="I411" s="547"/>
      <c r="J411" s="547"/>
      <c r="K411" s="547"/>
      <c r="L411" s="547"/>
      <c r="M411" s="547"/>
      <c r="N411" s="547"/>
      <c r="O411" s="547"/>
      <c r="P411" s="547"/>
      <c r="Q411" s="989">
        <f t="shared" si="31"/>
        <v>0</v>
      </c>
      <c r="R411" s="547">
        <v>0</v>
      </c>
      <c r="S411" s="989">
        <f t="shared" si="33"/>
        <v>0</v>
      </c>
      <c r="T411" s="547">
        <f t="shared" si="33"/>
        <v>0</v>
      </c>
      <c r="U411" s="566"/>
      <c r="V411" s="567"/>
      <c r="W411" s="989">
        <f t="shared" si="29"/>
        <v>0</v>
      </c>
      <c r="X411" s="812">
        <f t="shared" si="32"/>
        <v>0</v>
      </c>
      <c r="Y411" s="835">
        <f t="shared" si="30"/>
        <v>0</v>
      </c>
    </row>
    <row r="412" spans="1:25" ht="27" customHeight="1">
      <c r="A412" s="531"/>
      <c r="B412" s="531">
        <v>1015</v>
      </c>
      <c r="C412" s="529">
        <v>10</v>
      </c>
      <c r="D412" s="1027" t="s">
        <v>357</v>
      </c>
      <c r="E412" s="1028" t="s">
        <v>358</v>
      </c>
      <c r="F412" s="547">
        <v>-45006975</v>
      </c>
      <c r="G412" s="547">
        <v>-31219208</v>
      </c>
      <c r="H412" s="547">
        <v>-730158</v>
      </c>
      <c r="I412" s="547">
        <v>-1448379</v>
      </c>
      <c r="J412" s="547"/>
      <c r="K412" s="547"/>
      <c r="L412" s="547"/>
      <c r="M412" s="547"/>
      <c r="N412" s="547"/>
      <c r="O412" s="547"/>
      <c r="P412" s="547"/>
      <c r="Q412" s="989">
        <f t="shared" si="31"/>
        <v>-78404720</v>
      </c>
      <c r="R412" s="547">
        <v>-1790648448</v>
      </c>
      <c r="S412" s="989">
        <f t="shared" si="33"/>
        <v>-78</v>
      </c>
      <c r="T412" s="547">
        <f t="shared" si="33"/>
        <v>-1791</v>
      </c>
      <c r="U412" s="566"/>
      <c r="V412" s="567"/>
      <c r="W412" s="989">
        <f t="shared" si="29"/>
        <v>-78404720</v>
      </c>
      <c r="X412" s="812">
        <f t="shared" si="32"/>
        <v>-78</v>
      </c>
      <c r="Y412" s="835">
        <f t="shared" si="30"/>
        <v>0</v>
      </c>
    </row>
    <row r="413" spans="1:25" ht="27" customHeight="1">
      <c r="A413" s="531"/>
      <c r="B413" s="531">
        <v>1015</v>
      </c>
      <c r="C413" s="529">
        <v>10</v>
      </c>
      <c r="D413" s="1027" t="s">
        <v>359</v>
      </c>
      <c r="E413" s="1028" t="s">
        <v>895</v>
      </c>
      <c r="F413" s="547"/>
      <c r="G413" s="547"/>
      <c r="H413" s="547"/>
      <c r="I413" s="547"/>
      <c r="J413" s="547"/>
      <c r="K413" s="547"/>
      <c r="L413" s="547"/>
      <c r="M413" s="547"/>
      <c r="N413" s="547"/>
      <c r="O413" s="547"/>
      <c r="P413" s="547"/>
      <c r="Q413" s="989">
        <f t="shared" si="31"/>
        <v>0</v>
      </c>
      <c r="R413" s="547">
        <v>0</v>
      </c>
      <c r="S413" s="989">
        <f t="shared" si="33"/>
        <v>0</v>
      </c>
      <c r="T413" s="547">
        <f t="shared" si="33"/>
        <v>0</v>
      </c>
      <c r="U413" s="566"/>
      <c r="V413" s="567"/>
      <c r="W413" s="989">
        <f t="shared" si="29"/>
        <v>0</v>
      </c>
      <c r="X413" s="812">
        <f t="shared" si="32"/>
        <v>0</v>
      </c>
      <c r="Y413" s="835">
        <f t="shared" si="30"/>
        <v>0</v>
      </c>
    </row>
    <row r="414" spans="1:25" ht="27" customHeight="1">
      <c r="A414" s="531"/>
      <c r="B414" s="531">
        <v>1015</v>
      </c>
      <c r="C414" s="529">
        <v>10</v>
      </c>
      <c r="D414" s="1027" t="s">
        <v>598</v>
      </c>
      <c r="E414" s="1028" t="s">
        <v>849</v>
      </c>
      <c r="F414" s="547">
        <v>-97583</v>
      </c>
      <c r="G414" s="547"/>
      <c r="H414" s="547"/>
      <c r="I414" s="547"/>
      <c r="J414" s="547"/>
      <c r="K414" s="547"/>
      <c r="L414" s="547"/>
      <c r="M414" s="547"/>
      <c r="N414" s="547"/>
      <c r="O414" s="547"/>
      <c r="P414" s="547"/>
      <c r="Q414" s="989">
        <f t="shared" si="31"/>
        <v>-97583</v>
      </c>
      <c r="R414" s="547">
        <v>-97583</v>
      </c>
      <c r="S414" s="989">
        <f t="shared" si="33"/>
        <v>0</v>
      </c>
      <c r="T414" s="547">
        <f t="shared" si="33"/>
        <v>0</v>
      </c>
      <c r="U414" s="566"/>
      <c r="V414" s="567"/>
      <c r="W414" s="989">
        <f t="shared" si="29"/>
        <v>-97583</v>
      </c>
      <c r="X414" s="812">
        <f t="shared" si="32"/>
        <v>0</v>
      </c>
      <c r="Y414" s="835">
        <f t="shared" si="30"/>
        <v>0</v>
      </c>
    </row>
    <row r="415" spans="1:25" ht="27" customHeight="1">
      <c r="A415" s="531"/>
      <c r="B415" s="531">
        <v>602</v>
      </c>
      <c r="C415" s="529">
        <v>6</v>
      </c>
      <c r="D415" s="1027" t="s">
        <v>600</v>
      </c>
      <c r="E415" s="1028" t="s">
        <v>601</v>
      </c>
      <c r="F415" s="547">
        <v>-33846000000</v>
      </c>
      <c r="G415" s="547"/>
      <c r="H415" s="547"/>
      <c r="I415" s="547"/>
      <c r="J415" s="547"/>
      <c r="K415" s="547"/>
      <c r="L415" s="547"/>
      <c r="M415" s="547"/>
      <c r="N415" s="547"/>
      <c r="O415" s="547"/>
      <c r="P415" s="547"/>
      <c r="Q415" s="989">
        <f t="shared" si="31"/>
        <v>-33846000000</v>
      </c>
      <c r="R415" s="547">
        <v>-33846261999</v>
      </c>
      <c r="S415" s="989">
        <f t="shared" si="33"/>
        <v>-33846</v>
      </c>
      <c r="T415" s="547">
        <f t="shared" si="33"/>
        <v>-33846</v>
      </c>
      <c r="U415" s="566"/>
      <c r="V415" s="683">
        <f>V500/4</f>
        <v>8270464946</v>
      </c>
      <c r="W415" s="989">
        <f>Q415-V415+U415</f>
        <v>-42116464946</v>
      </c>
      <c r="X415" s="812">
        <f t="shared" si="32"/>
        <v>-42116</v>
      </c>
      <c r="Y415" s="835">
        <f t="shared" si="30"/>
        <v>8270</v>
      </c>
    </row>
    <row r="416" spans="1:25" ht="27" customHeight="1">
      <c r="A416" s="531"/>
      <c r="B416" s="531">
        <v>1015</v>
      </c>
      <c r="C416" s="529">
        <v>10</v>
      </c>
      <c r="D416" s="1027" t="s">
        <v>1261</v>
      </c>
      <c r="E416" s="1028" t="s">
        <v>1256</v>
      </c>
      <c r="F416" s="547"/>
      <c r="G416" s="547"/>
      <c r="H416" s="547"/>
      <c r="I416" s="547"/>
      <c r="J416" s="547"/>
      <c r="K416" s="547"/>
      <c r="L416" s="547"/>
      <c r="M416" s="547"/>
      <c r="N416" s="547"/>
      <c r="O416" s="547"/>
      <c r="P416" s="547"/>
      <c r="Q416" s="989">
        <f t="shared" si="31"/>
        <v>0</v>
      </c>
      <c r="R416" s="547">
        <v>0</v>
      </c>
      <c r="S416" s="989">
        <f t="shared" si="33"/>
        <v>0</v>
      </c>
      <c r="T416" s="547">
        <f t="shared" si="33"/>
        <v>0</v>
      </c>
      <c r="U416" s="566"/>
      <c r="V416" s="567"/>
      <c r="W416" s="989">
        <f t="shared" si="29"/>
        <v>0</v>
      </c>
      <c r="X416" s="812">
        <f t="shared" si="32"/>
        <v>0</v>
      </c>
      <c r="Y416" s="835">
        <f t="shared" si="30"/>
        <v>0</v>
      </c>
    </row>
    <row r="417" spans="1:25" ht="27" customHeight="1">
      <c r="A417" s="531"/>
      <c r="B417" s="531">
        <v>406</v>
      </c>
      <c r="C417" s="529">
        <v>4</v>
      </c>
      <c r="D417" s="1027" t="s">
        <v>602</v>
      </c>
      <c r="E417" s="1028" t="s">
        <v>603</v>
      </c>
      <c r="F417" s="547">
        <v>267082190</v>
      </c>
      <c r="G417" s="547">
        <v>-39014116</v>
      </c>
      <c r="H417" s="547"/>
      <c r="I417" s="547"/>
      <c r="J417" s="547"/>
      <c r="K417" s="547"/>
      <c r="L417" s="547"/>
      <c r="M417" s="547"/>
      <c r="N417" s="547"/>
      <c r="O417" s="547"/>
      <c r="P417" s="547"/>
      <c r="Q417" s="989">
        <f t="shared" si="31"/>
        <v>228068074</v>
      </c>
      <c r="R417" s="547">
        <v>-150489188</v>
      </c>
      <c r="S417" s="989">
        <f t="shared" si="33"/>
        <v>228</v>
      </c>
      <c r="T417" s="547">
        <f t="shared" si="33"/>
        <v>-150</v>
      </c>
      <c r="U417" s="566"/>
      <c r="V417" s="567"/>
      <c r="W417" s="989">
        <f t="shared" si="29"/>
        <v>228068074</v>
      </c>
      <c r="X417" s="812">
        <f t="shared" si="32"/>
        <v>228</v>
      </c>
      <c r="Y417" s="835">
        <f t="shared" si="30"/>
        <v>0</v>
      </c>
    </row>
    <row r="418" spans="1:25" ht="27" customHeight="1">
      <c r="A418" s="531"/>
      <c r="B418" s="531">
        <v>406</v>
      </c>
      <c r="C418" s="529">
        <v>4</v>
      </c>
      <c r="D418" s="1027" t="s">
        <v>668</v>
      </c>
      <c r="E418" s="1028" t="s">
        <v>669</v>
      </c>
      <c r="F418" s="547"/>
      <c r="G418" s="547"/>
      <c r="H418" s="547"/>
      <c r="I418" s="547"/>
      <c r="J418" s="547"/>
      <c r="K418" s="547"/>
      <c r="L418" s="547"/>
      <c r="M418" s="547"/>
      <c r="N418" s="547"/>
      <c r="O418" s="547"/>
      <c r="P418" s="547"/>
      <c r="Q418" s="989">
        <f t="shared" si="31"/>
        <v>0</v>
      </c>
      <c r="R418" s="547">
        <v>0</v>
      </c>
      <c r="S418" s="989">
        <f t="shared" si="33"/>
        <v>0</v>
      </c>
      <c r="T418" s="547">
        <f t="shared" si="33"/>
        <v>0</v>
      </c>
      <c r="U418" s="566"/>
      <c r="V418" s="567"/>
      <c r="W418" s="989">
        <f t="shared" si="29"/>
        <v>0</v>
      </c>
      <c r="X418" s="812">
        <f t="shared" si="32"/>
        <v>0</v>
      </c>
      <c r="Y418" s="835">
        <f t="shared" si="30"/>
        <v>0</v>
      </c>
    </row>
    <row r="419" spans="1:25" ht="27" customHeight="1">
      <c r="A419" s="531"/>
      <c r="B419" s="531">
        <v>100201</v>
      </c>
      <c r="C419" s="529">
        <v>10</v>
      </c>
      <c r="D419" s="1027" t="s">
        <v>604</v>
      </c>
      <c r="E419" s="1028" t="s">
        <v>532</v>
      </c>
      <c r="F419" s="547"/>
      <c r="G419" s="547"/>
      <c r="H419" s="547"/>
      <c r="I419" s="547"/>
      <c r="J419" s="547"/>
      <c r="K419" s="547"/>
      <c r="L419" s="547"/>
      <c r="M419" s="547"/>
      <c r="N419" s="547"/>
      <c r="O419" s="547"/>
      <c r="P419" s="547"/>
      <c r="Q419" s="989">
        <f t="shared" si="31"/>
        <v>0</v>
      </c>
      <c r="R419" s="547">
        <v>-1669572741463</v>
      </c>
      <c r="S419" s="989">
        <f t="shared" si="33"/>
        <v>0</v>
      </c>
      <c r="T419" s="547">
        <f t="shared" si="33"/>
        <v>-1669573</v>
      </c>
      <c r="U419" s="566"/>
      <c r="V419" s="567"/>
      <c r="W419" s="989">
        <f t="shared" si="29"/>
        <v>0</v>
      </c>
      <c r="X419" s="812">
        <f t="shared" si="32"/>
        <v>0</v>
      </c>
      <c r="Y419" s="835">
        <f t="shared" si="30"/>
        <v>0</v>
      </c>
    </row>
    <row r="420" spans="1:25" ht="27" customHeight="1">
      <c r="A420" s="531"/>
      <c r="B420" s="531">
        <v>1018</v>
      </c>
      <c r="C420" s="529">
        <v>10</v>
      </c>
      <c r="D420" s="1027" t="s">
        <v>605</v>
      </c>
      <c r="E420" s="1028" t="s">
        <v>227</v>
      </c>
      <c r="F420" s="547">
        <v>-480100350</v>
      </c>
      <c r="G420" s="547">
        <v>5433448</v>
      </c>
      <c r="H420" s="547"/>
      <c r="I420" s="547"/>
      <c r="J420" s="547"/>
      <c r="K420" s="547"/>
      <c r="L420" s="547"/>
      <c r="M420" s="547"/>
      <c r="N420" s="547"/>
      <c r="O420" s="547"/>
      <c r="P420" s="547"/>
      <c r="Q420" s="989">
        <f t="shared" si="31"/>
        <v>-474666902</v>
      </c>
      <c r="R420" s="547">
        <v>-1024486022</v>
      </c>
      <c r="S420" s="989">
        <f t="shared" si="33"/>
        <v>-475</v>
      </c>
      <c r="T420" s="547">
        <f t="shared" si="33"/>
        <v>-1024</v>
      </c>
      <c r="U420" s="566"/>
      <c r="V420" s="567"/>
      <c r="W420" s="989">
        <f t="shared" si="29"/>
        <v>-474666902</v>
      </c>
      <c r="X420" s="812">
        <f t="shared" si="32"/>
        <v>-475</v>
      </c>
      <c r="Y420" s="835">
        <f t="shared" si="30"/>
        <v>0</v>
      </c>
    </row>
    <row r="421" spans="1:25" ht="27" customHeight="1">
      <c r="A421" s="531"/>
      <c r="B421" s="531">
        <v>1018</v>
      </c>
      <c r="C421" s="529">
        <v>10</v>
      </c>
      <c r="D421" s="1027" t="s">
        <v>999</v>
      </c>
      <c r="E421" s="1028" t="s">
        <v>1000</v>
      </c>
      <c r="F421" s="547">
        <v>-3305292369</v>
      </c>
      <c r="G421" s="547">
        <v>3242394689</v>
      </c>
      <c r="H421" s="547"/>
      <c r="I421" s="547"/>
      <c r="J421" s="547">
        <v>0</v>
      </c>
      <c r="K421" s="547"/>
      <c r="L421" s="547"/>
      <c r="M421" s="547"/>
      <c r="N421" s="547"/>
      <c r="O421" s="547"/>
      <c r="P421" s="547"/>
      <c r="Q421" s="989">
        <f t="shared" si="31"/>
        <v>-62897680</v>
      </c>
      <c r="R421" s="547">
        <v>-414891680</v>
      </c>
      <c r="S421" s="989">
        <f t="shared" si="33"/>
        <v>-63</v>
      </c>
      <c r="T421" s="547">
        <f t="shared" si="33"/>
        <v>-415</v>
      </c>
      <c r="U421" s="566"/>
      <c r="V421" s="567"/>
      <c r="W421" s="989">
        <f t="shared" si="29"/>
        <v>-62897680</v>
      </c>
      <c r="X421" s="812">
        <f t="shared" si="32"/>
        <v>-63</v>
      </c>
      <c r="Y421" s="835">
        <f t="shared" si="30"/>
        <v>0</v>
      </c>
    </row>
    <row r="422" spans="1:25" ht="27" customHeight="1">
      <c r="A422" s="531"/>
      <c r="B422" s="531">
        <v>1018</v>
      </c>
      <c r="C422" s="529">
        <v>10</v>
      </c>
      <c r="D422" s="1027" t="s">
        <v>515</v>
      </c>
      <c r="E422" s="1028" t="s">
        <v>516</v>
      </c>
      <c r="F422" s="547">
        <v>-362000000</v>
      </c>
      <c r="G422" s="547"/>
      <c r="H422" s="547"/>
      <c r="I422" s="547"/>
      <c r="J422" s="547"/>
      <c r="K422" s="547"/>
      <c r="L422" s="547"/>
      <c r="M422" s="547"/>
      <c r="N422" s="547"/>
      <c r="O422" s="547"/>
      <c r="P422" s="547"/>
      <c r="Q422" s="989">
        <f t="shared" si="31"/>
        <v>-362000000</v>
      </c>
      <c r="R422" s="547">
        <v>-362000000</v>
      </c>
      <c r="S422" s="989">
        <f t="shared" si="33"/>
        <v>-362</v>
      </c>
      <c r="T422" s="547">
        <f t="shared" si="33"/>
        <v>-362</v>
      </c>
      <c r="U422" s="566"/>
      <c r="V422" s="567"/>
      <c r="W422" s="989">
        <f t="shared" ref="W422:W498" si="34">Q422+V422-U422</f>
        <v>-362000000</v>
      </c>
      <c r="X422" s="812">
        <f t="shared" si="32"/>
        <v>-362</v>
      </c>
      <c r="Y422" s="835">
        <f t="shared" si="30"/>
        <v>0</v>
      </c>
    </row>
    <row r="423" spans="1:25" ht="27" customHeight="1">
      <c r="A423" s="531"/>
      <c r="B423" s="531">
        <v>1018</v>
      </c>
      <c r="C423" s="529">
        <v>10</v>
      </c>
      <c r="D423" s="1027" t="s">
        <v>1342</v>
      </c>
      <c r="E423" s="1028" t="s">
        <v>1343</v>
      </c>
      <c r="F423" s="547"/>
      <c r="G423" s="547"/>
      <c r="H423" s="547"/>
      <c r="I423" s="547"/>
      <c r="J423" s="547"/>
      <c r="K423" s="547"/>
      <c r="L423" s="547"/>
      <c r="M423" s="547"/>
      <c r="N423" s="547"/>
      <c r="O423" s="547"/>
      <c r="P423" s="547"/>
      <c r="Q423" s="989">
        <f t="shared" si="31"/>
        <v>0</v>
      </c>
      <c r="R423" s="547">
        <v>0</v>
      </c>
      <c r="S423" s="989">
        <f t="shared" si="33"/>
        <v>0</v>
      </c>
      <c r="T423" s="547">
        <f t="shared" si="33"/>
        <v>0</v>
      </c>
      <c r="U423" s="566"/>
      <c r="V423" s="567"/>
      <c r="W423" s="989">
        <f t="shared" si="34"/>
        <v>0</v>
      </c>
      <c r="X423" s="812">
        <f t="shared" si="32"/>
        <v>0</v>
      </c>
      <c r="Y423" s="835">
        <f t="shared" si="30"/>
        <v>0</v>
      </c>
    </row>
    <row r="424" spans="1:25" ht="27" customHeight="1">
      <c r="A424" s="531"/>
      <c r="B424" s="531">
        <v>1012</v>
      </c>
      <c r="C424" s="529">
        <v>10</v>
      </c>
      <c r="D424" s="1027" t="s">
        <v>18</v>
      </c>
      <c r="E424" s="1028" t="s">
        <v>228</v>
      </c>
      <c r="F424" s="547">
        <f>-3505858649985-F425-F426</f>
        <v>-1039798191051</v>
      </c>
      <c r="G424" s="547">
        <v>-150090389479</v>
      </c>
      <c r="H424" s="547">
        <v>-60008751797</v>
      </c>
      <c r="I424" s="547">
        <v>-134957247529</v>
      </c>
      <c r="J424" s="547">
        <v>1905984205</v>
      </c>
      <c r="K424" s="547"/>
      <c r="L424" s="547"/>
      <c r="M424" s="547"/>
      <c r="N424" s="547">
        <v>8650746810</v>
      </c>
      <c r="O424" s="547"/>
      <c r="P424" s="547"/>
      <c r="Q424" s="989">
        <f t="shared" si="31"/>
        <v>-1374297848841</v>
      </c>
      <c r="R424" s="547">
        <v>-616937220354</v>
      </c>
      <c r="S424" s="989">
        <f>ROUND((Q424/1000000),0)</f>
        <v>-1374298</v>
      </c>
      <c r="T424" s="547">
        <f t="shared" si="33"/>
        <v>-616937</v>
      </c>
      <c r="U424" s="566"/>
      <c r="V424" s="567"/>
      <c r="W424" s="989">
        <f t="shared" si="34"/>
        <v>-1374297848841</v>
      </c>
      <c r="X424" s="812">
        <f t="shared" si="32"/>
        <v>-1374298</v>
      </c>
      <c r="Y424" s="835">
        <f t="shared" si="30"/>
        <v>0</v>
      </c>
    </row>
    <row r="425" spans="1:25" ht="27" customHeight="1">
      <c r="A425" s="531">
        <v>6587</v>
      </c>
      <c r="B425" s="531">
        <v>100201</v>
      </c>
      <c r="C425" s="529">
        <v>10</v>
      </c>
      <c r="D425" s="1027" t="s">
        <v>1647</v>
      </c>
      <c r="E425" s="1028" t="s">
        <v>228</v>
      </c>
      <c r="F425" s="547">
        <v>-550234211283</v>
      </c>
      <c r="G425" s="547"/>
      <c r="H425" s="547"/>
      <c r="I425" s="547"/>
      <c r="J425" s="547">
        <v>-774019105141</v>
      </c>
      <c r="K425" s="547"/>
      <c r="L425" s="547"/>
      <c r="M425" s="547"/>
      <c r="N425" s="547"/>
      <c r="O425" s="547"/>
      <c r="P425" s="547"/>
      <c r="Q425" s="989">
        <f t="shared" si="31"/>
        <v>-1324253316424</v>
      </c>
      <c r="R425" s="547">
        <v>-534357106842</v>
      </c>
      <c r="S425" s="989">
        <f>ROUND((Q425/1000000),0)</f>
        <v>-1324253</v>
      </c>
      <c r="T425" s="547">
        <f t="shared" si="33"/>
        <v>-534357</v>
      </c>
      <c r="U425" s="566"/>
      <c r="V425" s="567"/>
      <c r="W425" s="989">
        <f t="shared" si="34"/>
        <v>-1324253316424</v>
      </c>
      <c r="X425" s="812">
        <f t="shared" si="32"/>
        <v>-1324253</v>
      </c>
      <c r="Y425" s="835">
        <f t="shared" si="30"/>
        <v>0</v>
      </c>
    </row>
    <row r="426" spans="1:25" ht="27" customHeight="1">
      <c r="A426" s="531">
        <v>6587</v>
      </c>
      <c r="B426" s="531">
        <v>100201</v>
      </c>
      <c r="C426" s="529">
        <v>10</v>
      </c>
      <c r="D426" s="1027" t="s">
        <v>1648</v>
      </c>
      <c r="E426" s="1028" t="s">
        <v>228</v>
      </c>
      <c r="F426" s="547">
        <v>-1915826247651</v>
      </c>
      <c r="G426" s="547"/>
      <c r="H426" s="547"/>
      <c r="I426" s="547"/>
      <c r="J426" s="547">
        <v>-607929392441</v>
      </c>
      <c r="K426" s="547"/>
      <c r="L426" s="547"/>
      <c r="M426" s="547"/>
      <c r="N426" s="547"/>
      <c r="O426" s="547"/>
      <c r="P426" s="547"/>
      <c r="Q426" s="989">
        <f t="shared" si="31"/>
        <v>-2523755640092</v>
      </c>
      <c r="R426" s="547">
        <v>-1931703352092</v>
      </c>
      <c r="S426" s="989">
        <f>ROUND((Q426/1000000),0)</f>
        <v>-2523756</v>
      </c>
      <c r="T426" s="547">
        <f t="shared" si="33"/>
        <v>-1931703</v>
      </c>
      <c r="U426" s="566"/>
      <c r="V426" s="567"/>
      <c r="W426" s="989">
        <f t="shared" si="34"/>
        <v>-2523755640092</v>
      </c>
      <c r="X426" s="812">
        <f t="shared" si="32"/>
        <v>-2523756</v>
      </c>
      <c r="Y426" s="835">
        <f t="shared" si="30"/>
        <v>0</v>
      </c>
    </row>
    <row r="427" spans="1:25" ht="27" customHeight="1">
      <c r="A427" s="531">
        <v>6587</v>
      </c>
      <c r="B427" s="531">
        <v>100201</v>
      </c>
      <c r="C427" s="529">
        <v>10</v>
      </c>
      <c r="D427" s="1027" t="s">
        <v>1712</v>
      </c>
      <c r="E427" s="1028" t="s">
        <v>228</v>
      </c>
      <c r="G427" s="547"/>
      <c r="H427" s="547"/>
      <c r="I427" s="547"/>
      <c r="J427" s="547">
        <v>-20242612958</v>
      </c>
      <c r="K427" s="547"/>
      <c r="L427" s="547"/>
      <c r="M427" s="547"/>
      <c r="N427" s="547"/>
      <c r="O427" s="547"/>
      <c r="P427" s="547"/>
      <c r="Q427" s="989">
        <f t="shared" si="31"/>
        <v>-20242612958</v>
      </c>
      <c r="R427" s="547"/>
      <c r="S427" s="989">
        <f>ROUND((Q427/1000000),0)</f>
        <v>-20243</v>
      </c>
      <c r="T427" s="547">
        <f t="shared" si="33"/>
        <v>0</v>
      </c>
      <c r="U427" s="566"/>
      <c r="V427" s="567"/>
      <c r="W427" s="989">
        <f t="shared" si="34"/>
        <v>-20242612958</v>
      </c>
      <c r="X427" s="812">
        <f t="shared" si="32"/>
        <v>-20243</v>
      </c>
      <c r="Y427" s="835">
        <f t="shared" si="30"/>
        <v>0</v>
      </c>
    </row>
    <row r="428" spans="1:25" ht="27" customHeight="1">
      <c r="A428" s="531">
        <v>3214</v>
      </c>
      <c r="B428" s="531">
        <v>100201</v>
      </c>
      <c r="C428" s="529">
        <v>10</v>
      </c>
      <c r="D428" s="1027" t="s">
        <v>18</v>
      </c>
      <c r="E428" s="1028" t="s">
        <v>228</v>
      </c>
      <c r="G428" s="547"/>
      <c r="H428" s="547"/>
      <c r="I428" s="547"/>
      <c r="J428" s="547">
        <v>-1681604898868</v>
      </c>
      <c r="K428" s="547"/>
      <c r="L428" s="547"/>
      <c r="M428" s="547"/>
      <c r="N428" s="547">
        <v>-1267144901</v>
      </c>
      <c r="O428" s="547"/>
      <c r="P428" s="547"/>
      <c r="Q428" s="989">
        <f t="shared" si="31"/>
        <v>-1682872043769</v>
      </c>
      <c r="R428" s="547"/>
      <c r="S428" s="989">
        <f>ROUND((Q428/1000000),0)</f>
        <v>-1682872</v>
      </c>
      <c r="T428" s="547">
        <f t="shared" si="33"/>
        <v>0</v>
      </c>
      <c r="U428" s="566"/>
      <c r="V428" s="567"/>
      <c r="W428" s="989">
        <f t="shared" si="34"/>
        <v>-1682872043769</v>
      </c>
      <c r="X428" s="812">
        <f t="shared" si="32"/>
        <v>-1682872</v>
      </c>
      <c r="Y428" s="835">
        <f t="shared" si="30"/>
        <v>0</v>
      </c>
    </row>
    <row r="429" spans="1:25" ht="27" customHeight="1">
      <c r="A429" s="531"/>
      <c r="B429" s="531">
        <v>405</v>
      </c>
      <c r="C429" s="529">
        <v>4</v>
      </c>
      <c r="D429" s="1027" t="s">
        <v>201</v>
      </c>
      <c r="E429" s="1028" t="s">
        <v>1405</v>
      </c>
      <c r="F429" s="547">
        <v>373429001453</v>
      </c>
      <c r="G429" s="547">
        <v>-99753032500</v>
      </c>
      <c r="H429" s="547"/>
      <c r="I429" s="547"/>
      <c r="J429" s="547"/>
      <c r="K429" s="547"/>
      <c r="L429" s="547"/>
      <c r="M429" s="547"/>
      <c r="N429" s="547"/>
      <c r="O429" s="547"/>
      <c r="P429" s="547"/>
      <c r="Q429" s="989">
        <f t="shared" si="31"/>
        <v>273675968953</v>
      </c>
      <c r="R429" s="547">
        <v>267175968953</v>
      </c>
      <c r="S429" s="989">
        <f t="shared" si="33"/>
        <v>273676</v>
      </c>
      <c r="T429" s="547">
        <f t="shared" si="33"/>
        <v>267176</v>
      </c>
      <c r="U429" s="566"/>
      <c r="V429" s="683">
        <f>V415*2</f>
        <v>16540929892</v>
      </c>
      <c r="W429" s="989">
        <f>Q429-V429+U429</f>
        <v>257135039061</v>
      </c>
      <c r="X429" s="812">
        <f t="shared" si="32"/>
        <v>257135</v>
      </c>
      <c r="Y429" s="835">
        <f t="shared" si="30"/>
        <v>16541</v>
      </c>
    </row>
    <row r="430" spans="1:25" ht="27" customHeight="1">
      <c r="A430" s="531"/>
      <c r="B430" s="531">
        <v>1401</v>
      </c>
      <c r="C430" s="529">
        <v>11</v>
      </c>
      <c r="D430" s="1027" t="s">
        <v>1165</v>
      </c>
      <c r="E430" s="1028" t="s">
        <v>1164</v>
      </c>
      <c r="F430" s="547"/>
      <c r="G430" s="547"/>
      <c r="H430" s="547"/>
      <c r="I430" s="547"/>
      <c r="J430" s="547"/>
      <c r="K430" s="547"/>
      <c r="L430" s="547"/>
      <c r="M430" s="547"/>
      <c r="N430" s="547"/>
      <c r="O430" s="547"/>
      <c r="P430" s="547"/>
      <c r="Q430" s="989">
        <f t="shared" si="31"/>
        <v>0</v>
      </c>
      <c r="R430" s="547">
        <v>0</v>
      </c>
      <c r="S430" s="989">
        <f t="shared" si="33"/>
        <v>0</v>
      </c>
      <c r="T430" s="547">
        <f t="shared" si="33"/>
        <v>0</v>
      </c>
      <c r="U430" s="566"/>
      <c r="V430" s="567"/>
      <c r="W430" s="989">
        <f t="shared" si="34"/>
        <v>0</v>
      </c>
      <c r="X430" s="812">
        <f t="shared" si="32"/>
        <v>0</v>
      </c>
      <c r="Y430" s="835">
        <f t="shared" si="30"/>
        <v>0</v>
      </c>
    </row>
    <row r="431" spans="1:25" ht="27" customHeight="1">
      <c r="A431" s="531"/>
      <c r="B431" s="531">
        <v>406</v>
      </c>
      <c r="C431" s="529">
        <v>4</v>
      </c>
      <c r="D431" s="1027" t="s">
        <v>19</v>
      </c>
      <c r="E431" s="1028" t="s">
        <v>680</v>
      </c>
      <c r="F431" s="547"/>
      <c r="G431" s="547"/>
      <c r="H431" s="547"/>
      <c r="I431" s="547"/>
      <c r="J431" s="547"/>
      <c r="K431" s="547"/>
      <c r="L431" s="547"/>
      <c r="M431" s="547"/>
      <c r="N431" s="547"/>
      <c r="O431" s="547"/>
      <c r="P431" s="547"/>
      <c r="Q431" s="989">
        <f t="shared" si="31"/>
        <v>0</v>
      </c>
      <c r="R431" s="547">
        <v>0</v>
      </c>
      <c r="S431" s="989">
        <f t="shared" si="33"/>
        <v>0</v>
      </c>
      <c r="T431" s="547">
        <f t="shared" si="33"/>
        <v>0</v>
      </c>
      <c r="U431" s="566"/>
      <c r="V431" s="567"/>
      <c r="W431" s="989">
        <f t="shared" si="34"/>
        <v>0</v>
      </c>
      <c r="X431" s="812">
        <f t="shared" si="32"/>
        <v>0</v>
      </c>
      <c r="Y431" s="835">
        <f t="shared" si="30"/>
        <v>0</v>
      </c>
    </row>
    <row r="432" spans="1:25" ht="27" customHeight="1">
      <c r="A432" s="531"/>
      <c r="B432" s="531"/>
      <c r="C432" s="529">
        <v>15</v>
      </c>
      <c r="D432" s="1027" t="s">
        <v>896</v>
      </c>
      <c r="E432" s="1028" t="s">
        <v>778</v>
      </c>
      <c r="F432" s="547"/>
      <c r="G432" s="547"/>
      <c r="H432" s="547"/>
      <c r="I432" s="547"/>
      <c r="J432" s="547"/>
      <c r="K432" s="547"/>
      <c r="L432" s="547"/>
      <c r="M432" s="547"/>
      <c r="N432" s="547"/>
      <c r="O432" s="547"/>
      <c r="P432" s="547"/>
      <c r="Q432" s="989">
        <f t="shared" si="31"/>
        <v>0</v>
      </c>
      <c r="R432" s="547">
        <v>-59500000</v>
      </c>
      <c r="S432" s="989">
        <f t="shared" si="33"/>
        <v>0</v>
      </c>
      <c r="T432" s="547">
        <f t="shared" si="33"/>
        <v>-60</v>
      </c>
      <c r="U432" s="566">
        <f>-Q432</f>
        <v>0</v>
      </c>
      <c r="V432" s="567">
        <v>0</v>
      </c>
      <c r="W432" s="989">
        <f t="shared" si="34"/>
        <v>0</v>
      </c>
      <c r="X432" s="812">
        <f t="shared" si="32"/>
        <v>0</v>
      </c>
      <c r="Y432" s="835">
        <f t="shared" si="30"/>
        <v>0</v>
      </c>
    </row>
    <row r="433" spans="1:25" ht="27" customHeight="1">
      <c r="A433" s="531"/>
      <c r="B433" s="531">
        <v>1020</v>
      </c>
      <c r="C433" s="529">
        <v>10</v>
      </c>
      <c r="D433" s="1027" t="s">
        <v>1384</v>
      </c>
      <c r="E433" s="1028" t="s">
        <v>820</v>
      </c>
      <c r="F433" s="547">
        <f>-986417428575+782102483050</f>
        <v>-204314945525</v>
      </c>
      <c r="G433" s="547">
        <v>102543195971</v>
      </c>
      <c r="H433" s="547">
        <v>-71394943099</v>
      </c>
      <c r="I433" s="547"/>
      <c r="J433" s="547"/>
      <c r="K433" s="547"/>
      <c r="L433" s="547"/>
      <c r="M433" s="547"/>
      <c r="N433" s="547"/>
      <c r="O433" s="547"/>
      <c r="P433" s="547"/>
      <c r="Q433" s="989">
        <f>SUM(F433:P433)</f>
        <v>-173166692653</v>
      </c>
      <c r="R433" s="547">
        <v>-149882709275</v>
      </c>
      <c r="S433" s="989">
        <f t="shared" si="33"/>
        <v>-173167</v>
      </c>
      <c r="T433" s="547">
        <f t="shared" si="33"/>
        <v>-149883</v>
      </c>
      <c r="U433" s="566"/>
      <c r="V433" s="567"/>
      <c r="W433" s="989">
        <f t="shared" si="34"/>
        <v>-173166692653</v>
      </c>
      <c r="X433" s="812">
        <f t="shared" si="32"/>
        <v>-173167</v>
      </c>
      <c r="Y433" s="835">
        <f t="shared" si="30"/>
        <v>0</v>
      </c>
    </row>
    <row r="434" spans="1:25" ht="27" customHeight="1">
      <c r="A434" s="531"/>
      <c r="B434" s="531">
        <v>1004</v>
      </c>
      <c r="C434" s="529">
        <v>10</v>
      </c>
      <c r="D434" s="1027" t="s">
        <v>1411</v>
      </c>
      <c r="E434" s="1028" t="s">
        <v>821</v>
      </c>
      <c r="F434" s="547">
        <v>-782102483050</v>
      </c>
      <c r="G434" s="547"/>
      <c r="H434" s="547"/>
      <c r="I434" s="547"/>
      <c r="J434" s="547"/>
      <c r="K434" s="547"/>
      <c r="L434" s="547"/>
      <c r="M434" s="547"/>
      <c r="N434" s="547"/>
      <c r="O434" s="547"/>
      <c r="P434" s="547"/>
      <c r="Q434" s="989">
        <f t="shared" si="31"/>
        <v>-782102483050</v>
      </c>
      <c r="R434" s="547">
        <v>-742241844046</v>
      </c>
      <c r="S434" s="989">
        <f t="shared" si="33"/>
        <v>-782102</v>
      </c>
      <c r="T434" s="547">
        <f t="shared" si="33"/>
        <v>-742242</v>
      </c>
      <c r="U434" s="566"/>
      <c r="V434" s="567"/>
      <c r="W434" s="989">
        <f t="shared" si="34"/>
        <v>-782102483050</v>
      </c>
      <c r="X434" s="812">
        <f t="shared" si="32"/>
        <v>-782102</v>
      </c>
      <c r="Y434" s="835">
        <f t="shared" si="30"/>
        <v>0</v>
      </c>
    </row>
    <row r="435" spans="1:25" ht="27" customHeight="1">
      <c r="A435" s="531"/>
      <c r="B435" s="531">
        <v>1018</v>
      </c>
      <c r="C435" s="529">
        <v>10</v>
      </c>
      <c r="D435" s="1027" t="s">
        <v>763</v>
      </c>
      <c r="E435" s="1028" t="s">
        <v>823</v>
      </c>
      <c r="F435" s="547"/>
      <c r="G435" s="547"/>
      <c r="H435" s="547"/>
      <c r="I435" s="547"/>
      <c r="J435" s="547"/>
      <c r="K435" s="547"/>
      <c r="L435" s="547"/>
      <c r="M435" s="547"/>
      <c r="N435" s="547"/>
      <c r="O435" s="547"/>
      <c r="P435" s="547"/>
      <c r="Q435" s="989">
        <f t="shared" si="31"/>
        <v>0</v>
      </c>
      <c r="R435" s="547">
        <v>0</v>
      </c>
      <c r="S435" s="989">
        <f t="shared" si="33"/>
        <v>0</v>
      </c>
      <c r="T435" s="547">
        <f t="shared" si="33"/>
        <v>0</v>
      </c>
      <c r="U435" s="566"/>
      <c r="V435" s="567"/>
      <c r="W435" s="989">
        <f t="shared" si="34"/>
        <v>0</v>
      </c>
      <c r="X435" s="812">
        <f t="shared" si="32"/>
        <v>0</v>
      </c>
      <c r="Y435" s="835">
        <f t="shared" si="30"/>
        <v>0</v>
      </c>
    </row>
    <row r="436" spans="1:25" ht="27" customHeight="1">
      <c r="A436" s="531"/>
      <c r="B436" s="531">
        <v>10040</v>
      </c>
      <c r="C436" s="529">
        <v>4</v>
      </c>
      <c r="D436" s="1027" t="s">
        <v>763</v>
      </c>
      <c r="E436" s="1028" t="s">
        <v>822</v>
      </c>
      <c r="F436" s="547"/>
      <c r="G436" s="547"/>
      <c r="H436" s="547"/>
      <c r="I436" s="547"/>
      <c r="J436" s="547"/>
      <c r="K436" s="547"/>
      <c r="L436" s="547"/>
      <c r="M436" s="547"/>
      <c r="N436" s="547"/>
      <c r="O436" s="547"/>
      <c r="P436" s="547"/>
      <c r="Q436" s="989">
        <f t="shared" si="31"/>
        <v>0</v>
      </c>
      <c r="R436" s="547">
        <v>0</v>
      </c>
      <c r="S436" s="989">
        <f t="shared" si="33"/>
        <v>0</v>
      </c>
      <c r="T436" s="547">
        <f t="shared" si="33"/>
        <v>0</v>
      </c>
      <c r="U436" s="566"/>
      <c r="V436" s="567"/>
      <c r="W436" s="989">
        <f t="shared" si="34"/>
        <v>0</v>
      </c>
      <c r="X436" s="812">
        <f t="shared" si="32"/>
        <v>0</v>
      </c>
      <c r="Y436" s="835">
        <f t="shared" si="30"/>
        <v>0</v>
      </c>
    </row>
    <row r="437" spans="1:25" ht="27" customHeight="1">
      <c r="A437" s="531"/>
      <c r="B437" s="531">
        <v>1002</v>
      </c>
      <c r="C437" s="529">
        <v>10</v>
      </c>
      <c r="D437" s="1027" t="s">
        <v>21</v>
      </c>
      <c r="E437" s="1028" t="s">
        <v>22</v>
      </c>
      <c r="F437" s="547">
        <v>34998577</v>
      </c>
      <c r="G437" s="547">
        <v>-96005977105</v>
      </c>
      <c r="H437" s="547">
        <v>-77637543724</v>
      </c>
      <c r="I437" s="547">
        <v>-23474752700</v>
      </c>
      <c r="J437" s="547">
        <v>32567898145</v>
      </c>
      <c r="K437" s="547">
        <v>898737118</v>
      </c>
      <c r="L437" s="547">
        <f>3249015000+3027948000</f>
        <v>6276963000</v>
      </c>
      <c r="M437" s="547">
        <f>27000000000-246668491</f>
        <v>26753331509</v>
      </c>
      <c r="N437" s="547"/>
      <c r="O437" s="547"/>
      <c r="P437" s="547"/>
      <c r="Q437" s="989">
        <f t="shared" si="31"/>
        <v>-130586345180</v>
      </c>
      <c r="R437" s="547">
        <v>-263344705547</v>
      </c>
      <c r="S437" s="989">
        <f t="shared" si="33"/>
        <v>-130586</v>
      </c>
      <c r="T437" s="547">
        <f t="shared" si="33"/>
        <v>-263345</v>
      </c>
      <c r="U437" s="566"/>
      <c r="V437" s="567"/>
      <c r="W437" s="989">
        <f t="shared" si="34"/>
        <v>-130586345180</v>
      </c>
      <c r="X437" s="812">
        <f t="shared" si="32"/>
        <v>-130586</v>
      </c>
      <c r="Y437" s="835">
        <f t="shared" si="30"/>
        <v>0</v>
      </c>
    </row>
    <row r="438" spans="1:25" ht="27" customHeight="1">
      <c r="A438" s="531"/>
      <c r="B438" s="531">
        <v>1013</v>
      </c>
      <c r="C438" s="529">
        <v>4</v>
      </c>
      <c r="D438" s="1027" t="s">
        <v>681</v>
      </c>
      <c r="E438" s="1028" t="s">
        <v>682</v>
      </c>
      <c r="F438" s="547">
        <v>332181665064</v>
      </c>
      <c r="G438" s="547">
        <v>7399732461</v>
      </c>
      <c r="H438" s="547">
        <v>3039932193</v>
      </c>
      <c r="I438" s="547">
        <v>3755514710</v>
      </c>
      <c r="J438" s="547">
        <v>518917241</v>
      </c>
      <c r="K438" s="547"/>
      <c r="L438" s="547">
        <v>376617780</v>
      </c>
      <c r="M438" s="547">
        <f>1688813567-133230</f>
        <v>1688680337</v>
      </c>
      <c r="N438" s="547">
        <v>167244191</v>
      </c>
      <c r="O438" s="547"/>
      <c r="P438" s="547"/>
      <c r="Q438" s="989">
        <f t="shared" si="31"/>
        <v>349128303977</v>
      </c>
      <c r="R438" s="547">
        <v>405450374601</v>
      </c>
      <c r="S438" s="989">
        <f t="shared" ref="S438:T474" si="35">ROUND((Q438/1000000),0)</f>
        <v>349128</v>
      </c>
      <c r="T438" s="547">
        <f t="shared" si="35"/>
        <v>405450</v>
      </c>
      <c r="U438" s="566"/>
      <c r="V438" s="567"/>
      <c r="W438" s="989">
        <f t="shared" si="34"/>
        <v>349128303977</v>
      </c>
      <c r="X438" s="812">
        <f t="shared" si="32"/>
        <v>349128</v>
      </c>
      <c r="Y438" s="835">
        <f t="shared" si="30"/>
        <v>0</v>
      </c>
    </row>
    <row r="439" spans="1:25" ht="27" customHeight="1">
      <c r="A439" s="531"/>
      <c r="B439" s="531">
        <v>1013</v>
      </c>
      <c r="C439" s="529">
        <v>4</v>
      </c>
      <c r="D439" s="1027" t="s">
        <v>683</v>
      </c>
      <c r="E439" s="1028" t="s">
        <v>684</v>
      </c>
      <c r="F439" s="547">
        <v>166006193077</v>
      </c>
      <c r="G439" s="547">
        <v>3690387116</v>
      </c>
      <c r="H439" s="547">
        <v>1519954065</v>
      </c>
      <c r="I439" s="547">
        <v>1804851114</v>
      </c>
      <c r="J439" s="547">
        <v>259458609</v>
      </c>
      <c r="K439" s="547"/>
      <c r="L439" s="547">
        <v>188308890</v>
      </c>
      <c r="M439" s="547">
        <f>844406783-66615</f>
        <v>844340168</v>
      </c>
      <c r="N439" s="547">
        <v>83622095</v>
      </c>
      <c r="O439" s="547"/>
      <c r="P439" s="547"/>
      <c r="Q439" s="989">
        <f t="shared" si="31"/>
        <v>174397115134</v>
      </c>
      <c r="R439" s="547">
        <v>201579751294</v>
      </c>
      <c r="S439" s="989">
        <f t="shared" si="35"/>
        <v>174397</v>
      </c>
      <c r="T439" s="547">
        <f t="shared" si="35"/>
        <v>201580</v>
      </c>
      <c r="U439" s="566"/>
      <c r="V439" s="567"/>
      <c r="W439" s="989">
        <f t="shared" si="34"/>
        <v>174397115134</v>
      </c>
      <c r="X439" s="812">
        <f t="shared" si="32"/>
        <v>174397</v>
      </c>
      <c r="Y439" s="835">
        <f t="shared" si="30"/>
        <v>0</v>
      </c>
    </row>
    <row r="440" spans="1:25" ht="27" customHeight="1">
      <c r="A440" s="531"/>
      <c r="B440" s="531">
        <v>1013</v>
      </c>
      <c r="C440" s="529">
        <v>4</v>
      </c>
      <c r="D440" s="1027" t="s">
        <v>685</v>
      </c>
      <c r="E440" s="1028" t="s">
        <v>688</v>
      </c>
      <c r="F440" s="547">
        <v>-30706445910</v>
      </c>
      <c r="G440" s="547">
        <v>-367803588</v>
      </c>
      <c r="H440" s="547">
        <v>-18594905</v>
      </c>
      <c r="I440" s="547">
        <v>-2040683846</v>
      </c>
      <c r="J440" s="547">
        <v>-197995</v>
      </c>
      <c r="K440" s="547">
        <v>6000</v>
      </c>
      <c r="L440" s="547"/>
      <c r="M440" s="547"/>
      <c r="N440" s="547"/>
      <c r="O440" s="547"/>
      <c r="P440" s="547"/>
      <c r="Q440" s="989">
        <f t="shared" si="31"/>
        <v>-33133720244</v>
      </c>
      <c r="R440" s="547">
        <v>-210583802992</v>
      </c>
      <c r="S440" s="989">
        <f t="shared" si="35"/>
        <v>-33134</v>
      </c>
      <c r="T440" s="547">
        <f t="shared" si="35"/>
        <v>-210584</v>
      </c>
      <c r="U440" s="566"/>
      <c r="V440" s="567"/>
      <c r="W440" s="989">
        <f t="shared" si="34"/>
        <v>-33133720244</v>
      </c>
      <c r="X440" s="812">
        <f t="shared" si="32"/>
        <v>-33134</v>
      </c>
      <c r="Y440" s="835">
        <f t="shared" si="30"/>
        <v>0</v>
      </c>
    </row>
    <row r="441" spans="1:25" ht="27" customHeight="1">
      <c r="A441" s="531"/>
      <c r="B441" s="531">
        <v>1013</v>
      </c>
      <c r="C441" s="529">
        <v>4</v>
      </c>
      <c r="D441" s="1027" t="s">
        <v>686</v>
      </c>
      <c r="E441" s="1028" t="s">
        <v>689</v>
      </c>
      <c r="F441" s="547">
        <v>-15353222700</v>
      </c>
      <c r="G441" s="547">
        <v>-183901793</v>
      </c>
      <c r="H441" s="547">
        <v>-9297452</v>
      </c>
      <c r="I441" s="547">
        <v>-1020341921</v>
      </c>
      <c r="J441" s="547">
        <v>-98996</v>
      </c>
      <c r="K441" s="547">
        <v>3000</v>
      </c>
      <c r="L441" s="547"/>
      <c r="M441" s="547"/>
      <c r="N441" s="547"/>
      <c r="O441" s="547"/>
      <c r="P441" s="547"/>
      <c r="Q441" s="989">
        <f t="shared" si="31"/>
        <v>-16566859862</v>
      </c>
      <c r="R441" s="547">
        <v>-392739387863</v>
      </c>
      <c r="S441" s="989">
        <f t="shared" si="35"/>
        <v>-16567</v>
      </c>
      <c r="T441" s="547">
        <f t="shared" si="35"/>
        <v>-392739</v>
      </c>
      <c r="U441" s="566"/>
      <c r="V441" s="567"/>
      <c r="W441" s="989">
        <f t="shared" si="34"/>
        <v>-16566859862</v>
      </c>
      <c r="X441" s="812">
        <f t="shared" si="32"/>
        <v>-16567</v>
      </c>
      <c r="Y441" s="835">
        <f t="shared" si="30"/>
        <v>0</v>
      </c>
    </row>
    <row r="442" spans="1:25" ht="27" customHeight="1">
      <c r="A442" s="531"/>
      <c r="B442" s="531">
        <v>1013</v>
      </c>
      <c r="C442" s="529">
        <v>4</v>
      </c>
      <c r="D442" s="1027" t="s">
        <v>687</v>
      </c>
      <c r="E442" s="1028" t="s">
        <v>691</v>
      </c>
      <c r="F442" s="547">
        <v>190935024136</v>
      </c>
      <c r="G442" s="547">
        <v>969366412</v>
      </c>
      <c r="H442" s="547">
        <v>795388206</v>
      </c>
      <c r="I442" s="547">
        <v>-34754186</v>
      </c>
      <c r="J442" s="547">
        <v>6626063621</v>
      </c>
      <c r="K442" s="547">
        <v>-1321536667</v>
      </c>
      <c r="L442" s="547"/>
      <c r="M442" s="547"/>
      <c r="N442" s="547"/>
      <c r="O442" s="547"/>
      <c r="P442" s="547"/>
      <c r="Q442" s="989">
        <f t="shared" si="31"/>
        <v>197969551522</v>
      </c>
      <c r="R442" s="547">
        <v>59473361998</v>
      </c>
      <c r="S442" s="989">
        <f t="shared" si="35"/>
        <v>197970</v>
      </c>
      <c r="T442" s="547">
        <f t="shared" si="35"/>
        <v>59473</v>
      </c>
      <c r="U442" s="566"/>
      <c r="V442" s="567"/>
      <c r="W442" s="989">
        <f t="shared" si="34"/>
        <v>197969551522</v>
      </c>
      <c r="X442" s="812">
        <f t="shared" si="32"/>
        <v>197970</v>
      </c>
      <c r="Y442" s="835">
        <f t="shared" si="30"/>
        <v>0</v>
      </c>
    </row>
    <row r="443" spans="1:25" ht="27" customHeight="1">
      <c r="A443" s="531"/>
      <c r="B443" s="531">
        <v>1013</v>
      </c>
      <c r="C443" s="529">
        <v>4</v>
      </c>
      <c r="D443" s="1027" t="s">
        <v>690</v>
      </c>
      <c r="E443" s="1028" t="s">
        <v>692</v>
      </c>
      <c r="F443" s="547">
        <v>103743249821</v>
      </c>
      <c r="G443" s="547">
        <v>484683205</v>
      </c>
      <c r="H443" s="547">
        <v>397694103</v>
      </c>
      <c r="I443" s="547">
        <v>-17377093</v>
      </c>
      <c r="J443" s="547">
        <v>3313031807</v>
      </c>
      <c r="K443" s="547">
        <v>-660768333</v>
      </c>
      <c r="L443" s="547"/>
      <c r="M443" s="547"/>
      <c r="N443" s="547"/>
      <c r="O443" s="547"/>
      <c r="P443" s="547"/>
      <c r="Q443" s="989">
        <f t="shared" si="31"/>
        <v>107260513510</v>
      </c>
      <c r="R443" s="547">
        <v>33318105312</v>
      </c>
      <c r="S443" s="989">
        <f t="shared" si="35"/>
        <v>107261</v>
      </c>
      <c r="T443" s="547">
        <f t="shared" si="35"/>
        <v>33318</v>
      </c>
      <c r="U443" s="566"/>
      <c r="V443" s="567"/>
      <c r="W443" s="989">
        <f t="shared" si="34"/>
        <v>107260513510</v>
      </c>
      <c r="X443" s="812">
        <f t="shared" si="32"/>
        <v>107261</v>
      </c>
      <c r="Y443" s="835">
        <f t="shared" si="30"/>
        <v>0</v>
      </c>
    </row>
    <row r="444" spans="1:25" ht="27" customHeight="1">
      <c r="A444" s="531"/>
      <c r="B444" s="531">
        <v>100201</v>
      </c>
      <c r="C444" s="529">
        <v>10</v>
      </c>
      <c r="D444" s="1027" t="s">
        <v>23</v>
      </c>
      <c r="E444" s="1028" t="s">
        <v>537</v>
      </c>
      <c r="F444" s="547">
        <v>267839696188</v>
      </c>
      <c r="G444" s="547"/>
      <c r="H444" s="547">
        <v>-307839696188</v>
      </c>
      <c r="I444" s="547">
        <v>40000000000</v>
      </c>
      <c r="J444" s="547"/>
      <c r="K444" s="547"/>
      <c r="L444" s="547"/>
      <c r="M444" s="547"/>
      <c r="N444" s="547"/>
      <c r="O444" s="547"/>
      <c r="P444" s="547"/>
      <c r="Q444" s="989">
        <f t="shared" si="31"/>
        <v>0</v>
      </c>
      <c r="R444" s="547">
        <v>-1801432005024</v>
      </c>
      <c r="S444" s="989">
        <f t="shared" si="35"/>
        <v>0</v>
      </c>
      <c r="T444" s="547">
        <f t="shared" si="35"/>
        <v>-1801432</v>
      </c>
      <c r="U444" s="566"/>
      <c r="V444" s="567"/>
      <c r="W444" s="989">
        <f t="shared" si="34"/>
        <v>0</v>
      </c>
      <c r="X444" s="812">
        <f t="shared" si="32"/>
        <v>0</v>
      </c>
      <c r="Y444" s="835">
        <f t="shared" si="30"/>
        <v>0</v>
      </c>
    </row>
    <row r="445" spans="1:25" ht="27" customHeight="1">
      <c r="A445" s="531">
        <v>3214</v>
      </c>
      <c r="B445" s="531">
        <v>100201</v>
      </c>
      <c r="C445" s="529">
        <v>10</v>
      </c>
      <c r="D445" s="1027" t="s">
        <v>23</v>
      </c>
      <c r="E445" s="1028" t="s">
        <v>537</v>
      </c>
      <c r="F445" s="547"/>
      <c r="G445" s="547"/>
      <c r="H445" s="547"/>
      <c r="I445" s="547"/>
      <c r="J445" s="547"/>
      <c r="K445" s="547"/>
      <c r="L445" s="547"/>
      <c r="M445" s="547"/>
      <c r="N445" s="547"/>
      <c r="O445" s="547"/>
      <c r="P445" s="547"/>
      <c r="Q445" s="989">
        <f t="shared" si="31"/>
        <v>0</v>
      </c>
      <c r="R445" s="547">
        <v>0</v>
      </c>
      <c r="S445" s="989">
        <f t="shared" si="35"/>
        <v>0</v>
      </c>
      <c r="T445" s="547">
        <f t="shared" si="35"/>
        <v>0</v>
      </c>
      <c r="U445" s="566"/>
      <c r="V445" s="567"/>
      <c r="W445" s="989">
        <f t="shared" si="34"/>
        <v>0</v>
      </c>
      <c r="X445" s="812">
        <f t="shared" si="32"/>
        <v>0</v>
      </c>
      <c r="Y445" s="835">
        <f t="shared" si="30"/>
        <v>0</v>
      </c>
    </row>
    <row r="446" spans="1:25" ht="27" customHeight="1">
      <c r="A446" s="531"/>
      <c r="B446" s="531">
        <v>100201</v>
      </c>
      <c r="C446" s="529">
        <v>10</v>
      </c>
      <c r="D446" s="1027" t="s">
        <v>1159</v>
      </c>
      <c r="E446" s="1028" t="s">
        <v>1160</v>
      </c>
      <c r="F446" s="547">
        <v>-141637671725</v>
      </c>
      <c r="G446" s="547"/>
      <c r="H446" s="547"/>
      <c r="I446" s="547"/>
      <c r="J446" s="547">
        <v>-46322521085</v>
      </c>
      <c r="K446" s="547"/>
      <c r="L446" s="547"/>
      <c r="M446" s="547"/>
      <c r="N446" s="547">
        <v>-22283416661</v>
      </c>
      <c r="O446" s="547"/>
      <c r="P446" s="547"/>
      <c r="Q446" s="989">
        <f t="shared" si="31"/>
        <v>-210243609471</v>
      </c>
      <c r="R446" s="547">
        <v>-141637671725</v>
      </c>
      <c r="S446" s="989">
        <f t="shared" si="35"/>
        <v>-210244</v>
      </c>
      <c r="T446" s="547">
        <f t="shared" si="35"/>
        <v>-141638</v>
      </c>
      <c r="U446" s="566"/>
      <c r="V446" s="567"/>
      <c r="W446" s="989">
        <f t="shared" si="34"/>
        <v>-210243609471</v>
      </c>
      <c r="X446" s="812">
        <f t="shared" si="32"/>
        <v>-210244</v>
      </c>
      <c r="Y446" s="835">
        <f t="shared" si="30"/>
        <v>0</v>
      </c>
    </row>
    <row r="447" spans="1:25" ht="27" customHeight="1">
      <c r="A447" s="531"/>
      <c r="B447" s="531">
        <v>10040</v>
      </c>
      <c r="C447" s="529">
        <v>4</v>
      </c>
      <c r="D447" s="1027" t="s">
        <v>1195</v>
      </c>
      <c r="E447" s="1028" t="s">
        <v>1196</v>
      </c>
      <c r="F447" s="547"/>
      <c r="G447" s="547"/>
      <c r="H447" s="547"/>
      <c r="I447" s="547"/>
      <c r="J447" s="547"/>
      <c r="K447" s="547"/>
      <c r="L447" s="547"/>
      <c r="M447" s="547"/>
      <c r="N447" s="547"/>
      <c r="O447" s="547"/>
      <c r="P447" s="547"/>
      <c r="Q447" s="989">
        <f t="shared" si="31"/>
        <v>0</v>
      </c>
      <c r="R447" s="547">
        <v>0</v>
      </c>
      <c r="S447" s="989">
        <f t="shared" si="35"/>
        <v>0</v>
      </c>
      <c r="T447" s="547">
        <f t="shared" si="35"/>
        <v>0</v>
      </c>
      <c r="U447" s="566"/>
      <c r="V447" s="567"/>
      <c r="W447" s="989">
        <f t="shared" si="34"/>
        <v>0</v>
      </c>
      <c r="X447" s="812">
        <f t="shared" si="32"/>
        <v>0</v>
      </c>
      <c r="Y447" s="835">
        <f t="shared" si="30"/>
        <v>0</v>
      </c>
    </row>
    <row r="448" spans="1:25" ht="27" customHeight="1">
      <c r="A448" s="531"/>
      <c r="B448" s="531">
        <v>100201</v>
      </c>
      <c r="C448" s="529">
        <v>10</v>
      </c>
      <c r="D448" s="1027" t="s">
        <v>1473</v>
      </c>
      <c r="E448" s="1028" t="s">
        <v>1496</v>
      </c>
      <c r="F448" s="547">
        <v>-5099062577630</v>
      </c>
      <c r="G448" s="547">
        <v>85293418933</v>
      </c>
      <c r="H448" s="547">
        <v>-10489433944</v>
      </c>
      <c r="I448" s="547"/>
      <c r="J448" s="547">
        <v>4848308638199</v>
      </c>
      <c r="K448" s="547"/>
      <c r="L448" s="547">
        <v>34333179</v>
      </c>
      <c r="M448" s="547">
        <f>-1199381559</f>
        <v>-1199381559</v>
      </c>
      <c r="N448" s="547">
        <f>2541644857040-2634517227240+132872370200</f>
        <v>40000000000</v>
      </c>
      <c r="O448" s="547"/>
      <c r="P448" s="547"/>
      <c r="Q448" s="989">
        <f t="shared" si="31"/>
        <v>-137115002822</v>
      </c>
      <c r="R448" s="547">
        <v>-137115002822</v>
      </c>
      <c r="S448" s="989">
        <f t="shared" si="35"/>
        <v>-137115</v>
      </c>
      <c r="T448" s="547">
        <f t="shared" si="35"/>
        <v>-137115</v>
      </c>
      <c r="U448" s="566"/>
      <c r="V448" s="567"/>
      <c r="W448" s="989">
        <f t="shared" si="34"/>
        <v>-137115002822</v>
      </c>
      <c r="X448" s="812">
        <f t="shared" si="32"/>
        <v>-137115</v>
      </c>
      <c r="Y448" s="835">
        <f t="shared" si="30"/>
        <v>0</v>
      </c>
    </row>
    <row r="449" spans="1:25" ht="27" customHeight="1">
      <c r="A449" s="531">
        <v>3214</v>
      </c>
      <c r="B449" s="531">
        <v>100201</v>
      </c>
      <c r="C449" s="529">
        <v>10</v>
      </c>
      <c r="D449" s="1027" t="s">
        <v>1473</v>
      </c>
      <c r="E449" s="1028" t="s">
        <v>1496</v>
      </c>
      <c r="F449" s="547"/>
      <c r="G449" s="547"/>
      <c r="H449" s="547"/>
      <c r="I449" s="547"/>
      <c r="J449" s="547"/>
      <c r="K449" s="547"/>
      <c r="L449" s="547"/>
      <c r="M449" s="547"/>
      <c r="N449" s="547"/>
      <c r="O449" s="547"/>
      <c r="P449" s="547"/>
      <c r="Q449" s="989">
        <f t="shared" si="31"/>
        <v>0</v>
      </c>
      <c r="R449" s="547">
        <v>0</v>
      </c>
      <c r="S449" s="989">
        <f t="shared" si="35"/>
        <v>0</v>
      </c>
      <c r="T449" s="547">
        <f t="shared" si="35"/>
        <v>0</v>
      </c>
      <c r="U449" s="566"/>
      <c r="V449" s="567"/>
      <c r="W449" s="989">
        <f t="shared" si="34"/>
        <v>0</v>
      </c>
      <c r="X449" s="812">
        <f t="shared" si="32"/>
        <v>0</v>
      </c>
      <c r="Y449" s="835">
        <f t="shared" si="30"/>
        <v>0</v>
      </c>
    </row>
    <row r="450" spans="1:25" ht="27" customHeight="1">
      <c r="A450" s="531">
        <v>3214</v>
      </c>
      <c r="B450" s="531">
        <v>100201</v>
      </c>
      <c r="C450" s="529">
        <v>10</v>
      </c>
      <c r="D450" s="1027" t="s">
        <v>538</v>
      </c>
      <c r="E450" s="1028" t="s">
        <v>1441</v>
      </c>
      <c r="F450" s="547"/>
      <c r="G450" s="547"/>
      <c r="H450" s="547"/>
      <c r="I450" s="547"/>
      <c r="J450" s="547"/>
      <c r="K450" s="547"/>
      <c r="L450" s="547"/>
      <c r="M450" s="547"/>
      <c r="N450" s="547"/>
      <c r="O450" s="547"/>
      <c r="P450" s="547"/>
      <c r="Q450" s="989">
        <f t="shared" si="31"/>
        <v>0</v>
      </c>
      <c r="R450" s="547">
        <v>-24701405713</v>
      </c>
      <c r="S450" s="989">
        <f t="shared" si="35"/>
        <v>0</v>
      </c>
      <c r="T450" s="547">
        <f t="shared" si="35"/>
        <v>-24701</v>
      </c>
      <c r="U450" s="566"/>
      <c r="V450" s="567"/>
      <c r="W450" s="989">
        <f t="shared" si="34"/>
        <v>0</v>
      </c>
      <c r="X450" s="812">
        <f t="shared" si="32"/>
        <v>0</v>
      </c>
      <c r="Y450" s="835">
        <f t="shared" si="30"/>
        <v>0</v>
      </c>
    </row>
    <row r="451" spans="1:25" ht="27" customHeight="1">
      <c r="A451" s="531"/>
      <c r="B451" s="531">
        <v>1011</v>
      </c>
      <c r="C451" s="529">
        <v>10</v>
      </c>
      <c r="D451" s="1027" t="s">
        <v>540</v>
      </c>
      <c r="E451" s="1028" t="s">
        <v>229</v>
      </c>
      <c r="F451" s="547">
        <v>-3310891123</v>
      </c>
      <c r="G451" s="547">
        <v>2550825928</v>
      </c>
      <c r="H451" s="547"/>
      <c r="I451" s="547"/>
      <c r="J451" s="547"/>
      <c r="K451" s="547"/>
      <c r="L451" s="547"/>
      <c r="M451" s="547"/>
      <c r="N451" s="547"/>
      <c r="O451" s="547"/>
      <c r="P451" s="547"/>
      <c r="Q451" s="989">
        <f t="shared" si="31"/>
        <v>-760065195</v>
      </c>
      <c r="R451" s="547">
        <v>-935641875</v>
      </c>
      <c r="S451" s="989">
        <f t="shared" si="35"/>
        <v>-760</v>
      </c>
      <c r="T451" s="547">
        <f t="shared" si="35"/>
        <v>-936</v>
      </c>
      <c r="U451" s="566"/>
      <c r="V451" s="567"/>
      <c r="W451" s="989">
        <f t="shared" si="34"/>
        <v>-760065195</v>
      </c>
      <c r="X451" s="812">
        <f t="shared" si="32"/>
        <v>-760</v>
      </c>
      <c r="Y451" s="835">
        <f t="shared" si="30"/>
        <v>0</v>
      </c>
    </row>
    <row r="452" spans="1:25" ht="27" customHeight="1">
      <c r="A452" s="531"/>
      <c r="B452" s="531">
        <v>1011</v>
      </c>
      <c r="C452" s="529">
        <v>10</v>
      </c>
      <c r="D452" s="1027" t="s">
        <v>1689</v>
      </c>
      <c r="E452" s="1028" t="s">
        <v>1690</v>
      </c>
      <c r="F452" s="547">
        <v>-6209237242</v>
      </c>
      <c r="G452" s="547">
        <v>6209237280</v>
      </c>
      <c r="H452" s="547"/>
      <c r="I452" s="547"/>
      <c r="J452" s="547"/>
      <c r="K452" s="547"/>
      <c r="L452" s="547"/>
      <c r="M452" s="547"/>
      <c r="N452" s="547"/>
      <c r="O452" s="547"/>
      <c r="P452" s="547"/>
      <c r="Q452" s="989">
        <f>SUM(F452:P452)</f>
        <v>38</v>
      </c>
      <c r="R452" s="547">
        <v>0</v>
      </c>
      <c r="S452" s="989">
        <f t="shared" si="35"/>
        <v>0</v>
      </c>
      <c r="T452" s="547">
        <f t="shared" si="35"/>
        <v>0</v>
      </c>
      <c r="U452" s="566"/>
      <c r="V452" s="567"/>
      <c r="W452" s="989">
        <f t="shared" si="34"/>
        <v>38</v>
      </c>
      <c r="X452" s="812">
        <f t="shared" si="32"/>
        <v>0</v>
      </c>
      <c r="Y452" s="835">
        <f t="shared" ref="Y452:Y515" si="36">S452-X452</f>
        <v>0</v>
      </c>
    </row>
    <row r="453" spans="1:25" ht="27" customHeight="1">
      <c r="A453" s="531"/>
      <c r="B453" s="531">
        <v>1014</v>
      </c>
      <c r="C453" s="529">
        <v>10</v>
      </c>
      <c r="D453" s="1027" t="s">
        <v>541</v>
      </c>
      <c r="E453" s="1028" t="s">
        <v>693</v>
      </c>
      <c r="F453" s="547">
        <v>-30190920549</v>
      </c>
      <c r="G453" s="547">
        <v>-29752064618</v>
      </c>
      <c r="H453" s="547">
        <v>-39800568896</v>
      </c>
      <c r="I453" s="547">
        <v>86194059</v>
      </c>
      <c r="J453" s="547">
        <f>-5407314106-82248365357</f>
        <v>-87655679463</v>
      </c>
      <c r="K453" s="547"/>
      <c r="L453" s="547"/>
      <c r="M453" s="547"/>
      <c r="N453" s="547"/>
      <c r="O453" s="547"/>
      <c r="P453" s="547"/>
      <c r="Q453" s="989">
        <f t="shared" si="31"/>
        <v>-187313039467</v>
      </c>
      <c r="R453" s="547">
        <v>-42860307173</v>
      </c>
      <c r="S453" s="989">
        <f t="shared" si="35"/>
        <v>-187313</v>
      </c>
      <c r="T453" s="547">
        <f t="shared" si="35"/>
        <v>-42860</v>
      </c>
      <c r="U453" s="566"/>
      <c r="V453" s="567"/>
      <c r="W453" s="989">
        <f t="shared" si="34"/>
        <v>-187313039467</v>
      </c>
      <c r="X453" s="812">
        <f t="shared" si="32"/>
        <v>-187313</v>
      </c>
      <c r="Y453" s="835">
        <f t="shared" si="36"/>
        <v>0</v>
      </c>
    </row>
    <row r="454" spans="1:25" ht="27" customHeight="1">
      <c r="A454" s="531">
        <v>3214</v>
      </c>
      <c r="B454" s="531">
        <v>1014</v>
      </c>
      <c r="C454" s="529">
        <v>10</v>
      </c>
      <c r="D454" s="1027" t="s">
        <v>541</v>
      </c>
      <c r="E454" s="1028" t="s">
        <v>1626</v>
      </c>
      <c r="F454" s="547"/>
      <c r="G454" s="547"/>
      <c r="H454" s="547"/>
      <c r="I454" s="547"/>
      <c r="J454" s="547">
        <v>82248365357</v>
      </c>
      <c r="K454" s="547"/>
      <c r="L454" s="547"/>
      <c r="M454" s="547"/>
      <c r="N454" s="547">
        <f>3053275247-850139519</f>
        <v>2203135728</v>
      </c>
      <c r="O454" s="547"/>
      <c r="P454" s="547"/>
      <c r="Q454" s="989">
        <f t="shared" si="31"/>
        <v>84451501085</v>
      </c>
      <c r="R454" s="547">
        <v>-2197567397</v>
      </c>
      <c r="S454" s="989">
        <f t="shared" si="35"/>
        <v>84452</v>
      </c>
      <c r="T454" s="547">
        <f t="shared" si="35"/>
        <v>-2198</v>
      </c>
      <c r="U454" s="566"/>
      <c r="V454" s="567"/>
      <c r="W454" s="989">
        <f t="shared" si="34"/>
        <v>84451501085</v>
      </c>
      <c r="X454" s="812">
        <f t="shared" si="32"/>
        <v>84452</v>
      </c>
      <c r="Y454" s="835">
        <f t="shared" si="36"/>
        <v>0</v>
      </c>
    </row>
    <row r="455" spans="1:25" ht="27" customHeight="1">
      <c r="A455" s="531"/>
      <c r="B455" s="531">
        <v>1007</v>
      </c>
      <c r="C455" s="529">
        <v>10</v>
      </c>
      <c r="D455" s="1027" t="s">
        <v>543</v>
      </c>
      <c r="E455" s="1028" t="s">
        <v>544</v>
      </c>
      <c r="F455" s="547">
        <v>-120808982885</v>
      </c>
      <c r="G455" s="547">
        <v>-1457386955</v>
      </c>
      <c r="H455" s="547">
        <v>-5530658737</v>
      </c>
      <c r="I455" s="547">
        <v>198573231</v>
      </c>
      <c r="J455" s="547">
        <f>-479599764123+468295293362</f>
        <v>-11304470761</v>
      </c>
      <c r="K455" s="547"/>
      <c r="L455" s="547"/>
      <c r="M455" s="547"/>
      <c r="N455" s="547"/>
      <c r="O455" s="547"/>
      <c r="P455" s="547"/>
      <c r="Q455" s="989">
        <f t="shared" si="31"/>
        <v>-138902926107</v>
      </c>
      <c r="R455" s="547">
        <v>-125544970783</v>
      </c>
      <c r="S455" s="989">
        <f t="shared" si="35"/>
        <v>-138903</v>
      </c>
      <c r="T455" s="547">
        <f t="shared" si="35"/>
        <v>-125545</v>
      </c>
      <c r="U455" s="566"/>
      <c r="V455" s="567"/>
      <c r="W455" s="989">
        <f t="shared" si="34"/>
        <v>-138902926107</v>
      </c>
      <c r="X455" s="812">
        <f t="shared" si="32"/>
        <v>-138903</v>
      </c>
      <c r="Y455" s="835">
        <f t="shared" si="36"/>
        <v>0</v>
      </c>
    </row>
    <row r="456" spans="1:25" ht="27" customHeight="1">
      <c r="A456" s="531">
        <v>3214</v>
      </c>
      <c r="B456" s="531">
        <v>1007</v>
      </c>
      <c r="C456" s="529">
        <v>10</v>
      </c>
      <c r="D456" s="1027" t="s">
        <v>543</v>
      </c>
      <c r="E456" s="1028" t="s">
        <v>1442</v>
      </c>
      <c r="F456" s="547"/>
      <c r="G456" s="547"/>
      <c r="H456" s="547"/>
      <c r="I456" s="547"/>
      <c r="J456" s="547">
        <v>-468295293362</v>
      </c>
      <c r="K456" s="547"/>
      <c r="L456" s="547"/>
      <c r="M456" s="547"/>
      <c r="N456" s="547">
        <v>-42655456917</v>
      </c>
      <c r="O456" s="547"/>
      <c r="P456" s="547"/>
      <c r="Q456" s="989">
        <f t="shared" si="31"/>
        <v>-510950750279</v>
      </c>
      <c r="R456" s="547">
        <v>-365262092805</v>
      </c>
      <c r="S456" s="989">
        <f t="shared" si="35"/>
        <v>-510951</v>
      </c>
      <c r="T456" s="547">
        <f t="shared" si="35"/>
        <v>-365262</v>
      </c>
      <c r="U456" s="566"/>
      <c r="V456" s="567"/>
      <c r="W456" s="989">
        <f t="shared" si="34"/>
        <v>-510950750279</v>
      </c>
      <c r="X456" s="812">
        <f t="shared" si="32"/>
        <v>-510951</v>
      </c>
      <c r="Y456" s="835">
        <f t="shared" si="36"/>
        <v>0</v>
      </c>
    </row>
    <row r="457" spans="1:25" ht="27" customHeight="1">
      <c r="A457" s="531"/>
      <c r="B457" s="531">
        <v>1007</v>
      </c>
      <c r="C457" s="529">
        <v>10</v>
      </c>
      <c r="D457" s="1027" t="s">
        <v>545</v>
      </c>
      <c r="E457" s="1028" t="s">
        <v>510</v>
      </c>
      <c r="F457" s="547"/>
      <c r="G457" s="547"/>
      <c r="H457" s="547"/>
      <c r="I457" s="547"/>
      <c r="J457" s="547"/>
      <c r="K457" s="547"/>
      <c r="L457" s="547"/>
      <c r="M457" s="547"/>
      <c r="N457" s="547"/>
      <c r="O457" s="547"/>
      <c r="P457" s="547"/>
      <c r="Q457" s="989">
        <f t="shared" si="31"/>
        <v>0</v>
      </c>
      <c r="R457" s="547">
        <v>0</v>
      </c>
      <c r="S457" s="989">
        <f t="shared" si="35"/>
        <v>0</v>
      </c>
      <c r="T457" s="547">
        <f t="shared" si="35"/>
        <v>0</v>
      </c>
      <c r="U457" s="566"/>
      <c r="V457" s="567"/>
      <c r="W457" s="989">
        <f t="shared" si="34"/>
        <v>0</v>
      </c>
      <c r="X457" s="812">
        <f t="shared" si="32"/>
        <v>0</v>
      </c>
      <c r="Y457" s="835">
        <f t="shared" si="36"/>
        <v>0</v>
      </c>
    </row>
    <row r="458" spans="1:25" ht="27" customHeight="1">
      <c r="A458" s="531"/>
      <c r="B458" s="531">
        <v>1008</v>
      </c>
      <c r="C458" s="529">
        <v>10</v>
      </c>
      <c r="D458" s="1027" t="s">
        <v>511</v>
      </c>
      <c r="E458" s="1028" t="s">
        <v>512</v>
      </c>
      <c r="F458" s="547"/>
      <c r="G458" s="547"/>
      <c r="H458" s="547"/>
      <c r="I458" s="547"/>
      <c r="J458" s="547"/>
      <c r="K458" s="547"/>
      <c r="L458" s="547"/>
      <c r="M458" s="547"/>
      <c r="N458" s="547"/>
      <c r="O458" s="547"/>
      <c r="P458" s="547"/>
      <c r="Q458" s="989">
        <f t="shared" ref="Q458:Q525" si="37">SUM(F458:P458)</f>
        <v>0</v>
      </c>
      <c r="R458" s="547">
        <v>-1009421168</v>
      </c>
      <c r="S458" s="989">
        <f t="shared" si="35"/>
        <v>0</v>
      </c>
      <c r="T458" s="547">
        <f t="shared" si="35"/>
        <v>-1009</v>
      </c>
      <c r="U458" s="566"/>
      <c r="V458" s="567"/>
      <c r="W458" s="989">
        <f t="shared" si="34"/>
        <v>0</v>
      </c>
      <c r="X458" s="812">
        <f t="shared" si="32"/>
        <v>0</v>
      </c>
      <c r="Y458" s="835">
        <f t="shared" si="36"/>
        <v>0</v>
      </c>
    </row>
    <row r="459" spans="1:25" ht="27" customHeight="1">
      <c r="A459" s="531"/>
      <c r="B459" s="531">
        <v>1008</v>
      </c>
      <c r="C459" s="529">
        <v>10</v>
      </c>
      <c r="D459" s="1027" t="s">
        <v>513</v>
      </c>
      <c r="E459" s="1028" t="s">
        <v>279</v>
      </c>
      <c r="F459" s="547">
        <v>-65112085460</v>
      </c>
      <c r="G459" s="547">
        <v>-308337715</v>
      </c>
      <c r="H459" s="547">
        <v>-2611866912</v>
      </c>
      <c r="I459" s="547">
        <v>-139525599</v>
      </c>
      <c r="J459" s="547">
        <f>-221292087894+216652178357</f>
        <v>-4639909537</v>
      </c>
      <c r="K459" s="547"/>
      <c r="L459" s="547"/>
      <c r="M459" s="547"/>
      <c r="N459" s="547"/>
      <c r="O459" s="547"/>
      <c r="P459" s="547"/>
      <c r="Q459" s="989">
        <f t="shared" si="37"/>
        <v>-72811725223</v>
      </c>
      <c r="R459" s="547">
        <v>-64319690398</v>
      </c>
      <c r="S459" s="989">
        <f t="shared" si="35"/>
        <v>-72812</v>
      </c>
      <c r="T459" s="547">
        <f t="shared" si="35"/>
        <v>-64320</v>
      </c>
      <c r="U459" s="566"/>
      <c r="V459" s="567"/>
      <c r="W459" s="989">
        <f t="shared" si="34"/>
        <v>-72811725223</v>
      </c>
      <c r="X459" s="812">
        <f t="shared" si="32"/>
        <v>-72812</v>
      </c>
      <c r="Y459" s="835">
        <f t="shared" si="36"/>
        <v>0</v>
      </c>
    </row>
    <row r="460" spans="1:25" ht="27" customHeight="1">
      <c r="A460" s="531">
        <v>3214</v>
      </c>
      <c r="B460" s="531">
        <v>1008</v>
      </c>
      <c r="C460" s="529">
        <v>10</v>
      </c>
      <c r="D460" s="1027" t="s">
        <v>513</v>
      </c>
      <c r="E460" s="1028" t="s">
        <v>1443</v>
      </c>
      <c r="F460" s="547"/>
      <c r="G460" s="547"/>
      <c r="H460" s="547"/>
      <c r="I460" s="547"/>
      <c r="J460" s="547">
        <v>-216652178357</v>
      </c>
      <c r="K460" s="547"/>
      <c r="L460" s="547"/>
      <c r="M460" s="547"/>
      <c r="N460" s="547"/>
      <c r="O460" s="547"/>
      <c r="P460" s="547"/>
      <c r="Q460" s="989">
        <f t="shared" si="37"/>
        <v>-216652178357</v>
      </c>
      <c r="R460" s="547">
        <v>-129605015390</v>
      </c>
      <c r="S460" s="989">
        <f t="shared" si="35"/>
        <v>-216652</v>
      </c>
      <c r="T460" s="547">
        <f t="shared" si="35"/>
        <v>-129605</v>
      </c>
      <c r="U460" s="566"/>
      <c r="V460" s="567"/>
      <c r="W460" s="989">
        <f t="shared" si="34"/>
        <v>-216652178357</v>
      </c>
      <c r="X460" s="812">
        <f t="shared" si="32"/>
        <v>-216652</v>
      </c>
      <c r="Y460" s="835">
        <f t="shared" si="36"/>
        <v>0</v>
      </c>
    </row>
    <row r="461" spans="1:25" ht="27" customHeight="1">
      <c r="A461" s="531">
        <v>3214</v>
      </c>
      <c r="B461" s="531">
        <v>1007</v>
      </c>
      <c r="C461" s="529">
        <v>10</v>
      </c>
      <c r="D461" s="1027" t="s">
        <v>1706</v>
      </c>
      <c r="E461" s="1028" t="s">
        <v>1707</v>
      </c>
      <c r="F461" s="547"/>
      <c r="G461" s="547"/>
      <c r="H461" s="547"/>
      <c r="I461" s="547"/>
      <c r="J461" s="547">
        <v>-52711070866</v>
      </c>
      <c r="K461" s="547"/>
      <c r="L461" s="547"/>
      <c r="M461" s="547"/>
      <c r="N461" s="547">
        <v>-1722847166</v>
      </c>
      <c r="O461" s="547"/>
      <c r="P461" s="547"/>
      <c r="Q461" s="989">
        <f t="shared" si="37"/>
        <v>-54433918032</v>
      </c>
      <c r="R461" s="547"/>
      <c r="S461" s="989">
        <f t="shared" si="35"/>
        <v>-54434</v>
      </c>
      <c r="T461" s="547">
        <v>0</v>
      </c>
      <c r="U461" s="566"/>
      <c r="V461" s="567"/>
      <c r="W461" s="989">
        <f t="shared" si="34"/>
        <v>-54433918032</v>
      </c>
      <c r="X461" s="812">
        <f t="shared" si="32"/>
        <v>-54434</v>
      </c>
      <c r="Y461" s="835">
        <f t="shared" si="36"/>
        <v>0</v>
      </c>
    </row>
    <row r="462" spans="1:25" ht="27" customHeight="1">
      <c r="A462" s="531"/>
      <c r="B462" s="531">
        <v>1007</v>
      </c>
      <c r="C462" s="529">
        <v>10</v>
      </c>
      <c r="D462" s="1027" t="s">
        <v>499</v>
      </c>
      <c r="E462" s="1028" t="s">
        <v>694</v>
      </c>
      <c r="F462" s="547">
        <v>-19364899367</v>
      </c>
      <c r="G462" s="547"/>
      <c r="H462" s="547">
        <v>-9629242</v>
      </c>
      <c r="I462" s="547"/>
      <c r="J462" s="547">
        <v>0</v>
      </c>
      <c r="K462" s="547"/>
      <c r="L462" s="547"/>
      <c r="M462" s="547"/>
      <c r="N462" s="547"/>
      <c r="O462" s="547"/>
      <c r="P462" s="547"/>
      <c r="Q462" s="989">
        <f t="shared" si="37"/>
        <v>-19374528609</v>
      </c>
      <c r="R462" s="547">
        <v>-18138801613</v>
      </c>
      <c r="S462" s="989">
        <f t="shared" si="35"/>
        <v>-19375</v>
      </c>
      <c r="T462" s="547">
        <f t="shared" si="35"/>
        <v>-18139</v>
      </c>
      <c r="U462" s="566"/>
      <c r="V462" s="567"/>
      <c r="W462" s="989">
        <f t="shared" si="34"/>
        <v>-19374528609</v>
      </c>
      <c r="X462" s="812">
        <f t="shared" si="32"/>
        <v>-19375</v>
      </c>
      <c r="Y462" s="835">
        <f t="shared" si="36"/>
        <v>0</v>
      </c>
    </row>
    <row r="463" spans="1:25" ht="27" customHeight="1">
      <c r="A463" s="531">
        <v>3214</v>
      </c>
      <c r="B463" s="531">
        <v>1007</v>
      </c>
      <c r="C463" s="529">
        <v>10</v>
      </c>
      <c r="D463" s="1027" t="s">
        <v>499</v>
      </c>
      <c r="E463" s="1028" t="s">
        <v>1444</v>
      </c>
      <c r="F463" s="547"/>
      <c r="G463" s="547"/>
      <c r="H463" s="547"/>
      <c r="I463" s="547"/>
      <c r="J463" s="547">
        <v>-53587677852</v>
      </c>
      <c r="K463" s="547"/>
      <c r="L463" s="547"/>
      <c r="M463" s="547"/>
      <c r="N463" s="547"/>
      <c r="O463" s="547"/>
      <c r="P463" s="547"/>
      <c r="Q463" s="989">
        <f t="shared" si="37"/>
        <v>-53587677852</v>
      </c>
      <c r="R463" s="547">
        <v>-69306189412</v>
      </c>
      <c r="S463" s="989">
        <f t="shared" si="35"/>
        <v>-53588</v>
      </c>
      <c r="T463" s="547">
        <f t="shared" si="35"/>
        <v>-69306</v>
      </c>
      <c r="U463" s="566"/>
      <c r="V463" s="567"/>
      <c r="W463" s="989">
        <f t="shared" si="34"/>
        <v>-53587677852</v>
      </c>
      <c r="X463" s="812">
        <f t="shared" si="32"/>
        <v>-53588</v>
      </c>
      <c r="Y463" s="835">
        <f t="shared" si="36"/>
        <v>0</v>
      </c>
    </row>
    <row r="464" spans="1:25" ht="27" customHeight="1">
      <c r="A464" s="531"/>
      <c r="B464" s="531">
        <v>1018</v>
      </c>
      <c r="C464" s="529">
        <v>10</v>
      </c>
      <c r="D464" s="1027" t="s">
        <v>501</v>
      </c>
      <c r="E464" s="1028" t="s">
        <v>695</v>
      </c>
      <c r="F464" s="547">
        <v>-454000000</v>
      </c>
      <c r="G464" s="547"/>
      <c r="H464" s="547"/>
      <c r="I464" s="547"/>
      <c r="J464" s="547"/>
      <c r="K464" s="547"/>
      <c r="L464" s="547"/>
      <c r="M464" s="547"/>
      <c r="N464" s="547"/>
      <c r="O464" s="547"/>
      <c r="P464" s="547"/>
      <c r="Q464" s="989">
        <f t="shared" si="37"/>
        <v>-454000000</v>
      </c>
      <c r="R464" s="547">
        <v>-197900000</v>
      </c>
      <c r="S464" s="989">
        <f t="shared" si="35"/>
        <v>-454</v>
      </c>
      <c r="T464" s="547">
        <f t="shared" si="35"/>
        <v>-198</v>
      </c>
      <c r="U464" s="566"/>
      <c r="V464" s="567"/>
      <c r="W464" s="989">
        <f t="shared" si="34"/>
        <v>-454000000</v>
      </c>
      <c r="X464" s="812">
        <f t="shared" si="32"/>
        <v>-454</v>
      </c>
      <c r="Y464" s="835">
        <f t="shared" si="36"/>
        <v>0</v>
      </c>
    </row>
    <row r="465" spans="1:25" ht="27" customHeight="1">
      <c r="A465" s="531"/>
      <c r="B465" s="531">
        <v>1016</v>
      </c>
      <c r="C465" s="529">
        <v>10</v>
      </c>
      <c r="D465" s="1027" t="s">
        <v>503</v>
      </c>
      <c r="E465" s="1028" t="s">
        <v>504</v>
      </c>
      <c r="F465" s="547">
        <v>-94409496104</v>
      </c>
      <c r="G465" s="547">
        <v>654054041</v>
      </c>
      <c r="H465" s="547"/>
      <c r="I465" s="547">
        <v>-39740000000</v>
      </c>
      <c r="J465" s="547">
        <v>38971802941</v>
      </c>
      <c r="K465" s="547">
        <v>73403188</v>
      </c>
      <c r="L465" s="547"/>
      <c r="M465" s="547">
        <v>1199381559</v>
      </c>
      <c r="N465" s="547"/>
      <c r="O465" s="547"/>
      <c r="P465" s="547"/>
      <c r="Q465" s="989">
        <f t="shared" si="37"/>
        <v>-93250854375</v>
      </c>
      <c r="R465" s="547">
        <v>-69948242961</v>
      </c>
      <c r="S465" s="989">
        <f>ROUND((Q465/1000000),0)</f>
        <v>-93251</v>
      </c>
      <c r="T465" s="547">
        <f t="shared" si="35"/>
        <v>-69948</v>
      </c>
      <c r="U465" s="566"/>
      <c r="V465" s="567"/>
      <c r="W465" s="989">
        <f t="shared" si="34"/>
        <v>-93250854375</v>
      </c>
      <c r="X465" s="812">
        <f t="shared" si="32"/>
        <v>-93251</v>
      </c>
      <c r="Y465" s="835">
        <f t="shared" si="36"/>
        <v>0</v>
      </c>
    </row>
    <row r="466" spans="1:25" ht="27" customHeight="1">
      <c r="A466" s="531"/>
      <c r="B466" s="531">
        <v>1017</v>
      </c>
      <c r="C466" s="529">
        <v>10</v>
      </c>
      <c r="D466" s="1027" t="s">
        <v>697</v>
      </c>
      <c r="E466" s="1028" t="s">
        <v>696</v>
      </c>
      <c r="F466" s="547">
        <v>-10286401402</v>
      </c>
      <c r="G466" s="547">
        <v>-91214820804</v>
      </c>
      <c r="H466" s="547">
        <v>-17235025291</v>
      </c>
      <c r="I466" s="547">
        <v>-41165859069</v>
      </c>
      <c r="J466" s="547">
        <v>-8101121037</v>
      </c>
      <c r="K466" s="547"/>
      <c r="L466" s="547"/>
      <c r="M466" s="547"/>
      <c r="N466" s="547"/>
      <c r="O466" s="547"/>
      <c r="P466" s="547"/>
      <c r="Q466" s="989">
        <f t="shared" si="37"/>
        <v>-168003227603</v>
      </c>
      <c r="R466" s="547">
        <v>-77744182353</v>
      </c>
      <c r="S466" s="989">
        <f>ROUND((Q466/1000000),0)</f>
        <v>-168003</v>
      </c>
      <c r="T466" s="547">
        <f t="shared" si="35"/>
        <v>-77744</v>
      </c>
      <c r="U466" s="566"/>
      <c r="V466" s="567"/>
      <c r="W466" s="989">
        <f t="shared" si="34"/>
        <v>-168003227603</v>
      </c>
      <c r="X466" s="812">
        <f t="shared" si="32"/>
        <v>-168003</v>
      </c>
      <c r="Y466" s="835">
        <f t="shared" si="36"/>
        <v>0</v>
      </c>
    </row>
    <row r="467" spans="1:25" ht="27" customHeight="1">
      <c r="A467" s="531"/>
      <c r="B467" s="531">
        <v>1007</v>
      </c>
      <c r="C467" s="529">
        <v>10</v>
      </c>
      <c r="D467" s="1027" t="s">
        <v>505</v>
      </c>
      <c r="E467" s="1028" t="s">
        <v>506</v>
      </c>
      <c r="F467" s="547">
        <v>-86660971439</v>
      </c>
      <c r="G467" s="547">
        <v>-6959158110</v>
      </c>
      <c r="H467" s="547">
        <v>-18534352</v>
      </c>
      <c r="I467" s="547">
        <v>-25358240</v>
      </c>
      <c r="J467" s="547">
        <v>0</v>
      </c>
      <c r="K467" s="547"/>
      <c r="L467" s="547"/>
      <c r="M467" s="547"/>
      <c r="N467" s="547"/>
      <c r="O467" s="547"/>
      <c r="P467" s="547"/>
      <c r="Q467" s="989">
        <f t="shared" si="37"/>
        <v>-93664022141</v>
      </c>
      <c r="R467" s="547">
        <v>-19694054222</v>
      </c>
      <c r="S467" s="989">
        <f t="shared" si="35"/>
        <v>-93664</v>
      </c>
      <c r="T467" s="547">
        <f t="shared" si="35"/>
        <v>-19694</v>
      </c>
      <c r="U467" s="566"/>
      <c r="V467" s="567"/>
      <c r="W467" s="989">
        <f t="shared" si="34"/>
        <v>-93664022141</v>
      </c>
      <c r="X467" s="812">
        <f t="shared" si="32"/>
        <v>-93664</v>
      </c>
      <c r="Y467" s="835">
        <f t="shared" si="36"/>
        <v>0</v>
      </c>
    </row>
    <row r="468" spans="1:25" ht="27" customHeight="1">
      <c r="A468" s="531">
        <v>3214</v>
      </c>
      <c r="B468" s="531">
        <v>1007</v>
      </c>
      <c r="C468" s="529">
        <v>10</v>
      </c>
      <c r="D468" s="1027" t="s">
        <v>507</v>
      </c>
      <c r="E468" s="1028" t="s">
        <v>185</v>
      </c>
      <c r="F468" s="547"/>
      <c r="G468" s="547"/>
      <c r="H468" s="547"/>
      <c r="I468" s="547"/>
      <c r="J468" s="547"/>
      <c r="K468" s="547"/>
      <c r="L468" s="547"/>
      <c r="M468" s="547"/>
      <c r="N468" s="547"/>
      <c r="O468" s="547"/>
      <c r="P468" s="547"/>
      <c r="Q468" s="989">
        <f t="shared" si="37"/>
        <v>0</v>
      </c>
      <c r="R468" s="547">
        <v>0</v>
      </c>
      <c r="S468" s="989">
        <f t="shared" si="35"/>
        <v>0</v>
      </c>
      <c r="T468" s="547">
        <f t="shared" si="35"/>
        <v>0</v>
      </c>
      <c r="U468" s="566"/>
      <c r="V468" s="567"/>
      <c r="W468" s="989">
        <f t="shared" si="34"/>
        <v>0</v>
      </c>
      <c r="X468" s="812">
        <f t="shared" si="32"/>
        <v>0</v>
      </c>
      <c r="Y468" s="835">
        <f t="shared" si="36"/>
        <v>0</v>
      </c>
    </row>
    <row r="469" spans="1:25" ht="27" customHeight="1">
      <c r="A469" s="531"/>
      <c r="B469" s="531">
        <v>1010</v>
      </c>
      <c r="C469" s="529">
        <v>10</v>
      </c>
      <c r="D469" s="1027" t="s">
        <v>186</v>
      </c>
      <c r="E469" s="1028" t="s">
        <v>187</v>
      </c>
      <c r="F469" s="547"/>
      <c r="G469" s="547"/>
      <c r="H469" s="547"/>
      <c r="I469" s="547"/>
      <c r="J469" s="547"/>
      <c r="K469" s="547"/>
      <c r="L469" s="547"/>
      <c r="M469" s="547"/>
      <c r="N469" s="547"/>
      <c r="O469" s="547"/>
      <c r="P469" s="547"/>
      <c r="Q469" s="989">
        <f t="shared" si="37"/>
        <v>0</v>
      </c>
      <c r="R469" s="547">
        <v>0</v>
      </c>
      <c r="S469" s="989">
        <f t="shared" si="35"/>
        <v>0</v>
      </c>
      <c r="T469" s="547">
        <f t="shared" si="35"/>
        <v>0</v>
      </c>
      <c r="U469" s="566"/>
      <c r="V469" s="567"/>
      <c r="W469" s="989">
        <f t="shared" si="34"/>
        <v>0</v>
      </c>
      <c r="X469" s="812">
        <f t="shared" ref="X469:X541" si="38">ROUND((W469/1000000),0)</f>
        <v>0</v>
      </c>
      <c r="Y469" s="835">
        <f t="shared" si="36"/>
        <v>0</v>
      </c>
    </row>
    <row r="470" spans="1:25" ht="27" customHeight="1">
      <c r="A470" s="531"/>
      <c r="B470" s="531">
        <v>1010</v>
      </c>
      <c r="C470" s="529">
        <v>10</v>
      </c>
      <c r="D470" s="1027" t="s">
        <v>188</v>
      </c>
      <c r="E470" s="1028" t="s">
        <v>748</v>
      </c>
      <c r="F470" s="547">
        <v>-73840383634</v>
      </c>
      <c r="G470" s="547">
        <v>-3633596537</v>
      </c>
      <c r="H470" s="547">
        <v>-36120275</v>
      </c>
      <c r="I470" s="547">
        <v>-45483820</v>
      </c>
      <c r="J470" s="547">
        <v>-3441330</v>
      </c>
      <c r="K470" s="547"/>
      <c r="L470" s="547"/>
      <c r="M470" s="547"/>
      <c r="N470" s="547"/>
      <c r="O470" s="547"/>
      <c r="P470" s="547"/>
      <c r="Q470" s="989">
        <f t="shared" si="37"/>
        <v>-77559025596</v>
      </c>
      <c r="R470" s="547">
        <v>-84972838403</v>
      </c>
      <c r="S470" s="989">
        <f t="shared" si="35"/>
        <v>-77559</v>
      </c>
      <c r="T470" s="547">
        <f t="shared" si="35"/>
        <v>-84973</v>
      </c>
      <c r="U470" s="566"/>
      <c r="V470" s="567"/>
      <c r="W470" s="989">
        <f t="shared" si="34"/>
        <v>-77559025596</v>
      </c>
      <c r="X470" s="812">
        <f t="shared" si="38"/>
        <v>-77559</v>
      </c>
      <c r="Y470" s="835">
        <f t="shared" si="36"/>
        <v>0</v>
      </c>
    </row>
    <row r="471" spans="1:25" ht="27" customHeight="1">
      <c r="A471" s="531"/>
      <c r="B471" s="531">
        <v>1007</v>
      </c>
      <c r="C471" s="529">
        <v>10</v>
      </c>
      <c r="D471" s="1027" t="s">
        <v>190</v>
      </c>
      <c r="E471" s="1028" t="s">
        <v>191</v>
      </c>
      <c r="F471" s="547">
        <v>-5167199256</v>
      </c>
      <c r="G471" s="547">
        <v>-137065056</v>
      </c>
      <c r="H471" s="547">
        <v>9629242</v>
      </c>
      <c r="I471" s="547"/>
      <c r="J471" s="547"/>
      <c r="K471" s="547"/>
      <c r="L471" s="547"/>
      <c r="M471" s="547"/>
      <c r="N471" s="547"/>
      <c r="O471" s="547"/>
      <c r="P471" s="547"/>
      <c r="Q471" s="989">
        <f t="shared" si="37"/>
        <v>-5294635070</v>
      </c>
      <c r="R471" s="547">
        <v>-11946518017</v>
      </c>
      <c r="S471" s="989">
        <f t="shared" si="35"/>
        <v>-5295</v>
      </c>
      <c r="T471" s="547">
        <f t="shared" si="35"/>
        <v>-11947</v>
      </c>
      <c r="U471" s="566"/>
      <c r="V471" s="567"/>
      <c r="W471" s="989">
        <f t="shared" si="34"/>
        <v>-5294635070</v>
      </c>
      <c r="X471" s="812">
        <f t="shared" si="38"/>
        <v>-5295</v>
      </c>
      <c r="Y471" s="835">
        <f t="shared" si="36"/>
        <v>0</v>
      </c>
    </row>
    <row r="472" spans="1:25" ht="27" customHeight="1">
      <c r="A472" s="531"/>
      <c r="B472" s="531">
        <v>1017</v>
      </c>
      <c r="C472" s="529">
        <v>10</v>
      </c>
      <c r="D472" s="1027" t="s">
        <v>192</v>
      </c>
      <c r="E472" s="1028" t="s">
        <v>25</v>
      </c>
      <c r="F472" s="547">
        <v>-343500000</v>
      </c>
      <c r="G472" s="547"/>
      <c r="H472" s="547"/>
      <c r="I472" s="547"/>
      <c r="J472" s="547"/>
      <c r="K472" s="547"/>
      <c r="L472" s="547"/>
      <c r="M472" s="547"/>
      <c r="N472" s="547"/>
      <c r="O472" s="547"/>
      <c r="P472" s="547"/>
      <c r="Q472" s="989">
        <f t="shared" si="37"/>
        <v>-343500000</v>
      </c>
      <c r="R472" s="547">
        <v>-1828982200</v>
      </c>
      <c r="S472" s="989">
        <f t="shared" si="35"/>
        <v>-344</v>
      </c>
      <c r="T472" s="547">
        <f t="shared" si="35"/>
        <v>-1829</v>
      </c>
      <c r="U472" s="566"/>
      <c r="V472" s="567"/>
      <c r="W472" s="989">
        <f t="shared" si="34"/>
        <v>-343500000</v>
      </c>
      <c r="X472" s="812">
        <f t="shared" si="38"/>
        <v>-344</v>
      </c>
      <c r="Y472" s="835">
        <f t="shared" si="36"/>
        <v>0</v>
      </c>
    </row>
    <row r="473" spans="1:25" ht="27" customHeight="1">
      <c r="A473" s="531"/>
      <c r="B473" s="531">
        <v>302</v>
      </c>
      <c r="C473" s="529">
        <v>3</v>
      </c>
      <c r="D473" s="1027" t="s">
        <v>26</v>
      </c>
      <c r="E473" s="1028" t="s">
        <v>27</v>
      </c>
      <c r="F473" s="547">
        <v>1265332880</v>
      </c>
      <c r="G473" s="547">
        <v>-83623880</v>
      </c>
      <c r="H473" s="547"/>
      <c r="I473" s="547"/>
      <c r="J473" s="547"/>
      <c r="K473" s="547"/>
      <c r="L473" s="547"/>
      <c r="M473" s="547"/>
      <c r="N473" s="547">
        <v>3611000</v>
      </c>
      <c r="O473" s="547"/>
      <c r="P473" s="547"/>
      <c r="Q473" s="989">
        <f t="shared" si="37"/>
        <v>1185320000</v>
      </c>
      <c r="R473" s="547">
        <v>1218359304</v>
      </c>
      <c r="S473" s="989">
        <f t="shared" si="35"/>
        <v>1185</v>
      </c>
      <c r="T473" s="547">
        <f t="shared" si="35"/>
        <v>1218</v>
      </c>
      <c r="U473" s="566"/>
      <c r="V473" s="567"/>
      <c r="W473" s="989">
        <f t="shared" si="34"/>
        <v>1185320000</v>
      </c>
      <c r="X473" s="812">
        <f t="shared" si="38"/>
        <v>1185</v>
      </c>
      <c r="Y473" s="835">
        <f t="shared" si="36"/>
        <v>0</v>
      </c>
    </row>
    <row r="474" spans="1:25" ht="27" customHeight="1">
      <c r="A474" s="531"/>
      <c r="B474" s="531">
        <v>302</v>
      </c>
      <c r="C474" s="529">
        <v>3</v>
      </c>
      <c r="D474" s="1027" t="s">
        <v>850</v>
      </c>
      <c r="E474" s="1028" t="s">
        <v>851</v>
      </c>
      <c r="F474" s="547"/>
      <c r="G474" s="547"/>
      <c r="H474" s="547"/>
      <c r="I474" s="547"/>
      <c r="J474" s="547"/>
      <c r="K474" s="547"/>
      <c r="L474" s="547"/>
      <c r="M474" s="547"/>
      <c r="N474" s="547"/>
      <c r="O474" s="547"/>
      <c r="P474" s="547"/>
      <c r="Q474" s="989">
        <f t="shared" si="37"/>
        <v>0</v>
      </c>
      <c r="R474" s="547">
        <v>0</v>
      </c>
      <c r="S474" s="989">
        <f t="shared" si="35"/>
        <v>0</v>
      </c>
      <c r="T474" s="547">
        <f t="shared" si="35"/>
        <v>0</v>
      </c>
      <c r="U474" s="566"/>
      <c r="V474" s="567"/>
      <c r="W474" s="989">
        <f t="shared" si="34"/>
        <v>0</v>
      </c>
      <c r="X474" s="812">
        <f t="shared" si="38"/>
        <v>0</v>
      </c>
      <c r="Y474" s="835">
        <f t="shared" si="36"/>
        <v>0</v>
      </c>
    </row>
    <row r="475" spans="1:25" ht="27" customHeight="1">
      <c r="A475" s="531"/>
      <c r="B475" s="531">
        <v>303</v>
      </c>
      <c r="C475" s="529">
        <v>3</v>
      </c>
      <c r="D475" s="1027" t="s">
        <v>28</v>
      </c>
      <c r="E475" s="1028" t="s">
        <v>29</v>
      </c>
      <c r="F475" s="547">
        <v>-117537422745</v>
      </c>
      <c r="G475" s="547">
        <v>150078194474</v>
      </c>
      <c r="H475" s="547"/>
      <c r="I475" s="547"/>
      <c r="J475" s="547"/>
      <c r="K475" s="547"/>
      <c r="L475" s="547"/>
      <c r="M475" s="547"/>
      <c r="N475" s="547">
        <f>-9275493018+150493018*2-3611000</f>
        <v>-8978117982</v>
      </c>
      <c r="O475" s="547"/>
      <c r="P475" s="547"/>
      <c r="Q475" s="989">
        <f t="shared" si="37"/>
        <v>23562653747</v>
      </c>
      <c r="R475" s="547">
        <v>8106171754</v>
      </c>
      <c r="S475" s="989">
        <f t="shared" ref="S475:T511" si="39">ROUND((Q475/1000000),0)</f>
        <v>23563</v>
      </c>
      <c r="T475" s="547">
        <f t="shared" si="39"/>
        <v>8106</v>
      </c>
      <c r="U475" s="566"/>
      <c r="V475" s="567"/>
      <c r="W475" s="989">
        <f t="shared" si="34"/>
        <v>23562653747</v>
      </c>
      <c r="X475" s="812">
        <f t="shared" si="38"/>
        <v>23563</v>
      </c>
      <c r="Y475" s="835">
        <f t="shared" si="36"/>
        <v>0</v>
      </c>
    </row>
    <row r="476" spans="1:25" ht="27" customHeight="1">
      <c r="A476" s="531"/>
      <c r="B476" s="531">
        <v>1018</v>
      </c>
      <c r="C476" s="529">
        <v>10</v>
      </c>
      <c r="D476" s="1027" t="s">
        <v>30</v>
      </c>
      <c r="E476" s="1028" t="s">
        <v>31</v>
      </c>
      <c r="F476" s="547"/>
      <c r="G476" s="547"/>
      <c r="H476" s="547"/>
      <c r="I476" s="547"/>
      <c r="J476" s="547"/>
      <c r="K476" s="547"/>
      <c r="L476" s="547"/>
      <c r="M476" s="547"/>
      <c r="N476" s="547"/>
      <c r="O476" s="547"/>
      <c r="P476" s="547"/>
      <c r="Q476" s="989">
        <f t="shared" si="37"/>
        <v>0</v>
      </c>
      <c r="R476" s="547">
        <v>0</v>
      </c>
      <c r="S476" s="989">
        <f t="shared" si="39"/>
        <v>0</v>
      </c>
      <c r="T476" s="547">
        <f t="shared" si="39"/>
        <v>0</v>
      </c>
      <c r="U476" s="566"/>
      <c r="V476" s="567"/>
      <c r="W476" s="989">
        <f t="shared" si="34"/>
        <v>0</v>
      </c>
      <c r="X476" s="812">
        <f t="shared" si="38"/>
        <v>0</v>
      </c>
      <c r="Y476" s="835">
        <f t="shared" si="36"/>
        <v>0</v>
      </c>
    </row>
    <row r="477" spans="1:25" ht="27" customHeight="1">
      <c r="A477" s="531"/>
      <c r="B477" s="531">
        <v>303</v>
      </c>
      <c r="C477" s="529">
        <v>3</v>
      </c>
      <c r="D477" s="1027" t="s">
        <v>1154</v>
      </c>
      <c r="E477" s="1028" t="s">
        <v>1155</v>
      </c>
      <c r="F477" s="547">
        <v>116673058850</v>
      </c>
      <c r="G477" s="547">
        <v>-81129376659</v>
      </c>
      <c r="H477" s="547">
        <v>-27379600983</v>
      </c>
      <c r="I477" s="547"/>
      <c r="J477" s="547"/>
      <c r="K477" s="547"/>
      <c r="L477" s="547"/>
      <c r="M477" s="547"/>
      <c r="N477" s="547"/>
      <c r="O477" s="547"/>
      <c r="P477" s="547">
        <v>-8164081208</v>
      </c>
      <c r="Q477" s="989">
        <f t="shared" si="37"/>
        <v>0</v>
      </c>
      <c r="R477" s="547">
        <v>0</v>
      </c>
      <c r="S477" s="989">
        <f t="shared" si="39"/>
        <v>0</v>
      </c>
      <c r="T477" s="547">
        <f t="shared" si="39"/>
        <v>0</v>
      </c>
      <c r="U477" s="566"/>
      <c r="V477" s="567"/>
      <c r="W477" s="989">
        <f t="shared" si="34"/>
        <v>0</v>
      </c>
      <c r="X477" s="812">
        <f t="shared" si="38"/>
        <v>0</v>
      </c>
      <c r="Y477" s="835">
        <f t="shared" si="36"/>
        <v>0</v>
      </c>
    </row>
    <row r="478" spans="1:25" ht="27" customHeight="1">
      <c r="A478" s="531"/>
      <c r="B478" s="531">
        <v>303</v>
      </c>
      <c r="C478" s="529">
        <v>3</v>
      </c>
      <c r="D478" s="1027" t="s">
        <v>1156</v>
      </c>
      <c r="E478" s="1028" t="s">
        <v>1155</v>
      </c>
      <c r="F478" s="547">
        <v>-116673058850</v>
      </c>
      <c r="G478" s="547">
        <v>81129376659</v>
      </c>
      <c r="H478" s="547">
        <v>27379600983</v>
      </c>
      <c r="I478" s="547"/>
      <c r="J478" s="547"/>
      <c r="K478" s="547"/>
      <c r="L478" s="547"/>
      <c r="M478" s="547"/>
      <c r="N478" s="547"/>
      <c r="O478" s="547"/>
      <c r="P478" s="547">
        <v>8164081208</v>
      </c>
      <c r="Q478" s="989">
        <f t="shared" si="37"/>
        <v>0</v>
      </c>
      <c r="R478" s="547">
        <v>0</v>
      </c>
      <c r="S478" s="989">
        <f t="shared" si="39"/>
        <v>0</v>
      </c>
      <c r="T478" s="547">
        <f t="shared" si="39"/>
        <v>0</v>
      </c>
      <c r="U478" s="566"/>
      <c r="V478" s="567"/>
      <c r="W478" s="989">
        <f t="shared" si="34"/>
        <v>0</v>
      </c>
      <c r="X478" s="812">
        <f t="shared" si="38"/>
        <v>0</v>
      </c>
      <c r="Y478" s="835">
        <f t="shared" si="36"/>
        <v>0</v>
      </c>
    </row>
    <row r="479" spans="1:25" ht="27" customHeight="1">
      <c r="A479" s="531">
        <v>3214</v>
      </c>
      <c r="B479" s="531">
        <v>302</v>
      </c>
      <c r="C479" s="529">
        <v>3</v>
      </c>
      <c r="D479" s="1027" t="s">
        <v>775</v>
      </c>
      <c r="E479" s="1028" t="s">
        <v>1432</v>
      </c>
      <c r="F479" s="547"/>
      <c r="G479" s="547"/>
      <c r="H479" s="547"/>
      <c r="I479" s="547"/>
      <c r="J479" s="547"/>
      <c r="K479" s="547"/>
      <c r="L479" s="547"/>
      <c r="M479" s="547"/>
      <c r="N479" s="547"/>
      <c r="O479" s="547"/>
      <c r="P479" s="547"/>
      <c r="Q479" s="989">
        <f t="shared" si="37"/>
        <v>0</v>
      </c>
      <c r="R479" s="547">
        <v>0</v>
      </c>
      <c r="S479" s="989">
        <f t="shared" si="39"/>
        <v>0</v>
      </c>
      <c r="T479" s="547">
        <f t="shared" si="39"/>
        <v>0</v>
      </c>
      <c r="U479" s="566"/>
      <c r="V479" s="567"/>
      <c r="W479" s="989">
        <f t="shared" si="34"/>
        <v>0</v>
      </c>
      <c r="X479" s="812">
        <f t="shared" si="38"/>
        <v>0</v>
      </c>
      <c r="Y479" s="835">
        <f t="shared" si="36"/>
        <v>0</v>
      </c>
    </row>
    <row r="480" spans="1:25" ht="27" customHeight="1">
      <c r="A480" s="531">
        <v>12</v>
      </c>
      <c r="B480" s="531">
        <v>907</v>
      </c>
      <c r="C480" s="529">
        <v>9</v>
      </c>
      <c r="D480" s="1027" t="s">
        <v>32</v>
      </c>
      <c r="E480" s="1028" t="s">
        <v>769</v>
      </c>
      <c r="F480" s="547">
        <v>7552883600</v>
      </c>
      <c r="G480" s="547"/>
      <c r="H480" s="547"/>
      <c r="I480" s="547"/>
      <c r="J480" s="547"/>
      <c r="K480" s="547"/>
      <c r="L480" s="547"/>
      <c r="M480" s="547"/>
      <c r="N480" s="547"/>
      <c r="O480" s="547"/>
      <c r="P480" s="547"/>
      <c r="Q480" s="989">
        <f t="shared" si="37"/>
        <v>7552883600</v>
      </c>
      <c r="R480" s="547">
        <v>7552883600</v>
      </c>
      <c r="S480" s="989">
        <f>ROUND((Q480/1000000),0)</f>
        <v>7553</v>
      </c>
      <c r="T480" s="547">
        <f t="shared" si="39"/>
        <v>7553</v>
      </c>
      <c r="U480" s="566"/>
      <c r="V480" s="567"/>
      <c r="W480" s="989">
        <f t="shared" si="34"/>
        <v>7552883600</v>
      </c>
      <c r="X480" s="812">
        <f t="shared" si="38"/>
        <v>7553</v>
      </c>
      <c r="Y480" s="835">
        <f t="shared" si="36"/>
        <v>0</v>
      </c>
    </row>
    <row r="481" spans="1:25" ht="27" customHeight="1">
      <c r="A481" s="531">
        <v>3214</v>
      </c>
      <c r="B481" s="531">
        <v>909</v>
      </c>
      <c r="C481" s="529">
        <v>9</v>
      </c>
      <c r="D481" s="1027" t="s">
        <v>32</v>
      </c>
      <c r="E481" s="1028" t="s">
        <v>1445</v>
      </c>
      <c r="F481" s="547"/>
      <c r="G481" s="547"/>
      <c r="H481" s="547"/>
      <c r="I481" s="547"/>
      <c r="J481" s="547"/>
      <c r="K481" s="547"/>
      <c r="L481" s="547"/>
      <c r="M481" s="547"/>
      <c r="N481" s="547"/>
      <c r="O481" s="547"/>
      <c r="P481" s="547"/>
      <c r="Q481" s="989">
        <f t="shared" si="37"/>
        <v>0</v>
      </c>
      <c r="R481" s="547">
        <v>0</v>
      </c>
      <c r="S481" s="989">
        <f t="shared" si="39"/>
        <v>0</v>
      </c>
      <c r="T481" s="547">
        <f t="shared" si="39"/>
        <v>0</v>
      </c>
      <c r="U481" s="566"/>
      <c r="V481" s="567"/>
      <c r="W481" s="989">
        <f t="shared" si="34"/>
        <v>0</v>
      </c>
      <c r="X481" s="812">
        <f t="shared" si="38"/>
        <v>0</v>
      </c>
      <c r="Y481" s="835">
        <f t="shared" si="36"/>
        <v>0</v>
      </c>
    </row>
    <row r="482" spans="1:25" ht="27" customHeight="1">
      <c r="A482" s="531"/>
      <c r="B482" s="531">
        <v>601</v>
      </c>
      <c r="C482" s="529">
        <v>6</v>
      </c>
      <c r="D482" s="1027" t="s">
        <v>34</v>
      </c>
      <c r="E482" s="1028" t="s">
        <v>35</v>
      </c>
      <c r="F482" s="547"/>
      <c r="G482" s="547"/>
      <c r="H482" s="547"/>
      <c r="I482" s="547"/>
      <c r="J482" s="547"/>
      <c r="K482" s="547"/>
      <c r="L482" s="547"/>
      <c r="M482" s="547"/>
      <c r="N482" s="547"/>
      <c r="O482" s="547"/>
      <c r="P482" s="547"/>
      <c r="Q482" s="989">
        <f t="shared" si="37"/>
        <v>0</v>
      </c>
      <c r="R482" s="547">
        <v>0</v>
      </c>
      <c r="S482" s="989">
        <f t="shared" si="39"/>
        <v>0</v>
      </c>
      <c r="T482" s="547">
        <f t="shared" si="39"/>
        <v>0</v>
      </c>
      <c r="U482" s="566"/>
      <c r="V482" s="567"/>
      <c r="W482" s="989">
        <f t="shared" si="34"/>
        <v>0</v>
      </c>
      <c r="X482" s="812">
        <f t="shared" si="38"/>
        <v>0</v>
      </c>
      <c r="Y482" s="835">
        <f t="shared" si="36"/>
        <v>0</v>
      </c>
    </row>
    <row r="483" spans="1:25" ht="27" customHeight="1">
      <c r="A483" s="531"/>
      <c r="B483" s="531">
        <v>301</v>
      </c>
      <c r="C483" s="529">
        <v>3</v>
      </c>
      <c r="D483" s="1027" t="s">
        <v>36</v>
      </c>
      <c r="E483" s="1028" t="s">
        <v>37</v>
      </c>
      <c r="F483" s="547">
        <v>12210460244</v>
      </c>
      <c r="G483" s="547"/>
      <c r="H483" s="547"/>
      <c r="I483" s="547"/>
      <c r="J483" s="547"/>
      <c r="K483" s="547"/>
      <c r="L483" s="547"/>
      <c r="M483" s="547"/>
      <c r="N483" s="547"/>
      <c r="O483" s="547"/>
      <c r="P483" s="547"/>
      <c r="Q483" s="989">
        <f t="shared" si="37"/>
        <v>12210460244</v>
      </c>
      <c r="R483" s="547">
        <v>37238940258</v>
      </c>
      <c r="S483" s="989">
        <f t="shared" si="39"/>
        <v>12210</v>
      </c>
      <c r="T483" s="547">
        <f t="shared" si="39"/>
        <v>37239</v>
      </c>
      <c r="U483" s="566"/>
      <c r="V483" s="567"/>
      <c r="W483" s="989">
        <f t="shared" si="34"/>
        <v>12210460244</v>
      </c>
      <c r="X483" s="812">
        <f t="shared" si="38"/>
        <v>12210</v>
      </c>
      <c r="Y483" s="835">
        <f t="shared" si="36"/>
        <v>0</v>
      </c>
    </row>
    <row r="484" spans="1:25" ht="27" customHeight="1">
      <c r="A484" s="531"/>
      <c r="B484" s="531">
        <v>301</v>
      </c>
      <c r="C484" s="529">
        <v>3</v>
      </c>
      <c r="D484" s="1027" t="s">
        <v>1691</v>
      </c>
      <c r="E484" s="1028" t="s">
        <v>1692</v>
      </c>
      <c r="F484" s="547">
        <v>103409014184</v>
      </c>
      <c r="G484" s="547"/>
      <c r="H484" s="547"/>
      <c r="I484" s="547"/>
      <c r="J484" s="547"/>
      <c r="K484" s="547"/>
      <c r="L484" s="547"/>
      <c r="M484" s="547"/>
      <c r="N484" s="547"/>
      <c r="O484" s="547"/>
      <c r="P484" s="547"/>
      <c r="Q484" s="989">
        <f>SUM(F484:P484)</f>
        <v>103409014184</v>
      </c>
      <c r="R484" s="547">
        <v>0</v>
      </c>
      <c r="S484" s="989">
        <f t="shared" si="39"/>
        <v>103409</v>
      </c>
      <c r="T484" s="547">
        <f t="shared" si="39"/>
        <v>0</v>
      </c>
      <c r="U484" s="566"/>
      <c r="V484" s="567"/>
      <c r="W484" s="989">
        <f t="shared" si="34"/>
        <v>103409014184</v>
      </c>
      <c r="X484" s="812">
        <f t="shared" si="38"/>
        <v>103409</v>
      </c>
      <c r="Y484" s="835">
        <f t="shared" si="36"/>
        <v>0</v>
      </c>
    </row>
    <row r="485" spans="1:25" ht="27" customHeight="1">
      <c r="A485" s="531"/>
      <c r="B485" s="531">
        <v>301</v>
      </c>
      <c r="C485" s="529">
        <v>3</v>
      </c>
      <c r="D485" s="1027" t="s">
        <v>1693</v>
      </c>
      <c r="E485" s="1028" t="s">
        <v>1694</v>
      </c>
      <c r="F485" s="547">
        <v>-7439216579</v>
      </c>
      <c r="G485" s="547"/>
      <c r="H485" s="547"/>
      <c r="I485" s="547"/>
      <c r="J485" s="547"/>
      <c r="K485" s="547"/>
      <c r="L485" s="547"/>
      <c r="M485" s="547"/>
      <c r="N485" s="547">
        <f>9125000000</f>
        <v>9125000000</v>
      </c>
      <c r="O485" s="547"/>
      <c r="P485" s="547"/>
      <c r="Q485" s="989">
        <f>SUM(F485:P485)</f>
        <v>1685783421</v>
      </c>
      <c r="R485" s="547">
        <v>0</v>
      </c>
      <c r="S485" s="989">
        <f t="shared" si="39"/>
        <v>1686</v>
      </c>
      <c r="T485" s="547">
        <f t="shared" si="39"/>
        <v>0</v>
      </c>
      <c r="U485" s="566"/>
      <c r="V485" s="567"/>
      <c r="W485" s="989">
        <f t="shared" si="34"/>
        <v>1685783421</v>
      </c>
      <c r="X485" s="812">
        <f t="shared" si="38"/>
        <v>1686</v>
      </c>
      <c r="Y485" s="835">
        <f t="shared" si="36"/>
        <v>0</v>
      </c>
    </row>
    <row r="486" spans="1:25" ht="27" customHeight="1">
      <c r="A486" s="531"/>
      <c r="B486" s="531">
        <v>301</v>
      </c>
      <c r="C486" s="529">
        <v>3</v>
      </c>
      <c r="D486" s="1027" t="s">
        <v>1596</v>
      </c>
      <c r="E486" s="1028" t="s">
        <v>37</v>
      </c>
      <c r="F486" s="547">
        <v>12726921992</v>
      </c>
      <c r="G486" s="547">
        <v>-3242404689</v>
      </c>
      <c r="H486" s="547"/>
      <c r="I486" s="547"/>
      <c r="J486" s="547"/>
      <c r="K486" s="547"/>
      <c r="L486" s="547"/>
      <c r="M486" s="547"/>
      <c r="N486" s="547"/>
      <c r="O486" s="547"/>
      <c r="P486" s="547"/>
      <c r="Q486" s="989">
        <f t="shared" si="37"/>
        <v>9484517303</v>
      </c>
      <c r="R486" s="547">
        <v>153129463397</v>
      </c>
      <c r="S486" s="989">
        <f>ROUND((Q486/1000000),0)</f>
        <v>9485</v>
      </c>
      <c r="T486" s="547">
        <f t="shared" si="39"/>
        <v>153129</v>
      </c>
      <c r="U486" s="566"/>
      <c r="V486" s="567"/>
      <c r="W486" s="989">
        <f t="shared" si="34"/>
        <v>9484517303</v>
      </c>
      <c r="X486" s="812">
        <f t="shared" si="38"/>
        <v>9485</v>
      </c>
      <c r="Y486" s="835">
        <f t="shared" si="36"/>
        <v>0</v>
      </c>
    </row>
    <row r="487" spans="1:25" ht="27" customHeight="1">
      <c r="A487" s="531"/>
      <c r="B487" s="531">
        <v>301</v>
      </c>
      <c r="C487" s="529">
        <v>3</v>
      </c>
      <c r="D487" s="1027" t="s">
        <v>38</v>
      </c>
      <c r="E487" s="1028" t="s">
        <v>624</v>
      </c>
      <c r="F487" s="547"/>
      <c r="G487" s="547"/>
      <c r="H487" s="547"/>
      <c r="I487" s="547"/>
      <c r="J487" s="547"/>
      <c r="K487" s="547"/>
      <c r="L487" s="547"/>
      <c r="M487" s="547"/>
      <c r="N487" s="547"/>
      <c r="O487" s="547"/>
      <c r="P487" s="547"/>
      <c r="Q487" s="989">
        <f t="shared" si="37"/>
        <v>0</v>
      </c>
      <c r="R487" s="547">
        <v>109111878158</v>
      </c>
      <c r="S487" s="989">
        <f t="shared" si="39"/>
        <v>0</v>
      </c>
      <c r="T487" s="547">
        <f t="shared" si="39"/>
        <v>109112</v>
      </c>
      <c r="U487" s="566"/>
      <c r="V487" s="567"/>
      <c r="W487" s="989">
        <f t="shared" si="34"/>
        <v>0</v>
      </c>
      <c r="X487" s="812">
        <f t="shared" si="38"/>
        <v>0</v>
      </c>
      <c r="Y487" s="835">
        <f t="shared" si="36"/>
        <v>0</v>
      </c>
    </row>
    <row r="488" spans="1:25" ht="27" customHeight="1">
      <c r="A488" s="531"/>
      <c r="B488" s="531"/>
      <c r="C488" s="529">
        <v>15</v>
      </c>
      <c r="D488" s="1027" t="s">
        <v>733</v>
      </c>
      <c r="E488" s="1028" t="s">
        <v>735</v>
      </c>
      <c r="F488" s="547">
        <v>13313136120383</v>
      </c>
      <c r="G488" s="547">
        <v>656533253391</v>
      </c>
      <c r="H488" s="547">
        <v>457796419608</v>
      </c>
      <c r="I488" s="547">
        <v>-154312205219</v>
      </c>
      <c r="J488" s="547">
        <v>21878017201</v>
      </c>
      <c r="K488" s="547">
        <f>-29673403+3546000000+58225119505</f>
        <v>61741446102</v>
      </c>
      <c r="L488" s="547"/>
      <c r="M488" s="547">
        <v>246012626255</v>
      </c>
      <c r="N488" s="547">
        <f>-150493018+2835066347</f>
        <v>2684573329</v>
      </c>
      <c r="O488" s="547"/>
      <c r="P488" s="547"/>
      <c r="Q488" s="989">
        <f>SUM(F488:P488)+310000000</f>
        <v>14605780251050</v>
      </c>
      <c r="R488" s="547">
        <v>13251238829683</v>
      </c>
      <c r="S488" s="989">
        <f t="shared" si="39"/>
        <v>14605780</v>
      </c>
      <c r="T488" s="547">
        <f t="shared" si="39"/>
        <v>13251239</v>
      </c>
      <c r="U488" s="566"/>
      <c r="V488" s="566">
        <f>Q488</f>
        <v>14605780251050</v>
      </c>
      <c r="W488" s="989">
        <f>Q488-V488+U488</f>
        <v>0</v>
      </c>
      <c r="X488" s="812">
        <f t="shared" si="38"/>
        <v>0</v>
      </c>
      <c r="Y488" s="835">
        <f t="shared" si="36"/>
        <v>14605780</v>
      </c>
    </row>
    <row r="489" spans="1:25" ht="27" customHeight="1">
      <c r="A489" s="531"/>
      <c r="B489" s="531"/>
      <c r="C489" s="529">
        <v>15</v>
      </c>
      <c r="D489" s="1027" t="s">
        <v>1695</v>
      </c>
      <c r="E489" s="1028" t="s">
        <v>1696</v>
      </c>
      <c r="F489" s="547"/>
      <c r="G489" s="547"/>
      <c r="H489" s="683">
        <v>310000000</v>
      </c>
      <c r="I489" s="547"/>
      <c r="J489" s="547"/>
      <c r="K489" s="547"/>
      <c r="L489" s="547"/>
      <c r="M489" s="547"/>
      <c r="N489" s="547"/>
      <c r="O489" s="547"/>
      <c r="P489" s="547"/>
      <c r="Q489" s="989">
        <v>0</v>
      </c>
      <c r="R489" s="547"/>
      <c r="S489" s="989"/>
      <c r="T489" s="547"/>
      <c r="U489" s="566"/>
      <c r="V489" s="566"/>
      <c r="W489" s="989"/>
      <c r="X489" s="812"/>
      <c r="Y489" s="835">
        <f t="shared" si="36"/>
        <v>0</v>
      </c>
    </row>
    <row r="490" spans="1:25" ht="27" customHeight="1">
      <c r="A490" s="531"/>
      <c r="B490" s="531">
        <v>205</v>
      </c>
      <c r="C490" s="529">
        <v>17</v>
      </c>
      <c r="D490" s="1027" t="s">
        <v>734</v>
      </c>
      <c r="E490" s="1028" t="s">
        <v>903</v>
      </c>
      <c r="F490" s="547">
        <v>1306902523881</v>
      </c>
      <c r="G490" s="547">
        <v>1031279480</v>
      </c>
      <c r="H490" s="547">
        <v>45928820133</v>
      </c>
      <c r="I490" s="547">
        <v>-51054497571</v>
      </c>
      <c r="J490" s="547">
        <v>-16463075326</v>
      </c>
      <c r="K490" s="547"/>
      <c r="L490" s="547">
        <v>-974747055956</v>
      </c>
      <c r="M490" s="547"/>
      <c r="N490" s="547"/>
      <c r="O490" s="547"/>
      <c r="P490" s="547"/>
      <c r="Q490" s="989">
        <f t="shared" si="37"/>
        <v>311597994641</v>
      </c>
      <c r="R490" s="547">
        <v>-1344142843076</v>
      </c>
      <c r="S490" s="989">
        <f t="shared" si="39"/>
        <v>311598</v>
      </c>
      <c r="T490" s="547">
        <f t="shared" si="39"/>
        <v>-1344143</v>
      </c>
      <c r="U490" s="566">
        <v>0</v>
      </c>
      <c r="V490" s="566">
        <f>Q490</f>
        <v>311597994641</v>
      </c>
      <c r="W490" s="989">
        <f>Q490-V490+U490</f>
        <v>0</v>
      </c>
      <c r="X490" s="812">
        <f t="shared" si="38"/>
        <v>0</v>
      </c>
      <c r="Y490" s="835">
        <f t="shared" si="36"/>
        <v>311598</v>
      </c>
    </row>
    <row r="491" spans="1:25" ht="27" customHeight="1">
      <c r="A491" s="531"/>
      <c r="B491" s="531">
        <v>202</v>
      </c>
      <c r="C491" s="529">
        <v>16</v>
      </c>
      <c r="D491" s="1027" t="s">
        <v>905</v>
      </c>
      <c r="E491" s="1028" t="s">
        <v>904</v>
      </c>
      <c r="F491" s="547">
        <v>-28833550327</v>
      </c>
      <c r="G491" s="547">
        <v>-385142638</v>
      </c>
      <c r="H491" s="547">
        <v>-151221512</v>
      </c>
      <c r="I491" s="547"/>
      <c r="J491" s="547"/>
      <c r="K491" s="547"/>
      <c r="L491" s="547"/>
      <c r="M491" s="547"/>
      <c r="N491" s="547"/>
      <c r="O491" s="547"/>
      <c r="P491" s="547"/>
      <c r="Q491" s="989">
        <f t="shared" si="37"/>
        <v>-29369914477</v>
      </c>
      <c r="R491" s="547">
        <v>-49315905056</v>
      </c>
      <c r="S491" s="989">
        <f t="shared" si="39"/>
        <v>-29370</v>
      </c>
      <c r="T491" s="547">
        <f t="shared" si="39"/>
        <v>-49316</v>
      </c>
      <c r="U491" s="566">
        <f>-Q491</f>
        <v>29369914477</v>
      </c>
      <c r="V491" s="566"/>
      <c r="W491" s="989">
        <f>Q491-V491+U491</f>
        <v>0</v>
      </c>
      <c r="X491" s="812">
        <f t="shared" si="38"/>
        <v>0</v>
      </c>
      <c r="Y491" s="835">
        <f t="shared" si="36"/>
        <v>-29370</v>
      </c>
    </row>
    <row r="492" spans="1:25" ht="27" customHeight="1">
      <c r="A492" s="531">
        <v>7</v>
      </c>
      <c r="B492" s="531">
        <v>10040</v>
      </c>
      <c r="C492" s="529">
        <v>4</v>
      </c>
      <c r="D492" s="1027" t="s">
        <v>608</v>
      </c>
      <c r="E492" s="1028" t="s">
        <v>609</v>
      </c>
      <c r="F492" s="547">
        <v>-15745580676048</v>
      </c>
      <c r="G492" s="547">
        <v>-343143862126</v>
      </c>
      <c r="H492" s="547">
        <v>133235535868</v>
      </c>
      <c r="I492" s="547">
        <v>-4007501050</v>
      </c>
      <c r="J492" s="547">
        <v>14520655619873</v>
      </c>
      <c r="K492" s="547">
        <v>1438840883483</v>
      </c>
      <c r="L492" s="547">
        <v>-6841889670</v>
      </c>
      <c r="M492" s="547">
        <f>-244299602360-30680113133-565173533400</f>
        <v>-840153248893</v>
      </c>
      <c r="N492" s="547">
        <f>44043734674-8650746810</f>
        <v>35392987864</v>
      </c>
      <c r="O492" s="547"/>
      <c r="P492" s="547">
        <v>811602150699</v>
      </c>
      <c r="Q492" s="989">
        <f t="shared" si="37"/>
        <v>0</v>
      </c>
      <c r="R492" s="547">
        <v>-1949504271828</v>
      </c>
      <c r="S492" s="989">
        <f>ROUND((Q492/1000000),0)</f>
        <v>0</v>
      </c>
      <c r="T492" s="547">
        <f t="shared" si="39"/>
        <v>-1949504</v>
      </c>
      <c r="U492" s="566"/>
      <c r="V492" s="566"/>
      <c r="W492" s="989">
        <f t="shared" si="34"/>
        <v>0</v>
      </c>
      <c r="X492" s="812">
        <f t="shared" si="38"/>
        <v>0</v>
      </c>
      <c r="Y492" s="835">
        <f t="shared" si="36"/>
        <v>0</v>
      </c>
    </row>
    <row r="493" spans="1:25" ht="27" customHeight="1">
      <c r="A493" s="531"/>
      <c r="B493" s="531">
        <v>201</v>
      </c>
      <c r="C493" s="529">
        <v>16</v>
      </c>
      <c r="D493" s="1027" t="s">
        <v>737</v>
      </c>
      <c r="E493" s="1028" t="s">
        <v>736</v>
      </c>
      <c r="F493" s="547">
        <v>-231966986935</v>
      </c>
      <c r="G493" s="547">
        <v>-6129959799</v>
      </c>
      <c r="H493" s="547"/>
      <c r="I493" s="547"/>
      <c r="J493" s="547"/>
      <c r="K493" s="547"/>
      <c r="L493" s="547"/>
      <c r="M493" s="547"/>
      <c r="N493" s="547"/>
      <c r="O493" s="547"/>
      <c r="P493" s="547"/>
      <c r="Q493" s="989">
        <f t="shared" si="37"/>
        <v>-238096946734</v>
      </c>
      <c r="R493" s="547">
        <v>-86097941079</v>
      </c>
      <c r="S493" s="989">
        <f t="shared" si="39"/>
        <v>-238097</v>
      </c>
      <c r="T493" s="547">
        <f t="shared" si="39"/>
        <v>-86098</v>
      </c>
      <c r="U493" s="566">
        <f>-Q493</f>
        <v>238096946734</v>
      </c>
      <c r="V493" s="566"/>
      <c r="W493" s="989">
        <f>Q493-V493+U493</f>
        <v>0</v>
      </c>
      <c r="X493" s="812">
        <f t="shared" si="38"/>
        <v>0</v>
      </c>
      <c r="Y493" s="835">
        <f t="shared" si="36"/>
        <v>-238097</v>
      </c>
    </row>
    <row r="494" spans="1:25" ht="27" customHeight="1">
      <c r="A494" s="531"/>
      <c r="B494" s="531"/>
      <c r="C494" s="529">
        <v>14</v>
      </c>
      <c r="D494" s="1027" t="s">
        <v>906</v>
      </c>
      <c r="E494" s="1028" t="s">
        <v>907</v>
      </c>
      <c r="F494" s="547">
        <v>-5971103110742</v>
      </c>
      <c r="G494" s="547">
        <v>-524143377772</v>
      </c>
      <c r="H494" s="547">
        <v>-596502228537</v>
      </c>
      <c r="I494" s="547"/>
      <c r="J494" s="547"/>
      <c r="K494" s="547"/>
      <c r="L494" s="547"/>
      <c r="M494" s="547"/>
      <c r="N494" s="547"/>
      <c r="O494" s="547"/>
      <c r="P494" s="547"/>
      <c r="Q494" s="989">
        <f t="shared" si="37"/>
        <v>-7091748717051</v>
      </c>
      <c r="R494" s="547">
        <v>-6351679755540</v>
      </c>
      <c r="S494" s="989">
        <f t="shared" si="39"/>
        <v>-7091749</v>
      </c>
      <c r="T494" s="547">
        <f t="shared" si="39"/>
        <v>-6351680</v>
      </c>
      <c r="U494" s="566">
        <f>-Q494</f>
        <v>7091748717051</v>
      </c>
      <c r="V494" s="566"/>
      <c r="W494" s="989">
        <f>Q494-V494+U494</f>
        <v>0</v>
      </c>
      <c r="X494" s="812">
        <f t="shared" si="38"/>
        <v>0</v>
      </c>
      <c r="Y494" s="835">
        <f t="shared" si="36"/>
        <v>-7091749</v>
      </c>
    </row>
    <row r="495" spans="1:25" ht="27" customHeight="1">
      <c r="A495" s="531"/>
      <c r="B495" s="531"/>
      <c r="C495" s="529">
        <v>14</v>
      </c>
      <c r="D495" s="1027" t="s">
        <v>908</v>
      </c>
      <c r="E495" s="1028" t="s">
        <v>909</v>
      </c>
      <c r="F495" s="547">
        <v>-6153679531202</v>
      </c>
      <c r="G495" s="547">
        <v>-516369725186</v>
      </c>
      <c r="H495" s="547">
        <v>-626827412973</v>
      </c>
      <c r="I495" s="547"/>
      <c r="J495" s="547"/>
      <c r="K495" s="547"/>
      <c r="L495" s="547"/>
      <c r="M495" s="547"/>
      <c r="N495" s="547"/>
      <c r="O495" s="547"/>
      <c r="P495" s="547">
        <v>60913906874</v>
      </c>
      <c r="Q495" s="989">
        <f t="shared" si="37"/>
        <v>-7235962762487</v>
      </c>
      <c r="R495" s="547">
        <v>-6474568694090</v>
      </c>
      <c r="S495" s="989">
        <f>ROUND((Q495/1000000),0)</f>
        <v>-7235963</v>
      </c>
      <c r="T495" s="547">
        <f t="shared" si="39"/>
        <v>-6474569</v>
      </c>
      <c r="U495" s="566">
        <f>-Q495</f>
        <v>7235962762487</v>
      </c>
      <c r="V495" s="566"/>
      <c r="W495" s="989">
        <f>Q495-V495+U495</f>
        <v>0</v>
      </c>
      <c r="X495" s="812">
        <f t="shared" si="38"/>
        <v>0</v>
      </c>
      <c r="Y495" s="835">
        <f t="shared" si="36"/>
        <v>-7235963</v>
      </c>
    </row>
    <row r="496" spans="1:25" ht="27" customHeight="1">
      <c r="A496" s="531"/>
      <c r="B496" s="531">
        <v>203</v>
      </c>
      <c r="C496" s="529">
        <v>16</v>
      </c>
      <c r="D496" s="1027" t="s">
        <v>738</v>
      </c>
      <c r="E496" s="1028" t="s">
        <v>910</v>
      </c>
      <c r="F496" s="547">
        <v>-220112291</v>
      </c>
      <c r="G496" s="547"/>
      <c r="H496" s="547"/>
      <c r="I496" s="547"/>
      <c r="J496" s="547"/>
      <c r="K496" s="547"/>
      <c r="L496" s="547"/>
      <c r="M496" s="547"/>
      <c r="N496" s="547"/>
      <c r="O496" s="547"/>
      <c r="P496" s="547"/>
      <c r="Q496" s="989">
        <f t="shared" si="37"/>
        <v>-220112291</v>
      </c>
      <c r="R496" s="547">
        <v>-8853300</v>
      </c>
      <c r="S496" s="989">
        <f t="shared" si="39"/>
        <v>-220</v>
      </c>
      <c r="T496" s="547">
        <f t="shared" si="39"/>
        <v>-9</v>
      </c>
      <c r="U496" s="566">
        <f>-Q496</f>
        <v>220112291</v>
      </c>
      <c r="V496" s="566"/>
      <c r="W496" s="989">
        <f>Q496-V496+U496</f>
        <v>0</v>
      </c>
      <c r="X496" s="812">
        <f t="shared" si="38"/>
        <v>0</v>
      </c>
      <c r="Y496" s="835">
        <f t="shared" si="36"/>
        <v>-220</v>
      </c>
    </row>
    <row r="497" spans="1:25" ht="27" customHeight="1">
      <c r="A497" s="531"/>
      <c r="B497" s="1092">
        <v>406</v>
      </c>
      <c r="C497" s="1021">
        <v>4</v>
      </c>
      <c r="D497" s="1027" t="s">
        <v>586</v>
      </c>
      <c r="E497" s="1028" t="s">
        <v>587</v>
      </c>
      <c r="F497" s="547">
        <v>-1783014351</v>
      </c>
      <c r="G497" s="547"/>
      <c r="H497" s="547"/>
      <c r="I497" s="547">
        <v>5139740023</v>
      </c>
      <c r="J497" s="547">
        <v>7476968127</v>
      </c>
      <c r="K497" s="547"/>
      <c r="L497" s="547"/>
      <c r="M497" s="547"/>
      <c r="N497" s="547"/>
      <c r="O497" s="547"/>
      <c r="P497" s="547"/>
      <c r="Q497" s="989">
        <f t="shared" si="37"/>
        <v>10833693799</v>
      </c>
      <c r="R497" s="547">
        <v>781780753</v>
      </c>
      <c r="S497" s="989">
        <f t="shared" si="39"/>
        <v>10834</v>
      </c>
      <c r="T497" s="547">
        <f t="shared" si="39"/>
        <v>782</v>
      </c>
      <c r="U497" s="566"/>
      <c r="V497" s="566"/>
      <c r="W497" s="989">
        <f t="shared" si="34"/>
        <v>10833693799</v>
      </c>
      <c r="X497" s="812">
        <f t="shared" si="38"/>
        <v>10834</v>
      </c>
      <c r="Y497" s="835">
        <f t="shared" si="36"/>
        <v>0</v>
      </c>
    </row>
    <row r="498" spans="1:25" ht="27" customHeight="1">
      <c r="A498" s="531"/>
      <c r="B498" s="531">
        <v>1011</v>
      </c>
      <c r="C498" s="529">
        <v>10</v>
      </c>
      <c r="D498" s="1027" t="s">
        <v>588</v>
      </c>
      <c r="E498" s="1028" t="s">
        <v>468</v>
      </c>
      <c r="F498" s="547">
        <v>-9751742213</v>
      </c>
      <c r="G498" s="547"/>
      <c r="H498" s="547"/>
      <c r="I498" s="547"/>
      <c r="J498" s="547"/>
      <c r="K498" s="547"/>
      <c r="L498" s="547"/>
      <c r="M498" s="547"/>
      <c r="N498" s="547"/>
      <c r="O498" s="547"/>
      <c r="P498" s="547"/>
      <c r="Q498" s="989">
        <f t="shared" si="37"/>
        <v>-9751742213</v>
      </c>
      <c r="R498" s="547">
        <v>-5055396358</v>
      </c>
      <c r="S498" s="989">
        <f t="shared" si="39"/>
        <v>-9752</v>
      </c>
      <c r="T498" s="547">
        <f t="shared" si="39"/>
        <v>-5055</v>
      </c>
      <c r="U498" s="566"/>
      <c r="V498" s="566"/>
      <c r="W498" s="989">
        <f t="shared" si="34"/>
        <v>-9751742213</v>
      </c>
      <c r="X498" s="812">
        <f t="shared" si="38"/>
        <v>-9752</v>
      </c>
      <c r="Y498" s="835">
        <f t="shared" si="36"/>
        <v>0</v>
      </c>
    </row>
    <row r="499" spans="1:25" ht="27" customHeight="1">
      <c r="A499" s="531"/>
      <c r="B499" s="531">
        <v>204</v>
      </c>
      <c r="C499" s="529">
        <v>14</v>
      </c>
      <c r="D499" s="1027" t="s">
        <v>747</v>
      </c>
      <c r="E499" s="1028" t="s">
        <v>746</v>
      </c>
      <c r="F499" s="547">
        <v>-43419545885</v>
      </c>
      <c r="G499" s="547"/>
      <c r="H499" s="547">
        <v>-61272000</v>
      </c>
      <c r="I499" s="547">
        <v>13860000</v>
      </c>
      <c r="J499" s="547">
        <v>3300091</v>
      </c>
      <c r="K499" s="547"/>
      <c r="L499" s="547"/>
      <c r="M499" s="547"/>
      <c r="N499" s="547"/>
      <c r="O499" s="547"/>
      <c r="P499" s="547"/>
      <c r="Q499" s="989">
        <f t="shared" si="37"/>
        <v>-43463657794</v>
      </c>
      <c r="R499" s="547">
        <v>-40031524299</v>
      </c>
      <c r="S499" s="989">
        <f t="shared" si="39"/>
        <v>-43464</v>
      </c>
      <c r="T499" s="547">
        <f t="shared" si="39"/>
        <v>-40032</v>
      </c>
      <c r="U499" s="566">
        <f>-Q499</f>
        <v>43463657794</v>
      </c>
      <c r="V499" s="566"/>
      <c r="W499" s="989">
        <f>Q499-V499+U499</f>
        <v>0</v>
      </c>
      <c r="X499" s="812">
        <f t="shared" si="38"/>
        <v>0</v>
      </c>
      <c r="Y499" s="835">
        <f t="shared" si="36"/>
        <v>-43464</v>
      </c>
    </row>
    <row r="500" spans="1:25" ht="27" customHeight="1">
      <c r="A500" s="531"/>
      <c r="B500" s="531"/>
      <c r="C500" s="529">
        <v>18</v>
      </c>
      <c r="D500" s="1027" t="s">
        <v>852</v>
      </c>
      <c r="E500" s="1028" t="s">
        <v>1040</v>
      </c>
      <c r="F500" s="547"/>
      <c r="G500" s="547"/>
      <c r="H500" s="547"/>
      <c r="I500" s="547"/>
      <c r="J500" s="547"/>
      <c r="K500" s="547"/>
      <c r="L500" s="547"/>
      <c r="M500" s="547"/>
      <c r="N500" s="547"/>
      <c r="O500" s="547"/>
      <c r="P500" s="547"/>
      <c r="Q500" s="989">
        <f t="shared" si="37"/>
        <v>0</v>
      </c>
      <c r="R500" s="547">
        <v>0</v>
      </c>
      <c r="S500" s="989">
        <f t="shared" si="39"/>
        <v>0</v>
      </c>
      <c r="T500" s="547">
        <f t="shared" si="39"/>
        <v>0</v>
      </c>
      <c r="U500" s="566">
        <v>33081859784</v>
      </c>
      <c r="V500" s="566">
        <f>(U499+U496+U495+U494+U493+U491+U432-V488)</f>
        <v>33081859784</v>
      </c>
      <c r="W500" s="989">
        <f>Q500-V500+U500</f>
        <v>0</v>
      </c>
      <c r="X500" s="812">
        <f t="shared" si="38"/>
        <v>0</v>
      </c>
      <c r="Y500" s="835">
        <f t="shared" si="36"/>
        <v>0</v>
      </c>
    </row>
    <row r="501" spans="1:25" ht="27" customHeight="1">
      <c r="A501" s="531"/>
      <c r="B501" s="531"/>
      <c r="C501" s="529">
        <v>18</v>
      </c>
      <c r="D501" s="1027" t="s">
        <v>613</v>
      </c>
      <c r="E501" s="1028" t="s">
        <v>614</v>
      </c>
      <c r="F501" s="547">
        <v>80753199231</v>
      </c>
      <c r="G501" s="547"/>
      <c r="H501" s="547"/>
      <c r="I501" s="547"/>
      <c r="J501" s="547"/>
      <c r="K501" s="547"/>
      <c r="L501" s="547">
        <v>974747055956</v>
      </c>
      <c r="M501" s="547"/>
      <c r="N501" s="547"/>
      <c r="O501" s="547"/>
      <c r="P501" s="547"/>
      <c r="Q501" s="989">
        <f t="shared" si="37"/>
        <v>1055500255187</v>
      </c>
      <c r="R501" s="547">
        <v>2150166441944</v>
      </c>
      <c r="S501" s="989">
        <f t="shared" si="39"/>
        <v>1055500</v>
      </c>
      <c r="T501" s="547">
        <f t="shared" si="39"/>
        <v>2150166</v>
      </c>
      <c r="U501" s="566">
        <f>U500-V500+V490</f>
        <v>311597994641</v>
      </c>
      <c r="V501" s="566">
        <v>8270464946</v>
      </c>
      <c r="W501" s="989">
        <f>Q501-V501+U501</f>
        <v>1358827784882</v>
      </c>
      <c r="X501" s="812">
        <f t="shared" si="38"/>
        <v>1358828</v>
      </c>
      <c r="Y501" s="835">
        <f t="shared" si="36"/>
        <v>-303328</v>
      </c>
    </row>
    <row r="502" spans="1:25" ht="27" customHeight="1">
      <c r="A502" s="531"/>
      <c r="B502" s="531">
        <v>406</v>
      </c>
      <c r="C502" s="529">
        <v>4</v>
      </c>
      <c r="D502" s="1027" t="s">
        <v>1257</v>
      </c>
      <c r="E502" s="1028" t="s">
        <v>1029</v>
      </c>
      <c r="F502" s="547">
        <v>2197599712</v>
      </c>
      <c r="G502" s="547">
        <v>-2193949712</v>
      </c>
      <c r="H502" s="547">
        <v>-3650000</v>
      </c>
      <c r="I502" s="547">
        <v>-116366479</v>
      </c>
      <c r="J502" s="547">
        <v>116366479</v>
      </c>
      <c r="K502" s="547"/>
      <c r="L502" s="547"/>
      <c r="M502" s="547"/>
      <c r="N502" s="547"/>
      <c r="O502" s="547"/>
      <c r="P502" s="547"/>
      <c r="Q502" s="989">
        <f t="shared" si="37"/>
        <v>0</v>
      </c>
      <c r="R502" s="547">
        <v>0</v>
      </c>
      <c r="S502" s="989">
        <f t="shared" si="39"/>
        <v>0</v>
      </c>
      <c r="T502" s="547">
        <f t="shared" si="39"/>
        <v>0</v>
      </c>
      <c r="U502" s="566"/>
      <c r="V502" s="567"/>
      <c r="W502" s="989">
        <f t="shared" ref="W502:W543" si="40">Q502+V502-U502</f>
        <v>0</v>
      </c>
      <c r="X502" s="812">
        <f t="shared" si="38"/>
        <v>0</v>
      </c>
      <c r="Y502" s="835">
        <f t="shared" si="36"/>
        <v>0</v>
      </c>
    </row>
    <row r="503" spans="1:25" ht="27" customHeight="1">
      <c r="A503" s="531"/>
      <c r="B503" s="531">
        <v>1018</v>
      </c>
      <c r="C503" s="529">
        <v>10</v>
      </c>
      <c r="D503" s="1027" t="s">
        <v>1157</v>
      </c>
      <c r="E503" s="1028" t="s">
        <v>956</v>
      </c>
      <c r="F503" s="547">
        <v>1715583863</v>
      </c>
      <c r="G503" s="547">
        <v>-2050528054</v>
      </c>
      <c r="H503" s="547">
        <v>334944191</v>
      </c>
      <c r="I503" s="547">
        <v>-199628581</v>
      </c>
      <c r="J503" s="547">
        <v>199628581</v>
      </c>
      <c r="K503" s="547"/>
      <c r="L503" s="547"/>
      <c r="M503" s="547"/>
      <c r="N503" s="547"/>
      <c r="O503" s="547"/>
      <c r="P503" s="547"/>
      <c r="Q503" s="989">
        <f t="shared" si="37"/>
        <v>0</v>
      </c>
      <c r="R503" s="547">
        <v>0</v>
      </c>
      <c r="S503" s="989">
        <f t="shared" si="39"/>
        <v>0</v>
      </c>
      <c r="T503" s="547">
        <f t="shared" si="39"/>
        <v>0</v>
      </c>
      <c r="U503" s="566"/>
      <c r="V503" s="567"/>
      <c r="W503" s="989">
        <f t="shared" si="40"/>
        <v>0</v>
      </c>
      <c r="X503" s="812">
        <f t="shared" si="38"/>
        <v>0</v>
      </c>
      <c r="Y503" s="835">
        <f t="shared" si="36"/>
        <v>0</v>
      </c>
    </row>
    <row r="504" spans="1:25" ht="27" customHeight="1">
      <c r="A504" s="531"/>
      <c r="B504" s="531">
        <v>406</v>
      </c>
      <c r="C504" s="529">
        <v>4</v>
      </c>
      <c r="D504" s="1027" t="s">
        <v>1003</v>
      </c>
      <c r="E504" s="1028" t="s">
        <v>1258</v>
      </c>
      <c r="F504" s="547">
        <v>6320000</v>
      </c>
      <c r="G504" s="547"/>
      <c r="H504" s="547">
        <v>0</v>
      </c>
      <c r="I504" s="547"/>
      <c r="J504" s="547"/>
      <c r="K504" s="547"/>
      <c r="L504" s="547"/>
      <c r="M504" s="547"/>
      <c r="N504" s="547"/>
      <c r="O504" s="547"/>
      <c r="P504" s="547"/>
      <c r="Q504" s="989">
        <f t="shared" si="37"/>
        <v>6320000</v>
      </c>
      <c r="R504" s="547">
        <v>0</v>
      </c>
      <c r="S504" s="989">
        <f t="shared" si="39"/>
        <v>6</v>
      </c>
      <c r="T504" s="547">
        <f t="shared" si="39"/>
        <v>0</v>
      </c>
      <c r="U504" s="566"/>
      <c r="V504" s="567"/>
      <c r="W504" s="989">
        <f t="shared" si="40"/>
        <v>6320000</v>
      </c>
      <c r="X504" s="812">
        <f t="shared" si="38"/>
        <v>6</v>
      </c>
      <c r="Y504" s="835">
        <f t="shared" si="36"/>
        <v>0</v>
      </c>
    </row>
    <row r="505" spans="1:25" ht="27" customHeight="1">
      <c r="A505" s="531"/>
      <c r="B505" s="531">
        <v>406</v>
      </c>
      <c r="C505" s="529">
        <v>4</v>
      </c>
      <c r="D505" s="1027" t="s">
        <v>1598</v>
      </c>
      <c r="E505" s="1028" t="s">
        <v>1597</v>
      </c>
      <c r="F505" s="547">
        <v>164257076</v>
      </c>
      <c r="G505" s="547">
        <v>-164257076</v>
      </c>
      <c r="H505" s="547"/>
      <c r="I505" s="547"/>
      <c r="J505" s="547"/>
      <c r="K505" s="547"/>
      <c r="L505" s="547"/>
      <c r="M505" s="547"/>
      <c r="N505" s="547"/>
      <c r="O505" s="547"/>
      <c r="P505" s="547"/>
      <c r="Q505" s="989">
        <f t="shared" si="37"/>
        <v>0</v>
      </c>
      <c r="R505" s="547">
        <v>0</v>
      </c>
      <c r="S505" s="989">
        <f t="shared" si="39"/>
        <v>0</v>
      </c>
      <c r="T505" s="547">
        <f t="shared" si="39"/>
        <v>0</v>
      </c>
      <c r="U505" s="566"/>
      <c r="V505" s="567"/>
      <c r="W505" s="989">
        <f t="shared" si="40"/>
        <v>0</v>
      </c>
      <c r="X505" s="812">
        <f t="shared" si="38"/>
        <v>0</v>
      </c>
      <c r="Y505" s="835">
        <f t="shared" si="36"/>
        <v>0</v>
      </c>
    </row>
    <row r="506" spans="1:25" ht="27" customHeight="1">
      <c r="A506" s="531"/>
      <c r="B506" s="531">
        <v>406</v>
      </c>
      <c r="C506" s="529">
        <v>4</v>
      </c>
      <c r="D506" s="1027" t="s">
        <v>1259</v>
      </c>
      <c r="E506" s="1028" t="s">
        <v>1260</v>
      </c>
      <c r="F506" s="547">
        <v>5782940</v>
      </c>
      <c r="G506" s="547">
        <v>-783000</v>
      </c>
      <c r="H506" s="547">
        <v>-4736900</v>
      </c>
      <c r="I506" s="547"/>
      <c r="J506" s="547"/>
      <c r="K506" s="547"/>
      <c r="L506" s="547"/>
      <c r="M506" s="547"/>
      <c r="N506" s="547"/>
      <c r="O506" s="547"/>
      <c r="P506" s="547"/>
      <c r="Q506" s="989">
        <f t="shared" si="37"/>
        <v>263040</v>
      </c>
      <c r="R506" s="547">
        <v>263040</v>
      </c>
      <c r="S506" s="989">
        <f t="shared" si="39"/>
        <v>0</v>
      </c>
      <c r="T506" s="547">
        <f t="shared" si="39"/>
        <v>0</v>
      </c>
      <c r="U506" s="566"/>
      <c r="V506" s="567"/>
      <c r="W506" s="989">
        <f t="shared" si="40"/>
        <v>263040</v>
      </c>
      <c r="X506" s="812">
        <f t="shared" si="38"/>
        <v>0</v>
      </c>
      <c r="Y506" s="835">
        <f t="shared" si="36"/>
        <v>0</v>
      </c>
    </row>
    <row r="507" spans="1:25" ht="27" customHeight="1">
      <c r="A507" s="531"/>
      <c r="B507" s="531">
        <v>10040</v>
      </c>
      <c r="C507" s="529">
        <v>4</v>
      </c>
      <c r="D507" s="1027" t="s">
        <v>615</v>
      </c>
      <c r="E507" s="1028" t="s">
        <v>616</v>
      </c>
      <c r="F507" s="547">
        <v>-473188</v>
      </c>
      <c r="G507" s="547"/>
      <c r="H507" s="547"/>
      <c r="I507" s="547"/>
      <c r="J507" s="547"/>
      <c r="K507" s="547"/>
      <c r="L507" s="547"/>
      <c r="M507" s="547"/>
      <c r="N507" s="547"/>
      <c r="O507" s="547"/>
      <c r="P507" s="547"/>
      <c r="Q507" s="989">
        <f t="shared" si="37"/>
        <v>-473188</v>
      </c>
      <c r="R507" s="547">
        <v>-473188</v>
      </c>
      <c r="S507" s="989">
        <f t="shared" si="39"/>
        <v>0</v>
      </c>
      <c r="T507" s="547">
        <f t="shared" si="39"/>
        <v>0</v>
      </c>
      <c r="U507" s="566"/>
      <c r="V507" s="567"/>
      <c r="W507" s="989">
        <f t="shared" si="40"/>
        <v>-473188</v>
      </c>
      <c r="X507" s="812">
        <f t="shared" si="38"/>
        <v>0</v>
      </c>
      <c r="Y507" s="835">
        <f t="shared" si="36"/>
        <v>0</v>
      </c>
    </row>
    <row r="508" spans="1:25" ht="27" customHeight="1">
      <c r="A508" s="531"/>
      <c r="B508" s="531"/>
      <c r="C508" s="529">
        <v>19</v>
      </c>
      <c r="D508" s="1027" t="s">
        <v>617</v>
      </c>
      <c r="E508" s="1028" t="s">
        <v>618</v>
      </c>
      <c r="F508" s="547">
        <v>2009699609045</v>
      </c>
      <c r="G508" s="547">
        <v>-16425827166</v>
      </c>
      <c r="H508" s="547">
        <v>161553810</v>
      </c>
      <c r="I508" s="547"/>
      <c r="J508" s="547">
        <v>2824801434989</v>
      </c>
      <c r="K508" s="547"/>
      <c r="L508" s="547"/>
      <c r="M508" s="547"/>
      <c r="N508" s="547"/>
      <c r="O508" s="547"/>
      <c r="P508" s="547"/>
      <c r="Q508" s="989">
        <f t="shared" si="37"/>
        <v>4818236770678</v>
      </c>
      <c r="R508" s="547">
        <v>1358907295873</v>
      </c>
      <c r="S508" s="989">
        <f t="shared" si="39"/>
        <v>4818237</v>
      </c>
      <c r="T508" s="547">
        <f t="shared" si="39"/>
        <v>1358907</v>
      </c>
      <c r="U508" s="566"/>
      <c r="V508" s="567"/>
      <c r="W508" s="989">
        <f t="shared" si="40"/>
        <v>4818236770678</v>
      </c>
      <c r="X508" s="812">
        <f t="shared" si="38"/>
        <v>4818237</v>
      </c>
      <c r="Y508" s="835">
        <f t="shared" si="36"/>
        <v>0</v>
      </c>
    </row>
    <row r="509" spans="1:25" ht="27" customHeight="1">
      <c r="A509" s="531"/>
      <c r="B509" s="531"/>
      <c r="C509" s="529">
        <v>19</v>
      </c>
      <c r="D509" s="1027" t="s">
        <v>1202</v>
      </c>
      <c r="E509" s="1028" t="s">
        <v>1203</v>
      </c>
      <c r="F509" s="547">
        <v>0</v>
      </c>
      <c r="G509" s="547"/>
      <c r="H509" s="547"/>
      <c r="I509" s="547"/>
      <c r="J509" s="547">
        <v>512624574599</v>
      </c>
      <c r="K509" s="547"/>
      <c r="L509" s="547"/>
      <c r="M509" s="547"/>
      <c r="N509" s="547"/>
      <c r="O509" s="547"/>
      <c r="P509" s="547"/>
      <c r="Q509" s="989">
        <f t="shared" si="37"/>
        <v>512624574599</v>
      </c>
      <c r="R509" s="547">
        <v>0</v>
      </c>
      <c r="S509" s="989">
        <f t="shared" si="39"/>
        <v>512625</v>
      </c>
      <c r="T509" s="547">
        <f t="shared" si="39"/>
        <v>0</v>
      </c>
      <c r="U509" s="566"/>
      <c r="V509" s="567"/>
      <c r="W509" s="989">
        <f t="shared" si="40"/>
        <v>512624574599</v>
      </c>
      <c r="X509" s="812">
        <f t="shared" si="38"/>
        <v>512625</v>
      </c>
      <c r="Y509" s="835">
        <f t="shared" si="36"/>
        <v>0</v>
      </c>
    </row>
    <row r="510" spans="1:25" ht="27" customHeight="1">
      <c r="A510" s="531"/>
      <c r="B510" s="531"/>
      <c r="C510" s="529">
        <v>19</v>
      </c>
      <c r="D510" s="1027" t="s">
        <v>619</v>
      </c>
      <c r="E510" s="1028" t="s">
        <v>620</v>
      </c>
      <c r="F510" s="547">
        <v>-2009699609045</v>
      </c>
      <c r="G510" s="547">
        <v>16425827166</v>
      </c>
      <c r="H510" s="547">
        <v>-161553810</v>
      </c>
      <c r="I510" s="547"/>
      <c r="J510" s="547">
        <v>-2824801434989</v>
      </c>
      <c r="K510" s="547"/>
      <c r="L510" s="547"/>
      <c r="M510" s="547"/>
      <c r="N510" s="547"/>
      <c r="O510" s="547"/>
      <c r="P510" s="547"/>
      <c r="Q510" s="989">
        <f t="shared" si="37"/>
        <v>-4818236770678</v>
      </c>
      <c r="R510" s="547">
        <v>-1358907295873</v>
      </c>
      <c r="S510" s="989">
        <f t="shared" si="39"/>
        <v>-4818237</v>
      </c>
      <c r="T510" s="547">
        <f t="shared" si="39"/>
        <v>-1358907</v>
      </c>
      <c r="U510" s="566"/>
      <c r="V510" s="567"/>
      <c r="W510" s="989">
        <f t="shared" si="40"/>
        <v>-4818236770678</v>
      </c>
      <c r="X510" s="812">
        <f t="shared" si="38"/>
        <v>-4818237</v>
      </c>
      <c r="Y510" s="835">
        <f t="shared" si="36"/>
        <v>0</v>
      </c>
    </row>
    <row r="511" spans="1:25" ht="27" customHeight="1">
      <c r="A511" s="531"/>
      <c r="B511" s="531"/>
      <c r="C511" s="529">
        <v>19</v>
      </c>
      <c r="D511" s="1027" t="s">
        <v>1204</v>
      </c>
      <c r="E511" s="1028" t="s">
        <v>1205</v>
      </c>
      <c r="F511" s="547"/>
      <c r="G511" s="547"/>
      <c r="H511" s="547"/>
      <c r="I511" s="547"/>
      <c r="J511" s="547">
        <v>-512624574599</v>
      </c>
      <c r="K511" s="547"/>
      <c r="L511" s="547"/>
      <c r="M511" s="547"/>
      <c r="N511" s="547"/>
      <c r="O511" s="547"/>
      <c r="P511" s="547"/>
      <c r="Q511" s="989">
        <f t="shared" si="37"/>
        <v>-512624574599</v>
      </c>
      <c r="R511" s="547">
        <v>0</v>
      </c>
      <c r="S511" s="989">
        <f t="shared" si="39"/>
        <v>-512625</v>
      </c>
      <c r="T511" s="547">
        <f t="shared" si="39"/>
        <v>0</v>
      </c>
      <c r="U511" s="566"/>
      <c r="V511" s="567"/>
      <c r="W511" s="989">
        <f t="shared" si="40"/>
        <v>-512624574599</v>
      </c>
      <c r="X511" s="812">
        <f t="shared" si="38"/>
        <v>-512625</v>
      </c>
      <c r="Y511" s="835">
        <f t="shared" si="36"/>
        <v>0</v>
      </c>
    </row>
    <row r="512" spans="1:25" ht="27" customHeight="1">
      <c r="A512" s="531">
        <v>3214</v>
      </c>
      <c r="B512" s="531"/>
      <c r="C512" s="529">
        <v>19</v>
      </c>
      <c r="D512" s="1027" t="s">
        <v>617</v>
      </c>
      <c r="E512" s="1028" t="s">
        <v>1618</v>
      </c>
      <c r="F512" s="547"/>
      <c r="G512" s="547"/>
      <c r="H512" s="547"/>
      <c r="I512" s="547"/>
      <c r="J512" s="547"/>
      <c r="K512" s="547"/>
      <c r="L512" s="547"/>
      <c r="M512" s="547"/>
      <c r="N512" s="547"/>
      <c r="O512" s="547"/>
      <c r="P512" s="547"/>
      <c r="Q512" s="989">
        <f t="shared" si="37"/>
        <v>0</v>
      </c>
      <c r="R512" s="547">
        <v>1738372729959</v>
      </c>
      <c r="S512" s="989">
        <f t="shared" ref="S512:T527" si="41">ROUND((Q512/1000000),0)</f>
        <v>0</v>
      </c>
      <c r="T512" s="547">
        <f t="shared" si="41"/>
        <v>1738373</v>
      </c>
      <c r="U512" s="566"/>
      <c r="V512" s="567"/>
      <c r="W512" s="989">
        <f t="shared" si="40"/>
        <v>0</v>
      </c>
      <c r="X512" s="812">
        <f t="shared" si="38"/>
        <v>0</v>
      </c>
      <c r="Y512" s="835">
        <f t="shared" si="36"/>
        <v>0</v>
      </c>
    </row>
    <row r="513" spans="1:25" ht="27" customHeight="1">
      <c r="A513" s="531">
        <v>3214</v>
      </c>
      <c r="B513" s="531"/>
      <c r="C513" s="529">
        <v>19</v>
      </c>
      <c r="D513" s="1027" t="s">
        <v>1202</v>
      </c>
      <c r="E513" s="1028" t="s">
        <v>1619</v>
      </c>
      <c r="F513" s="547"/>
      <c r="G513" s="547"/>
      <c r="H513" s="547"/>
      <c r="I513" s="547"/>
      <c r="J513" s="547"/>
      <c r="K513" s="547"/>
      <c r="L513" s="547"/>
      <c r="M513" s="547"/>
      <c r="N513" s="547">
        <v>248302913955</v>
      </c>
      <c r="O513" s="547"/>
      <c r="P513" s="547"/>
      <c r="Q513" s="989">
        <f t="shared" si="37"/>
        <v>248302913955</v>
      </c>
      <c r="R513" s="547">
        <v>-1738372729959</v>
      </c>
      <c r="S513" s="989">
        <f t="shared" si="41"/>
        <v>248303</v>
      </c>
      <c r="T513" s="547">
        <f t="shared" si="41"/>
        <v>-1738373</v>
      </c>
      <c r="U513" s="566"/>
      <c r="V513" s="567"/>
      <c r="W513" s="989">
        <f t="shared" si="40"/>
        <v>248302913955</v>
      </c>
      <c r="X513" s="812">
        <f t="shared" si="38"/>
        <v>248303</v>
      </c>
      <c r="Y513" s="835">
        <f t="shared" si="36"/>
        <v>0</v>
      </c>
    </row>
    <row r="514" spans="1:25" ht="27" customHeight="1">
      <c r="A514" s="531">
        <v>3214</v>
      </c>
      <c r="B514" s="531"/>
      <c r="C514" s="529">
        <v>19</v>
      </c>
      <c r="D514" s="1027" t="s">
        <v>619</v>
      </c>
      <c r="E514" s="1028" t="s">
        <v>1620</v>
      </c>
      <c r="F514" s="547"/>
      <c r="G514" s="547"/>
      <c r="H514" s="547"/>
      <c r="I514" s="547"/>
      <c r="J514" s="547"/>
      <c r="K514" s="547"/>
      <c r="L514" s="547"/>
      <c r="M514" s="547"/>
      <c r="N514" s="547"/>
      <c r="O514" s="547"/>
      <c r="P514" s="547"/>
      <c r="Q514" s="989">
        <f t="shared" si="37"/>
        <v>0</v>
      </c>
      <c r="R514" s="547">
        <v>500261912448</v>
      </c>
      <c r="S514" s="989">
        <f t="shared" si="41"/>
        <v>0</v>
      </c>
      <c r="T514" s="547">
        <f t="shared" si="41"/>
        <v>500262</v>
      </c>
      <c r="U514" s="566"/>
      <c r="V514" s="567"/>
      <c r="W514" s="989">
        <f t="shared" si="40"/>
        <v>0</v>
      </c>
      <c r="X514" s="812">
        <f t="shared" si="38"/>
        <v>0</v>
      </c>
      <c r="Y514" s="835">
        <f t="shared" si="36"/>
        <v>0</v>
      </c>
    </row>
    <row r="515" spans="1:25" ht="27" customHeight="1">
      <c r="A515" s="531">
        <v>3214</v>
      </c>
      <c r="B515" s="531"/>
      <c r="C515" s="529">
        <v>19</v>
      </c>
      <c r="D515" s="1027" t="s">
        <v>1204</v>
      </c>
      <c r="E515" s="1028" t="s">
        <v>1621</v>
      </c>
      <c r="F515" s="547"/>
      <c r="G515" s="547"/>
      <c r="H515" s="547"/>
      <c r="I515" s="547"/>
      <c r="J515" s="547"/>
      <c r="K515" s="547"/>
      <c r="L515" s="547"/>
      <c r="M515" s="547"/>
      <c r="N515" s="547">
        <v>-248302913955</v>
      </c>
      <c r="O515" s="547"/>
      <c r="P515" s="547"/>
      <c r="Q515" s="989">
        <f t="shared" si="37"/>
        <v>-248302913955</v>
      </c>
      <c r="R515" s="547">
        <v>-500261912448</v>
      </c>
      <c r="S515" s="989">
        <f t="shared" si="41"/>
        <v>-248303</v>
      </c>
      <c r="T515" s="547">
        <f t="shared" si="41"/>
        <v>-500262</v>
      </c>
      <c r="U515" s="566"/>
      <c r="V515" s="567"/>
      <c r="W515" s="989">
        <f t="shared" si="40"/>
        <v>-248302913955</v>
      </c>
      <c r="X515" s="812">
        <f t="shared" si="38"/>
        <v>-248303</v>
      </c>
      <c r="Y515" s="835">
        <f t="shared" si="36"/>
        <v>0</v>
      </c>
    </row>
    <row r="516" spans="1:25" ht="27" customHeight="1">
      <c r="A516" s="531"/>
      <c r="B516" s="531">
        <v>501</v>
      </c>
      <c r="C516" s="529">
        <v>5</v>
      </c>
      <c r="D516" s="1027" t="s">
        <v>1266</v>
      </c>
      <c r="E516" s="1028" t="s">
        <v>1267</v>
      </c>
      <c r="F516" s="547">
        <v>993502613</v>
      </c>
      <c r="G516" s="547"/>
      <c r="H516" s="547"/>
      <c r="I516" s="547"/>
      <c r="J516" s="547"/>
      <c r="K516" s="547"/>
      <c r="L516" s="547"/>
      <c r="M516" s="547"/>
      <c r="N516" s="547"/>
      <c r="O516" s="547"/>
      <c r="P516" s="547"/>
      <c r="Q516" s="989">
        <f t="shared" si="37"/>
        <v>993502613</v>
      </c>
      <c r="R516" s="547">
        <v>1043161770</v>
      </c>
      <c r="S516" s="989">
        <f t="shared" si="41"/>
        <v>994</v>
      </c>
      <c r="T516" s="547">
        <f t="shared" si="41"/>
        <v>1043</v>
      </c>
      <c r="U516" s="566"/>
      <c r="V516" s="567"/>
      <c r="W516" s="989">
        <f t="shared" si="40"/>
        <v>993502613</v>
      </c>
      <c r="X516" s="812">
        <f t="shared" si="38"/>
        <v>994</v>
      </c>
      <c r="Y516" s="835">
        <f t="shared" ref="Y516:Y544" si="42">S516-X516</f>
        <v>0</v>
      </c>
    </row>
    <row r="517" spans="1:25" ht="27" customHeight="1">
      <c r="A517" s="531"/>
      <c r="B517" s="531">
        <v>1018</v>
      </c>
      <c r="C517" s="529">
        <v>10</v>
      </c>
      <c r="D517" s="1027" t="s">
        <v>97</v>
      </c>
      <c r="E517" s="1028" t="s">
        <v>95</v>
      </c>
      <c r="F517" s="547"/>
      <c r="G517" s="547"/>
      <c r="H517" s="547"/>
      <c r="I517" s="547"/>
      <c r="J517" s="547"/>
      <c r="K517" s="547"/>
      <c r="L517" s="547"/>
      <c r="M517" s="547"/>
      <c r="N517" s="547"/>
      <c r="O517" s="547"/>
      <c r="P517" s="547"/>
      <c r="Q517" s="989">
        <f t="shared" si="37"/>
        <v>0</v>
      </c>
      <c r="R517" s="547">
        <v>0</v>
      </c>
      <c r="S517" s="989">
        <f t="shared" si="41"/>
        <v>0</v>
      </c>
      <c r="T517" s="547">
        <f t="shared" si="41"/>
        <v>0</v>
      </c>
      <c r="U517" s="566"/>
      <c r="V517" s="567"/>
      <c r="W517" s="989">
        <f t="shared" si="40"/>
        <v>0</v>
      </c>
      <c r="X517" s="812">
        <f t="shared" si="38"/>
        <v>0</v>
      </c>
      <c r="Y517" s="835">
        <f t="shared" si="42"/>
        <v>0</v>
      </c>
    </row>
    <row r="518" spans="1:25" ht="27" customHeight="1">
      <c r="A518" s="531"/>
      <c r="B518" s="531">
        <v>1018</v>
      </c>
      <c r="C518" s="529">
        <v>10</v>
      </c>
      <c r="D518" s="1027" t="s">
        <v>471</v>
      </c>
      <c r="E518" s="1028" t="s">
        <v>98</v>
      </c>
      <c r="F518" s="547"/>
      <c r="G518" s="547"/>
      <c r="H518" s="547"/>
      <c r="I518" s="547"/>
      <c r="J518" s="547"/>
      <c r="K518" s="547"/>
      <c r="L518" s="547"/>
      <c r="M518" s="547"/>
      <c r="N518" s="547"/>
      <c r="O518" s="547"/>
      <c r="P518" s="547"/>
      <c r="Q518" s="989">
        <f t="shared" si="37"/>
        <v>0</v>
      </c>
      <c r="R518" s="547">
        <v>0</v>
      </c>
      <c r="S518" s="989">
        <f t="shared" si="41"/>
        <v>0</v>
      </c>
      <c r="T518" s="547">
        <f t="shared" si="41"/>
        <v>0</v>
      </c>
      <c r="U518" s="566"/>
      <c r="V518" s="567"/>
      <c r="W518" s="989">
        <f t="shared" si="40"/>
        <v>0</v>
      </c>
      <c r="X518" s="812">
        <f t="shared" si="38"/>
        <v>0</v>
      </c>
      <c r="Y518" s="835">
        <f t="shared" si="42"/>
        <v>0</v>
      </c>
    </row>
    <row r="519" spans="1:25" ht="27" customHeight="1">
      <c r="A519" s="531"/>
      <c r="B519" s="531">
        <v>1018</v>
      </c>
      <c r="C519" s="529">
        <v>10</v>
      </c>
      <c r="D519" s="1027" t="s">
        <v>100</v>
      </c>
      <c r="E519" s="1028" t="s">
        <v>1612</v>
      </c>
      <c r="F519" s="547"/>
      <c r="G519" s="547"/>
      <c r="H519" s="547"/>
      <c r="I519" s="547"/>
      <c r="J519" s="547"/>
      <c r="K519" s="547"/>
      <c r="L519" s="547"/>
      <c r="M519" s="547"/>
      <c r="N519" s="547"/>
      <c r="O519" s="547"/>
      <c r="P519" s="547"/>
      <c r="Q519" s="989">
        <f t="shared" si="37"/>
        <v>0</v>
      </c>
      <c r="R519" s="547">
        <v>0</v>
      </c>
      <c r="S519" s="989">
        <f t="shared" si="41"/>
        <v>0</v>
      </c>
      <c r="T519" s="547">
        <f t="shared" si="41"/>
        <v>0</v>
      </c>
      <c r="U519" s="566"/>
      <c r="V519" s="567"/>
      <c r="W519" s="989">
        <f t="shared" si="40"/>
        <v>0</v>
      </c>
      <c r="X519" s="812">
        <f t="shared" si="38"/>
        <v>0</v>
      </c>
      <c r="Y519" s="835">
        <f t="shared" si="42"/>
        <v>0</v>
      </c>
    </row>
    <row r="520" spans="1:25" ht="27" customHeight="1">
      <c r="A520" s="531"/>
      <c r="B520" s="531">
        <v>1018</v>
      </c>
      <c r="C520" s="529">
        <v>10</v>
      </c>
      <c r="D520" s="1027" t="s">
        <v>1360</v>
      </c>
      <c r="E520" s="1028" t="s">
        <v>1613</v>
      </c>
      <c r="F520" s="547"/>
      <c r="G520" s="547"/>
      <c r="H520" s="547"/>
      <c r="I520" s="547"/>
      <c r="J520" s="547"/>
      <c r="K520" s="547"/>
      <c r="L520" s="547"/>
      <c r="M520" s="547"/>
      <c r="N520" s="547"/>
      <c r="O520" s="547"/>
      <c r="P520" s="547"/>
      <c r="Q520" s="989">
        <f t="shared" si="37"/>
        <v>0</v>
      </c>
      <c r="R520" s="547">
        <v>0</v>
      </c>
      <c r="S520" s="989">
        <f t="shared" si="41"/>
        <v>0</v>
      </c>
      <c r="T520" s="547">
        <f t="shared" si="41"/>
        <v>0</v>
      </c>
      <c r="U520" s="566"/>
      <c r="V520" s="567"/>
      <c r="W520" s="989">
        <f t="shared" si="40"/>
        <v>0</v>
      </c>
      <c r="X520" s="812">
        <f t="shared" si="38"/>
        <v>0</v>
      </c>
      <c r="Y520" s="835">
        <f t="shared" si="42"/>
        <v>0</v>
      </c>
    </row>
    <row r="521" spans="1:25" ht="27" customHeight="1">
      <c r="A521" s="531"/>
      <c r="B521" s="531">
        <v>506</v>
      </c>
      <c r="C521" s="529">
        <v>5</v>
      </c>
      <c r="D521" s="1027" t="s">
        <v>1595</v>
      </c>
      <c r="E521" s="1028" t="s">
        <v>1613</v>
      </c>
      <c r="F521" s="547"/>
      <c r="G521" s="547"/>
      <c r="H521" s="547"/>
      <c r="I521" s="547"/>
      <c r="J521" s="547"/>
      <c r="K521" s="547"/>
      <c r="L521" s="547"/>
      <c r="M521" s="547"/>
      <c r="N521" s="547"/>
      <c r="O521" s="547"/>
      <c r="P521" s="547"/>
      <c r="Q521" s="989">
        <f t="shared" si="37"/>
        <v>0</v>
      </c>
      <c r="R521" s="547">
        <v>0</v>
      </c>
      <c r="S521" s="989">
        <f t="shared" si="41"/>
        <v>0</v>
      </c>
      <c r="T521" s="547">
        <f t="shared" si="41"/>
        <v>0</v>
      </c>
      <c r="U521" s="566"/>
      <c r="V521" s="567"/>
      <c r="W521" s="989">
        <f t="shared" si="40"/>
        <v>0</v>
      </c>
      <c r="X521" s="812">
        <f t="shared" si="38"/>
        <v>0</v>
      </c>
      <c r="Y521" s="835">
        <f t="shared" si="42"/>
        <v>0</v>
      </c>
    </row>
    <row r="522" spans="1:25" ht="27" customHeight="1">
      <c r="A522" s="531"/>
      <c r="B522" s="531">
        <v>501</v>
      </c>
      <c r="C522" s="529">
        <v>5</v>
      </c>
      <c r="D522" s="1027" t="s">
        <v>1572</v>
      </c>
      <c r="E522" s="1028" t="s">
        <v>1574</v>
      </c>
      <c r="F522" s="547"/>
      <c r="G522" s="547"/>
      <c r="H522" s="547"/>
      <c r="I522" s="547"/>
      <c r="J522" s="547"/>
      <c r="K522" s="547"/>
      <c r="L522" s="547"/>
      <c r="M522" s="547"/>
      <c r="N522" s="547"/>
      <c r="O522" s="547"/>
      <c r="P522" s="547"/>
      <c r="Q522" s="989">
        <f t="shared" si="37"/>
        <v>0</v>
      </c>
      <c r="R522" s="547">
        <v>0</v>
      </c>
      <c r="S522" s="989">
        <f t="shared" si="41"/>
        <v>0</v>
      </c>
      <c r="T522" s="547">
        <f t="shared" si="41"/>
        <v>0</v>
      </c>
      <c r="U522" s="566"/>
      <c r="V522" s="567"/>
      <c r="W522" s="989">
        <f t="shared" si="40"/>
        <v>0</v>
      </c>
      <c r="X522" s="812">
        <f t="shared" si="38"/>
        <v>0</v>
      </c>
      <c r="Y522" s="835">
        <f t="shared" si="42"/>
        <v>0</v>
      </c>
    </row>
    <row r="523" spans="1:25" ht="27" customHeight="1">
      <c r="A523" s="531"/>
      <c r="B523" s="531">
        <v>908</v>
      </c>
      <c r="C523" s="529">
        <v>9</v>
      </c>
      <c r="D523" s="1027" t="s">
        <v>1573</v>
      </c>
      <c r="E523" s="1028" t="s">
        <v>1575</v>
      </c>
      <c r="F523" s="547"/>
      <c r="G523" s="547"/>
      <c r="H523" s="547"/>
      <c r="I523" s="547"/>
      <c r="J523" s="547"/>
      <c r="K523" s="547"/>
      <c r="L523" s="547"/>
      <c r="M523" s="547"/>
      <c r="N523" s="547"/>
      <c r="O523" s="547"/>
      <c r="P523" s="547"/>
      <c r="Q523" s="989">
        <f t="shared" si="37"/>
        <v>0</v>
      </c>
      <c r="R523" s="547">
        <v>0</v>
      </c>
      <c r="S523" s="989">
        <f t="shared" si="41"/>
        <v>0</v>
      </c>
      <c r="T523" s="547">
        <f t="shared" si="41"/>
        <v>0</v>
      </c>
      <c r="U523" s="566"/>
      <c r="V523" s="567"/>
      <c r="W523" s="989">
        <f t="shared" si="40"/>
        <v>0</v>
      </c>
      <c r="X523" s="812">
        <f t="shared" si="38"/>
        <v>0</v>
      </c>
      <c r="Y523" s="835">
        <f t="shared" si="42"/>
        <v>0</v>
      </c>
    </row>
    <row r="524" spans="1:25" ht="27" customHeight="1">
      <c r="A524" s="531"/>
      <c r="B524" s="531">
        <v>506</v>
      </c>
      <c r="C524" s="529">
        <v>5</v>
      </c>
      <c r="D524" s="1027" t="s">
        <v>593</v>
      </c>
      <c r="E524" s="1028" t="s">
        <v>1614</v>
      </c>
      <c r="F524" s="547"/>
      <c r="G524" s="547"/>
      <c r="H524" s="547"/>
      <c r="I524" s="547"/>
      <c r="J524" s="547"/>
      <c r="K524" s="547"/>
      <c r="L524" s="547"/>
      <c r="M524" s="547"/>
      <c r="N524" s="547"/>
      <c r="O524" s="547"/>
      <c r="P524" s="547"/>
      <c r="Q524" s="989">
        <f t="shared" si="37"/>
        <v>0</v>
      </c>
      <c r="R524" s="547">
        <v>0</v>
      </c>
      <c r="S524" s="989">
        <f t="shared" si="41"/>
        <v>0</v>
      </c>
      <c r="T524" s="547">
        <f t="shared" si="41"/>
        <v>0</v>
      </c>
      <c r="U524" s="566"/>
      <c r="V524" s="567"/>
      <c r="W524" s="989">
        <f t="shared" si="40"/>
        <v>0</v>
      </c>
      <c r="X524" s="812">
        <f t="shared" si="38"/>
        <v>0</v>
      </c>
      <c r="Y524" s="835">
        <f t="shared" si="42"/>
        <v>0</v>
      </c>
    </row>
    <row r="525" spans="1:25" ht="27" customHeight="1">
      <c r="A525" s="531"/>
      <c r="B525" s="531">
        <v>506</v>
      </c>
      <c r="C525" s="529">
        <v>5</v>
      </c>
      <c r="D525" s="1027" t="s">
        <v>101</v>
      </c>
      <c r="E525" s="1028" t="s">
        <v>102</v>
      </c>
      <c r="F525" s="547"/>
      <c r="G525" s="547"/>
      <c r="H525" s="547"/>
      <c r="I525" s="547"/>
      <c r="J525" s="547"/>
      <c r="K525" s="547"/>
      <c r="L525" s="547"/>
      <c r="M525" s="547"/>
      <c r="N525" s="547"/>
      <c r="O525" s="547"/>
      <c r="P525" s="547"/>
      <c r="Q525" s="989">
        <f t="shared" si="37"/>
        <v>0</v>
      </c>
      <c r="R525" s="547">
        <v>0</v>
      </c>
      <c r="S525" s="989">
        <f t="shared" si="41"/>
        <v>0</v>
      </c>
      <c r="T525" s="547">
        <f t="shared" si="41"/>
        <v>0</v>
      </c>
      <c r="U525" s="566"/>
      <c r="V525" s="567"/>
      <c r="W525" s="989">
        <f t="shared" si="40"/>
        <v>0</v>
      </c>
      <c r="X525" s="812">
        <f t="shared" si="38"/>
        <v>0</v>
      </c>
      <c r="Y525" s="835">
        <f t="shared" si="42"/>
        <v>0</v>
      </c>
    </row>
    <row r="526" spans="1:25" ht="27" customHeight="1">
      <c r="A526" s="531"/>
      <c r="B526" s="531">
        <v>506</v>
      </c>
      <c r="C526" s="529">
        <v>5</v>
      </c>
      <c r="D526" s="1027" t="s">
        <v>1599</v>
      </c>
      <c r="E526" s="1028" t="s">
        <v>1600</v>
      </c>
      <c r="F526" s="547"/>
      <c r="G526" s="547"/>
      <c r="H526" s="547"/>
      <c r="I526" s="547"/>
      <c r="J526" s="547"/>
      <c r="K526" s="547"/>
      <c r="L526" s="547"/>
      <c r="M526" s="547"/>
      <c r="N526" s="547"/>
      <c r="O526" s="547"/>
      <c r="P526" s="547"/>
      <c r="Q526" s="989">
        <f t="shared" ref="Q526:Q543" si="43">SUM(F526:P526)</f>
        <v>0</v>
      </c>
      <c r="R526" s="547">
        <v>0</v>
      </c>
      <c r="S526" s="989">
        <f t="shared" si="41"/>
        <v>0</v>
      </c>
      <c r="T526" s="547">
        <f t="shared" si="41"/>
        <v>0</v>
      </c>
      <c r="U526" s="566"/>
      <c r="V526" s="567"/>
      <c r="W526" s="989">
        <f t="shared" si="40"/>
        <v>0</v>
      </c>
      <c r="X526" s="812">
        <f t="shared" si="38"/>
        <v>0</v>
      </c>
      <c r="Y526" s="835">
        <f t="shared" si="42"/>
        <v>0</v>
      </c>
    </row>
    <row r="527" spans="1:25" ht="27" customHeight="1">
      <c r="A527" s="531"/>
      <c r="B527" s="531">
        <v>506</v>
      </c>
      <c r="C527" s="529">
        <v>5</v>
      </c>
      <c r="D527" s="1027" t="s">
        <v>1362</v>
      </c>
      <c r="E527" s="1028" t="s">
        <v>1363</v>
      </c>
      <c r="F527" s="547"/>
      <c r="G527" s="547"/>
      <c r="H527" s="547"/>
      <c r="I527" s="547"/>
      <c r="J527" s="547"/>
      <c r="K527" s="547"/>
      <c r="L527" s="547"/>
      <c r="M527" s="547"/>
      <c r="N527" s="547"/>
      <c r="O527" s="547"/>
      <c r="P527" s="547"/>
      <c r="Q527" s="989">
        <f t="shared" si="43"/>
        <v>0</v>
      </c>
      <c r="R527" s="547">
        <v>0</v>
      </c>
      <c r="S527" s="989">
        <f t="shared" si="41"/>
        <v>0</v>
      </c>
      <c r="T527" s="547">
        <f t="shared" si="41"/>
        <v>0</v>
      </c>
      <c r="U527" s="566"/>
      <c r="V527" s="567"/>
      <c r="W527" s="989">
        <f t="shared" si="40"/>
        <v>0</v>
      </c>
      <c r="X527" s="812">
        <f t="shared" si="38"/>
        <v>0</v>
      </c>
      <c r="Y527" s="835">
        <f t="shared" si="42"/>
        <v>0</v>
      </c>
    </row>
    <row r="528" spans="1:25" ht="27" customHeight="1">
      <c r="A528" s="531"/>
      <c r="B528" s="531">
        <v>506</v>
      </c>
      <c r="C528" s="529">
        <v>5</v>
      </c>
      <c r="D528" s="1027" t="s">
        <v>1576</v>
      </c>
      <c r="E528" s="1028" t="s">
        <v>1582</v>
      </c>
      <c r="F528" s="547"/>
      <c r="G528" s="547"/>
      <c r="H528" s="547"/>
      <c r="I528" s="547"/>
      <c r="J528" s="547"/>
      <c r="K528" s="547"/>
      <c r="L528" s="547"/>
      <c r="M528" s="547"/>
      <c r="N528" s="547"/>
      <c r="O528" s="547"/>
      <c r="P528" s="547"/>
      <c r="Q528" s="989">
        <f t="shared" si="43"/>
        <v>0</v>
      </c>
      <c r="R528" s="547">
        <v>0</v>
      </c>
      <c r="S528" s="989">
        <f t="shared" ref="S528:T543" si="44">ROUND((Q528/1000000),0)</f>
        <v>0</v>
      </c>
      <c r="T528" s="547">
        <f t="shared" si="44"/>
        <v>0</v>
      </c>
      <c r="U528" s="566"/>
      <c r="V528" s="567"/>
      <c r="W528" s="989">
        <f t="shared" si="40"/>
        <v>0</v>
      </c>
      <c r="X528" s="812">
        <f t="shared" si="38"/>
        <v>0</v>
      </c>
      <c r="Y528" s="835">
        <f t="shared" si="42"/>
        <v>0</v>
      </c>
    </row>
    <row r="529" spans="1:25" ht="27" customHeight="1">
      <c r="A529" s="531"/>
      <c r="B529" s="531">
        <v>506</v>
      </c>
      <c r="C529" s="529">
        <v>5</v>
      </c>
      <c r="D529" s="1027" t="s">
        <v>1577</v>
      </c>
      <c r="E529" s="1028" t="s">
        <v>1583</v>
      </c>
      <c r="F529" s="547"/>
      <c r="G529" s="547"/>
      <c r="H529" s="547"/>
      <c r="I529" s="547"/>
      <c r="J529" s="547"/>
      <c r="K529" s="547"/>
      <c r="L529" s="547"/>
      <c r="M529" s="547"/>
      <c r="N529" s="547"/>
      <c r="O529" s="547"/>
      <c r="P529" s="547"/>
      <c r="Q529" s="989">
        <f t="shared" si="43"/>
        <v>0</v>
      </c>
      <c r="R529" s="547">
        <v>0</v>
      </c>
      <c r="S529" s="989">
        <f t="shared" si="44"/>
        <v>0</v>
      </c>
      <c r="T529" s="547">
        <f t="shared" si="44"/>
        <v>0</v>
      </c>
      <c r="U529" s="566"/>
      <c r="V529" s="567"/>
      <c r="W529" s="989">
        <f t="shared" si="40"/>
        <v>0</v>
      </c>
      <c r="X529" s="812">
        <f t="shared" si="38"/>
        <v>0</v>
      </c>
      <c r="Y529" s="835">
        <f t="shared" si="42"/>
        <v>0</v>
      </c>
    </row>
    <row r="530" spans="1:25" ht="27" customHeight="1">
      <c r="A530" s="531"/>
      <c r="B530" s="531">
        <v>506</v>
      </c>
      <c r="C530" s="529">
        <v>5</v>
      </c>
      <c r="D530" s="1027" t="s">
        <v>1578</v>
      </c>
      <c r="E530" s="1028" t="s">
        <v>1584</v>
      </c>
      <c r="F530" s="547"/>
      <c r="G530" s="547"/>
      <c r="H530" s="547"/>
      <c r="I530" s="547"/>
      <c r="J530" s="547"/>
      <c r="K530" s="547"/>
      <c r="L530" s="547"/>
      <c r="M530" s="547"/>
      <c r="N530" s="547"/>
      <c r="O530" s="547"/>
      <c r="P530" s="547"/>
      <c r="Q530" s="989">
        <f t="shared" si="43"/>
        <v>0</v>
      </c>
      <c r="R530" s="547">
        <v>0</v>
      </c>
      <c r="S530" s="989">
        <f t="shared" si="44"/>
        <v>0</v>
      </c>
      <c r="T530" s="547">
        <f t="shared" si="44"/>
        <v>0</v>
      </c>
      <c r="U530" s="566"/>
      <c r="V530" s="567"/>
      <c r="W530" s="989">
        <f t="shared" si="40"/>
        <v>0</v>
      </c>
      <c r="X530" s="812">
        <f t="shared" si="38"/>
        <v>0</v>
      </c>
      <c r="Y530" s="835">
        <f t="shared" si="42"/>
        <v>0</v>
      </c>
    </row>
    <row r="531" spans="1:25" ht="27" customHeight="1">
      <c r="A531" s="531"/>
      <c r="B531" s="531">
        <v>506</v>
      </c>
      <c r="C531" s="529">
        <v>5</v>
      </c>
      <c r="D531" s="1027" t="s">
        <v>1579</v>
      </c>
      <c r="E531" s="1028" t="s">
        <v>1585</v>
      </c>
      <c r="F531" s="547"/>
      <c r="G531" s="547"/>
      <c r="H531" s="547"/>
      <c r="I531" s="547"/>
      <c r="J531" s="547"/>
      <c r="K531" s="547"/>
      <c r="L531" s="547"/>
      <c r="M531" s="547"/>
      <c r="N531" s="547"/>
      <c r="O531" s="547"/>
      <c r="P531" s="547"/>
      <c r="Q531" s="989">
        <f t="shared" si="43"/>
        <v>0</v>
      </c>
      <c r="R531" s="547">
        <v>0</v>
      </c>
      <c r="S531" s="989">
        <f t="shared" si="44"/>
        <v>0</v>
      </c>
      <c r="T531" s="547">
        <f t="shared" si="44"/>
        <v>0</v>
      </c>
      <c r="U531" s="566"/>
      <c r="V531" s="567"/>
      <c r="W531" s="989">
        <f t="shared" si="40"/>
        <v>0</v>
      </c>
      <c r="X531" s="812">
        <f t="shared" si="38"/>
        <v>0</v>
      </c>
      <c r="Y531" s="835">
        <f t="shared" si="42"/>
        <v>0</v>
      </c>
    </row>
    <row r="532" spans="1:25" ht="27" customHeight="1">
      <c r="A532" s="531"/>
      <c r="B532" s="531">
        <v>506</v>
      </c>
      <c r="C532" s="529">
        <v>5</v>
      </c>
      <c r="D532" s="1027" t="s">
        <v>1580</v>
      </c>
      <c r="E532" s="1028" t="s">
        <v>1586</v>
      </c>
      <c r="F532" s="547"/>
      <c r="G532" s="547"/>
      <c r="H532" s="547"/>
      <c r="I532" s="547"/>
      <c r="J532" s="547"/>
      <c r="K532" s="547"/>
      <c r="L532" s="547"/>
      <c r="M532" s="547"/>
      <c r="N532" s="547"/>
      <c r="O532" s="547"/>
      <c r="P532" s="547"/>
      <c r="Q532" s="989">
        <f t="shared" si="43"/>
        <v>0</v>
      </c>
      <c r="R532" s="547">
        <v>0</v>
      </c>
      <c r="S532" s="989">
        <f t="shared" si="44"/>
        <v>0</v>
      </c>
      <c r="T532" s="547">
        <f t="shared" si="44"/>
        <v>0</v>
      </c>
      <c r="U532" s="566"/>
      <c r="V532" s="567"/>
      <c r="W532" s="989">
        <f t="shared" si="40"/>
        <v>0</v>
      </c>
      <c r="X532" s="812">
        <f t="shared" si="38"/>
        <v>0</v>
      </c>
      <c r="Y532" s="835">
        <f t="shared" si="42"/>
        <v>0</v>
      </c>
    </row>
    <row r="533" spans="1:25" ht="27" customHeight="1">
      <c r="A533" s="531"/>
      <c r="B533" s="531">
        <v>1018</v>
      </c>
      <c r="C533" s="529">
        <v>10</v>
      </c>
      <c r="D533" s="1027" t="s">
        <v>912</v>
      </c>
      <c r="E533" s="1028" t="s">
        <v>1005</v>
      </c>
      <c r="F533" s="547"/>
      <c r="G533" s="547"/>
      <c r="H533" s="547"/>
      <c r="I533" s="547"/>
      <c r="J533" s="547"/>
      <c r="K533" s="547"/>
      <c r="L533" s="547"/>
      <c r="M533" s="547"/>
      <c r="N533" s="547"/>
      <c r="O533" s="547"/>
      <c r="P533" s="547"/>
      <c r="Q533" s="989">
        <f t="shared" si="43"/>
        <v>0</v>
      </c>
      <c r="R533" s="547">
        <v>0</v>
      </c>
      <c r="S533" s="989">
        <f t="shared" si="44"/>
        <v>0</v>
      </c>
      <c r="T533" s="547">
        <f t="shared" si="44"/>
        <v>0</v>
      </c>
      <c r="U533" s="566"/>
      <c r="V533" s="567"/>
      <c r="W533" s="989">
        <f t="shared" si="40"/>
        <v>0</v>
      </c>
      <c r="X533" s="812">
        <f t="shared" si="38"/>
        <v>0</v>
      </c>
      <c r="Y533" s="835">
        <f t="shared" si="42"/>
        <v>0</v>
      </c>
    </row>
    <row r="534" spans="1:25" ht="27" customHeight="1">
      <c r="A534" s="531"/>
      <c r="B534" s="531">
        <v>506</v>
      </c>
      <c r="C534" s="529">
        <v>5</v>
      </c>
      <c r="D534" s="1027" t="s">
        <v>1581</v>
      </c>
      <c r="E534" s="1028" t="s">
        <v>1587</v>
      </c>
      <c r="F534" s="547"/>
      <c r="G534" s="547"/>
      <c r="H534" s="547"/>
      <c r="I534" s="547"/>
      <c r="J534" s="547"/>
      <c r="K534" s="547"/>
      <c r="L534" s="547"/>
      <c r="M534" s="547"/>
      <c r="N534" s="547"/>
      <c r="O534" s="547"/>
      <c r="P534" s="547"/>
      <c r="Q534" s="989">
        <f t="shared" si="43"/>
        <v>0</v>
      </c>
      <c r="R534" s="547">
        <v>0</v>
      </c>
      <c r="S534" s="989">
        <f t="shared" si="44"/>
        <v>0</v>
      </c>
      <c r="T534" s="547">
        <f t="shared" si="44"/>
        <v>0</v>
      </c>
      <c r="U534" s="566"/>
      <c r="V534" s="567"/>
      <c r="W534" s="989">
        <f t="shared" si="40"/>
        <v>0</v>
      </c>
      <c r="X534" s="812">
        <f t="shared" si="38"/>
        <v>0</v>
      </c>
      <c r="Y534" s="835">
        <f t="shared" si="42"/>
        <v>0</v>
      </c>
    </row>
    <row r="535" spans="1:25" ht="27" customHeight="1">
      <c r="A535" s="531"/>
      <c r="B535" s="531">
        <v>506</v>
      </c>
      <c r="C535" s="529">
        <v>5</v>
      </c>
      <c r="D535" s="1027" t="s">
        <v>1025</v>
      </c>
      <c r="E535" s="1028" t="s">
        <v>1029</v>
      </c>
      <c r="F535" s="547"/>
      <c r="G535" s="547"/>
      <c r="H535" s="547"/>
      <c r="I535" s="547"/>
      <c r="J535" s="547"/>
      <c r="K535" s="547"/>
      <c r="L535" s="547"/>
      <c r="M535" s="547"/>
      <c r="N535" s="547"/>
      <c r="O535" s="547"/>
      <c r="P535" s="547"/>
      <c r="Q535" s="989">
        <f t="shared" si="43"/>
        <v>0</v>
      </c>
      <c r="R535" s="547">
        <v>0</v>
      </c>
      <c r="S535" s="989">
        <f t="shared" si="44"/>
        <v>0</v>
      </c>
      <c r="T535" s="547">
        <f t="shared" si="44"/>
        <v>0</v>
      </c>
      <c r="U535" s="566"/>
      <c r="V535" s="567"/>
      <c r="W535" s="989">
        <f t="shared" si="40"/>
        <v>0</v>
      </c>
      <c r="X535" s="812">
        <f t="shared" si="38"/>
        <v>0</v>
      </c>
      <c r="Y535" s="835">
        <f t="shared" si="42"/>
        <v>0</v>
      </c>
    </row>
    <row r="536" spans="1:25" ht="27" customHeight="1">
      <c r="A536" s="531"/>
      <c r="B536" s="531">
        <v>1018</v>
      </c>
      <c r="C536" s="529">
        <v>10</v>
      </c>
      <c r="D536" s="1027" t="s">
        <v>741</v>
      </c>
      <c r="E536" s="1028" t="s">
        <v>742</v>
      </c>
      <c r="F536" s="547"/>
      <c r="G536" s="547"/>
      <c r="H536" s="547"/>
      <c r="I536" s="547"/>
      <c r="J536" s="547"/>
      <c r="K536" s="547"/>
      <c r="L536" s="547"/>
      <c r="M536" s="547"/>
      <c r="N536" s="547"/>
      <c r="O536" s="547"/>
      <c r="P536" s="547"/>
      <c r="Q536" s="989">
        <f t="shared" si="43"/>
        <v>0</v>
      </c>
      <c r="R536" s="547">
        <v>0</v>
      </c>
      <c r="S536" s="989">
        <f t="shared" si="44"/>
        <v>0</v>
      </c>
      <c r="T536" s="547">
        <f t="shared" si="44"/>
        <v>0</v>
      </c>
      <c r="U536" s="566"/>
      <c r="V536" s="567"/>
      <c r="W536" s="989">
        <f t="shared" si="40"/>
        <v>0</v>
      </c>
      <c r="X536" s="812">
        <f t="shared" si="38"/>
        <v>0</v>
      </c>
      <c r="Y536" s="835">
        <f t="shared" si="42"/>
        <v>0</v>
      </c>
    </row>
    <row r="537" spans="1:25" ht="27" customHeight="1">
      <c r="A537" s="531"/>
      <c r="B537" s="531">
        <v>606</v>
      </c>
      <c r="C537" s="529">
        <v>6</v>
      </c>
      <c r="D537" s="1027" t="s">
        <v>621</v>
      </c>
      <c r="E537" s="1028" t="s">
        <v>1602</v>
      </c>
      <c r="F537" s="547">
        <v>310881856057</v>
      </c>
      <c r="G537" s="547">
        <v>125730245707</v>
      </c>
      <c r="H537" s="547">
        <v>-50000000</v>
      </c>
      <c r="I537" s="547"/>
      <c r="J537" s="547">
        <v>-180000000</v>
      </c>
      <c r="K537" s="547"/>
      <c r="L537" s="547"/>
      <c r="M537" s="547"/>
      <c r="N537" s="547"/>
      <c r="O537" s="547"/>
      <c r="P537" s="547"/>
      <c r="Q537" s="989">
        <f t="shared" si="43"/>
        <v>436382101764</v>
      </c>
      <c r="R537" s="547">
        <v>1470351788185</v>
      </c>
      <c r="S537" s="989">
        <f t="shared" si="44"/>
        <v>436382</v>
      </c>
      <c r="T537" s="547">
        <f t="shared" si="44"/>
        <v>1470352</v>
      </c>
      <c r="U537" s="566"/>
      <c r="V537" s="567"/>
      <c r="W537" s="989">
        <f t="shared" si="40"/>
        <v>436382101764</v>
      </c>
      <c r="X537" s="812">
        <f t="shared" si="38"/>
        <v>436382</v>
      </c>
      <c r="Y537" s="835">
        <f t="shared" si="42"/>
        <v>0</v>
      </c>
    </row>
    <row r="538" spans="1:25" ht="27" customHeight="1">
      <c r="A538" s="531"/>
      <c r="B538" s="531">
        <v>606</v>
      </c>
      <c r="C538" s="529">
        <v>6</v>
      </c>
      <c r="D538" s="1027" t="s">
        <v>623</v>
      </c>
      <c r="E538" s="1028" t="s">
        <v>1603</v>
      </c>
      <c r="F538" s="547">
        <v>-310881856057</v>
      </c>
      <c r="G538" s="547">
        <v>-125730245707</v>
      </c>
      <c r="H538" s="547">
        <v>50000000</v>
      </c>
      <c r="I538" s="547"/>
      <c r="J538" s="547">
        <v>180000000</v>
      </c>
      <c r="K538" s="547"/>
      <c r="L538" s="547"/>
      <c r="M538" s="547"/>
      <c r="N538" s="547"/>
      <c r="O538" s="547"/>
      <c r="P538" s="547"/>
      <c r="Q538" s="989">
        <f t="shared" si="43"/>
        <v>-436382101764</v>
      </c>
      <c r="R538" s="547">
        <v>-1470351788185</v>
      </c>
      <c r="S538" s="989">
        <f t="shared" si="44"/>
        <v>-436382</v>
      </c>
      <c r="T538" s="547">
        <f t="shared" si="44"/>
        <v>-1470352</v>
      </c>
      <c r="U538" s="566"/>
      <c r="V538" s="567"/>
      <c r="W538" s="989">
        <f t="shared" si="40"/>
        <v>-436382101764</v>
      </c>
      <c r="X538" s="812">
        <f t="shared" si="38"/>
        <v>-436382</v>
      </c>
      <c r="Y538" s="835">
        <f t="shared" si="42"/>
        <v>0</v>
      </c>
    </row>
    <row r="539" spans="1:25" ht="27" customHeight="1">
      <c r="A539" s="531">
        <v>3214</v>
      </c>
      <c r="B539" s="531">
        <v>606</v>
      </c>
      <c r="C539" s="529">
        <v>6</v>
      </c>
      <c r="D539" s="1027" t="s">
        <v>621</v>
      </c>
      <c r="E539" s="1028" t="s">
        <v>1622</v>
      </c>
      <c r="F539" s="547"/>
      <c r="G539" s="547"/>
      <c r="H539" s="547"/>
      <c r="I539" s="547"/>
      <c r="J539" s="547">
        <v>1730105067110</v>
      </c>
      <c r="K539" s="547"/>
      <c r="L539" s="547"/>
      <c r="M539" s="547"/>
      <c r="N539" s="547"/>
      <c r="O539" s="547"/>
      <c r="P539" s="547"/>
      <c r="Q539" s="989">
        <f t="shared" si="43"/>
        <v>1730105067110</v>
      </c>
      <c r="R539" s="547">
        <v>0</v>
      </c>
      <c r="S539" s="989">
        <f t="shared" si="44"/>
        <v>1730105</v>
      </c>
      <c r="T539" s="547">
        <f t="shared" si="44"/>
        <v>0</v>
      </c>
      <c r="U539" s="566"/>
      <c r="V539" s="567"/>
      <c r="W539" s="989">
        <f t="shared" si="40"/>
        <v>1730105067110</v>
      </c>
      <c r="X539" s="812">
        <f t="shared" si="38"/>
        <v>1730105</v>
      </c>
      <c r="Y539" s="835">
        <f t="shared" si="42"/>
        <v>0</v>
      </c>
    </row>
    <row r="540" spans="1:25" ht="27" customHeight="1">
      <c r="A540" s="531">
        <v>3214</v>
      </c>
      <c r="B540" s="531">
        <v>606</v>
      </c>
      <c r="C540" s="529">
        <v>6</v>
      </c>
      <c r="D540" s="1027" t="s">
        <v>623</v>
      </c>
      <c r="E540" s="1028" t="s">
        <v>1623</v>
      </c>
      <c r="F540" s="547"/>
      <c r="G540" s="547"/>
      <c r="H540" s="547"/>
      <c r="I540" s="547"/>
      <c r="J540" s="547">
        <v>-1730105067110</v>
      </c>
      <c r="K540" s="547"/>
      <c r="L540" s="547"/>
      <c r="M540" s="547"/>
      <c r="N540" s="547"/>
      <c r="O540" s="547"/>
      <c r="P540" s="547"/>
      <c r="Q540" s="989">
        <f t="shared" si="43"/>
        <v>-1730105067110</v>
      </c>
      <c r="R540" s="547">
        <v>0</v>
      </c>
      <c r="S540" s="989">
        <f t="shared" si="44"/>
        <v>-1730105</v>
      </c>
      <c r="T540" s="547">
        <f t="shared" si="44"/>
        <v>0</v>
      </c>
      <c r="U540" s="566"/>
      <c r="V540" s="567"/>
      <c r="W540" s="989">
        <f t="shared" si="40"/>
        <v>-1730105067110</v>
      </c>
      <c r="X540" s="812">
        <f t="shared" si="38"/>
        <v>-1730105</v>
      </c>
      <c r="Y540" s="835">
        <f t="shared" si="42"/>
        <v>0</v>
      </c>
    </row>
    <row r="541" spans="1:25" ht="27" customHeight="1">
      <c r="A541" s="531"/>
      <c r="B541" s="531"/>
      <c r="C541" s="529"/>
      <c r="D541" s="1027" t="s">
        <v>1588</v>
      </c>
      <c r="E541" s="1028" t="s">
        <v>1591</v>
      </c>
      <c r="F541" s="547"/>
      <c r="G541" s="547"/>
      <c r="H541" s="547"/>
      <c r="I541" s="547"/>
      <c r="J541" s="547"/>
      <c r="K541" s="547"/>
      <c r="L541" s="547"/>
      <c r="M541" s="547"/>
      <c r="N541" s="547"/>
      <c r="O541" s="547"/>
      <c r="P541" s="547"/>
      <c r="Q541" s="989">
        <f t="shared" si="43"/>
        <v>0</v>
      </c>
      <c r="R541" s="547">
        <v>0</v>
      </c>
      <c r="S541" s="989">
        <f t="shared" si="44"/>
        <v>0</v>
      </c>
      <c r="T541" s="547">
        <f t="shared" si="44"/>
        <v>0</v>
      </c>
      <c r="U541" s="566"/>
      <c r="V541" s="567"/>
      <c r="W541" s="989">
        <f t="shared" si="40"/>
        <v>0</v>
      </c>
      <c r="X541" s="812">
        <f t="shared" si="38"/>
        <v>0</v>
      </c>
      <c r="Y541" s="835">
        <f t="shared" si="42"/>
        <v>0</v>
      </c>
    </row>
    <row r="542" spans="1:25" ht="27" customHeight="1">
      <c r="A542" s="531"/>
      <c r="B542" s="531">
        <v>506</v>
      </c>
      <c r="C542" s="529">
        <v>5</v>
      </c>
      <c r="D542" s="1027" t="s">
        <v>1589</v>
      </c>
      <c r="E542" s="1028" t="s">
        <v>1592</v>
      </c>
      <c r="F542" s="547"/>
      <c r="G542" s="547"/>
      <c r="H542" s="547"/>
      <c r="I542" s="547"/>
      <c r="J542" s="547"/>
      <c r="K542" s="547"/>
      <c r="L542" s="547"/>
      <c r="M542" s="547"/>
      <c r="N542" s="547"/>
      <c r="O542" s="547"/>
      <c r="P542" s="547"/>
      <c r="Q542" s="989">
        <f t="shared" si="43"/>
        <v>0</v>
      </c>
      <c r="R542" s="547">
        <v>0</v>
      </c>
      <c r="S542" s="989">
        <f t="shared" si="44"/>
        <v>0</v>
      </c>
      <c r="T542" s="547">
        <f>ROUND((R542/1000000),0)</f>
        <v>0</v>
      </c>
      <c r="U542" s="566"/>
      <c r="V542" s="567"/>
      <c r="W542" s="989">
        <f t="shared" si="40"/>
        <v>0</v>
      </c>
      <c r="X542" s="812">
        <f>ROUND((W542/1000000),0)</f>
        <v>0</v>
      </c>
      <c r="Y542" s="835">
        <f t="shared" si="42"/>
        <v>0</v>
      </c>
    </row>
    <row r="543" spans="1:25" ht="27" customHeight="1">
      <c r="A543" s="531"/>
      <c r="B543" s="531">
        <v>506</v>
      </c>
      <c r="C543" s="529">
        <v>5</v>
      </c>
      <c r="D543" s="1027" t="s">
        <v>1590</v>
      </c>
      <c r="E543" s="1028" t="s">
        <v>1593</v>
      </c>
      <c r="F543" s="547"/>
      <c r="G543" s="547"/>
      <c r="H543" s="547"/>
      <c r="I543" s="547"/>
      <c r="J543" s="547"/>
      <c r="K543" s="547"/>
      <c r="L543" s="547"/>
      <c r="M543" s="547"/>
      <c r="N543" s="547"/>
      <c r="O543" s="547"/>
      <c r="P543" s="547"/>
      <c r="Q543" s="989">
        <f t="shared" si="43"/>
        <v>0</v>
      </c>
      <c r="R543" s="547">
        <v>0</v>
      </c>
      <c r="S543" s="989">
        <f t="shared" si="44"/>
        <v>0</v>
      </c>
      <c r="T543" s="1052">
        <v>6</v>
      </c>
      <c r="U543" s="566"/>
      <c r="V543" s="567"/>
      <c r="W543" s="989">
        <f t="shared" si="40"/>
        <v>0</v>
      </c>
      <c r="X543" s="812">
        <f>ROUND((W543/1000000),0)</f>
        <v>0</v>
      </c>
      <c r="Y543" s="835">
        <f t="shared" si="42"/>
        <v>0</v>
      </c>
    </row>
    <row r="544" spans="1:25" ht="22.5" customHeight="1">
      <c r="A544" s="531"/>
      <c r="B544" s="531"/>
      <c r="C544" s="529"/>
      <c r="D544" s="1027"/>
      <c r="E544" s="1028"/>
      <c r="F544" s="544">
        <f>SUM(F3:F543)</f>
        <v>0</v>
      </c>
      <c r="G544" s="544">
        <f t="shared" ref="G544:P544" si="45">SUM(G3:G543)</f>
        <v>0</v>
      </c>
      <c r="H544" s="544">
        <f t="shared" si="45"/>
        <v>0</v>
      </c>
      <c r="I544" s="544">
        <f t="shared" si="45"/>
        <v>0</v>
      </c>
      <c r="J544" s="544">
        <f t="shared" si="45"/>
        <v>0</v>
      </c>
      <c r="K544" s="544">
        <f t="shared" si="45"/>
        <v>0</v>
      </c>
      <c r="L544" s="544">
        <f t="shared" si="45"/>
        <v>0</v>
      </c>
      <c r="M544" s="544">
        <f t="shared" si="45"/>
        <v>0</v>
      </c>
      <c r="N544" s="544">
        <f t="shared" si="45"/>
        <v>0</v>
      </c>
      <c r="O544" s="544">
        <f t="shared" si="45"/>
        <v>0</v>
      </c>
      <c r="P544" s="544">
        <f t="shared" si="45"/>
        <v>0</v>
      </c>
      <c r="Q544" s="990">
        <f t="shared" ref="Q544:X544" si="46">SUBTOTAL(9,Q3:Q543)</f>
        <v>0</v>
      </c>
      <c r="R544" s="544">
        <f t="shared" si="46"/>
        <v>0</v>
      </c>
      <c r="S544" s="991">
        <f t="shared" si="46"/>
        <v>1</v>
      </c>
      <c r="T544" s="544">
        <f t="shared" si="46"/>
        <v>0</v>
      </c>
      <c r="U544" s="550">
        <f t="shared" si="46"/>
        <v>14983541965259</v>
      </c>
      <c r="V544" s="550">
        <f t="shared" si="46"/>
        <v>14983541965259</v>
      </c>
      <c r="W544" s="991">
        <f t="shared" si="46"/>
        <v>0</v>
      </c>
      <c r="X544" s="550">
        <f t="shared" si="46"/>
        <v>0</v>
      </c>
      <c r="Y544" s="835">
        <f t="shared" si="42"/>
        <v>1</v>
      </c>
    </row>
    <row r="545" spans="3:24" ht="22.5">
      <c r="C545" s="545"/>
      <c r="D545" s="1034"/>
      <c r="F545" s="836">
        <f t="shared" ref="F545:O545" si="47">SUBTOTAL(9,F3:F543)</f>
        <v>0</v>
      </c>
      <c r="G545" s="836">
        <f t="shared" si="47"/>
        <v>0</v>
      </c>
      <c r="H545" s="836">
        <f t="shared" si="47"/>
        <v>0</v>
      </c>
      <c r="I545" s="836">
        <f t="shared" si="47"/>
        <v>0</v>
      </c>
      <c r="J545" s="836">
        <f t="shared" si="47"/>
        <v>0</v>
      </c>
      <c r="K545" s="836">
        <f t="shared" si="47"/>
        <v>0</v>
      </c>
      <c r="L545" s="836">
        <f t="shared" si="47"/>
        <v>0</v>
      </c>
      <c r="M545" s="836">
        <f t="shared" si="47"/>
        <v>0</v>
      </c>
      <c r="N545" s="836">
        <f>SUBTOTAL(9,N3:N543)</f>
        <v>0</v>
      </c>
      <c r="O545" s="836">
        <f t="shared" si="47"/>
        <v>0</v>
      </c>
      <c r="P545" s="836">
        <f>SUBTOTAL(9,P3:P543)</f>
        <v>0</v>
      </c>
      <c r="Q545" s="1008">
        <f>SUBTOTAL(9,Q3:Q543)</f>
        <v>0</v>
      </c>
      <c r="R545" s="550">
        <f>SUBTOTAL(9,R3:R543)</f>
        <v>0</v>
      </c>
      <c r="S545" s="991">
        <f>SUBTOTAL(9,S3:S543)</f>
        <v>1</v>
      </c>
      <c r="T545" s="550">
        <f>SUBTOTAL(9,T3:T543)</f>
        <v>0</v>
      </c>
      <c r="W545" s="992"/>
      <c r="X545" s="546"/>
    </row>
    <row r="546" spans="3:24" ht="22.5">
      <c r="C546" s="545"/>
      <c r="D546" s="1034"/>
      <c r="F546" s="547"/>
      <c r="O546" s="835"/>
      <c r="Q546" s="1009"/>
      <c r="R546" s="546"/>
      <c r="S546" s="992"/>
      <c r="T546" s="546"/>
      <c r="W546" s="992"/>
      <c r="X546" s="546"/>
    </row>
    <row r="547" spans="3:24" ht="22.5">
      <c r="C547" s="545"/>
      <c r="D547" s="1034"/>
      <c r="E547" s="1053"/>
      <c r="F547" s="547"/>
      <c r="Q547" s="1009">
        <f>Q545-50%</f>
        <v>-0.5</v>
      </c>
      <c r="R547" s="546"/>
      <c r="S547" s="992"/>
      <c r="T547" s="546"/>
      <c r="W547" s="992"/>
      <c r="X547" s="546"/>
    </row>
    <row r="548" spans="3:24" ht="21">
      <c r="C548" s="545"/>
      <c r="D548" s="1034"/>
      <c r="Q548" s="1010">
        <f>1358826*2</f>
        <v>2717652</v>
      </c>
      <c r="R548" s="560"/>
      <c r="S548" s="993"/>
      <c r="T548" s="560"/>
      <c r="W548" s="993"/>
      <c r="X548" s="560"/>
    </row>
    <row r="549" spans="3:24" ht="19.5" customHeight="1">
      <c r="C549" s="545"/>
      <c r="D549" s="1034"/>
      <c r="E549" s="1031"/>
      <c r="F549" s="546"/>
      <c r="G549" s="546"/>
      <c r="H549" s="546"/>
      <c r="I549" s="546"/>
      <c r="J549" s="546"/>
      <c r="K549" s="546"/>
      <c r="L549" s="546"/>
      <c r="M549" s="546"/>
      <c r="N549" s="546"/>
      <c r="O549" s="546"/>
      <c r="P549" s="546"/>
      <c r="Q549" s="1011"/>
      <c r="R549" s="561"/>
      <c r="S549" s="994"/>
      <c r="T549" s="561"/>
      <c r="U549" s="546"/>
      <c r="V549" s="546"/>
      <c r="W549" s="994"/>
      <c r="X549" s="561"/>
    </row>
    <row r="550" spans="3:24" ht="19.5" customHeight="1">
      <c r="C550" s="545"/>
      <c r="D550" s="1034"/>
      <c r="E550" s="1031"/>
      <c r="F550" s="546"/>
      <c r="G550" s="546"/>
      <c r="H550" s="546"/>
      <c r="I550" s="546"/>
      <c r="J550" s="546"/>
      <c r="K550" s="546"/>
      <c r="L550" s="546"/>
      <c r="M550" s="546"/>
      <c r="N550" s="546"/>
      <c r="O550" s="546"/>
      <c r="P550" s="546"/>
      <c r="Q550" s="1011"/>
      <c r="R550" s="561"/>
      <c r="S550" s="994"/>
      <c r="T550" s="561"/>
      <c r="U550" s="546"/>
      <c r="V550" s="546"/>
      <c r="W550" s="994"/>
      <c r="X550" s="561"/>
    </row>
    <row r="551" spans="3:24" ht="19.5" customHeight="1">
      <c r="C551" s="545"/>
      <c r="D551" s="1034"/>
      <c r="E551" s="1031" t="s">
        <v>677</v>
      </c>
      <c r="F551" s="546"/>
      <c r="G551" s="546"/>
      <c r="H551" s="546"/>
      <c r="I551" s="546"/>
      <c r="J551" s="546"/>
      <c r="K551" s="546"/>
      <c r="L551" s="546"/>
      <c r="M551" s="546"/>
      <c r="N551" s="546"/>
      <c r="O551" s="546"/>
      <c r="P551" s="546"/>
      <c r="Q551" s="1011"/>
      <c r="R551" s="561"/>
      <c r="S551" s="994"/>
      <c r="T551" s="561"/>
      <c r="U551" s="546"/>
      <c r="V551" s="546"/>
      <c r="W551" s="994"/>
      <c r="X551" s="561"/>
    </row>
    <row r="552" spans="3:24" ht="19.5" customHeight="1">
      <c r="C552" s="545"/>
      <c r="D552" s="1034"/>
      <c r="E552" s="1031"/>
      <c r="F552" s="546"/>
      <c r="G552" s="546"/>
      <c r="H552" s="546"/>
      <c r="I552" s="546"/>
      <c r="J552" s="546"/>
      <c r="K552" s="546"/>
      <c r="L552" s="546"/>
      <c r="M552" s="546"/>
      <c r="N552" s="546"/>
      <c r="O552" s="546"/>
      <c r="P552" s="546"/>
      <c r="Q552" s="1011"/>
      <c r="R552" s="561"/>
      <c r="S552" s="994"/>
      <c r="T552" s="561"/>
      <c r="U552" s="546"/>
      <c r="V552" s="546"/>
      <c r="W552" s="994"/>
      <c r="X552" s="561"/>
    </row>
    <row r="553" spans="3:24" ht="19.5" customHeight="1">
      <c r="C553" s="545"/>
      <c r="D553" s="1034"/>
      <c r="E553" s="1031"/>
      <c r="F553" s="546"/>
      <c r="G553" s="546"/>
      <c r="H553" s="546"/>
      <c r="I553" s="546"/>
      <c r="J553" s="546"/>
      <c r="K553" s="546"/>
      <c r="L553" s="546"/>
      <c r="M553" s="546"/>
      <c r="N553" s="546"/>
      <c r="O553" s="546"/>
      <c r="P553" s="546"/>
      <c r="Q553" s="1010"/>
      <c r="R553" s="560"/>
      <c r="S553" s="993"/>
      <c r="T553" s="560"/>
      <c r="U553" s="546"/>
      <c r="V553" s="546"/>
      <c r="W553" s="993"/>
      <c r="X553" s="560"/>
    </row>
    <row r="554" spans="3:24" ht="19.5" customHeight="1">
      <c r="C554" s="545"/>
      <c r="D554" s="1034"/>
      <c r="Q554" s="1011"/>
      <c r="R554" s="561"/>
      <c r="S554" s="994"/>
      <c r="T554" s="561"/>
      <c r="W554" s="994"/>
      <c r="X554" s="561"/>
    </row>
    <row r="555" spans="3:24" ht="19.5" customHeight="1">
      <c r="C555" s="545"/>
      <c r="D555" s="1034"/>
      <c r="Q555" s="1011"/>
      <c r="R555" s="561"/>
      <c r="S555" s="994"/>
      <c r="T555" s="561"/>
      <c r="W555" s="994"/>
      <c r="X555" s="561"/>
    </row>
    <row r="556" spans="3:24" ht="19.5" customHeight="1">
      <c r="C556" s="545"/>
      <c r="D556" s="1034"/>
      <c r="Q556" s="1011"/>
      <c r="R556" s="561"/>
      <c r="S556" s="994"/>
      <c r="T556" s="561"/>
      <c r="W556" s="994"/>
      <c r="X556" s="561"/>
    </row>
    <row r="557" spans="3:24" ht="19.5" customHeight="1">
      <c r="C557" s="545"/>
      <c r="D557" s="1034"/>
      <c r="J557" s="545" t="s">
        <v>677</v>
      </c>
      <c r="Q557" s="1011"/>
      <c r="R557" s="561"/>
      <c r="S557" s="994"/>
      <c r="T557" s="561"/>
      <c r="W557" s="994"/>
      <c r="X557" s="561"/>
    </row>
    <row r="558" spans="3:24" ht="19.5" customHeight="1">
      <c r="C558" s="545"/>
      <c r="D558" s="1034"/>
      <c r="Q558" s="1011"/>
      <c r="R558" s="561"/>
      <c r="S558" s="994"/>
      <c r="T558" s="561"/>
      <c r="W558" s="994"/>
      <c r="X558" s="561"/>
    </row>
    <row r="559" spans="3:24" ht="19.5" customHeight="1">
      <c r="C559" s="545"/>
      <c r="D559" s="1034"/>
      <c r="Q559" s="1011"/>
      <c r="R559" s="561"/>
      <c r="S559" s="994"/>
      <c r="T559" s="561"/>
      <c r="W559" s="994"/>
      <c r="X559" s="561"/>
    </row>
    <row r="560" spans="3:24" ht="19.5" customHeight="1">
      <c r="C560" s="545"/>
      <c r="D560" s="1034"/>
      <c r="Q560" s="1011"/>
      <c r="R560" s="561"/>
      <c r="S560" s="994"/>
      <c r="T560" s="561"/>
      <c r="W560" s="994"/>
      <c r="X560" s="561"/>
    </row>
    <row r="561" spans="3:24" ht="19.5" customHeight="1">
      <c r="C561" s="545"/>
      <c r="D561" s="1034"/>
      <c r="Q561" s="1011"/>
      <c r="R561" s="561"/>
      <c r="S561" s="994"/>
      <c r="T561" s="561"/>
      <c r="W561" s="994"/>
      <c r="X561" s="561"/>
    </row>
    <row r="562" spans="3:24" ht="19.5" customHeight="1">
      <c r="C562" s="545"/>
      <c r="D562" s="1034"/>
      <c r="Q562" s="1011"/>
      <c r="R562" s="561"/>
      <c r="S562" s="994"/>
      <c r="T562" s="561"/>
      <c r="W562" s="994"/>
      <c r="X562" s="561"/>
    </row>
    <row r="563" spans="3:24" ht="19.5" customHeight="1">
      <c r="C563" s="545"/>
      <c r="D563" s="1034"/>
      <c r="Q563" s="1009"/>
      <c r="R563" s="546"/>
      <c r="S563" s="992"/>
      <c r="T563" s="546"/>
      <c r="W563" s="992"/>
      <c r="X563" s="546"/>
    </row>
  </sheetData>
  <autoFilter ref="A2:X544"/>
  <mergeCells count="23">
    <mergeCell ref="T1:T2"/>
    <mergeCell ref="U1:U2"/>
    <mergeCell ref="V1:V2"/>
    <mergeCell ref="W1:W2"/>
    <mergeCell ref="X1:X2"/>
    <mergeCell ref="S1:S2"/>
    <mergeCell ref="H1:H2"/>
    <mergeCell ref="I1:I2"/>
    <mergeCell ref="J1:J2"/>
    <mergeCell ref="K1:K2"/>
    <mergeCell ref="L1:L2"/>
    <mergeCell ref="M1:M2"/>
    <mergeCell ref="N1:N2"/>
    <mergeCell ref="O1:O2"/>
    <mergeCell ref="P1:P2"/>
    <mergeCell ref="Q1:Q2"/>
    <mergeCell ref="R1:R2"/>
    <mergeCell ref="G1:G2"/>
    <mergeCell ref="A1:A2"/>
    <mergeCell ref="B1:B2"/>
    <mergeCell ref="C1:C2"/>
    <mergeCell ref="E1:E2"/>
    <mergeCell ref="F1:F2"/>
  </mergeCells>
  <printOptions horizontalCentered="1" verticalCentered="1"/>
  <pageMargins left="0" right="0" top="0.15748031496062992" bottom="0" header="0" footer="0"/>
  <pageSetup paperSize="9" scale="85"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53"/>
  <sheetViews>
    <sheetView rightToLeft="1" view="pageBreakPreview" topLeftCell="A10" zoomScale="66" zoomScaleNormal="90" zoomScaleSheetLayoutView="66" workbookViewId="0">
      <selection activeCell="C18" sqref="C18"/>
    </sheetView>
  </sheetViews>
  <sheetFormatPr defaultColWidth="1.375" defaultRowHeight="21"/>
  <cols>
    <col min="1" max="1" width="44.25" style="338" customWidth="1"/>
    <col min="2" max="2" width="14.125" style="1293" customWidth="1"/>
    <col min="3" max="3" width="7.75" style="1293" customWidth="1"/>
    <col min="4" max="4" width="2.625" style="1293" customWidth="1"/>
    <col min="5" max="5" width="16.375" style="1293" customWidth="1"/>
    <col min="6" max="6" width="3.5" style="1293" customWidth="1"/>
    <col min="7" max="7" width="22" style="1293" customWidth="1"/>
    <col min="8" max="8" width="2.625" style="1293" customWidth="1"/>
    <col min="9" max="9" width="19.5" style="1293" customWidth="1"/>
    <col min="10" max="10" width="23.875" style="1293" customWidth="1"/>
    <col min="11" max="11" width="3" style="1293" customWidth="1"/>
    <col min="12" max="16384" width="1.375" style="1293"/>
  </cols>
  <sheetData>
    <row r="1" spans="1:10" s="179" customFormat="1" ht="28.5" customHeight="1">
      <c r="A1" s="3379" t="s">
        <v>612</v>
      </c>
      <c r="B1" s="3379"/>
      <c r="C1" s="3379"/>
      <c r="D1" s="3379"/>
      <c r="E1" s="3379"/>
      <c r="F1" s="3379"/>
      <c r="G1" s="3379"/>
      <c r="H1" s="3379"/>
      <c r="I1" s="3379"/>
    </row>
    <row r="2" spans="1:10" s="179" customFormat="1" ht="28.5" customHeight="1">
      <c r="A2" s="3379" t="s">
        <v>2043</v>
      </c>
      <c r="B2" s="3379"/>
      <c r="C2" s="3379"/>
      <c r="D2" s="3379"/>
      <c r="E2" s="3379"/>
      <c r="F2" s="3379"/>
      <c r="G2" s="3379"/>
      <c r="H2" s="3379"/>
      <c r="I2" s="3379"/>
    </row>
    <row r="3" spans="1:10" s="179" customFormat="1" ht="28.5" customHeight="1">
      <c r="A3" s="3379" t="str">
        <f>mafrozat!A3</f>
        <v xml:space="preserve"> سال مالي منتهي به 29 اسفند 1402</v>
      </c>
      <c r="B3" s="3379"/>
      <c r="C3" s="3379"/>
      <c r="D3" s="3379"/>
      <c r="E3" s="3379"/>
      <c r="F3" s="3379"/>
      <c r="G3" s="3379"/>
      <c r="H3" s="3379"/>
      <c r="I3" s="3379"/>
    </row>
    <row r="4" spans="1:10" s="179" customFormat="1" ht="43.5" customHeight="1">
      <c r="A4" s="2429"/>
      <c r="B4" s="2429"/>
      <c r="C4" s="2429"/>
      <c r="D4" s="2429"/>
      <c r="E4" s="2429"/>
      <c r="F4" s="2429"/>
      <c r="G4" s="2429"/>
      <c r="H4" s="2429"/>
      <c r="I4" s="2429"/>
    </row>
    <row r="5" spans="1:10" ht="39.75" customHeight="1">
      <c r="A5" s="1095"/>
      <c r="B5" s="500"/>
      <c r="C5" s="500"/>
      <c r="D5" s="500"/>
      <c r="E5" s="500"/>
      <c r="F5" s="500"/>
      <c r="G5" s="3380"/>
      <c r="H5" s="3380"/>
      <c r="I5" s="3380"/>
    </row>
    <row r="6" spans="1:10" ht="54.75" customHeight="1">
      <c r="A6" s="1096"/>
      <c r="B6" s="502"/>
      <c r="C6" s="503"/>
      <c r="D6" s="504"/>
      <c r="E6" s="501"/>
      <c r="F6" s="501"/>
      <c r="G6" s="3381" t="s">
        <v>1879</v>
      </c>
      <c r="H6" s="3381"/>
      <c r="I6" s="3381"/>
    </row>
    <row r="7" spans="1:10" ht="38.25" customHeight="1">
      <c r="A7" s="505" t="s">
        <v>397</v>
      </c>
      <c r="B7" s="505"/>
      <c r="C7" s="691" t="s">
        <v>478</v>
      </c>
      <c r="D7" s="692"/>
      <c r="E7" s="109"/>
      <c r="F7" s="1827"/>
      <c r="G7" s="1369" t="s">
        <v>2635</v>
      </c>
      <c r="H7" s="693"/>
      <c r="I7" s="1405" t="s">
        <v>2214</v>
      </c>
    </row>
    <row r="8" spans="1:10" ht="39.75" customHeight="1">
      <c r="A8" s="1792"/>
      <c r="B8" s="505"/>
      <c r="C8" s="695"/>
      <c r="D8" s="693"/>
      <c r="E8" s="696"/>
      <c r="F8" s="696"/>
      <c r="G8" s="696"/>
      <c r="H8" s="696"/>
      <c r="I8" s="696"/>
    </row>
    <row r="9" spans="1:10">
      <c r="A9" s="506"/>
      <c r="B9" s="506"/>
      <c r="C9" s="507"/>
      <c r="D9" s="508"/>
      <c r="E9" s="509"/>
      <c r="F9" s="509"/>
      <c r="G9" s="509"/>
      <c r="H9" s="509"/>
      <c r="I9" s="509"/>
    </row>
    <row r="10" spans="1:10" ht="54" customHeight="1">
      <c r="A10" s="699" t="s">
        <v>2810</v>
      </c>
      <c r="B10" s="697"/>
      <c r="C10" s="510" t="s">
        <v>1792</v>
      </c>
      <c r="D10" s="382"/>
      <c r="E10" s="382"/>
      <c r="F10" s="382"/>
      <c r="G10" s="382">
        <f>'11'!K34</f>
        <v>101531462</v>
      </c>
      <c r="H10" s="382"/>
      <c r="I10" s="382">
        <v>53677666</v>
      </c>
    </row>
    <row r="11" spans="1:10" ht="54" customHeight="1">
      <c r="A11" s="699" t="s">
        <v>1222</v>
      </c>
      <c r="B11" s="382"/>
      <c r="C11" s="510" t="s">
        <v>1798</v>
      </c>
      <c r="D11" s="382"/>
      <c r="E11" s="382"/>
      <c r="F11" s="382"/>
      <c r="G11" s="518">
        <f>-'12'!H30</f>
        <v>-92205258</v>
      </c>
      <c r="H11" s="382"/>
      <c r="I11" s="511">
        <v>-50452416</v>
      </c>
      <c r="J11" s="1109">
        <f>-('1402'!W476+'1402'!W535+'1402'!W536)</f>
        <v>-102625176</v>
      </c>
    </row>
    <row r="12" spans="1:10" ht="54" customHeight="1">
      <c r="A12" s="699" t="s">
        <v>225</v>
      </c>
      <c r="B12" s="382"/>
      <c r="C12" s="510"/>
      <c r="D12" s="382"/>
      <c r="E12" s="382"/>
      <c r="F12" s="382"/>
      <c r="G12" s="382">
        <f>SUM(G10:G11)</f>
        <v>9326204</v>
      </c>
      <c r="H12" s="382"/>
      <c r="I12" s="382">
        <f>SUM(I10:I11)</f>
        <v>3225250</v>
      </c>
      <c r="J12" s="430">
        <f>J11-G11-G13</f>
        <v>0</v>
      </c>
    </row>
    <row r="13" spans="1:10" ht="54" customHeight="1">
      <c r="A13" s="699" t="s">
        <v>1515</v>
      </c>
      <c r="B13" s="382"/>
      <c r="C13" s="510" t="s">
        <v>1798</v>
      </c>
      <c r="D13" s="382"/>
      <c r="E13" s="523"/>
      <c r="F13" s="382"/>
      <c r="G13" s="518">
        <f>-'12'!T30</f>
        <v>-10419918</v>
      </c>
      <c r="H13" s="382"/>
      <c r="I13" s="518">
        <v>-5804244</v>
      </c>
      <c r="J13" s="1363">
        <f>J11-J12</f>
        <v>-102625176</v>
      </c>
    </row>
    <row r="14" spans="1:10" s="1941" customFormat="1" ht="54" customHeight="1">
      <c r="A14" s="699" t="s">
        <v>2098</v>
      </c>
      <c r="B14" s="382"/>
      <c r="C14" s="510"/>
      <c r="D14" s="382"/>
      <c r="E14" s="523"/>
      <c r="F14" s="382"/>
      <c r="G14" s="516">
        <f>SUM(G12:G13)</f>
        <v>-1093714</v>
      </c>
      <c r="H14" s="382"/>
      <c r="I14" s="516">
        <f>SUM(I12:I13)</f>
        <v>-2578994</v>
      </c>
      <c r="J14" s="1363"/>
    </row>
    <row r="15" spans="1:10" ht="54" customHeight="1">
      <c r="A15" s="699" t="s">
        <v>2795</v>
      </c>
      <c r="B15" s="382"/>
      <c r="C15" s="510" t="s">
        <v>1793</v>
      </c>
      <c r="D15" s="382"/>
      <c r="E15" s="523"/>
      <c r="F15" s="382"/>
      <c r="G15" s="516">
        <f>'13-14'!H107</f>
        <v>1178338</v>
      </c>
      <c r="H15" s="382"/>
      <c r="I15" s="512">
        <v>893307</v>
      </c>
      <c r="J15" s="1109">
        <f>'1402'!W538+'1402'!W540+'1402'!W543</f>
        <v>-1178338</v>
      </c>
    </row>
    <row r="16" spans="1:10" ht="54" customHeight="1">
      <c r="A16" s="699" t="s">
        <v>2201</v>
      </c>
      <c r="B16" s="698"/>
      <c r="C16" s="510"/>
      <c r="D16" s="382"/>
      <c r="E16" s="382"/>
      <c r="F16" s="382"/>
      <c r="G16" s="1036">
        <f>SUM(G14:G15)</f>
        <v>84624</v>
      </c>
      <c r="H16" s="512"/>
      <c r="I16" s="1036">
        <f>SUM(I14:I15)</f>
        <v>-1685687</v>
      </c>
    </row>
    <row r="17" spans="1:16" s="1717" customFormat="1" ht="54" customHeight="1">
      <c r="A17" s="699" t="s">
        <v>2000</v>
      </c>
      <c r="B17" s="698"/>
      <c r="C17" s="510" t="s">
        <v>2542</v>
      </c>
      <c r="D17" s="382"/>
      <c r="E17" s="382"/>
      <c r="F17" s="382"/>
      <c r="G17" s="512">
        <f>-G16*0.25</f>
        <v>-21156</v>
      </c>
      <c r="H17" s="512"/>
      <c r="I17" s="512">
        <v>0</v>
      </c>
    </row>
    <row r="18" spans="1:16" s="1521" customFormat="1" ht="54" customHeight="1" thickBot="1">
      <c r="A18" s="699" t="s">
        <v>870</v>
      </c>
      <c r="B18" s="385"/>
      <c r="C18" s="385"/>
      <c r="D18" s="385"/>
      <c r="E18" s="385"/>
      <c r="F18" s="385"/>
      <c r="G18" s="514">
        <f>G17+G16-0.5</f>
        <v>63467.5</v>
      </c>
      <c r="H18" s="382"/>
      <c r="I18" s="514">
        <f>I17+I16</f>
        <v>-1685687</v>
      </c>
    </row>
    <row r="19" spans="1:16" s="1521" customFormat="1" ht="45" customHeight="1" thickTop="1">
      <c r="A19" s="1100"/>
      <c r="B19" s="385"/>
      <c r="C19" s="1719"/>
      <c r="D19" s="385"/>
      <c r="E19" s="385"/>
      <c r="F19" s="385"/>
      <c r="G19" s="385"/>
      <c r="H19" s="385"/>
      <c r="I19" s="385"/>
    </row>
    <row r="20" spans="1:16" s="1350" customFormat="1" ht="45" customHeight="1">
      <c r="A20" s="1858"/>
      <c r="B20" s="699"/>
      <c r="C20" s="510"/>
      <c r="D20" s="382"/>
      <c r="E20" s="382"/>
      <c r="F20" s="382"/>
      <c r="G20" s="382"/>
      <c r="H20" s="382"/>
      <c r="I20" s="382"/>
    </row>
    <row r="21" spans="1:16" s="1350" customFormat="1" ht="45" customHeight="1">
      <c r="A21" s="699"/>
      <c r="B21" s="699"/>
      <c r="C21" s="510"/>
      <c r="D21" s="382"/>
      <c r="E21" s="382"/>
      <c r="F21" s="382"/>
      <c r="G21" s="382"/>
      <c r="H21" s="382"/>
      <c r="I21" s="382"/>
    </row>
    <row r="22" spans="1:16" s="1350" customFormat="1" ht="45" customHeight="1">
      <c r="A22" s="699"/>
      <c r="B22" s="699"/>
      <c r="C22" s="988"/>
      <c r="D22" s="382"/>
      <c r="E22" s="382"/>
      <c r="F22" s="382"/>
      <c r="G22" s="1351"/>
      <c r="H22" s="1352"/>
      <c r="I22" s="382"/>
    </row>
    <row r="23" spans="1:16" s="1350" customFormat="1" ht="45" customHeight="1">
      <c r="A23" s="699"/>
      <c r="B23" s="699"/>
      <c r="C23" s="510"/>
      <c r="D23" s="382"/>
      <c r="E23" s="516"/>
      <c r="F23" s="382"/>
      <c r="G23" s="382"/>
      <c r="H23" s="382"/>
      <c r="I23" s="516"/>
    </row>
    <row r="24" spans="1:16" s="1350" customFormat="1" ht="45" customHeight="1">
      <c r="A24" s="699"/>
      <c r="B24" s="699"/>
      <c r="C24" s="510"/>
      <c r="D24" s="382"/>
      <c r="E24" s="516"/>
      <c r="F24" s="382"/>
      <c r="G24" s="382"/>
      <c r="H24" s="382"/>
      <c r="I24" s="382"/>
    </row>
    <row r="25" spans="1:16" s="1353" customFormat="1" ht="45" customHeight="1">
      <c r="A25" s="699"/>
      <c r="B25" s="699"/>
      <c r="C25" s="510"/>
      <c r="D25" s="382"/>
      <c r="E25" s="382"/>
      <c r="F25" s="382"/>
      <c r="G25" s="382"/>
      <c r="H25" s="382"/>
      <c r="I25" s="382"/>
    </row>
    <row r="26" spans="1:16" s="1353" customFormat="1" ht="39" customHeight="1">
      <c r="A26" s="699"/>
      <c r="B26" s="382"/>
      <c r="C26" s="510"/>
      <c r="D26" s="382"/>
      <c r="E26" s="382"/>
      <c r="F26" s="382"/>
      <c r="G26" s="382"/>
      <c r="H26" s="382"/>
      <c r="I26" s="382"/>
      <c r="K26" s="1354"/>
    </row>
    <row r="27" spans="1:16" ht="24.75" customHeight="1">
      <c r="A27" s="1421"/>
      <c r="B27" s="1421"/>
      <c r="C27" s="1422"/>
      <c r="D27" s="1421"/>
      <c r="E27" s="1421"/>
      <c r="F27" s="1421"/>
      <c r="G27" s="1421"/>
      <c r="H27" s="1421"/>
      <c r="I27" s="1421"/>
      <c r="J27" s="338"/>
      <c r="K27" s="430"/>
      <c r="N27" s="369"/>
      <c r="O27" s="369"/>
      <c r="P27" s="369"/>
    </row>
    <row r="28" spans="1:16" ht="39" customHeight="1">
      <c r="A28" s="520"/>
      <c r="B28" s="520"/>
      <c r="C28" s="520"/>
      <c r="D28" s="520"/>
      <c r="E28" s="520"/>
      <c r="F28" s="520"/>
      <c r="G28" s="520"/>
      <c r="H28" s="520"/>
      <c r="I28" s="520"/>
      <c r="J28" s="338"/>
    </row>
    <row r="29" spans="1:16" ht="33" customHeight="1">
      <c r="A29" s="3377" t="s">
        <v>1474</v>
      </c>
      <c r="B29" s="3377"/>
      <c r="C29" s="3377"/>
      <c r="D29" s="3377"/>
      <c r="E29" s="3377"/>
      <c r="F29" s="3377"/>
      <c r="G29" s="3377"/>
      <c r="H29" s="3377"/>
      <c r="I29" s="3377"/>
    </row>
    <row r="30" spans="1:16" ht="28.5" customHeight="1">
      <c r="A30" s="1101"/>
      <c r="B30" s="1292"/>
      <c r="C30" s="1292"/>
      <c r="D30" s="1292"/>
      <c r="E30" s="1292"/>
      <c r="F30" s="1292"/>
      <c r="G30" s="1292"/>
      <c r="H30" s="1292"/>
      <c r="I30" s="1292"/>
    </row>
    <row r="31" spans="1:16" ht="58.5" customHeight="1">
      <c r="A31" s="1101"/>
      <c r="B31" s="1292"/>
      <c r="C31" s="1292"/>
      <c r="D31" s="947"/>
      <c r="E31" s="1292"/>
      <c r="F31" s="1292"/>
      <c r="G31" s="1292"/>
      <c r="H31" s="1292"/>
      <c r="I31" s="1292"/>
    </row>
    <row r="32" spans="1:16" ht="14.25" customHeight="1">
      <c r="A32" s="1102"/>
      <c r="B32" s="521"/>
      <c r="C32" s="522"/>
      <c r="D32" s="523"/>
      <c r="E32" s="523"/>
      <c r="F32" s="523"/>
      <c r="G32" s="523"/>
      <c r="H32" s="523"/>
      <c r="I32" s="523"/>
    </row>
    <row r="33" spans="1:10" ht="39.75">
      <c r="A33" s="3378">
        <v>2</v>
      </c>
      <c r="B33" s="3378"/>
      <c r="C33" s="3378"/>
      <c r="D33" s="3378"/>
      <c r="E33" s="3378"/>
      <c r="F33" s="3378"/>
      <c r="G33" s="3378"/>
      <c r="H33" s="3378"/>
      <c r="I33" s="3378"/>
      <c r="J33" s="707"/>
    </row>
    <row r="34" spans="1:10" ht="33.75">
      <c r="E34" s="382"/>
    </row>
    <row r="35" spans="1:10" ht="33.75">
      <c r="E35" s="382"/>
    </row>
    <row r="36" spans="1:10" ht="33.75">
      <c r="E36" s="382"/>
    </row>
    <row r="38" spans="1:10" ht="37.5">
      <c r="E38" s="342"/>
    </row>
    <row r="39" spans="1:10" ht="37.5">
      <c r="E39" s="524"/>
    </row>
    <row r="53" spans="10:10">
      <c r="J53" s="1293">
        <v>-7717613</v>
      </c>
    </row>
  </sheetData>
  <mergeCells count="7">
    <mergeCell ref="A29:I29"/>
    <mergeCell ref="A33:I33"/>
    <mergeCell ref="A1:I1"/>
    <mergeCell ref="A2:I2"/>
    <mergeCell ref="A3:I3"/>
    <mergeCell ref="G5:I5"/>
    <mergeCell ref="G6:I6"/>
  </mergeCells>
  <printOptions horizontalCentered="1" verticalCentered="1"/>
  <pageMargins left="0.39370078740157483" right="0.74803149606299213" top="0.43307086614173229" bottom="0.15748031496062992" header="0.35433070866141736" footer="0.15748031496062992"/>
  <pageSetup paperSize="9" scale="58" orientation="portrait" r:id="rId1"/>
  <ignoredErrors>
    <ignoredError sqref="C10:C11 C15 C1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S66"/>
  <sheetViews>
    <sheetView rightToLeft="1" view="pageBreakPreview" topLeftCell="A22" zoomScale="66" zoomScaleNormal="62" zoomScaleSheetLayoutView="66" workbookViewId="0">
      <selection activeCell="D44" sqref="D44"/>
    </sheetView>
  </sheetViews>
  <sheetFormatPr defaultColWidth="1.375" defaultRowHeight="21"/>
  <cols>
    <col min="1" max="1" width="50.25" style="338" customWidth="1"/>
    <col min="2" max="2" width="12.5" style="1295" customWidth="1"/>
    <col min="3" max="3" width="7.75" style="1295" customWidth="1"/>
    <col min="4" max="4" width="17.125" style="1295" customWidth="1"/>
    <col min="5" max="5" width="7.875" style="1295" customWidth="1"/>
    <col min="6" max="6" width="1.75" style="1295" customWidth="1"/>
    <col min="7" max="7" width="26.5" style="1295" customWidth="1"/>
    <col min="8" max="8" width="3.5" style="1295" customWidth="1"/>
    <col min="9" max="9" width="26.75" style="1295" customWidth="1"/>
    <col min="10" max="10" width="2.5" style="2663" customWidth="1"/>
    <col min="11" max="11" width="24.875" style="3185" customWidth="1"/>
    <col min="12" max="12" width="7.25" style="1492" customWidth="1"/>
    <col min="13" max="13" width="23.25" style="1492" hidden="1" customWidth="1"/>
    <col min="14" max="14" width="3" style="1295" customWidth="1"/>
    <col min="15" max="17" width="1.375" style="1295"/>
    <col min="18" max="18" width="12.125" style="1295" hidden="1" customWidth="1"/>
    <col min="19" max="19" width="1.375" style="1295" hidden="1" customWidth="1"/>
    <col min="20" max="16384" width="1.375" style="1295"/>
  </cols>
  <sheetData>
    <row r="1" spans="1:18" s="179" customFormat="1" ht="36.75" customHeight="1">
      <c r="A1" s="3382" t="s">
        <v>612</v>
      </c>
      <c r="B1" s="3382"/>
      <c r="C1" s="3382"/>
      <c r="D1" s="3382"/>
      <c r="E1" s="3382"/>
      <c r="F1" s="3382"/>
      <c r="G1" s="3382"/>
      <c r="H1" s="3382"/>
      <c r="I1" s="3382"/>
      <c r="J1" s="3382"/>
      <c r="K1" s="3382"/>
      <c r="L1" s="3382"/>
      <c r="M1" s="3382"/>
    </row>
    <row r="2" spans="1:18" s="179" customFormat="1" ht="36.75" customHeight="1">
      <c r="A2" s="3383" t="s">
        <v>1799</v>
      </c>
      <c r="B2" s="3383"/>
      <c r="C2" s="3383"/>
      <c r="D2" s="3383"/>
      <c r="E2" s="3383"/>
      <c r="F2" s="3383"/>
      <c r="G2" s="3383"/>
      <c r="H2" s="3383"/>
      <c r="I2" s="3383"/>
      <c r="J2" s="3383"/>
      <c r="K2" s="3383"/>
      <c r="L2" s="3383"/>
      <c r="M2" s="3383"/>
    </row>
    <row r="3" spans="1:18" s="179" customFormat="1" ht="36.75" customHeight="1">
      <c r="A3" s="3383" t="s">
        <v>2627</v>
      </c>
      <c r="B3" s="3383"/>
      <c r="C3" s="3383"/>
      <c r="D3" s="3383"/>
      <c r="E3" s="3383"/>
      <c r="F3" s="3383"/>
      <c r="G3" s="3383"/>
      <c r="H3" s="3383"/>
      <c r="I3" s="3383"/>
      <c r="J3" s="3383"/>
      <c r="K3" s="3383"/>
      <c r="L3" s="3383"/>
      <c r="M3" s="3383"/>
    </row>
    <row r="4" spans="1:18" s="179" customFormat="1" ht="36.75" customHeight="1">
      <c r="A4" s="3182"/>
      <c r="B4" s="3182"/>
      <c r="C4" s="3182"/>
      <c r="D4" s="3182"/>
      <c r="E4" s="3182"/>
      <c r="F4" s="3182"/>
      <c r="G4" s="3182"/>
      <c r="H4" s="3182"/>
      <c r="I4" s="3182"/>
      <c r="J4" s="3182"/>
      <c r="K4" s="3182"/>
      <c r="L4" s="3182"/>
      <c r="M4" s="3182"/>
    </row>
    <row r="5" spans="1:18" s="179" customFormat="1" ht="36.75" customHeight="1">
      <c r="A5" s="3182"/>
      <c r="B5" s="3182"/>
      <c r="C5" s="3182"/>
      <c r="D5" s="3182"/>
      <c r="E5" s="3182"/>
      <c r="F5" s="3182"/>
      <c r="G5" s="3182"/>
      <c r="H5" s="3182"/>
      <c r="I5" s="3182"/>
      <c r="J5" s="3182"/>
      <c r="K5" s="3182"/>
      <c r="L5" s="3182"/>
      <c r="M5" s="3182"/>
    </row>
    <row r="6" spans="1:18" ht="34.5" customHeight="1">
      <c r="A6" s="1095"/>
      <c r="B6" s="500"/>
      <c r="C6" s="500"/>
      <c r="D6" s="500"/>
      <c r="E6" s="500"/>
      <c r="F6" s="500"/>
      <c r="G6" s="3384" t="s">
        <v>1879</v>
      </c>
      <c r="H6" s="3384"/>
      <c r="I6" s="3384"/>
      <c r="J6" s="3384"/>
      <c r="K6" s="3183"/>
      <c r="L6" s="1829"/>
      <c r="M6" s="1829" t="s">
        <v>1879</v>
      </c>
    </row>
    <row r="7" spans="1:18" ht="30.75" customHeight="1">
      <c r="A7" s="1096"/>
      <c r="B7" s="502"/>
      <c r="C7" s="503"/>
      <c r="D7" s="504"/>
      <c r="E7" s="501"/>
      <c r="F7" s="501"/>
      <c r="G7" s="501"/>
      <c r="H7" s="501"/>
      <c r="I7" s="263" t="s">
        <v>2330</v>
      </c>
      <c r="J7" s="263"/>
      <c r="K7" s="263" t="s">
        <v>2330</v>
      </c>
      <c r="L7" s="263"/>
      <c r="M7" s="263"/>
    </row>
    <row r="8" spans="1:18" ht="31.5" customHeight="1">
      <c r="A8" s="1097" t="s">
        <v>397</v>
      </c>
      <c r="B8" s="505"/>
      <c r="C8" s="691" t="s">
        <v>478</v>
      </c>
      <c r="D8" s="692"/>
      <c r="F8" s="1368"/>
      <c r="G8" s="1369" t="s">
        <v>2641</v>
      </c>
      <c r="H8" s="693"/>
      <c r="I8" s="1369" t="s">
        <v>2210</v>
      </c>
      <c r="J8" s="2675"/>
      <c r="K8" s="1369" t="s">
        <v>2830</v>
      </c>
      <c r="L8" s="1493"/>
      <c r="M8" s="1518" t="s">
        <v>2011</v>
      </c>
    </row>
    <row r="9" spans="1:18" ht="31.5" hidden="1" customHeight="1">
      <c r="A9" s="1097"/>
      <c r="B9" s="505"/>
      <c r="C9" s="695"/>
      <c r="D9" s="693"/>
      <c r="E9" s="696"/>
      <c r="F9" s="696"/>
      <c r="G9" s="696"/>
      <c r="H9" s="696"/>
      <c r="I9" s="696"/>
      <c r="J9" s="696"/>
      <c r="K9" s="696"/>
      <c r="L9" s="696"/>
      <c r="M9" s="696"/>
    </row>
    <row r="10" spans="1:18" ht="35.25" customHeight="1">
      <c r="A10" s="1373" t="s">
        <v>1800</v>
      </c>
      <c r="B10" s="506"/>
      <c r="C10" s="507"/>
      <c r="D10" s="508"/>
      <c r="E10" s="509"/>
      <c r="F10" s="509"/>
      <c r="G10" s="509"/>
      <c r="H10" s="509"/>
      <c r="I10" s="509"/>
      <c r="J10" s="509"/>
      <c r="K10" s="509"/>
      <c r="L10" s="509"/>
      <c r="M10" s="509"/>
    </row>
    <row r="11" spans="1:18" ht="35.25" customHeight="1">
      <c r="A11" s="1298" t="s">
        <v>2357</v>
      </c>
      <c r="B11" s="506"/>
      <c r="C11" s="507"/>
      <c r="D11" s="508"/>
      <c r="E11" s="509"/>
      <c r="F11" s="509"/>
      <c r="G11" s="509"/>
      <c r="H11" s="509"/>
      <c r="I11" s="509"/>
      <c r="J11" s="509"/>
      <c r="K11" s="509"/>
      <c r="L11" s="509"/>
      <c r="M11" s="509"/>
    </row>
    <row r="12" spans="1:18" ht="35.25" customHeight="1">
      <c r="A12" s="2234" t="s">
        <v>1801</v>
      </c>
      <c r="B12" s="697"/>
      <c r="C12" s="510" t="s">
        <v>1794</v>
      </c>
      <c r="D12" s="382"/>
      <c r="E12" s="382"/>
      <c r="F12" s="382"/>
      <c r="G12" s="3184">
        <f>'15'!W38</f>
        <v>89766994</v>
      </c>
      <c r="H12" s="382"/>
      <c r="I12" s="382">
        <v>88470584</v>
      </c>
      <c r="J12" s="382"/>
      <c r="K12" s="382">
        <v>47913845</v>
      </c>
      <c r="L12" s="382"/>
      <c r="M12" s="382">
        <v>23714800</v>
      </c>
    </row>
    <row r="13" spans="1:18" ht="35.25" customHeight="1">
      <c r="A13" s="2234" t="s">
        <v>1803</v>
      </c>
      <c r="B13" s="382"/>
      <c r="C13" s="510" t="s">
        <v>1795</v>
      </c>
      <c r="D13" s="382"/>
      <c r="E13" s="382"/>
      <c r="F13" s="382"/>
      <c r="G13" s="382">
        <f>'19'!N14</f>
        <v>84434</v>
      </c>
      <c r="H13" s="382"/>
      <c r="I13" s="382">
        <v>83241</v>
      </c>
      <c r="J13" s="382"/>
      <c r="K13" s="382">
        <v>83175</v>
      </c>
      <c r="L13" s="382"/>
      <c r="M13" s="382">
        <v>81720</v>
      </c>
    </row>
    <row r="14" spans="1:18" ht="35.25" customHeight="1">
      <c r="A14" s="2234" t="s">
        <v>1802</v>
      </c>
      <c r="B14" s="382"/>
      <c r="C14" s="510" t="s">
        <v>1796</v>
      </c>
      <c r="D14" s="382"/>
      <c r="E14" s="382"/>
      <c r="F14" s="382"/>
      <c r="G14" s="382">
        <f>'19'!L26</f>
        <v>48</v>
      </c>
      <c r="H14" s="382"/>
      <c r="I14" s="382">
        <v>48</v>
      </c>
      <c r="J14" s="382"/>
      <c r="K14" s="382">
        <v>48</v>
      </c>
      <c r="L14" s="382"/>
      <c r="M14" s="382">
        <v>48</v>
      </c>
    </row>
    <row r="15" spans="1:18" ht="35.25" customHeight="1">
      <c r="A15" s="2234" t="s">
        <v>2328</v>
      </c>
      <c r="B15" s="382"/>
      <c r="C15" s="510" t="s">
        <v>1797</v>
      </c>
      <c r="D15" s="382"/>
      <c r="E15" s="523"/>
      <c r="F15" s="382"/>
      <c r="G15" s="516">
        <f>'22'!G12</f>
        <v>1656630</v>
      </c>
      <c r="H15" s="382"/>
      <c r="I15" s="516">
        <v>22301</v>
      </c>
      <c r="J15" s="516"/>
      <c r="K15" s="516">
        <v>26544</v>
      </c>
      <c r="L15" s="516"/>
      <c r="M15" s="516">
        <v>45079</v>
      </c>
      <c r="R15" s="430">
        <f>G15-I15</f>
        <v>1634329</v>
      </c>
    </row>
    <row r="16" spans="1:18" ht="35.25" customHeight="1">
      <c r="A16" s="1298" t="s">
        <v>2358</v>
      </c>
      <c r="B16" s="382"/>
      <c r="C16" s="510"/>
      <c r="D16" s="382"/>
      <c r="E16" s="523"/>
      <c r="F16" s="382"/>
      <c r="G16" s="1297">
        <f>SUM(G12:G15)</f>
        <v>91508106</v>
      </c>
      <c r="H16" s="382"/>
      <c r="I16" s="1297">
        <f>SUM(I12:I15)</f>
        <v>88576174</v>
      </c>
      <c r="J16" s="516"/>
      <c r="K16" s="1297">
        <f>SUM(K12:K15)</f>
        <v>48023612</v>
      </c>
      <c r="L16" s="516"/>
      <c r="M16" s="1297">
        <f>SUM(M12:M15)</f>
        <v>23841647</v>
      </c>
    </row>
    <row r="17" spans="1:18" ht="35.25" customHeight="1">
      <c r="A17" s="1298" t="s">
        <v>1893</v>
      </c>
      <c r="B17" s="698"/>
      <c r="C17" s="510"/>
      <c r="D17" s="382"/>
      <c r="E17" s="382"/>
      <c r="F17" s="382"/>
      <c r="G17" s="512"/>
      <c r="H17" s="512"/>
      <c r="I17" s="512"/>
      <c r="J17" s="512"/>
      <c r="K17" s="512"/>
      <c r="L17" s="512"/>
      <c r="M17" s="512"/>
    </row>
    <row r="18" spans="1:18" ht="35.25" customHeight="1">
      <c r="A18" s="2234" t="s">
        <v>1805</v>
      </c>
      <c r="B18" s="698"/>
      <c r="C18" s="510" t="s">
        <v>1817</v>
      </c>
      <c r="D18" s="382"/>
      <c r="E18" s="1444">
        <f>G18-I18</f>
        <v>90325</v>
      </c>
      <c r="F18" s="382"/>
      <c r="G18" s="512">
        <f>'22'!G27</f>
        <v>547380</v>
      </c>
      <c r="H18" s="512"/>
      <c r="I18" s="512">
        <v>457055</v>
      </c>
      <c r="J18" s="512"/>
      <c r="K18" s="512">
        <v>317579</v>
      </c>
      <c r="L18" s="512"/>
      <c r="M18" s="512">
        <v>371289</v>
      </c>
    </row>
    <row r="19" spans="1:18" ht="35.25" customHeight="1">
      <c r="A19" s="2234" t="s">
        <v>2430</v>
      </c>
      <c r="B19" s="698"/>
      <c r="C19" s="510" t="s">
        <v>1818</v>
      </c>
      <c r="D19" s="382"/>
      <c r="E19" s="382"/>
      <c r="F19" s="382"/>
      <c r="G19" s="512">
        <f>'23'!J15</f>
        <v>5617585</v>
      </c>
      <c r="H19" s="512"/>
      <c r="I19" s="512">
        <v>4484864</v>
      </c>
      <c r="J19" s="512"/>
      <c r="K19" s="512">
        <v>4280630</v>
      </c>
      <c r="L19" s="512"/>
      <c r="M19" s="512">
        <v>2481004</v>
      </c>
    </row>
    <row r="20" spans="1:18" ht="35.25" customHeight="1">
      <c r="A20" s="1858" t="s">
        <v>2328</v>
      </c>
      <c r="B20" s="382"/>
      <c r="C20" s="510" t="s">
        <v>1797</v>
      </c>
      <c r="D20" s="382"/>
      <c r="E20" s="382"/>
      <c r="F20" s="382"/>
      <c r="G20" s="512">
        <f>'20'!J28</f>
        <v>35904054</v>
      </c>
      <c r="H20" s="382"/>
      <c r="I20" s="512">
        <v>10129835</v>
      </c>
      <c r="J20" s="512"/>
      <c r="K20" s="512">
        <v>6959332</v>
      </c>
      <c r="L20" s="512"/>
      <c r="M20" s="512">
        <v>5901674</v>
      </c>
      <c r="R20" s="430">
        <f>G20-I20</f>
        <v>25774219</v>
      </c>
    </row>
    <row r="21" spans="1:18" ht="35.25" customHeight="1">
      <c r="A21" s="2234" t="s">
        <v>1807</v>
      </c>
      <c r="B21" s="382"/>
      <c r="C21" s="510" t="s">
        <v>1713</v>
      </c>
      <c r="D21" s="382"/>
      <c r="E21" s="951"/>
      <c r="F21" s="382"/>
      <c r="G21" s="512">
        <f>'23'!J33</f>
        <v>781955</v>
      </c>
      <c r="H21" s="382"/>
      <c r="I21" s="512">
        <v>1610502</v>
      </c>
      <c r="J21" s="512"/>
      <c r="K21" s="512">
        <v>399069</v>
      </c>
      <c r="L21" s="512"/>
      <c r="M21" s="512">
        <v>1015911</v>
      </c>
      <c r="R21" s="430">
        <f>R15+R20+'صورت جریان نقدی'!H21</f>
        <v>27370919</v>
      </c>
    </row>
    <row r="22" spans="1:18" ht="35.25" customHeight="1">
      <c r="A22" s="1298" t="s">
        <v>1808</v>
      </c>
      <c r="B22" s="382"/>
      <c r="C22" s="510"/>
      <c r="D22" s="382"/>
      <c r="E22" s="382"/>
      <c r="F22" s="382"/>
      <c r="G22" s="1297">
        <f>SUM(G18:G21)</f>
        <v>42850974</v>
      </c>
      <c r="H22" s="382"/>
      <c r="I22" s="1297">
        <f>SUM(I18:I21)</f>
        <v>16682256</v>
      </c>
      <c r="J22" s="516"/>
      <c r="K22" s="1297">
        <f>SUM(K18:K21)</f>
        <v>11956610</v>
      </c>
      <c r="L22" s="516"/>
      <c r="M22" s="1297">
        <f>SUM(M18:M21)</f>
        <v>9769878</v>
      </c>
    </row>
    <row r="23" spans="1:18" ht="35.25" customHeight="1" thickBot="1">
      <c r="A23" s="1374" t="s">
        <v>1673</v>
      </c>
      <c r="B23" s="382"/>
      <c r="C23" s="510"/>
      <c r="D23" s="382"/>
      <c r="E23" s="382"/>
      <c r="F23" s="382"/>
      <c r="G23" s="1375">
        <f>G16+G22</f>
        <v>134359080</v>
      </c>
      <c r="H23" s="1376"/>
      <c r="I23" s="1377">
        <f>I22+I16</f>
        <v>105258430</v>
      </c>
      <c r="J23" s="1376">
        <f t="shared" ref="J23:K23" si="0">J22+J16</f>
        <v>0</v>
      </c>
      <c r="K23" s="1377">
        <f t="shared" si="0"/>
        <v>59980222</v>
      </c>
      <c r="L23" s="1376"/>
      <c r="M23" s="1377">
        <f>M22+M16</f>
        <v>33611525</v>
      </c>
    </row>
    <row r="24" spans="1:18" ht="34.5" customHeight="1" thickTop="1">
      <c r="A24" s="1298" t="s">
        <v>2403</v>
      </c>
      <c r="B24" s="382"/>
      <c r="C24" s="510"/>
      <c r="D24" s="382"/>
      <c r="E24" s="382"/>
      <c r="F24" s="382"/>
      <c r="G24" s="382"/>
      <c r="H24" s="382"/>
      <c r="I24" s="382"/>
      <c r="J24" s="382"/>
      <c r="K24" s="382"/>
      <c r="L24" s="382"/>
      <c r="M24" s="382"/>
    </row>
    <row r="25" spans="1:18" ht="30.75" customHeight="1">
      <c r="A25" s="1298" t="s">
        <v>1889</v>
      </c>
      <c r="B25" s="1298"/>
      <c r="C25" s="1298"/>
      <c r="D25" s="1298"/>
      <c r="E25" s="1298"/>
      <c r="F25" s="1298"/>
      <c r="G25" s="1298"/>
      <c r="H25" s="1298"/>
      <c r="I25" s="1298"/>
      <c r="J25" s="1298"/>
      <c r="K25" s="1298"/>
      <c r="L25" s="1298"/>
      <c r="M25" s="1298"/>
    </row>
    <row r="26" spans="1:18" ht="30.75" customHeight="1">
      <c r="A26" s="2234" t="s">
        <v>1809</v>
      </c>
      <c r="B26" s="382"/>
      <c r="C26" s="510" t="s">
        <v>1660</v>
      </c>
      <c r="D26" s="382"/>
      <c r="E26" s="382"/>
      <c r="F26" s="382"/>
      <c r="G26" s="382">
        <v>12000000</v>
      </c>
      <c r="H26" s="382"/>
      <c r="I26" s="382">
        <v>12000000</v>
      </c>
      <c r="J26" s="382"/>
      <c r="K26" s="382">
        <v>12000000</v>
      </c>
      <c r="L26" s="382"/>
      <c r="M26" s="382">
        <v>12000000</v>
      </c>
    </row>
    <row r="27" spans="1:18" s="3313" customFormat="1" ht="30.75" customHeight="1">
      <c r="A27" s="2234" t="s">
        <v>2796</v>
      </c>
      <c r="B27" s="382"/>
      <c r="C27" s="510"/>
      <c r="D27" s="382"/>
      <c r="E27" s="382"/>
      <c r="F27" s="382"/>
      <c r="G27" s="382">
        <v>2161953</v>
      </c>
      <c r="H27" s="382"/>
      <c r="I27" s="3311">
        <v>0</v>
      </c>
      <c r="J27" s="382"/>
      <c r="K27" s="3330">
        <v>0</v>
      </c>
      <c r="L27" s="382"/>
      <c r="M27" s="382"/>
    </row>
    <row r="28" spans="1:18" ht="30.75" customHeight="1">
      <c r="A28" s="2234" t="s">
        <v>1810</v>
      </c>
      <c r="B28" s="699"/>
      <c r="C28" s="510" t="s">
        <v>1279</v>
      </c>
      <c r="D28" s="382"/>
      <c r="E28" s="382"/>
      <c r="F28" s="382"/>
      <c r="G28" s="3186">
        <v>1</v>
      </c>
      <c r="H28" s="3187"/>
      <c r="I28" s="3186">
        <v>1</v>
      </c>
      <c r="J28" s="3186"/>
      <c r="K28" s="3186">
        <v>1</v>
      </c>
      <c r="L28" s="317"/>
      <c r="M28" s="317">
        <v>0.5</v>
      </c>
    </row>
    <row r="29" spans="1:18" ht="30.75" customHeight="1">
      <c r="A29" s="2234" t="s">
        <v>2359</v>
      </c>
      <c r="B29" s="699"/>
      <c r="C29" s="510" t="s">
        <v>1279</v>
      </c>
      <c r="D29" s="382"/>
      <c r="E29" s="382"/>
      <c r="F29" s="382"/>
      <c r="G29" s="382">
        <f>2736</f>
        <v>2736</v>
      </c>
      <c r="H29" s="382"/>
      <c r="I29" s="382">
        <v>2736</v>
      </c>
      <c r="J29" s="382"/>
      <c r="K29" s="382">
        <v>2736</v>
      </c>
      <c r="L29" s="382"/>
      <c r="M29" s="382">
        <v>2736</v>
      </c>
    </row>
    <row r="30" spans="1:18" ht="30.75" customHeight="1">
      <c r="A30" s="2234" t="s">
        <v>2557</v>
      </c>
      <c r="B30" s="699"/>
      <c r="C30" s="510"/>
      <c r="D30" s="382"/>
      <c r="E30" s="382"/>
      <c r="F30" s="382"/>
      <c r="G30" s="382">
        <f>'صورت تغییرات در حقوق مالکانه'!L24</f>
        <v>-37193466.5</v>
      </c>
      <c r="H30" s="382"/>
      <c r="I30" s="382">
        <v>-45052669</v>
      </c>
      <c r="J30" s="382"/>
      <c r="K30" s="382">
        <v>-43366982</v>
      </c>
      <c r="L30" s="382"/>
      <c r="M30" s="382">
        <v>-6149153</v>
      </c>
    </row>
    <row r="31" spans="1:18" s="109" customFormat="1" ht="30.75" customHeight="1">
      <c r="A31" s="1298" t="s">
        <v>1895</v>
      </c>
      <c r="B31" s="699"/>
      <c r="C31" s="510"/>
      <c r="D31" s="382"/>
      <c r="E31" s="382"/>
      <c r="F31" s="382"/>
      <c r="G31" s="689">
        <f>SUM(G26:G30)</f>
        <v>-23028776.5</v>
      </c>
      <c r="H31" s="382"/>
      <c r="I31" s="689">
        <f>SUM(I26:I30)</f>
        <v>-33049932</v>
      </c>
      <c r="J31" s="689">
        <f t="shared" ref="J31" si="1">SUM(J26:J30)-1</f>
        <v>-1</v>
      </c>
      <c r="K31" s="689">
        <f>SUM(K26:K30)</f>
        <v>-31364245</v>
      </c>
      <c r="L31" s="382"/>
      <c r="M31" s="689">
        <f>SUM(M26:M30)</f>
        <v>5853583.5</v>
      </c>
    </row>
    <row r="32" spans="1:18" s="109" customFormat="1" ht="39" customHeight="1">
      <c r="A32" s="1373" t="s">
        <v>1812</v>
      </c>
      <c r="B32" s="382"/>
      <c r="C32" s="510"/>
      <c r="D32" s="382"/>
      <c r="E32" s="382"/>
      <c r="F32" s="382"/>
      <c r="G32" s="382"/>
      <c r="H32" s="382"/>
      <c r="I32" s="382"/>
      <c r="J32" s="382"/>
      <c r="K32" s="382"/>
      <c r="L32" s="382"/>
      <c r="M32" s="382"/>
      <c r="N32" s="519"/>
    </row>
    <row r="33" spans="1:19" ht="37.5" customHeight="1">
      <c r="A33" s="1298" t="s">
        <v>2401</v>
      </c>
      <c r="B33" s="1299"/>
      <c r="C33" s="1299"/>
      <c r="D33" s="1299"/>
      <c r="E33" s="1299"/>
      <c r="F33" s="1299"/>
      <c r="G33" s="1299"/>
      <c r="H33" s="1299"/>
      <c r="I33" s="1299"/>
      <c r="J33" s="1299"/>
      <c r="K33" s="1299"/>
      <c r="L33" s="1299"/>
      <c r="M33" s="1299"/>
      <c r="N33" s="430"/>
      <c r="Q33" s="369"/>
      <c r="R33" s="369"/>
      <c r="S33" s="369"/>
    </row>
    <row r="34" spans="1:19" ht="36.75" customHeight="1">
      <c r="A34" s="2234" t="s">
        <v>2431</v>
      </c>
      <c r="B34" s="1299"/>
      <c r="C34" s="510" t="s">
        <v>1280</v>
      </c>
      <c r="D34" s="1299"/>
      <c r="F34" s="1299"/>
      <c r="G34" s="512">
        <f>'27'!E14</f>
        <v>96430308</v>
      </c>
      <c r="H34" s="1299"/>
      <c r="I34" s="512">
        <v>90423804</v>
      </c>
      <c r="J34" s="512"/>
      <c r="K34" s="512">
        <v>58799533</v>
      </c>
      <c r="L34" s="512"/>
      <c r="M34" s="512">
        <v>14861712</v>
      </c>
      <c r="Q34" s="369"/>
      <c r="R34" s="1563">
        <f>G34-I34</f>
        <v>6006504</v>
      </c>
      <c r="S34" s="369"/>
    </row>
    <row r="35" spans="1:19" ht="36.75" customHeight="1">
      <c r="A35" s="2234" t="s">
        <v>1813</v>
      </c>
      <c r="B35" s="520"/>
      <c r="C35" s="510" t="s">
        <v>2541</v>
      </c>
      <c r="D35" s="520"/>
      <c r="F35" s="520"/>
      <c r="G35" s="512">
        <f>'29'!N11</f>
        <v>12636333</v>
      </c>
      <c r="H35" s="512"/>
      <c r="I35" s="512">
        <v>9884176</v>
      </c>
      <c r="J35" s="512"/>
      <c r="K35" s="512">
        <v>9163508</v>
      </c>
      <c r="L35" s="512"/>
      <c r="M35" s="512">
        <v>5242155</v>
      </c>
    </row>
    <row r="36" spans="1:19" ht="36.75" customHeight="1">
      <c r="A36" s="1298" t="s">
        <v>2402</v>
      </c>
      <c r="B36" s="1298"/>
      <c r="C36" s="1298"/>
      <c r="D36" s="1298"/>
      <c r="E36" s="1298"/>
      <c r="F36" s="1298"/>
      <c r="G36" s="1300">
        <f>G35+G34</f>
        <v>109066641</v>
      </c>
      <c r="H36" s="1298"/>
      <c r="I36" s="1300">
        <f>I34+I35</f>
        <v>100307980</v>
      </c>
      <c r="J36" s="512"/>
      <c r="K36" s="1300">
        <f>SUM(K34:K35)</f>
        <v>67963041</v>
      </c>
      <c r="L36" s="512"/>
      <c r="M36" s="1300">
        <f>SUM(M34:M35)</f>
        <v>20103867</v>
      </c>
    </row>
    <row r="37" spans="1:19" ht="36.75" customHeight="1">
      <c r="A37" s="1298" t="s">
        <v>1894</v>
      </c>
      <c r="B37" s="1294"/>
      <c r="C37" s="1294"/>
      <c r="D37" s="1294"/>
      <c r="E37" s="1294"/>
      <c r="F37" s="1294"/>
      <c r="G37" s="1294"/>
      <c r="H37" s="1294"/>
      <c r="I37" s="1294"/>
      <c r="J37" s="2662"/>
      <c r="K37" s="3181"/>
      <c r="L37" s="1491"/>
      <c r="M37" s="1491"/>
    </row>
    <row r="38" spans="1:19" s="1404" customFormat="1" ht="36.75" customHeight="1">
      <c r="A38" s="2234" t="s">
        <v>2431</v>
      </c>
      <c r="B38" s="1403"/>
      <c r="C38" s="1403">
        <v>17</v>
      </c>
      <c r="D38" s="1403"/>
      <c r="E38" s="1403"/>
      <c r="F38" s="1403"/>
      <c r="G38" s="3198">
        <f>'24'!P47</f>
        <v>46734961</v>
      </c>
      <c r="H38" s="3181"/>
      <c r="I38" s="3198">
        <v>36313470</v>
      </c>
      <c r="J38" s="3198"/>
      <c r="K38" s="3198">
        <v>21781426</v>
      </c>
      <c r="L38" s="512"/>
      <c r="M38" s="512">
        <v>5993367</v>
      </c>
      <c r="R38" s="430">
        <f>G38-I38</f>
        <v>10421491</v>
      </c>
    </row>
    <row r="39" spans="1:19" ht="36.75" customHeight="1">
      <c r="A39" s="2234" t="s">
        <v>1892</v>
      </c>
      <c r="B39" s="1294"/>
      <c r="C39" s="1294">
        <v>18</v>
      </c>
      <c r="D39" s="947"/>
      <c r="E39" s="1294"/>
      <c r="F39" s="1294"/>
      <c r="G39" s="3199">
        <f>'28'!T20</f>
        <v>1586254</v>
      </c>
      <c r="H39" s="3181"/>
      <c r="I39" s="3198">
        <v>1686912</v>
      </c>
      <c r="J39" s="3198"/>
      <c r="K39" s="3331">
        <v>1600000</v>
      </c>
      <c r="L39" s="512"/>
      <c r="M39" s="512">
        <v>1660707</v>
      </c>
    </row>
    <row r="40" spans="1:19" ht="36.75" customHeight="1">
      <c r="A40" s="1298" t="s">
        <v>1815</v>
      </c>
      <c r="B40" s="521"/>
      <c r="C40" s="522"/>
      <c r="D40" s="523"/>
      <c r="E40" s="523"/>
      <c r="F40" s="523"/>
      <c r="G40" s="3200">
        <f>G38+G39</f>
        <v>48321215</v>
      </c>
      <c r="H40" s="3201"/>
      <c r="I40" s="3200">
        <f>I39+I38</f>
        <v>38000382</v>
      </c>
      <c r="J40" s="3198">
        <f t="shared" ref="J40" si="2">J39+J38</f>
        <v>0</v>
      </c>
      <c r="K40" s="3198">
        <f>SUM(K38:K39)</f>
        <v>23381426</v>
      </c>
      <c r="L40" s="512"/>
      <c r="M40" s="1300">
        <f>SUM(M38:M39)</f>
        <v>7654074</v>
      </c>
    </row>
    <row r="41" spans="1:19" ht="36.75" customHeight="1">
      <c r="A41" s="1298" t="s">
        <v>1816</v>
      </c>
      <c r="B41" s="521"/>
      <c r="C41" s="522"/>
      <c r="D41" s="523"/>
      <c r="E41" s="523"/>
      <c r="F41" s="523"/>
      <c r="G41" s="3200">
        <f>G40+G36</f>
        <v>157387856</v>
      </c>
      <c r="H41" s="3201"/>
      <c r="I41" s="3200">
        <f>I40+I36</f>
        <v>138308362</v>
      </c>
      <c r="J41" s="3198">
        <f t="shared" ref="J41:K41" si="3">J40+J36</f>
        <v>0</v>
      </c>
      <c r="K41" s="3200">
        <f t="shared" si="3"/>
        <v>91344467</v>
      </c>
      <c r="L41" s="512"/>
      <c r="M41" s="1300">
        <f>M40+M36</f>
        <v>27757941</v>
      </c>
    </row>
    <row r="42" spans="1:19" ht="51" thickBot="1">
      <c r="A42" s="1374" t="s">
        <v>2432</v>
      </c>
      <c r="B42" s="521"/>
      <c r="C42" s="522"/>
      <c r="D42" s="523"/>
      <c r="E42" s="523"/>
      <c r="F42" s="523"/>
      <c r="G42" s="3202">
        <f>G41+G31</f>
        <v>134359079.5</v>
      </c>
      <c r="H42" s="3201"/>
      <c r="I42" s="3202">
        <f>I41+I31</f>
        <v>105258430</v>
      </c>
      <c r="J42" s="3203">
        <f t="shared" ref="J42" si="4">J41+J31-1</f>
        <v>-2</v>
      </c>
      <c r="K42" s="3202">
        <f>K41+K31</f>
        <v>59980222</v>
      </c>
      <c r="L42" s="1494"/>
      <c r="M42" s="1375">
        <f>M41+M31</f>
        <v>33611524.5</v>
      </c>
    </row>
    <row r="43" spans="1:19" s="369" customFormat="1" ht="55.5" customHeight="1" thickTop="1">
      <c r="A43" s="1830"/>
      <c r="B43" s="1830"/>
      <c r="C43" s="1831"/>
      <c r="D43" s="1832"/>
      <c r="E43" s="1832"/>
      <c r="F43" s="1832"/>
      <c r="G43" s="1833">
        <f>G23-G42</f>
        <v>0.5</v>
      </c>
      <c r="H43" s="1834"/>
      <c r="I43" s="1833">
        <f>I42-I23</f>
        <v>0</v>
      </c>
      <c r="J43" s="1833"/>
      <c r="K43" s="1833"/>
      <c r="L43" s="1833">
        <f>L42-L23</f>
        <v>0</v>
      </c>
      <c r="M43" s="1833">
        <f>M42-M23</f>
        <v>-0.5</v>
      </c>
    </row>
    <row r="44" spans="1:19" s="369" customFormat="1" ht="55.5" customHeight="1">
      <c r="A44" s="1830"/>
      <c r="B44" s="1830"/>
      <c r="C44" s="1831"/>
      <c r="D44" s="1832"/>
      <c r="E44" s="1832"/>
      <c r="F44" s="1832"/>
      <c r="G44" s="1833"/>
      <c r="H44" s="1834"/>
      <c r="I44" s="1833"/>
      <c r="J44" s="1833"/>
      <c r="K44" s="1833"/>
      <c r="L44" s="1833"/>
      <c r="M44" s="1833"/>
    </row>
    <row r="45" spans="1:19" s="250" customFormat="1" ht="55.5" customHeight="1">
      <c r="A45" s="3377" t="s">
        <v>1474</v>
      </c>
      <c r="B45" s="3377"/>
      <c r="C45" s="3377"/>
      <c r="D45" s="3377"/>
      <c r="E45" s="3377"/>
      <c r="F45" s="3377"/>
      <c r="G45" s="3377"/>
      <c r="H45" s="3377"/>
      <c r="I45" s="3377"/>
      <c r="J45" s="3377"/>
      <c r="K45" s="3377"/>
      <c r="L45" s="3377"/>
      <c r="M45" s="3377"/>
    </row>
    <row r="46" spans="1:19" ht="69" customHeight="1">
      <c r="A46" s="3378">
        <v>3</v>
      </c>
      <c r="B46" s="3378"/>
      <c r="C46" s="3378"/>
      <c r="D46" s="3378"/>
      <c r="E46" s="3378"/>
      <c r="F46" s="3378"/>
      <c r="G46" s="3378"/>
      <c r="H46" s="3378"/>
      <c r="I46" s="3378"/>
      <c r="J46" s="3378"/>
      <c r="K46" s="3378"/>
      <c r="L46" s="3378"/>
      <c r="M46" s="3378"/>
    </row>
    <row r="47" spans="1:19" ht="33.75">
      <c r="E47" s="382"/>
    </row>
    <row r="48" spans="1:19" ht="33.75">
      <c r="E48" s="382"/>
    </row>
    <row r="49" spans="5:5" ht="33.75">
      <c r="E49" s="382"/>
    </row>
    <row r="51" spans="5:5" ht="37.5">
      <c r="E51" s="342"/>
    </row>
    <row r="52" spans="5:5" ht="37.5">
      <c r="E52" s="524"/>
    </row>
    <row r="66" spans="13:13">
      <c r="M66" s="1492">
        <v>-7717613</v>
      </c>
    </row>
  </sheetData>
  <mergeCells count="6">
    <mergeCell ref="A45:M45"/>
    <mergeCell ref="A46:M46"/>
    <mergeCell ref="A1:M1"/>
    <mergeCell ref="A2:M2"/>
    <mergeCell ref="A3:M3"/>
    <mergeCell ref="G6:J6"/>
  </mergeCells>
  <printOptions horizontalCentered="1" verticalCentered="1"/>
  <pageMargins left="0" right="0.55118110236220474" top="0.35433070866141736" bottom="0.19685039370078741" header="0.31496062992125984" footer="0.19685039370078741"/>
  <pageSetup paperSize="9" scale="45"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rightToLeft="1" view="pageBreakPreview" topLeftCell="A5" zoomScale="73" zoomScaleNormal="60" zoomScaleSheetLayoutView="73" workbookViewId="0">
      <selection activeCell="U8" sqref="U8"/>
    </sheetView>
  </sheetViews>
  <sheetFormatPr defaultRowHeight="14.25"/>
  <cols>
    <col min="1" max="1" width="6.625" customWidth="1"/>
    <col min="2" max="2" width="35.25" customWidth="1"/>
    <col min="3" max="3" width="13.125" bestFit="1" customWidth="1"/>
    <col min="4" max="4" width="3" customWidth="1"/>
    <col min="5" max="5" width="13.25" customWidth="1"/>
    <col min="6" max="6" width="3.625" customWidth="1"/>
    <col min="7" max="7" width="12.75" customWidth="1"/>
    <col min="8" max="8" width="4" customWidth="1"/>
    <col min="9" max="9" width="12.125" customWidth="1"/>
    <col min="10" max="10" width="0.875" customWidth="1"/>
    <col min="11" max="11" width="2.5" customWidth="1"/>
    <col min="12" max="12" width="19.5" bestFit="1" customWidth="1"/>
    <col min="13" max="13" width="0.875" customWidth="1"/>
    <col min="14" max="14" width="2.5" customWidth="1"/>
    <col min="15" max="15" width="14.5" customWidth="1"/>
    <col min="16" max="16" width="12.625" customWidth="1"/>
  </cols>
  <sheetData>
    <row r="1" spans="1:16" ht="25.5" customHeight="1">
      <c r="B1" s="3385" t="s">
        <v>1876</v>
      </c>
      <c r="C1" s="3385"/>
      <c r="D1" s="3385"/>
      <c r="E1" s="3385"/>
      <c r="F1" s="3385"/>
      <c r="G1" s="3385"/>
      <c r="H1" s="3385"/>
      <c r="I1" s="3385"/>
      <c r="J1" s="3385"/>
      <c r="K1" s="3385"/>
      <c r="L1" s="3385"/>
      <c r="M1" s="3385"/>
      <c r="N1" s="3385"/>
      <c r="O1" s="3385"/>
      <c r="P1" s="3153"/>
    </row>
    <row r="2" spans="1:16" ht="25.5" customHeight="1">
      <c r="B2" s="3385" t="s">
        <v>1820</v>
      </c>
      <c r="C2" s="3385"/>
      <c r="D2" s="3385"/>
      <c r="E2" s="3385"/>
      <c r="F2" s="3385"/>
      <c r="G2" s="3385"/>
      <c r="H2" s="3385"/>
      <c r="I2" s="3385"/>
      <c r="J2" s="3385"/>
      <c r="K2" s="3385"/>
      <c r="L2" s="3385"/>
      <c r="M2" s="3385"/>
      <c r="N2" s="3385"/>
      <c r="O2" s="3385"/>
      <c r="P2" s="3153"/>
    </row>
    <row r="3" spans="1:16" ht="25.5" customHeight="1">
      <c r="B3" s="3385" t="str">
        <f>mafrozat!A3</f>
        <v xml:space="preserve"> سال مالي منتهي به 29 اسفند 1402</v>
      </c>
      <c r="C3" s="3385"/>
      <c r="D3" s="3385"/>
      <c r="E3" s="3385"/>
      <c r="F3" s="3385"/>
      <c r="G3" s="3385"/>
      <c r="H3" s="3385"/>
      <c r="I3" s="3385"/>
      <c r="J3" s="3385"/>
      <c r="K3" s="3385"/>
      <c r="L3" s="3385"/>
      <c r="M3" s="3385"/>
      <c r="N3" s="3385"/>
      <c r="O3" s="3385"/>
      <c r="P3" s="3153"/>
    </row>
    <row r="4" spans="1:16" ht="25.5" customHeight="1">
      <c r="B4" s="2564"/>
      <c r="C4" s="2564"/>
      <c r="D4" s="2564"/>
      <c r="E4" s="2564"/>
      <c r="F4" s="2564"/>
      <c r="G4" s="2564"/>
      <c r="H4" s="2564"/>
      <c r="I4" s="2564"/>
      <c r="J4" s="2564"/>
      <c r="K4" s="2564"/>
      <c r="L4" s="2564"/>
      <c r="M4" s="2564"/>
      <c r="N4" s="2564"/>
      <c r="O4" s="2564"/>
      <c r="P4" s="2564"/>
    </row>
    <row r="5" spans="1:16" s="1390" customFormat="1" ht="26.25" customHeight="1">
      <c r="A5" s="2541"/>
      <c r="B5" s="2543"/>
      <c r="C5" s="2543"/>
      <c r="D5" s="2543"/>
      <c r="E5" s="2543"/>
      <c r="F5" s="2543"/>
      <c r="G5" s="2543"/>
      <c r="H5" s="2543"/>
      <c r="I5" s="2543"/>
      <c r="J5" s="2543"/>
      <c r="K5" s="2543"/>
      <c r="L5" s="3388" t="s">
        <v>1879</v>
      </c>
      <c r="M5" s="3388"/>
      <c r="N5" s="3388"/>
      <c r="O5" s="3388"/>
      <c r="P5" s="3155"/>
    </row>
    <row r="6" spans="1:16" s="1390" customFormat="1" ht="46.5">
      <c r="A6" s="2541"/>
      <c r="B6" s="2544"/>
      <c r="C6" s="2545" t="s">
        <v>195</v>
      </c>
      <c r="D6" s="3157"/>
      <c r="E6" s="2547" t="s">
        <v>2796</v>
      </c>
      <c r="F6" s="2546"/>
      <c r="G6" s="2547" t="s">
        <v>640</v>
      </c>
      <c r="H6" s="2546"/>
      <c r="I6" s="2547" t="s">
        <v>2359</v>
      </c>
      <c r="J6" s="2546"/>
      <c r="K6" s="2546"/>
      <c r="L6" s="2547" t="s">
        <v>1877</v>
      </c>
      <c r="M6" s="2546"/>
      <c r="N6" s="2546"/>
      <c r="O6" s="2545" t="s">
        <v>1321</v>
      </c>
      <c r="P6" s="3157"/>
    </row>
    <row r="7" spans="1:16" s="1390" customFormat="1" ht="26.25" customHeight="1">
      <c r="A7" s="2541"/>
      <c r="B7" s="2544"/>
      <c r="C7" s="2548"/>
      <c r="D7" s="2548"/>
      <c r="E7" s="2548"/>
      <c r="F7" s="2548"/>
      <c r="G7" s="2548"/>
      <c r="H7" s="2548"/>
      <c r="I7" s="2549"/>
      <c r="J7" s="2548"/>
      <c r="K7" s="2548"/>
      <c r="L7" s="2548"/>
      <c r="M7" s="2548"/>
      <c r="N7" s="2548"/>
      <c r="O7" s="2548"/>
      <c r="P7" s="2548"/>
    </row>
    <row r="8" spans="1:16" s="1390" customFormat="1" ht="23.25">
      <c r="A8" s="2541"/>
      <c r="B8" s="2550" t="s">
        <v>2647</v>
      </c>
      <c r="C8" s="2551">
        <v>12000000</v>
      </c>
      <c r="D8" s="2551"/>
      <c r="E8" s="2551">
        <v>0</v>
      </c>
      <c r="F8" s="2552"/>
      <c r="G8" s="3188">
        <v>1</v>
      </c>
      <c r="H8" s="2552"/>
      <c r="I8" s="1421">
        <v>2736</v>
      </c>
      <c r="J8" s="2552"/>
      <c r="K8" s="2552"/>
      <c r="L8" s="2552">
        <v>-16104824</v>
      </c>
      <c r="M8" s="2552"/>
      <c r="N8" s="2552"/>
      <c r="O8" s="2552">
        <f>C8+G8+I8+L8</f>
        <v>-4102087</v>
      </c>
      <c r="P8" s="2552"/>
    </row>
    <row r="9" spans="1:16" s="1390" customFormat="1" ht="23.25" hidden="1">
      <c r="A9" s="2541"/>
      <c r="B9" s="2544" t="s">
        <v>2457</v>
      </c>
      <c r="C9" s="2553">
        <v>0</v>
      </c>
      <c r="D9" s="2553"/>
      <c r="E9" s="2553"/>
      <c r="F9" s="2553"/>
      <c r="G9" s="3189">
        <v>0</v>
      </c>
      <c r="H9" s="2553"/>
      <c r="I9" s="2553">
        <v>0</v>
      </c>
      <c r="J9" s="2553"/>
      <c r="K9" s="2553"/>
      <c r="L9" s="2553">
        <v>0</v>
      </c>
      <c r="M9" s="2553"/>
      <c r="N9" s="2553"/>
      <c r="O9" s="2552">
        <f t="shared" ref="O9:O11" si="0">C9+G9+I9+L9</f>
        <v>0</v>
      </c>
      <c r="P9" s="2553"/>
    </row>
    <row r="10" spans="1:16" s="1390" customFormat="1" ht="23.25" hidden="1">
      <c r="A10" s="2541"/>
      <c r="B10" s="2544" t="s">
        <v>2543</v>
      </c>
      <c r="C10" s="2553">
        <v>0</v>
      </c>
      <c r="D10" s="2553"/>
      <c r="E10" s="2557">
        <v>0</v>
      </c>
      <c r="F10" s="2553"/>
      <c r="G10" s="3189">
        <v>0</v>
      </c>
      <c r="H10" s="2553"/>
      <c r="I10" s="2553">
        <v>0</v>
      </c>
      <c r="J10" s="2553"/>
      <c r="K10" s="2553"/>
      <c r="L10" s="2553"/>
      <c r="M10" s="2553"/>
      <c r="N10" s="2553"/>
      <c r="O10" s="2552">
        <f t="shared" si="0"/>
        <v>0</v>
      </c>
      <c r="P10" s="2553"/>
    </row>
    <row r="11" spans="1:16" s="3332" customFormat="1" ht="23.25">
      <c r="B11" s="2544" t="s">
        <v>2836</v>
      </c>
      <c r="C11" s="2553"/>
      <c r="D11" s="2553"/>
      <c r="E11" s="2557"/>
      <c r="F11" s="2553"/>
      <c r="G11" s="3189"/>
      <c r="H11" s="2553"/>
      <c r="I11" s="2553"/>
      <c r="J11" s="2553"/>
      <c r="K11" s="2553"/>
      <c r="L11" s="2553">
        <v>-27262158</v>
      </c>
      <c r="M11" s="2553"/>
      <c r="N11" s="2553"/>
      <c r="O11" s="2552">
        <f t="shared" si="0"/>
        <v>-27262158</v>
      </c>
      <c r="P11" s="2553"/>
    </row>
    <row r="12" spans="1:16" s="1390" customFormat="1" ht="23.25">
      <c r="A12" s="2541"/>
      <c r="B12" s="2550" t="s">
        <v>2755</v>
      </c>
      <c r="C12" s="2558">
        <f>C8+C9+C10</f>
        <v>12000000</v>
      </c>
      <c r="D12" s="1421"/>
      <c r="E12" s="2558">
        <v>0</v>
      </c>
      <c r="F12" s="1421"/>
      <c r="G12" s="3190">
        <f>G8+G9+G10</f>
        <v>1</v>
      </c>
      <c r="H12" s="1421"/>
      <c r="I12" s="2558">
        <f>I8+I9+I10</f>
        <v>2736</v>
      </c>
      <c r="J12" s="1421">
        <f>J8+J9+J10</f>
        <v>0</v>
      </c>
      <c r="K12" s="1421"/>
      <c r="L12" s="2558">
        <f>L8+L11</f>
        <v>-43366982</v>
      </c>
      <c r="M12" s="1421">
        <f>M8+M9+M10</f>
        <v>0</v>
      </c>
      <c r="N12" s="1421"/>
      <c r="O12" s="2558">
        <f>O8+O9+O10+O11</f>
        <v>-31364245</v>
      </c>
      <c r="P12" s="1421"/>
    </row>
    <row r="13" spans="1:16" s="1390" customFormat="1" ht="23.25">
      <c r="A13" s="2541"/>
      <c r="B13" s="2550" t="s">
        <v>2360</v>
      </c>
      <c r="C13" s="2553"/>
      <c r="D13" s="2553"/>
      <c r="E13" s="2553"/>
      <c r="F13" s="1421"/>
      <c r="G13" s="3189"/>
      <c r="H13" s="2555"/>
      <c r="I13" s="2553"/>
      <c r="J13" s="2555"/>
      <c r="K13" s="2556"/>
      <c r="L13" s="2553"/>
      <c r="M13" s="2556"/>
      <c r="N13" s="2556"/>
      <c r="O13" s="2553"/>
      <c r="P13" s="2553"/>
    </row>
    <row r="14" spans="1:16" s="2083" customFormat="1" ht="23.25">
      <c r="A14" s="2541"/>
      <c r="B14" s="2550" t="s">
        <v>2665</v>
      </c>
      <c r="C14" s="2553"/>
      <c r="D14" s="2553"/>
      <c r="E14" s="2557"/>
      <c r="F14" s="1421"/>
      <c r="G14" s="3189"/>
      <c r="H14" s="2555"/>
      <c r="I14" s="2553"/>
      <c r="J14" s="2555"/>
      <c r="K14" s="2556"/>
      <c r="L14" s="2553">
        <v>-1685687</v>
      </c>
      <c r="M14" s="2556"/>
      <c r="N14" s="2556"/>
      <c r="O14" s="2553">
        <f>L14</f>
        <v>-1685687</v>
      </c>
      <c r="P14" s="2553"/>
    </row>
    <row r="15" spans="1:16" s="1390" customFormat="1" ht="23.25" hidden="1">
      <c r="A15" s="2541"/>
      <c r="B15" s="2544" t="s">
        <v>1912</v>
      </c>
      <c r="C15" s="2553">
        <v>0</v>
      </c>
      <c r="D15" s="2553"/>
      <c r="E15" s="2553"/>
      <c r="F15" s="2553"/>
      <c r="G15" s="3189">
        <v>0</v>
      </c>
      <c r="H15" s="2553"/>
      <c r="I15" s="2553">
        <v>0</v>
      </c>
      <c r="J15" s="2553"/>
      <c r="K15" s="2553"/>
      <c r="L15" s="2553">
        <v>0</v>
      </c>
      <c r="M15" s="2553"/>
      <c r="N15" s="2553"/>
      <c r="O15" s="2553">
        <f>C15+G15+I15+L15</f>
        <v>0</v>
      </c>
      <c r="P15" s="2553"/>
    </row>
    <row r="16" spans="1:16" s="1714" customFormat="1" ht="23.25" hidden="1">
      <c r="A16" s="2541"/>
      <c r="B16" s="2544" t="s">
        <v>2111</v>
      </c>
      <c r="C16" s="2558">
        <v>0</v>
      </c>
      <c r="D16" s="1421"/>
      <c r="E16" s="1421"/>
      <c r="F16" s="1421"/>
      <c r="G16" s="3191">
        <v>0</v>
      </c>
      <c r="H16" s="2555"/>
      <c r="I16" s="2558">
        <v>0</v>
      </c>
      <c r="J16" s="2555"/>
      <c r="K16" s="2556"/>
      <c r="L16" s="2558">
        <f>SUM(L15:L15)</f>
        <v>0</v>
      </c>
      <c r="M16" s="2556"/>
      <c r="N16" s="2556"/>
      <c r="O16" s="2558">
        <f>L16+I16+G16+C16</f>
        <v>0</v>
      </c>
      <c r="P16" s="1421"/>
    </row>
    <row r="17" spans="1:18" s="1390" customFormat="1" ht="37.5" customHeight="1">
      <c r="A17" s="2541"/>
      <c r="B17" s="2550" t="s">
        <v>2648</v>
      </c>
      <c r="C17" s="2554">
        <f>C12</f>
        <v>12000000</v>
      </c>
      <c r="D17" s="1421"/>
      <c r="E17" s="2553">
        <v>0</v>
      </c>
      <c r="F17" s="1421"/>
      <c r="G17" s="3192">
        <f>G12</f>
        <v>1</v>
      </c>
      <c r="H17" s="1421"/>
      <c r="I17" s="2554">
        <f>I12</f>
        <v>2736</v>
      </c>
      <c r="J17" s="1421" t="e">
        <f>#REF!+#REF!+#REF!</f>
        <v>#REF!</v>
      </c>
      <c r="K17" s="1421"/>
      <c r="L17" s="2554">
        <f>+L14+L12</f>
        <v>-45052669</v>
      </c>
      <c r="M17" s="1421" t="e">
        <f>#REF!+#REF!+#REF!</f>
        <v>#REF!</v>
      </c>
      <c r="N17" s="1421"/>
      <c r="O17" s="2554">
        <f>O14++O12</f>
        <v>-33049932</v>
      </c>
      <c r="P17" s="1421"/>
    </row>
    <row r="18" spans="1:18" s="1390" customFormat="1" ht="23.25">
      <c r="A18" s="2541"/>
      <c r="B18" s="2550" t="s">
        <v>2360</v>
      </c>
      <c r="C18" s="2555"/>
      <c r="D18" s="2555"/>
      <c r="E18" s="2555"/>
      <c r="F18" s="1421"/>
      <c r="G18" s="3193"/>
      <c r="H18" s="2556"/>
      <c r="I18" s="2555"/>
      <c r="J18" s="2556"/>
      <c r="K18" s="2556"/>
      <c r="L18" s="2555"/>
      <c r="M18" s="2556"/>
      <c r="N18" s="2556"/>
      <c r="O18" s="2555"/>
      <c r="P18" s="2555"/>
    </row>
    <row r="19" spans="1:18" s="3317" customFormat="1" ht="23.25">
      <c r="A19" s="2541"/>
      <c r="B19" s="2544" t="s">
        <v>2817</v>
      </c>
      <c r="C19" s="2553">
        <v>0</v>
      </c>
      <c r="D19" s="2553"/>
      <c r="E19" s="2553"/>
      <c r="F19" s="1421"/>
      <c r="G19" s="2553">
        <v>0</v>
      </c>
      <c r="H19" s="2553"/>
      <c r="I19" s="2553">
        <v>0</v>
      </c>
      <c r="J19" s="2556"/>
      <c r="K19" s="2556"/>
      <c r="L19" s="1421">
        <f>'سود و زیان'!G18</f>
        <v>63467.5</v>
      </c>
      <c r="M19" s="2556"/>
      <c r="N19" s="1421"/>
      <c r="O19" s="1421">
        <f>L19</f>
        <v>63467.5</v>
      </c>
      <c r="P19" s="1421"/>
    </row>
    <row r="20" spans="1:18" s="3334" customFormat="1" ht="23.25">
      <c r="A20" s="3227"/>
      <c r="B20" s="2550" t="s">
        <v>2062</v>
      </c>
      <c r="C20" s="2553">
        <v>0</v>
      </c>
      <c r="D20" s="2553"/>
      <c r="E20" s="2553"/>
      <c r="F20" s="1421"/>
      <c r="G20" s="3189"/>
      <c r="H20" s="2553"/>
      <c r="I20" s="2553"/>
      <c r="J20" s="2556"/>
      <c r="K20" s="2556"/>
      <c r="L20" s="1421">
        <v>-42312</v>
      </c>
      <c r="M20" s="2556"/>
      <c r="N20" s="1421"/>
      <c r="O20" s="1421">
        <f>L20</f>
        <v>-42312</v>
      </c>
      <c r="P20" s="1421"/>
    </row>
    <row r="21" spans="1:18" s="3229" customFormat="1" ht="23.25">
      <c r="B21" s="2550" t="s">
        <v>2796</v>
      </c>
      <c r="C21" s="2553">
        <v>0</v>
      </c>
      <c r="D21" s="2555"/>
      <c r="E21" s="1421">
        <v>10000000</v>
      </c>
      <c r="F21" s="1421"/>
      <c r="G21" s="3193"/>
      <c r="H21" s="2556"/>
      <c r="I21" s="2555"/>
      <c r="J21" s="2556"/>
      <c r="K21" s="2556"/>
      <c r="L21" s="2553">
        <v>0</v>
      </c>
      <c r="M21" s="2556"/>
      <c r="N21" s="2556"/>
      <c r="O21" s="3230">
        <f>E21</f>
        <v>10000000</v>
      </c>
      <c r="P21" s="2555"/>
      <c r="R21" s="3263"/>
    </row>
    <row r="22" spans="1:18" s="1390" customFormat="1" ht="23.25">
      <c r="A22" s="3229"/>
      <c r="B22" s="2550" t="s">
        <v>2816</v>
      </c>
      <c r="C22" s="2553">
        <v>0</v>
      </c>
      <c r="D22" s="2555"/>
      <c r="E22" s="2553">
        <v>-7838047</v>
      </c>
      <c r="F22" s="1421"/>
      <c r="G22" s="3193"/>
      <c r="H22" s="2556"/>
      <c r="I22" s="2555"/>
      <c r="J22" s="2556"/>
      <c r="K22" s="2556"/>
      <c r="L22" s="2553">
        <v>7838047</v>
      </c>
      <c r="M22" s="2556"/>
      <c r="N22" s="2556"/>
      <c r="O22" s="2553">
        <v>0</v>
      </c>
      <c r="P22" s="1421"/>
    </row>
    <row r="23" spans="1:18" s="1780" customFormat="1" ht="23.25" hidden="1">
      <c r="A23" s="2541"/>
      <c r="B23" s="2550" t="s">
        <v>2062</v>
      </c>
      <c r="C23" s="2553"/>
      <c r="D23" s="2553"/>
      <c r="E23" s="2553"/>
      <c r="F23" s="1421"/>
      <c r="G23" s="3189"/>
      <c r="H23" s="2553"/>
      <c r="I23" s="2553"/>
      <c r="J23" s="2556"/>
      <c r="K23" s="2556"/>
      <c r="L23" s="1421">
        <v>0</v>
      </c>
      <c r="M23" s="2556"/>
      <c r="N23" s="1421"/>
      <c r="O23" s="1421">
        <f>L23</f>
        <v>0</v>
      </c>
      <c r="P23" s="1421"/>
    </row>
    <row r="24" spans="1:18" s="1390" customFormat="1" ht="24" thickBot="1">
      <c r="A24" s="2541"/>
      <c r="B24" s="2550" t="s">
        <v>2649</v>
      </c>
      <c r="C24" s="2559">
        <f>SUM(C17:C23)</f>
        <v>12000000</v>
      </c>
      <c r="D24" s="1421"/>
      <c r="E24" s="2559">
        <f>SUM(E19:E23)</f>
        <v>2161953</v>
      </c>
      <c r="F24" s="1421"/>
      <c r="G24" s="3194">
        <f>G17</f>
        <v>1</v>
      </c>
      <c r="H24" s="1421"/>
      <c r="I24" s="2559">
        <f>I17</f>
        <v>2736</v>
      </c>
      <c r="J24" s="1421"/>
      <c r="K24" s="1421"/>
      <c r="L24" s="2559">
        <f>L19+L17+L20+L22</f>
        <v>-37193466.5</v>
      </c>
      <c r="M24" s="1421"/>
      <c r="N24" s="2556"/>
      <c r="O24" s="2559">
        <f>O19+O17+O21+O20</f>
        <v>-23028776.5</v>
      </c>
      <c r="P24" s="1421"/>
    </row>
    <row r="25" spans="1:18" s="338" customFormat="1" ht="24" thickTop="1">
      <c r="B25" s="2560"/>
      <c r="C25" s="1047"/>
      <c r="D25" s="1047"/>
      <c r="E25" s="1047"/>
      <c r="F25" s="1047"/>
      <c r="G25" s="2561"/>
      <c r="H25" s="1047"/>
      <c r="I25" s="1047"/>
      <c r="J25" s="1047"/>
      <c r="K25" s="1047"/>
      <c r="L25" s="1047"/>
      <c r="M25" s="1047"/>
      <c r="N25" s="2562"/>
      <c r="O25" s="1047"/>
      <c r="P25" s="1047"/>
    </row>
    <row r="26" spans="1:18" s="1390" customFormat="1" ht="17.25" customHeight="1">
      <c r="A26" s="2541"/>
      <c r="B26" s="2550"/>
      <c r="C26" s="1421"/>
      <c r="D26" s="1421"/>
      <c r="E26" s="1421"/>
      <c r="F26" s="1421"/>
      <c r="G26" s="2563"/>
      <c r="H26" s="1421"/>
      <c r="I26" s="1421"/>
      <c r="J26" s="1421"/>
      <c r="K26" s="1421"/>
      <c r="L26" s="1421"/>
      <c r="M26" s="1421"/>
      <c r="N26" s="2556"/>
      <c r="O26" s="1421"/>
      <c r="P26" s="1421"/>
    </row>
    <row r="27" spans="1:18" s="1390" customFormat="1" ht="33.75" customHeight="1">
      <c r="A27" s="2541"/>
      <c r="B27" s="3387" t="s">
        <v>1474</v>
      </c>
      <c r="C27" s="3387"/>
      <c r="D27" s="3387"/>
      <c r="E27" s="3387"/>
      <c r="F27" s="3387"/>
      <c r="G27" s="3387"/>
      <c r="H27" s="3387"/>
      <c r="I27" s="3387"/>
      <c r="J27" s="3387"/>
      <c r="K27" s="3387"/>
      <c r="L27" s="3387"/>
      <c r="M27" s="3387"/>
      <c r="N27" s="3387"/>
      <c r="O27" s="3387"/>
      <c r="P27" s="3154"/>
    </row>
    <row r="28" spans="1:18" ht="62.25" customHeight="1">
      <c r="B28" s="3386">
        <v>4</v>
      </c>
      <c r="C28" s="3386"/>
      <c r="D28" s="3386"/>
      <c r="E28" s="3386"/>
      <c r="F28" s="3386"/>
      <c r="G28" s="3386"/>
      <c r="H28" s="3386"/>
      <c r="I28" s="3386"/>
      <c r="J28" s="3386"/>
      <c r="K28" s="3386"/>
      <c r="L28" s="3386"/>
      <c r="M28" s="3386"/>
      <c r="N28" s="3386"/>
      <c r="O28" s="3386"/>
      <c r="P28" s="3152"/>
    </row>
    <row r="29" spans="1:18" ht="37.5">
      <c r="B29" s="1315"/>
      <c r="C29" s="1315"/>
      <c r="D29" s="3228"/>
      <c r="E29" s="3228"/>
      <c r="F29" s="1315"/>
      <c r="G29" s="1315"/>
      <c r="H29" s="1315"/>
      <c r="I29" s="1315"/>
      <c r="J29" s="1315"/>
      <c r="K29" s="1315"/>
      <c r="L29" s="1315"/>
      <c r="M29" s="1315"/>
      <c r="N29" s="1315"/>
      <c r="O29" s="1315"/>
      <c r="P29" s="3156"/>
    </row>
  </sheetData>
  <mergeCells count="6">
    <mergeCell ref="B1:O1"/>
    <mergeCell ref="B3:O3"/>
    <mergeCell ref="B28:O28"/>
    <mergeCell ref="B27:O27"/>
    <mergeCell ref="B2:O2"/>
    <mergeCell ref="L5:O5"/>
  </mergeCells>
  <pageMargins left="0.15748031496062992" right="0.51181102362204722" top="0.51181102362204722" bottom="0.11811023622047245" header="0.43307086614173229" footer="0.31496062992125984"/>
  <pageSetup paperSize="9" scale="86"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279c20c3caf3300dae6b438536eb8c56">
  <xsd:schema xmlns:xsd="http://www.w3.org/2001/XMLSchema" xmlns:p="http://schemas.microsoft.com/office/2006/metadata/properties" targetNamespace="http://schemas.microsoft.com/office/2006/metadata/properties" ma:root="true" ma:fieldsID="0d2e1ca116041f9e11471c52c4c9d60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9CA559D5-8ADF-4C4B-81B0-C72E51DC1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8C1E064C-FA0D-4FA2-8856-EC97CD79A41D}">
  <ds:schemaRefs>
    <ds:schemaRef ds:uri="http://schemas.microsoft.com/sharepoint/v3/contenttype/forms"/>
  </ds:schemaRefs>
</ds:datastoreItem>
</file>

<file path=customXml/itemProps3.xml><?xml version="1.0" encoding="utf-8"?>
<ds:datastoreItem xmlns:ds="http://schemas.openxmlformats.org/officeDocument/2006/customXml" ds:itemID="{D5F841F7-96C3-4DF3-B4FD-E2791A207BD4}">
  <ds:schemaRefs>
    <ds:schemaRef ds:uri="http://schemas.microsoft.com/office/2006/documentManagement/types"/>
    <ds:schemaRef ds:uri="http://purl.org/dc/terms/"/>
    <ds:schemaRef ds:uri="http://schemas.microsoft.com/office/2006/metadata/properties"/>
    <ds:schemaRef ds:uri="http://purl.org/dc/elements/1.1/"/>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52</vt:i4>
      </vt:variant>
    </vt:vector>
  </HeadingPairs>
  <TitlesOfParts>
    <vt:vector size="110" baseType="lpstr">
      <vt:lpstr>1402</vt:lpstr>
      <vt:lpstr>94</vt:lpstr>
      <vt:lpstr>95</vt:lpstr>
      <vt:lpstr>97</vt:lpstr>
      <vt:lpstr>98</vt:lpstr>
      <vt:lpstr>96</vt:lpstr>
      <vt:lpstr>سود و زیان</vt:lpstr>
      <vt:lpstr>وضعیت مالی</vt:lpstr>
      <vt:lpstr>صورت تغییرات در حقوق مالکانه</vt:lpstr>
      <vt:lpstr>صورت جریان نقدی</vt:lpstr>
      <vt:lpstr>1</vt:lpstr>
      <vt:lpstr>2</vt:lpstr>
      <vt:lpstr>3</vt:lpstr>
      <vt:lpstr>4</vt:lpstr>
      <vt:lpstr>11</vt:lpstr>
      <vt:lpstr>12</vt:lpstr>
      <vt:lpstr>13-14</vt:lpstr>
      <vt:lpstr>15</vt:lpstr>
      <vt:lpstr>14 قبلي</vt:lpstr>
      <vt:lpstr>16</vt:lpstr>
      <vt:lpstr>17</vt:lpstr>
      <vt:lpstr>18</vt:lpstr>
      <vt:lpstr>19</vt:lpstr>
      <vt:lpstr>20</vt:lpstr>
      <vt:lpstr>21</vt:lpstr>
      <vt:lpstr>22</vt:lpstr>
      <vt:lpstr>50</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42-43</vt:lpstr>
      <vt:lpstr>نسبتها</vt:lpstr>
      <vt:lpstr>44</vt:lpstr>
      <vt:lpstr>مفروضات</vt:lpstr>
      <vt:lpstr>602086</vt:lpstr>
      <vt:lpstr>602085</vt:lpstr>
      <vt:lpstr>Sheet2</vt:lpstr>
      <vt:lpstr>Sheet2 (2)</vt:lpstr>
      <vt:lpstr>Sheet1</vt:lpstr>
      <vt:lpstr>Sheet2 (3)</vt:lpstr>
      <vt:lpstr>Sheet3</vt:lpstr>
      <vt:lpstr>mafrozat</vt:lpstr>
      <vt:lpstr>'11'!Print_Area</vt:lpstr>
      <vt:lpstr>'12'!Print_Area</vt:lpstr>
      <vt:lpstr>'13-14'!Print_Area</vt:lpstr>
      <vt:lpstr>'14 قبلي'!Print_Area</vt:lpstr>
      <vt:lpstr>'1402'!Print_Area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'38'!Print_Area</vt:lpstr>
      <vt:lpstr>'39'!Print_Area</vt:lpstr>
      <vt:lpstr>'4'!Print_Area</vt:lpstr>
      <vt:lpstr>'41'!Print_Area</vt:lpstr>
      <vt:lpstr>'42-43'!Print_Area</vt:lpstr>
      <vt:lpstr>'44'!Print_Area</vt:lpstr>
      <vt:lpstr>'50'!Print_Area</vt:lpstr>
      <vt:lpstr>'94'!Print_Area</vt:lpstr>
      <vt:lpstr>'95'!Print_Area</vt:lpstr>
      <vt:lpstr>'97'!Print_Area</vt:lpstr>
      <vt:lpstr>'98'!Print_Area</vt:lpstr>
      <vt:lpstr>Sheet1!Print_Area</vt:lpstr>
      <vt:lpstr>Sheet2!Print_Area</vt:lpstr>
      <vt:lpstr>'سود و زیان'!Print_Area</vt:lpstr>
      <vt:lpstr>'صورت تغییرات در حقوق مالکانه'!Print_Area</vt:lpstr>
      <vt:lpstr>'صورت جریان نقدی'!Print_Area</vt:lpstr>
      <vt:lpstr>نسبتها!Print_Area</vt:lpstr>
      <vt:lpstr>'1402'!Print_Titles</vt:lpstr>
      <vt:lpstr>'94'!Print_Titles</vt:lpstr>
      <vt:lpstr>'95'!Print_Titles</vt:lpstr>
      <vt:lpstr>'96'!Print_Titles</vt:lpstr>
      <vt:lpstr>'97'!Print_Titles</vt:lpstr>
      <vt:lpstr>'98'!Print_Titles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صورتهاي مالي سال 1394</dc:title>
  <dc:subject>تزاز نهايي سال 94</dc:subject>
  <dc:creator>حیدرزاده</dc:creator>
  <cp:keywords>همگروه</cp:keywords>
  <dc:description>صورت مالي</dc:description>
  <cp:lastModifiedBy>shobeiri-r</cp:lastModifiedBy>
  <cp:lastPrinted>2024-07-08T16:05:06Z</cp:lastPrinted>
  <dcterms:created xsi:type="dcterms:W3CDTF">2009-04-21T14:09:53Z</dcterms:created>
  <dcterms:modified xsi:type="dcterms:W3CDTF">2024-07-09T07:00:06Z</dcterms:modified>
  <cp:category>برنامه</cp:category>
</cp:coreProperties>
</file>